
<file path=[Content_Types].xml><?xml version="1.0" encoding="utf-8"?>
<Types xmlns="http://schemas.openxmlformats.org/package/2006/content-types">
  <Override PartName="/xl/worksheets/sheet24.xml" ContentType="application/vnd.openxmlformats-officedocument.spreadsheetml.worksheet+xml"/>
  <Override PartName="/xl/worksheets/sheet13.xml" ContentType="application/vnd.openxmlformats-officedocument.spreadsheetml.worksheet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17.xml" ContentType="application/vnd.openxmlformats-officedocument.drawing+xml"/>
  <Override PartName="/xl/drawings/drawing28.xml" ContentType="application/vnd.openxmlformats-officedocument.drawing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externalLinks/externalLink5.xml" ContentType="application/vnd.openxmlformats-officedocument.spreadsheetml.externalLink+xml"/>
  <Override PartName="/xl/drawings/drawing2.xml" ContentType="application/vnd.openxmlformats-officedocument.drawing+xml"/>
  <Override PartName="/xl/drawings/drawing15.xml" ContentType="application/vnd.openxmlformats-officedocument.drawing+xml"/>
  <Override PartName="/xl/drawings/drawing26.xml" ContentType="application/vnd.openxmlformats-officedocument.drawing+xml"/>
  <Override PartName="/xl/charts/chart29.xml" ContentType="application/vnd.openxmlformats-officedocument.drawingml.chart+xml"/>
  <Override PartName="/xl/worksheets/sheet3.xml" ContentType="application/vnd.openxmlformats-officedocument.spreadsheetml.worksheet+xml"/>
  <Override PartName="/xl/externalLinks/externalLink3.xml" ContentType="application/vnd.openxmlformats-officedocument.spreadsheetml.externalLink+xml"/>
  <Override PartName="/xl/drawings/drawing13.xml" ContentType="application/vnd.openxmlformats-officedocument.drawing+xml"/>
  <Override PartName="/xl/charts/chart18.xml" ContentType="application/vnd.openxmlformats-officedocument.drawingml.chart+xml"/>
  <Override PartName="/xl/drawings/drawing22.xml" ContentType="application/vnd.openxmlformats-officedocument.drawing+xml"/>
  <Override PartName="/xl/drawings/drawing24.xml" ContentType="application/vnd.openxmlformats-officedocument.drawing+xml"/>
  <Override PartName="/xl/charts/chart27.xml" ContentType="application/vnd.openxmlformats-officedocument.drawingml.chart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drawings/drawing11.xml" ContentType="application/vnd.openxmlformats-officedocument.drawing+xml"/>
  <Override PartName="/xl/charts/chart16.xml" ContentType="application/vnd.openxmlformats-officedocument.drawingml.chart+xml"/>
  <Override PartName="/xl/drawings/drawing20.xml" ContentType="application/vnd.openxmlformats-officedocument.drawing+xml"/>
  <Override PartName="/xl/charts/chart25.xml" ContentType="application/vnd.openxmlformats-officedocument.drawingml.char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charts/chart14.xml" ContentType="application/vnd.openxmlformats-officedocument.drawingml.chart+xml"/>
  <Override PartName="/xl/charts/chart23.xml" ContentType="application/vnd.openxmlformats-officedocument.drawingml.chart+xml"/>
  <Override PartName="/xl/charts/chart32.xml" ContentType="application/vnd.openxmlformats-officedocument.drawingml.chart+xml"/>
  <Override PartName="/xl/worksheets/sheet18.xml" ContentType="application/vnd.openxmlformats-officedocument.spreadsheetml.worksheet+xml"/>
  <Override PartName="/xl/worksheets/sheet27.xml" ContentType="application/vnd.openxmlformats-officedocument.spreadsheetml.worksheet+xml"/>
  <Override PartName="/xl/charts/chart9.xml" ContentType="application/vnd.openxmlformats-officedocument.drawingml.chart+xml"/>
  <Override PartName="/xl/charts/chart12.xml" ContentType="application/vnd.openxmlformats-officedocument.drawingml.chart+xml"/>
  <Override PartName="/xl/charts/chart21.xml" ContentType="application/vnd.openxmlformats-officedocument.drawingml.chart+xml"/>
  <Override PartName="/xl/charts/chart30.xml" ContentType="application/vnd.openxmlformats-officedocument.drawingml.chart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drawings/drawing29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drawings/drawing18.xml" ContentType="application/vnd.openxmlformats-officedocument.drawing+xml"/>
  <Override PartName="/xl/drawings/drawing27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4.xml" ContentType="application/vnd.openxmlformats-officedocument.spreadsheetml.externalLink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drawings/drawing16.xml" ContentType="application/vnd.openxmlformats-officedocument.drawing+xml"/>
  <Override PartName="/xl/drawings/drawing25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externalLinks/externalLink2.xml" ContentType="application/vnd.openxmlformats-officedocument.spreadsheetml.externalLink+xml"/>
  <Override PartName="/xl/drawings/drawing1.xml" ContentType="application/vnd.openxmlformats-officedocument.drawing+xml"/>
  <Override PartName="/xl/drawings/drawing14.xml" ContentType="application/vnd.openxmlformats-officedocument.drawing+xml"/>
  <Override PartName="/xl/charts/chart19.xml" ContentType="application/vnd.openxmlformats-officedocument.drawingml.chart+xml"/>
  <Override PartName="/xl/drawings/drawing23.xml" ContentType="application/vnd.openxmlformats-officedocument.drawing+xml"/>
  <Override PartName="/xl/charts/chart28.xml" ContentType="application/vnd.openxmlformats-officedocument.drawingml.chart+xml"/>
  <Override PartName="/xl/drawings/drawing12.xml" ContentType="application/vnd.openxmlformats-officedocument.drawing+xml"/>
  <Override PartName="/xl/charts/chart17.xml" ContentType="application/vnd.openxmlformats-officedocument.drawingml.chart+xml"/>
  <Override PartName="/xl/drawings/drawing21.xml" ContentType="application/vnd.openxmlformats-officedocument.drawing+xml"/>
  <Override PartName="/xl/charts/chart26.xml" ContentType="application/vnd.openxmlformats-officedocument.drawingml.chart+xml"/>
  <Override PartName="/xl/drawings/drawing30.xml" ContentType="application/vnd.openxmlformats-officedocument.drawing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chart15.xml" ContentType="application/vnd.openxmlformats-officedocument.drawingml.chart+xml"/>
  <Override PartName="/xl/charts/chart24.xml" ContentType="application/vnd.openxmlformats-officedocument.drawingml.chart+xml"/>
  <Override PartName="/xl/worksheets/sheet17.xml" ContentType="application/vnd.openxmlformats-officedocument.spreadsheetml.worksheet+xml"/>
  <Override PartName="/xl/worksheets/sheet26.xml" ContentType="application/vnd.openxmlformats-officedocument.spreadsheetml.worksheet+xml"/>
  <Override PartName="/xl/charts/chart8.xml" ContentType="application/vnd.openxmlformats-officedocument.drawingml.chart+xml"/>
  <Override PartName="/xl/charts/chart11.xml" ContentType="application/vnd.openxmlformats-officedocument.drawingml.chart+xml"/>
  <Override PartName="/xl/charts/chart22.xml" ContentType="application/vnd.openxmlformats-officedocument.drawingml.chart+xml"/>
  <Override PartName="/xl/charts/chart31.xml" ContentType="application/vnd.openxmlformats-officedocument.drawingml.chart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charts/chart6.xml" ContentType="application/vnd.openxmlformats-officedocument.drawingml.chart+xml"/>
  <Override PartName="/xl/charts/chart20.xml" ContentType="application/vnd.openxmlformats-officedocument.drawingml.chart+xml"/>
  <Override PartName="/xl/worksheets/sheet9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drawings/drawing8.xml" ContentType="application/vnd.openxmlformats-officedocument.drawing+xml"/>
  <Override PartName="/xl/drawings/drawing19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ЭтаКнига"/>
  <bookViews>
    <workbookView xWindow="0" yWindow="0" windowWidth="15570" windowHeight="8190" tabRatio="760" firstSheet="24" activeTab="28"/>
  </bookViews>
  <sheets>
    <sheet name="январь 20" sheetId="60" r:id="rId1"/>
    <sheet name="январь 20 (+руда,-агл,-кокс)" sheetId="62" r:id="rId2"/>
    <sheet name="февраль 20 " sheetId="61" r:id="rId3"/>
    <sheet name="февраль 20  (+агл,-руда)" sheetId="64" r:id="rId4"/>
    <sheet name="март 20 " sheetId="63" r:id="rId5"/>
    <sheet name="март 20  (-руда,+агл)" sheetId="66" r:id="rId6"/>
    <sheet name="апрель 20 " sheetId="65" r:id="rId7"/>
    <sheet name="апрель 20  (+544т,+ру,кок)" sheetId="70" r:id="rId8"/>
    <sheet name="май 20" sheetId="67" r:id="rId9"/>
    <sheet name="май 20 (+руда,кокс,-агл)" sheetId="73" r:id="rId10"/>
    <sheet name="июнь 20" sheetId="72" r:id="rId11"/>
    <sheet name="июнь 20 (+руда,кокс)" sheetId="76" r:id="rId12"/>
    <sheet name="июль 20  (факт)" sheetId="77" r:id="rId13"/>
    <sheet name="июль 20 " sheetId="74" r:id="rId14"/>
    <sheet name="июль 20  (+руда,кокс)" sheetId="80" r:id="rId15"/>
    <sheet name="август 20 (факт)" sheetId="81" r:id="rId16"/>
    <sheet name="август 20" sheetId="78" r:id="rId17"/>
    <sheet name="август 20 (+агл,кокс)" sheetId="83" r:id="rId18"/>
    <sheet name="сентябрь 20 (факт)" sheetId="84" r:id="rId19"/>
    <sheet name="сентябрь 20" sheetId="82" r:id="rId20"/>
    <sheet name="сентябрь 20 (-руда,+кокс)" sheetId="88" r:id="rId21"/>
    <sheet name="октябрь 20 (факт)" sheetId="85" r:id="rId22"/>
    <sheet name="октябрь 20 " sheetId="87" r:id="rId23"/>
    <sheet name="октябрь 20  (+руда,кокс)" sheetId="90" r:id="rId24"/>
    <sheet name="ноябрь 20 (факт)" sheetId="91" r:id="rId25"/>
    <sheet name="ноябрь 20" sheetId="89" r:id="rId26"/>
    <sheet name="ноябрь 20 (+агл, кокс)" sheetId="95" r:id="rId27"/>
    <sheet name="декабрь 20 (факт)" sheetId="93" r:id="rId28"/>
    <sheet name="декабрь 20" sheetId="92" r:id="rId29"/>
    <sheet name="декабрь 20 (-агл,+руд)" sheetId="96" r:id="rId30"/>
  </sheets>
  <externalReferences>
    <externalReference r:id="rId31"/>
    <externalReference r:id="rId32"/>
    <externalReference r:id="rId33"/>
    <externalReference r:id="rId34"/>
    <externalReference r:id="rId35"/>
  </externalReferences>
  <definedNames>
    <definedName name="Excel_BuiltIn_Print_Area_10_1">"$#ССЫЛ!.$A$1:$IV$65536"</definedName>
    <definedName name="Excel_BuiltIn_Print_Area_11_1">"$#ССЫЛ!.$A$1:$IV$65536"</definedName>
    <definedName name="Excel_BuiltIn_Print_Area_12_1">"$#ССЫЛ!.$A$1:$IV$65536"</definedName>
    <definedName name="Excel_BuiltIn_Print_Area_12_1_1">"$#ССЫЛ!.$A$1:$AR$49"</definedName>
    <definedName name="Excel_BuiltIn_Print_Area_12_1_1_1">"$#ССЫЛ!.$A$1:$AR$45"</definedName>
    <definedName name="Excel_BuiltIn_Print_Area_12_1_1_1_1">"$#ССЫЛ!.$A$1:$IV$65536"</definedName>
    <definedName name="Excel_BuiltIn_Print_Area_13_1">"$#ССЫЛ!.$A$1:$IV$65536"</definedName>
    <definedName name="Excel_BuiltIn_Print_Area_14_1">"$#ССЫЛ!.$A$1:$IV$65536"</definedName>
    <definedName name="Excel_BuiltIn_Print_Area_15_1">"$#ССЫЛ!.$A$1:$IV$65536"</definedName>
    <definedName name="Excel_BuiltIn_Print_Area_16">"$#ССЫЛ!.$A$1:$IV$65536"</definedName>
    <definedName name="Excel_BuiltIn_Print_Area_17">"$#ССЫЛ!.$A$1:$IV$65536"</definedName>
    <definedName name="Excel_BuiltIn_Print_Area_18">"$#ССЫЛ!.$A$1:$IV$65536"</definedName>
    <definedName name="Excel_BuiltIn_Print_Area_19">"$#ССЫЛ!.$A$1:$IV$65536"</definedName>
    <definedName name="Excel_BuiltIn_Print_Area_20">"$#ССЫЛ!.$A$1:$IV$65536"</definedName>
    <definedName name="Excel_BuiltIn_Print_Area_22">"$#ССЫЛ!.$A$1:$IV$65536"</definedName>
    <definedName name="Excel_BuiltIn_Print_Area_23">"$#ССЫЛ!.$A$1:$IV$65536"</definedName>
    <definedName name="Excel_BuiltIn_Print_Area_24">"$#ССЫЛ!.$A$1:$IV$65536"</definedName>
    <definedName name="Excel_BuiltIn_Print_Area_25">"$#ССЫЛ!.$A$1:$IV$65536"</definedName>
    <definedName name="Excel_BuiltIn_Print_Area_26">"$#ССЫЛ!.$A$1:$IV$65536"</definedName>
    <definedName name="Excel_BuiltIn_Print_Area_27">"$#ССЫЛ!.$A$1:$IV$65536"</definedName>
    <definedName name="Excel_BuiltIn_Print_Area_28">"$#ССЫЛ!.$A$1:$IV$65536"</definedName>
    <definedName name="Excel_BuiltIn_Print_Area_29">"$#ССЫЛ!.$A$1:$IV$65536"</definedName>
    <definedName name="Excel_BuiltIn_Print_Area_30">"$#ССЫЛ!.$A$1:$IV$65536"</definedName>
    <definedName name="Excel_BuiltIn_Print_Area_31">"$#ССЫЛ!.$A$1:$IV$65536"</definedName>
    <definedName name="Excel_BuiltIn_Print_Area_32">"$#ССЫЛ!.$A$1:$AQ$65536"</definedName>
    <definedName name="Excel_BuiltIn_Print_Area_33">"$#ССЫЛ!.$A$1:$IV$65536"</definedName>
    <definedName name="Excel_BuiltIn_Print_Area_34">"$#ССЫЛ!.$A$1:$AT$65536"</definedName>
    <definedName name="Excel_BuiltIn_Print_Area_35">"$#ССЫЛ!.$A$1:$AT$65536"</definedName>
    <definedName name="Excel_BuiltIn_Print_Area_36">"$#ССЫЛ!.$A$1:$AT$65536"</definedName>
    <definedName name="Excel_BuiltIn_Print_Area_37">"$#ССЫЛ!.$A$1:$AT$65536"</definedName>
    <definedName name="Excel_BuiltIn_Print_Area_38">"$#ССЫЛ!.$A$1:$AT$65536"</definedName>
    <definedName name="Excel_BuiltIn_Print_Area_39">"$#ССЫЛ!.$A$1:$AT$65536"</definedName>
    <definedName name="Excel_BuiltIn_Print_Area_4_1">"$#ССЫЛ!.$A$1:$AT$46"</definedName>
    <definedName name="Excel_BuiltIn_Print_Area_40">"$#ССЫЛ!.$A$1:$AT$65536"</definedName>
    <definedName name="Excel_BuiltIn_Print_Area_41">"$#ССЫЛ!.$A$1:$AT$65536"</definedName>
    <definedName name="Excel_BuiltIn_Print_Area_42">"$#ССЫЛ!.$A$1:$AT$65536"</definedName>
    <definedName name="Excel_BuiltIn_Print_Area_43">"$#ССЫЛ!.$A$1:$AT$65536"</definedName>
    <definedName name="Excel_BuiltIn_Print_Area_44">"$#ССЫЛ!.$A$1:$AT$65536"</definedName>
    <definedName name="Excel_BuiltIn_Print_Area_5_1">"$#ССЫЛ!.$A$1:$AR$65536"</definedName>
    <definedName name="Excel_BuiltIn_Print_Area_6_1" localSheetId="16">#REF!</definedName>
    <definedName name="Excel_BuiltIn_Print_Area_6_1" localSheetId="17">#REF!</definedName>
    <definedName name="Excel_BuiltIn_Print_Area_6_1" localSheetId="15">#REF!</definedName>
    <definedName name="Excel_BuiltIn_Print_Area_6_1" localSheetId="6">#REF!</definedName>
    <definedName name="Excel_BuiltIn_Print_Area_6_1" localSheetId="7">#REF!</definedName>
    <definedName name="Excel_BuiltIn_Print_Area_6_1" localSheetId="28">#REF!</definedName>
    <definedName name="Excel_BuiltIn_Print_Area_6_1" localSheetId="29">#REF!</definedName>
    <definedName name="Excel_BuiltIn_Print_Area_6_1" localSheetId="27">#REF!</definedName>
    <definedName name="Excel_BuiltIn_Print_Area_6_1" localSheetId="13">#REF!</definedName>
    <definedName name="Excel_BuiltIn_Print_Area_6_1" localSheetId="14">#REF!</definedName>
    <definedName name="Excel_BuiltIn_Print_Area_6_1" localSheetId="12">#REF!</definedName>
    <definedName name="Excel_BuiltIn_Print_Area_6_1" localSheetId="10">#REF!</definedName>
    <definedName name="Excel_BuiltIn_Print_Area_6_1" localSheetId="11">#REF!</definedName>
    <definedName name="Excel_BuiltIn_Print_Area_6_1" localSheetId="8">#REF!</definedName>
    <definedName name="Excel_BuiltIn_Print_Area_6_1" localSheetId="9">#REF!</definedName>
    <definedName name="Excel_BuiltIn_Print_Area_6_1" localSheetId="4">#REF!</definedName>
    <definedName name="Excel_BuiltIn_Print_Area_6_1" localSheetId="5">#REF!</definedName>
    <definedName name="Excel_BuiltIn_Print_Area_6_1" localSheetId="25">#REF!</definedName>
    <definedName name="Excel_BuiltIn_Print_Area_6_1" localSheetId="26">#REF!</definedName>
    <definedName name="Excel_BuiltIn_Print_Area_6_1" localSheetId="24">#REF!</definedName>
    <definedName name="Excel_BuiltIn_Print_Area_6_1" localSheetId="22">#REF!</definedName>
    <definedName name="Excel_BuiltIn_Print_Area_6_1" localSheetId="23">#REF!</definedName>
    <definedName name="Excel_BuiltIn_Print_Area_6_1" localSheetId="21">#REF!</definedName>
    <definedName name="Excel_BuiltIn_Print_Area_6_1" localSheetId="19">#REF!</definedName>
    <definedName name="Excel_BuiltIn_Print_Area_6_1" localSheetId="20">#REF!</definedName>
    <definedName name="Excel_BuiltIn_Print_Area_6_1" localSheetId="18">#REF!</definedName>
    <definedName name="Excel_BuiltIn_Print_Area_6_1" localSheetId="2">#REF!</definedName>
    <definedName name="Excel_BuiltIn_Print_Area_6_1" localSheetId="3">#REF!</definedName>
    <definedName name="Excel_BuiltIn_Print_Area_6_1" localSheetId="0">#REF!</definedName>
    <definedName name="Excel_BuiltIn_Print_Area_6_1" localSheetId="1">#REF!</definedName>
    <definedName name="Excel_BuiltIn_Print_Area_9_1" localSheetId="16">#REF!</definedName>
    <definedName name="Excel_BuiltIn_Print_Area_9_1" localSheetId="17">#REF!</definedName>
    <definedName name="Excel_BuiltIn_Print_Area_9_1" localSheetId="15">#REF!</definedName>
    <definedName name="Excel_BuiltIn_Print_Area_9_1" localSheetId="6">#REF!</definedName>
    <definedName name="Excel_BuiltIn_Print_Area_9_1" localSheetId="7">#REF!</definedName>
    <definedName name="Excel_BuiltIn_Print_Area_9_1" localSheetId="28">#REF!</definedName>
    <definedName name="Excel_BuiltIn_Print_Area_9_1" localSheetId="29">#REF!</definedName>
    <definedName name="Excel_BuiltIn_Print_Area_9_1" localSheetId="27">#REF!</definedName>
    <definedName name="Excel_BuiltIn_Print_Area_9_1" localSheetId="13">#REF!</definedName>
    <definedName name="Excel_BuiltIn_Print_Area_9_1" localSheetId="14">#REF!</definedName>
    <definedName name="Excel_BuiltIn_Print_Area_9_1" localSheetId="12">#REF!</definedName>
    <definedName name="Excel_BuiltIn_Print_Area_9_1" localSheetId="10">#REF!</definedName>
    <definedName name="Excel_BuiltIn_Print_Area_9_1" localSheetId="11">#REF!</definedName>
    <definedName name="Excel_BuiltIn_Print_Area_9_1" localSheetId="8">#REF!</definedName>
    <definedName name="Excel_BuiltIn_Print_Area_9_1" localSheetId="9">#REF!</definedName>
    <definedName name="Excel_BuiltIn_Print_Area_9_1" localSheetId="4">#REF!</definedName>
    <definedName name="Excel_BuiltIn_Print_Area_9_1" localSheetId="5">#REF!</definedName>
    <definedName name="Excel_BuiltIn_Print_Area_9_1" localSheetId="25">#REF!</definedName>
    <definedName name="Excel_BuiltIn_Print_Area_9_1" localSheetId="26">#REF!</definedName>
    <definedName name="Excel_BuiltIn_Print_Area_9_1" localSheetId="24">#REF!</definedName>
    <definedName name="Excel_BuiltIn_Print_Area_9_1" localSheetId="22">#REF!</definedName>
    <definedName name="Excel_BuiltIn_Print_Area_9_1" localSheetId="23">#REF!</definedName>
    <definedName name="Excel_BuiltIn_Print_Area_9_1" localSheetId="21">#REF!</definedName>
    <definedName name="Excel_BuiltIn_Print_Area_9_1" localSheetId="19">#REF!</definedName>
    <definedName name="Excel_BuiltIn_Print_Area_9_1" localSheetId="20">#REF!</definedName>
    <definedName name="Excel_BuiltIn_Print_Area_9_1" localSheetId="18">#REF!</definedName>
    <definedName name="Excel_BuiltIn_Print_Area_9_1" localSheetId="2">#REF!</definedName>
    <definedName name="Excel_BuiltIn_Print_Area_9_1" localSheetId="3">#REF!</definedName>
    <definedName name="Excel_BuiltIn_Print_Area_9_1" localSheetId="0">#REF!</definedName>
    <definedName name="Excel_BuiltIn_Print_Area_9_1" localSheetId="1">#REF!</definedName>
    <definedName name="_xlnm.Print_Area" localSheetId="16">'август 20'!$A$1:$BE$74</definedName>
    <definedName name="_xlnm.Print_Area" localSheetId="17">'август 20 (+агл,кокс)'!$A$1:$BE$74</definedName>
    <definedName name="_xlnm.Print_Area" localSheetId="15">'август 20 (факт)'!$A$1:$BE$74</definedName>
    <definedName name="_xlnm.Print_Area" localSheetId="6">'апрель 20 '!$A$1:$BE$74</definedName>
    <definedName name="_xlnm.Print_Area" localSheetId="7">'апрель 20  (+544т,+ру,кок)'!$A$1:$BE$74</definedName>
    <definedName name="_xlnm.Print_Area" localSheetId="28">'декабрь 20'!$A$1:$BE$74</definedName>
    <definedName name="_xlnm.Print_Area" localSheetId="29">'декабрь 20 (-агл,+руд)'!$A$1:$BE$74</definedName>
    <definedName name="_xlnm.Print_Area" localSheetId="27">'декабрь 20 (факт)'!$A$1:$BE$74</definedName>
    <definedName name="_xlnm.Print_Area" localSheetId="13">'июль 20 '!$A$1:$BE$74</definedName>
    <definedName name="_xlnm.Print_Area" localSheetId="14">'июль 20  (+руда,кокс)'!$A$1:$BE$74</definedName>
    <definedName name="_xlnm.Print_Area" localSheetId="12">'июль 20  (факт)'!$A$1:$BE$74</definedName>
    <definedName name="_xlnm.Print_Area" localSheetId="10">'июнь 20'!$A$1:$BE$74</definedName>
    <definedName name="_xlnm.Print_Area" localSheetId="11">'июнь 20 (+руда,кокс)'!$A$1:$BE$74</definedName>
    <definedName name="_xlnm.Print_Area" localSheetId="8">'май 20'!$A$1:$BE$74</definedName>
    <definedName name="_xlnm.Print_Area" localSheetId="9">'май 20 (+руда,кокс,-агл)'!$A$1:$BE$74</definedName>
    <definedName name="_xlnm.Print_Area" localSheetId="4">'март 20 '!$A$1:$BE$74</definedName>
    <definedName name="_xlnm.Print_Area" localSheetId="5">'март 20  (-руда,+агл)'!$A$1:$BE$74</definedName>
    <definedName name="_xlnm.Print_Area" localSheetId="25">'ноябрь 20'!$A$1:$BE$74</definedName>
    <definedName name="_xlnm.Print_Area" localSheetId="26">'ноябрь 20 (+агл, кокс)'!$A$1:$BE$74</definedName>
    <definedName name="_xlnm.Print_Area" localSheetId="24">'ноябрь 20 (факт)'!$A$1:$BE$74</definedName>
    <definedName name="_xlnm.Print_Area" localSheetId="22">'октябрь 20 '!$A$1:$BE$74</definedName>
    <definedName name="_xlnm.Print_Area" localSheetId="23">'октябрь 20  (+руда,кокс)'!$A$1:$BE$74</definedName>
    <definedName name="_xlnm.Print_Area" localSheetId="21">'октябрь 20 (факт)'!$A$1:$BE$74</definedName>
    <definedName name="_xlnm.Print_Area" localSheetId="19">'сентябрь 20'!$A$1:$BE$74</definedName>
    <definedName name="_xlnm.Print_Area" localSheetId="20">'сентябрь 20 (-руда,+кокс)'!$A$1:$BE$74</definedName>
    <definedName name="_xlnm.Print_Area" localSheetId="18">'сентябрь 20 (факт)'!$A$1:$BE$74</definedName>
    <definedName name="_xlnm.Print_Area" localSheetId="2">'февраль 20 '!$A$1:$BE$74</definedName>
    <definedName name="_xlnm.Print_Area" localSheetId="3">'февраль 20  (+агл,-руда)'!$A$1:$BE$74</definedName>
    <definedName name="_xlnm.Print_Area" localSheetId="0">'январь 20'!$A$1:$BE$74</definedName>
    <definedName name="_xlnm.Print_Area" localSheetId="1">'январь 20 (+руда,-агл,-кокс)'!$A$1:$BE$74</definedName>
  </definedNames>
  <calcPr calcId="124519"/>
</workbook>
</file>

<file path=xl/calcChain.xml><?xml version="1.0" encoding="utf-8"?>
<calcChain xmlns="http://schemas.openxmlformats.org/spreadsheetml/2006/main">
  <c r="CY37" i="93"/>
  <c r="CX37"/>
  <c r="CW37"/>
  <c r="CV37"/>
  <c r="CU37"/>
  <c r="CT37"/>
  <c r="CS37"/>
  <c r="CR37"/>
  <c r="CQ37"/>
  <c r="CP37"/>
  <c r="CO37"/>
  <c r="BG37"/>
  <c r="BA37"/>
  <c r="AY37"/>
  <c r="BI37" s="1"/>
  <c r="AN37"/>
  <c r="AF37"/>
  <c r="Q37"/>
  <c r="R37" s="1"/>
  <c r="P37"/>
  <c r="O37"/>
  <c r="N37"/>
  <c r="M37"/>
  <c r="L37"/>
  <c r="K37"/>
  <c r="J37"/>
  <c r="DD37" s="1"/>
  <c r="DG37" s="1"/>
  <c r="DH37" s="1"/>
  <c r="I37"/>
  <c r="B37"/>
  <c r="L8" i="96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7"/>
  <c r="L38" s="1"/>
  <c r="L39" s="1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7"/>
  <c r="BL8"/>
  <c r="BL9"/>
  <c r="BL10"/>
  <c r="BL11"/>
  <c r="BL12"/>
  <c r="BL13"/>
  <c r="BL14"/>
  <c r="BL15"/>
  <c r="BL16"/>
  <c r="BL17"/>
  <c r="BL18"/>
  <c r="BL19"/>
  <c r="BL20"/>
  <c r="BL21"/>
  <c r="BL22"/>
  <c r="BL23"/>
  <c r="BL24"/>
  <c r="BL25"/>
  <c r="BL26"/>
  <c r="BL27"/>
  <c r="BL28"/>
  <c r="BL29"/>
  <c r="BL30"/>
  <c r="BL31"/>
  <c r="BL32"/>
  <c r="BL33"/>
  <c r="BL34"/>
  <c r="BL35"/>
  <c r="BL36"/>
  <c r="BL7"/>
  <c r="DN8"/>
  <c r="DN9"/>
  <c r="DN10"/>
  <c r="DN11"/>
  <c r="DN12"/>
  <c r="DN13"/>
  <c r="DN14"/>
  <c r="DN15"/>
  <c r="DN16"/>
  <c r="DN17"/>
  <c r="DN18"/>
  <c r="DN19"/>
  <c r="DN20"/>
  <c r="DN21"/>
  <c r="DN22"/>
  <c r="DN23"/>
  <c r="DN24"/>
  <c r="DN25"/>
  <c r="DN26"/>
  <c r="DN27"/>
  <c r="DN28"/>
  <c r="DN29"/>
  <c r="DN30"/>
  <c r="DN31"/>
  <c r="DN32"/>
  <c r="DN33"/>
  <c r="DN34"/>
  <c r="DN35"/>
  <c r="DN36"/>
  <c r="DN37"/>
  <c r="DN7"/>
  <c r="BN8"/>
  <c r="BN9"/>
  <c r="BN10"/>
  <c r="BN11"/>
  <c r="BN12"/>
  <c r="BN13"/>
  <c r="BN14"/>
  <c r="BN16"/>
  <c r="BN17"/>
  <c r="BN18"/>
  <c r="BN19"/>
  <c r="BN20"/>
  <c r="BN21"/>
  <c r="BN22"/>
  <c r="BN23"/>
  <c r="BN24"/>
  <c r="BN25"/>
  <c r="BN26"/>
  <c r="BN27"/>
  <c r="BN28"/>
  <c r="BN29"/>
  <c r="BN30"/>
  <c r="BN31"/>
  <c r="BN32"/>
  <c r="BN33"/>
  <c r="BN34"/>
  <c r="BN35"/>
  <c r="BN36"/>
  <c r="BN37"/>
  <c r="BN7"/>
  <c r="DK13"/>
  <c r="CR7"/>
  <c r="DK37"/>
  <c r="DK8"/>
  <c r="DK9"/>
  <c r="DK10"/>
  <c r="DK11"/>
  <c r="DK12"/>
  <c r="DK14"/>
  <c r="DK16"/>
  <c r="DK17"/>
  <c r="DK18"/>
  <c r="DK19"/>
  <c r="DK20"/>
  <c r="DK21"/>
  <c r="DK22"/>
  <c r="DK23"/>
  <c r="DK24"/>
  <c r="DK25"/>
  <c r="DK26"/>
  <c r="DK27"/>
  <c r="DK28"/>
  <c r="DK29"/>
  <c r="DK30"/>
  <c r="DK31"/>
  <c r="DK32"/>
  <c r="DK33"/>
  <c r="DK34"/>
  <c r="DK35"/>
  <c r="DK36"/>
  <c r="DK7"/>
  <c r="BD59"/>
  <c r="BD58"/>
  <c r="AT46"/>
  <c r="AT43"/>
  <c r="AS39"/>
  <c r="AQ39"/>
  <c r="AP39"/>
  <c r="AD39"/>
  <c r="AC39"/>
  <c r="Z39"/>
  <c r="Z41" s="1"/>
  <c r="Y39"/>
  <c r="CI38"/>
  <c r="CM39" s="1"/>
  <c r="CH38"/>
  <c r="CL39" s="1"/>
  <c r="CG38"/>
  <c r="CK39" s="1"/>
  <c r="CF38"/>
  <c r="CJ39" s="1"/>
  <c r="BQ38"/>
  <c r="BX39" s="1"/>
  <c r="BP38"/>
  <c r="CD39" s="1"/>
  <c r="BO38"/>
  <c r="BV39" s="1"/>
  <c r="BM38"/>
  <c r="BT39" s="1"/>
  <c r="BL38"/>
  <c r="BZ39" s="1"/>
  <c r="BK38"/>
  <c r="BR39" s="1"/>
  <c r="BG38"/>
  <c r="AW38"/>
  <c r="AW39" s="1"/>
  <c r="AV38"/>
  <c r="AV39" s="1"/>
  <c r="AU38"/>
  <c r="AU39" s="1"/>
  <c r="AT38"/>
  <c r="AT41" s="1"/>
  <c r="AL38"/>
  <c r="AL39" s="1"/>
  <c r="AJ38"/>
  <c r="AJ39" s="1"/>
  <c r="AH38"/>
  <c r="AH39" s="1"/>
  <c r="AG38"/>
  <c r="AG39" s="1"/>
  <c r="AE38"/>
  <c r="AE39" s="1"/>
  <c r="AD38"/>
  <c r="W38"/>
  <c r="W39" s="1"/>
  <c r="V38"/>
  <c r="V39" s="1"/>
  <c r="S38"/>
  <c r="S39" s="1"/>
  <c r="G38"/>
  <c r="G39" s="1"/>
  <c r="G41" s="1"/>
  <c r="CY37"/>
  <c r="CX37"/>
  <c r="CW37"/>
  <c r="CV37"/>
  <c r="CU37"/>
  <c r="CT37"/>
  <c r="CS37"/>
  <c r="CR37"/>
  <c r="M37" s="1"/>
  <c r="CQ37"/>
  <c r="CP37"/>
  <c r="H37" s="1"/>
  <c r="CO37"/>
  <c r="BG37"/>
  <c r="BB37"/>
  <c r="BD37" s="1"/>
  <c r="BA37"/>
  <c r="AY37"/>
  <c r="BI37" s="1"/>
  <c r="AX37"/>
  <c r="AN37"/>
  <c r="AI37"/>
  <c r="AF37"/>
  <c r="Q37"/>
  <c r="P37"/>
  <c r="O37"/>
  <c r="N37"/>
  <c r="K37"/>
  <c r="J37"/>
  <c r="DD37" s="1"/>
  <c r="DG37" s="1"/>
  <c r="DH37" s="1"/>
  <c r="I37"/>
  <c r="E37"/>
  <c r="C37"/>
  <c r="CY36"/>
  <c r="CX36"/>
  <c r="CW36"/>
  <c r="CV36"/>
  <c r="CU36"/>
  <c r="CT36"/>
  <c r="CS36"/>
  <c r="CR36"/>
  <c r="CQ36"/>
  <c r="CP36"/>
  <c r="H36" s="1"/>
  <c r="CO36"/>
  <c r="BG36"/>
  <c r="BA36"/>
  <c r="AY36"/>
  <c r="BI36" s="1"/>
  <c r="AN36"/>
  <c r="AM36"/>
  <c r="AI36"/>
  <c r="Q36"/>
  <c r="R36" s="1"/>
  <c r="P36"/>
  <c r="O36"/>
  <c r="N36"/>
  <c r="K36"/>
  <c r="J36"/>
  <c r="DD36" s="1"/>
  <c r="DG36" s="1"/>
  <c r="DH36" s="1"/>
  <c r="I36"/>
  <c r="E36"/>
  <c r="C36"/>
  <c r="CY35"/>
  <c r="CX35"/>
  <c r="CW35"/>
  <c r="CV35"/>
  <c r="CU35"/>
  <c r="CT35"/>
  <c r="CS35"/>
  <c r="CR35"/>
  <c r="CQ35"/>
  <c r="CP35"/>
  <c r="H35" s="1"/>
  <c r="CO35"/>
  <c r="BG35"/>
  <c r="BA35"/>
  <c r="AY35"/>
  <c r="BI35" s="1"/>
  <c r="AN35"/>
  <c r="AM35"/>
  <c r="AI35"/>
  <c r="Q35"/>
  <c r="R35" s="1"/>
  <c r="P35"/>
  <c r="O35"/>
  <c r="N35"/>
  <c r="K35"/>
  <c r="J35"/>
  <c r="DD35" s="1"/>
  <c r="DG35" s="1"/>
  <c r="DH35" s="1"/>
  <c r="I35"/>
  <c r="E35"/>
  <c r="C35"/>
  <c r="CY34"/>
  <c r="CX34"/>
  <c r="CW34"/>
  <c r="CV34"/>
  <c r="CU34"/>
  <c r="CT34"/>
  <c r="CS34"/>
  <c r="CR34"/>
  <c r="CQ34"/>
  <c r="CP34"/>
  <c r="H34" s="1"/>
  <c r="CO34"/>
  <c r="BG34"/>
  <c r="BA34"/>
  <c r="AY34"/>
  <c r="BI34" s="1"/>
  <c r="AN34"/>
  <c r="AM34"/>
  <c r="AI34"/>
  <c r="Q34"/>
  <c r="R34" s="1"/>
  <c r="P34"/>
  <c r="O34"/>
  <c r="N34"/>
  <c r="K34"/>
  <c r="J34"/>
  <c r="DD34" s="1"/>
  <c r="DG34" s="1"/>
  <c r="DH34" s="1"/>
  <c r="I34"/>
  <c r="E34"/>
  <c r="C34"/>
  <c r="CY33"/>
  <c r="CX33"/>
  <c r="CW33"/>
  <c r="CV33"/>
  <c r="CU33"/>
  <c r="CT33"/>
  <c r="CS33"/>
  <c r="CR33"/>
  <c r="CQ33"/>
  <c r="CP33"/>
  <c r="H33" s="1"/>
  <c r="CO33"/>
  <c r="BG33"/>
  <c r="BA33"/>
  <c r="AY33"/>
  <c r="BI33" s="1"/>
  <c r="AN33"/>
  <c r="AM33"/>
  <c r="AI33"/>
  <c r="Q33"/>
  <c r="R33" s="1"/>
  <c r="P33"/>
  <c r="O33"/>
  <c r="N33"/>
  <c r="K33"/>
  <c r="J33"/>
  <c r="DD33" s="1"/>
  <c r="DG33" s="1"/>
  <c r="DH33" s="1"/>
  <c r="I33"/>
  <c r="E33"/>
  <c r="C33"/>
  <c r="CY32"/>
  <c r="CX32"/>
  <c r="CW32"/>
  <c r="CV32"/>
  <c r="CU32"/>
  <c r="CT32"/>
  <c r="CS32"/>
  <c r="CR32"/>
  <c r="CQ32"/>
  <c r="CP32"/>
  <c r="H32" s="1"/>
  <c r="CO32"/>
  <c r="BG32"/>
  <c r="BA32"/>
  <c r="AY32"/>
  <c r="BI32" s="1"/>
  <c r="AN32"/>
  <c r="AM32"/>
  <c r="AI32"/>
  <c r="Q32"/>
  <c r="R32" s="1"/>
  <c r="P32"/>
  <c r="O32"/>
  <c r="N32"/>
  <c r="K32"/>
  <c r="J32"/>
  <c r="DD32" s="1"/>
  <c r="DG32" s="1"/>
  <c r="DH32" s="1"/>
  <c r="I32"/>
  <c r="E32"/>
  <c r="C32"/>
  <c r="CY31"/>
  <c r="CX31"/>
  <c r="CW31"/>
  <c r="CV31"/>
  <c r="CU31"/>
  <c r="CT31"/>
  <c r="CS31"/>
  <c r="CR31"/>
  <c r="CQ31"/>
  <c r="CP31"/>
  <c r="H31" s="1"/>
  <c r="CO31"/>
  <c r="BG31"/>
  <c r="BA31"/>
  <c r="AY31"/>
  <c r="BI31" s="1"/>
  <c r="AN31"/>
  <c r="AM31"/>
  <c r="AI31"/>
  <c r="Q31"/>
  <c r="R31" s="1"/>
  <c r="P31"/>
  <c r="O31"/>
  <c r="N31"/>
  <c r="K31"/>
  <c r="J31"/>
  <c r="DD31" s="1"/>
  <c r="DG31" s="1"/>
  <c r="DH31" s="1"/>
  <c r="I31"/>
  <c r="E31"/>
  <c r="C31"/>
  <c r="CY30"/>
  <c r="CX30"/>
  <c r="CW30"/>
  <c r="CV30"/>
  <c r="CU30"/>
  <c r="CT30"/>
  <c r="CS30"/>
  <c r="CR30"/>
  <c r="CQ30"/>
  <c r="CP30"/>
  <c r="H30" s="1"/>
  <c r="CO30"/>
  <c r="BG30"/>
  <c r="BA30"/>
  <c r="AY30"/>
  <c r="BI30" s="1"/>
  <c r="AN30"/>
  <c r="AM30"/>
  <c r="AI30"/>
  <c r="Q30"/>
  <c r="R30" s="1"/>
  <c r="P30"/>
  <c r="O30"/>
  <c r="N30"/>
  <c r="K30"/>
  <c r="J30"/>
  <c r="DD30" s="1"/>
  <c r="DG30" s="1"/>
  <c r="DH30" s="1"/>
  <c r="I30"/>
  <c r="E30"/>
  <c r="C30"/>
  <c r="CY29"/>
  <c r="CX29"/>
  <c r="CW29"/>
  <c r="CV29"/>
  <c r="CU29"/>
  <c r="CT29"/>
  <c r="CS29"/>
  <c r="CR29"/>
  <c r="CQ29"/>
  <c r="CP29"/>
  <c r="H29" s="1"/>
  <c r="CO29"/>
  <c r="BG29"/>
  <c r="BA29"/>
  <c r="AY29"/>
  <c r="BI29" s="1"/>
  <c r="AN29"/>
  <c r="AM29"/>
  <c r="AI29"/>
  <c r="Q29"/>
  <c r="R29" s="1"/>
  <c r="P29"/>
  <c r="O29"/>
  <c r="N29"/>
  <c r="K29"/>
  <c r="J29"/>
  <c r="DD29" s="1"/>
  <c r="DG29" s="1"/>
  <c r="DH29" s="1"/>
  <c r="I29"/>
  <c r="E29"/>
  <c r="C29"/>
  <c r="CY28"/>
  <c r="CX28"/>
  <c r="CW28"/>
  <c r="CV28"/>
  <c r="CU28"/>
  <c r="CT28"/>
  <c r="CS28"/>
  <c r="CR28"/>
  <c r="CQ28"/>
  <c r="CP28"/>
  <c r="H28" s="1"/>
  <c r="CO28"/>
  <c r="BG28"/>
  <c r="BA28"/>
  <c r="AY28"/>
  <c r="BI28" s="1"/>
  <c r="AN28"/>
  <c r="AM28"/>
  <c r="AI28"/>
  <c r="Q28"/>
  <c r="R28" s="1"/>
  <c r="P28"/>
  <c r="O28"/>
  <c r="N28"/>
  <c r="K28"/>
  <c r="J28"/>
  <c r="DD28" s="1"/>
  <c r="DG28" s="1"/>
  <c r="DH28" s="1"/>
  <c r="I28"/>
  <c r="E28"/>
  <c r="C28"/>
  <c r="CY27"/>
  <c r="CX27"/>
  <c r="CW27"/>
  <c r="CV27"/>
  <c r="CU27"/>
  <c r="CT27"/>
  <c r="CS27"/>
  <c r="CR27"/>
  <c r="CQ27"/>
  <c r="CP27"/>
  <c r="H27" s="1"/>
  <c r="CO27"/>
  <c r="BG27"/>
  <c r="BA27"/>
  <c r="AY27"/>
  <c r="AN27"/>
  <c r="AM27"/>
  <c r="AI27"/>
  <c r="Q27"/>
  <c r="R27" s="1"/>
  <c r="P27"/>
  <c r="O27"/>
  <c r="N27"/>
  <c r="K27"/>
  <c r="J27"/>
  <c r="DD27" s="1"/>
  <c r="DG27" s="1"/>
  <c r="DH27" s="1"/>
  <c r="I27"/>
  <c r="E27"/>
  <c r="C27"/>
  <c r="CY26"/>
  <c r="CX26"/>
  <c r="CW26"/>
  <c r="CV26"/>
  <c r="CU26"/>
  <c r="CT26"/>
  <c r="CS26"/>
  <c r="CR26"/>
  <c r="M26" s="1"/>
  <c r="CQ26"/>
  <c r="CP26"/>
  <c r="CO26"/>
  <c r="BG26"/>
  <c r="BA26"/>
  <c r="AY26"/>
  <c r="AN26"/>
  <c r="AF26"/>
  <c r="Q26"/>
  <c r="R26" s="1"/>
  <c r="P26"/>
  <c r="O26"/>
  <c r="N26"/>
  <c r="K26"/>
  <c r="J26"/>
  <c r="DD26" s="1"/>
  <c r="DG26" s="1"/>
  <c r="DH26" s="1"/>
  <c r="I26"/>
  <c r="CY25"/>
  <c r="CX25"/>
  <c r="CW25"/>
  <c r="CV25"/>
  <c r="CU25"/>
  <c r="CT25"/>
  <c r="CS25"/>
  <c r="CR25"/>
  <c r="CQ25"/>
  <c r="CP25"/>
  <c r="CO25"/>
  <c r="BG25"/>
  <c r="BA25"/>
  <c r="AM25"/>
  <c r="Q25"/>
  <c r="R25" s="1"/>
  <c r="P25"/>
  <c r="O25"/>
  <c r="N25"/>
  <c r="K25"/>
  <c r="J25"/>
  <c r="DD25" s="1"/>
  <c r="DG25" s="1"/>
  <c r="DH25" s="1"/>
  <c r="I25"/>
  <c r="CY24"/>
  <c r="CX24"/>
  <c r="CW24"/>
  <c r="CV24"/>
  <c r="CU24"/>
  <c r="CT24"/>
  <c r="CS24"/>
  <c r="CR24"/>
  <c r="CQ24"/>
  <c r="CP24"/>
  <c r="CO24"/>
  <c r="BG24"/>
  <c r="BA24"/>
  <c r="AM24"/>
  <c r="Q24"/>
  <c r="R24" s="1"/>
  <c r="P24"/>
  <c r="O24"/>
  <c r="N24"/>
  <c r="K24"/>
  <c r="J24"/>
  <c r="DD24" s="1"/>
  <c r="DG24" s="1"/>
  <c r="DH24" s="1"/>
  <c r="I24"/>
  <c r="CY23"/>
  <c r="CX23"/>
  <c r="CW23"/>
  <c r="CV23"/>
  <c r="CU23"/>
  <c r="CT23"/>
  <c r="CS23"/>
  <c r="CR23"/>
  <c r="CQ23"/>
  <c r="CP23"/>
  <c r="CO23"/>
  <c r="BG23"/>
  <c r="BA23"/>
  <c r="AM23"/>
  <c r="Q23"/>
  <c r="R23" s="1"/>
  <c r="P23"/>
  <c r="O23"/>
  <c r="N23"/>
  <c r="K23"/>
  <c r="J23"/>
  <c r="DD23" s="1"/>
  <c r="DG23" s="1"/>
  <c r="DH23" s="1"/>
  <c r="I23"/>
  <c r="CY22"/>
  <c r="CX22"/>
  <c r="CW22"/>
  <c r="CV22"/>
  <c r="CU22"/>
  <c r="CT22"/>
  <c r="CS22"/>
  <c r="CR22"/>
  <c r="CQ22"/>
  <c r="CP22"/>
  <c r="CO22"/>
  <c r="BG22"/>
  <c r="BA22"/>
  <c r="AM22"/>
  <c r="Q22"/>
  <c r="R22" s="1"/>
  <c r="P22"/>
  <c r="O22"/>
  <c r="N22"/>
  <c r="K22"/>
  <c r="J22"/>
  <c r="DD22" s="1"/>
  <c r="DG22" s="1"/>
  <c r="DH22" s="1"/>
  <c r="I22"/>
  <c r="E22"/>
  <c r="C22"/>
  <c r="CY21"/>
  <c r="CX21"/>
  <c r="CW21"/>
  <c r="CV21"/>
  <c r="CU21"/>
  <c r="CT21"/>
  <c r="CS21"/>
  <c r="CR21"/>
  <c r="CQ21"/>
  <c r="CP21"/>
  <c r="CO21"/>
  <c r="BG21"/>
  <c r="BA21"/>
  <c r="AY21"/>
  <c r="BI21" s="1"/>
  <c r="AN21"/>
  <c r="AM21"/>
  <c r="AI21"/>
  <c r="Q21"/>
  <c r="R21" s="1"/>
  <c r="P21"/>
  <c r="O21"/>
  <c r="N21"/>
  <c r="K21"/>
  <c r="J21"/>
  <c r="DD21" s="1"/>
  <c r="DG21" s="1"/>
  <c r="DH21" s="1"/>
  <c r="I21"/>
  <c r="H21"/>
  <c r="E21"/>
  <c r="C21"/>
  <c r="CY20"/>
  <c r="CX20"/>
  <c r="CW20"/>
  <c r="CV20"/>
  <c r="CU20"/>
  <c r="CT20"/>
  <c r="CS20"/>
  <c r="CR20"/>
  <c r="CQ20"/>
  <c r="CP20"/>
  <c r="CO20"/>
  <c r="BG20"/>
  <c r="BA20"/>
  <c r="AY20"/>
  <c r="BI20" s="1"/>
  <c r="AN20"/>
  <c r="AM20"/>
  <c r="AI20"/>
  <c r="Q20"/>
  <c r="R20" s="1"/>
  <c r="P20"/>
  <c r="O20"/>
  <c r="N20"/>
  <c r="K20"/>
  <c r="J20"/>
  <c r="DD20" s="1"/>
  <c r="DG20" s="1"/>
  <c r="DH20" s="1"/>
  <c r="I20"/>
  <c r="H20"/>
  <c r="E20"/>
  <c r="C20"/>
  <c r="CY19"/>
  <c r="CX19"/>
  <c r="CW19"/>
  <c r="CV19"/>
  <c r="CU19"/>
  <c r="CT19"/>
  <c r="CS19"/>
  <c r="CR19"/>
  <c r="CQ19"/>
  <c r="CP19"/>
  <c r="CO19"/>
  <c r="BG19"/>
  <c r="BA19"/>
  <c r="AY19"/>
  <c r="BI19" s="1"/>
  <c r="AN19"/>
  <c r="AM19"/>
  <c r="AI19"/>
  <c r="Q19"/>
  <c r="R19" s="1"/>
  <c r="P19"/>
  <c r="O19"/>
  <c r="N19"/>
  <c r="K19"/>
  <c r="J19"/>
  <c r="DD19" s="1"/>
  <c r="DG19" s="1"/>
  <c r="DH19" s="1"/>
  <c r="I19"/>
  <c r="H19"/>
  <c r="E19"/>
  <c r="C19"/>
  <c r="CY18"/>
  <c r="CX18"/>
  <c r="CW18"/>
  <c r="CV18"/>
  <c r="CU18"/>
  <c r="CT18"/>
  <c r="CS18"/>
  <c r="CR18"/>
  <c r="CQ18"/>
  <c r="CP18"/>
  <c r="CO18"/>
  <c r="BG18"/>
  <c r="BA18"/>
  <c r="AY18"/>
  <c r="BI18" s="1"/>
  <c r="AN18"/>
  <c r="AM18"/>
  <c r="AI18"/>
  <c r="Q18"/>
  <c r="R18" s="1"/>
  <c r="P18"/>
  <c r="O18"/>
  <c r="N18"/>
  <c r="K18"/>
  <c r="J18"/>
  <c r="DD18" s="1"/>
  <c r="DG18" s="1"/>
  <c r="DH18" s="1"/>
  <c r="I18"/>
  <c r="H18"/>
  <c r="E18"/>
  <c r="C18"/>
  <c r="DH17"/>
  <c r="CY17"/>
  <c r="CX17"/>
  <c r="CW17"/>
  <c r="CV17"/>
  <c r="CU17"/>
  <c r="CT17"/>
  <c r="CS17"/>
  <c r="CR17"/>
  <c r="CQ17"/>
  <c r="CP17"/>
  <c r="CO17"/>
  <c r="BG17"/>
  <c r="BA17"/>
  <c r="AZ17"/>
  <c r="AM17"/>
  <c r="AY17" s="1"/>
  <c r="Q17"/>
  <c r="P17"/>
  <c r="O17"/>
  <c r="N17"/>
  <c r="K17"/>
  <c r="J17"/>
  <c r="DD17" s="1"/>
  <c r="DG17" s="1"/>
  <c r="I17"/>
  <c r="DH16"/>
  <c r="CY16"/>
  <c r="CX16"/>
  <c r="CW16"/>
  <c r="CV16"/>
  <c r="CU16"/>
  <c r="CT16"/>
  <c r="CS16"/>
  <c r="CR16"/>
  <c r="CQ16"/>
  <c r="CP16"/>
  <c r="CO16"/>
  <c r="BG16"/>
  <c r="BA16"/>
  <c r="AZ16"/>
  <c r="AY16"/>
  <c r="BB16" s="1"/>
  <c r="AN16"/>
  <c r="AM16"/>
  <c r="AI16"/>
  <c r="U16"/>
  <c r="Q16"/>
  <c r="R16" s="1"/>
  <c r="P16"/>
  <c r="O16"/>
  <c r="N16"/>
  <c r="K16"/>
  <c r="J16"/>
  <c r="DD16" s="1"/>
  <c r="DG16" s="1"/>
  <c r="I16"/>
  <c r="H16"/>
  <c r="E16"/>
  <c r="C16"/>
  <c r="DH15"/>
  <c r="AZ15" s="1"/>
  <c r="CY15"/>
  <c r="CX15"/>
  <c r="CW15"/>
  <c r="CV15"/>
  <c r="CU15"/>
  <c r="CT15"/>
  <c r="CS15"/>
  <c r="CR15"/>
  <c r="CQ15"/>
  <c r="CP15"/>
  <c r="CO15"/>
  <c r="BG15"/>
  <c r="BA15"/>
  <c r="AM15"/>
  <c r="AY15" s="1"/>
  <c r="Q15"/>
  <c r="P15"/>
  <c r="O15"/>
  <c r="N15"/>
  <c r="K15"/>
  <c r="J15"/>
  <c r="DD15" s="1"/>
  <c r="DG15" s="1"/>
  <c r="I15"/>
  <c r="CY14"/>
  <c r="CX14"/>
  <c r="CW14"/>
  <c r="CV14"/>
  <c r="CU14"/>
  <c r="CT14"/>
  <c r="CS14"/>
  <c r="CR14"/>
  <c r="CQ14"/>
  <c r="CP14"/>
  <c r="CO14"/>
  <c r="BG14"/>
  <c r="BA14"/>
  <c r="AM14"/>
  <c r="AY14" s="1"/>
  <c r="Q14"/>
  <c r="P14"/>
  <c r="O14"/>
  <c r="N14"/>
  <c r="K14"/>
  <c r="J14"/>
  <c r="DD14" s="1"/>
  <c r="DG14" s="1"/>
  <c r="DH14" s="1"/>
  <c r="I14"/>
  <c r="CY13"/>
  <c r="CX13"/>
  <c r="CW13"/>
  <c r="CV13"/>
  <c r="CU13"/>
  <c r="CT13"/>
  <c r="CS13"/>
  <c r="CR13"/>
  <c r="CQ13"/>
  <c r="CP13"/>
  <c r="CO13"/>
  <c r="BG13"/>
  <c r="BA13"/>
  <c r="AM13"/>
  <c r="AY13" s="1"/>
  <c r="Q13"/>
  <c r="P13"/>
  <c r="O13"/>
  <c r="N13"/>
  <c r="K13"/>
  <c r="J13"/>
  <c r="DD13" s="1"/>
  <c r="DG13" s="1"/>
  <c r="DH13" s="1"/>
  <c r="I13"/>
  <c r="CY12"/>
  <c r="CX12"/>
  <c r="CW12"/>
  <c r="CV12"/>
  <c r="CU12"/>
  <c r="CT12"/>
  <c r="CS12"/>
  <c r="CR12"/>
  <c r="CQ12"/>
  <c r="CP12"/>
  <c r="CO12"/>
  <c r="BG12"/>
  <c r="BA12"/>
  <c r="AM12"/>
  <c r="AY12" s="1"/>
  <c r="Q12"/>
  <c r="P12"/>
  <c r="O12"/>
  <c r="N12"/>
  <c r="K12"/>
  <c r="J12"/>
  <c r="DD12" s="1"/>
  <c r="DG12" s="1"/>
  <c r="DH12" s="1"/>
  <c r="I12"/>
  <c r="CY11"/>
  <c r="CX11"/>
  <c r="CW11"/>
  <c r="CV11"/>
  <c r="CU11"/>
  <c r="CT11"/>
  <c r="CS11"/>
  <c r="CR11"/>
  <c r="CQ11"/>
  <c r="CP11"/>
  <c r="CO11"/>
  <c r="BG11"/>
  <c r="BA11"/>
  <c r="AM11"/>
  <c r="AY11" s="1"/>
  <c r="Q11"/>
  <c r="P11"/>
  <c r="O11"/>
  <c r="N11"/>
  <c r="K11"/>
  <c r="J11"/>
  <c r="DD11" s="1"/>
  <c r="DG11" s="1"/>
  <c r="DH11" s="1"/>
  <c r="I11"/>
  <c r="CY10"/>
  <c r="CX10"/>
  <c r="CW10"/>
  <c r="CV10"/>
  <c r="CU10"/>
  <c r="CT10"/>
  <c r="CS10"/>
  <c r="CR10"/>
  <c r="CQ10"/>
  <c r="CP10"/>
  <c r="CO10"/>
  <c r="BG10"/>
  <c r="BA10"/>
  <c r="AM10"/>
  <c r="AY10" s="1"/>
  <c r="Q10"/>
  <c r="P10"/>
  <c r="O10"/>
  <c r="N10"/>
  <c r="K10"/>
  <c r="J10"/>
  <c r="DD10" s="1"/>
  <c r="DG10" s="1"/>
  <c r="DH10" s="1"/>
  <c r="I10"/>
  <c r="CY9"/>
  <c r="CX9"/>
  <c r="CW9"/>
  <c r="CV9"/>
  <c r="CU9"/>
  <c r="CT9"/>
  <c r="CS9"/>
  <c r="CR9"/>
  <c r="CQ9"/>
  <c r="CP9"/>
  <c r="CO9"/>
  <c r="BG9"/>
  <c r="BA9"/>
  <c r="AM9"/>
  <c r="AY9" s="1"/>
  <c r="Q9"/>
  <c r="P9"/>
  <c r="O9"/>
  <c r="N9"/>
  <c r="K9"/>
  <c r="J9"/>
  <c r="DD9" s="1"/>
  <c r="DG9" s="1"/>
  <c r="DH9" s="1"/>
  <c r="I9"/>
  <c r="CY8"/>
  <c r="CX8"/>
  <c r="CW8"/>
  <c r="CV8"/>
  <c r="CU8"/>
  <c r="CT8"/>
  <c r="CS8"/>
  <c r="CR8"/>
  <c r="CQ8"/>
  <c r="CP8"/>
  <c r="CO8"/>
  <c r="BG8"/>
  <c r="BA8"/>
  <c r="AM8"/>
  <c r="AY8" s="1"/>
  <c r="Q8"/>
  <c r="P8"/>
  <c r="O8"/>
  <c r="N8"/>
  <c r="K8"/>
  <c r="J8"/>
  <c r="DD8" s="1"/>
  <c r="DG8" s="1"/>
  <c r="DH8" s="1"/>
  <c r="I8"/>
  <c r="E8"/>
  <c r="CY7"/>
  <c r="CY38" s="1"/>
  <c r="CX7"/>
  <c r="CX38" s="1"/>
  <c r="CW7"/>
  <c r="CW38" s="1"/>
  <c r="CV7"/>
  <c r="CV38" s="1"/>
  <c r="CU7"/>
  <c r="CU38" s="1"/>
  <c r="CT7"/>
  <c r="CT38" s="1"/>
  <c r="CS7"/>
  <c r="CS38" s="1"/>
  <c r="CQ7"/>
  <c r="CQ38" s="1"/>
  <c r="CP7"/>
  <c r="CP38" s="1"/>
  <c r="CO7"/>
  <c r="CO38" s="1"/>
  <c r="BG7"/>
  <c r="BA7"/>
  <c r="BA38" s="1"/>
  <c r="AM7"/>
  <c r="Q7"/>
  <c r="P7"/>
  <c r="P38" s="1"/>
  <c r="P39" s="1"/>
  <c r="O7"/>
  <c r="N7"/>
  <c r="N38" s="1"/>
  <c r="N39" s="1"/>
  <c r="K7"/>
  <c r="J7"/>
  <c r="J38" s="1"/>
  <c r="I7"/>
  <c r="AM36" i="92"/>
  <c r="I38" i="96" l="1"/>
  <c r="I39" s="1"/>
  <c r="I41" s="1"/>
  <c r="K38"/>
  <c r="K39" s="1"/>
  <c r="O38"/>
  <c r="O39" s="1"/>
  <c r="E37" i="93"/>
  <c r="BD60" i="96"/>
  <c r="C37" i="93"/>
  <c r="D37" s="1"/>
  <c r="T37"/>
  <c r="DB37" s="1"/>
  <c r="BB37"/>
  <c r="BD37" s="1"/>
  <c r="H37"/>
  <c r="AI37"/>
  <c r="AX37"/>
  <c r="BJ37"/>
  <c r="BF37"/>
  <c r="BH37"/>
  <c r="T25" i="96"/>
  <c r="T18"/>
  <c r="DB18" s="1"/>
  <c r="T19"/>
  <c r="U19" s="1"/>
  <c r="T20"/>
  <c r="DB20" s="1"/>
  <c r="T21"/>
  <c r="U21" s="1"/>
  <c r="T23"/>
  <c r="T29"/>
  <c r="DB29" s="1"/>
  <c r="T31"/>
  <c r="DB31" s="1"/>
  <c r="T33"/>
  <c r="DB33" s="1"/>
  <c r="T35"/>
  <c r="DB35" s="1"/>
  <c r="T16"/>
  <c r="DB16" s="1"/>
  <c r="T22"/>
  <c r="T28"/>
  <c r="DB28" s="1"/>
  <c r="T30"/>
  <c r="DB30" s="1"/>
  <c r="T32"/>
  <c r="DB32" s="1"/>
  <c r="T34"/>
  <c r="DB34" s="1"/>
  <c r="T36"/>
  <c r="DB36" s="1"/>
  <c r="R37"/>
  <c r="T37" s="1"/>
  <c r="CO39"/>
  <c r="D16"/>
  <c r="BC16" s="1"/>
  <c r="BN38"/>
  <c r="CB39" s="1"/>
  <c r="CR38"/>
  <c r="CQ39" s="1"/>
  <c r="D18"/>
  <c r="D19"/>
  <c r="DA19" s="1"/>
  <c r="D20"/>
  <c r="D21"/>
  <c r="DA21" s="1"/>
  <c r="D22"/>
  <c r="D28"/>
  <c r="DA28" s="1"/>
  <c r="D29"/>
  <c r="D30"/>
  <c r="DA30" s="1"/>
  <c r="D31"/>
  <c r="D32"/>
  <c r="DA32" s="1"/>
  <c r="D33"/>
  <c r="D34"/>
  <c r="DA34" s="1"/>
  <c r="D35"/>
  <c r="D36"/>
  <c r="DA36" s="1"/>
  <c r="D37"/>
  <c r="AM38"/>
  <c r="AY7"/>
  <c r="AN7"/>
  <c r="Q38"/>
  <c r="R7"/>
  <c r="BI8"/>
  <c r="BB8"/>
  <c r="BD8" s="1"/>
  <c r="AX8"/>
  <c r="AI8"/>
  <c r="H8"/>
  <c r="AF8"/>
  <c r="M8"/>
  <c r="BI10"/>
  <c r="BB10"/>
  <c r="BD10" s="1"/>
  <c r="AX10"/>
  <c r="AF10"/>
  <c r="M10"/>
  <c r="AI10"/>
  <c r="H10"/>
  <c r="BI12"/>
  <c r="BB12"/>
  <c r="BD12" s="1"/>
  <c r="AX12"/>
  <c r="AF12"/>
  <c r="M12"/>
  <c r="AI12"/>
  <c r="H12"/>
  <c r="BI14"/>
  <c r="BB14"/>
  <c r="BD14" s="1"/>
  <c r="AX14"/>
  <c r="AF14"/>
  <c r="M14"/>
  <c r="AI14"/>
  <c r="H14"/>
  <c r="DA16"/>
  <c r="BB17"/>
  <c r="BD17" s="1"/>
  <c r="AX17"/>
  <c r="AF17"/>
  <c r="M17"/>
  <c r="F17"/>
  <c r="AI17"/>
  <c r="U17"/>
  <c r="H17"/>
  <c r="U18"/>
  <c r="U20"/>
  <c r="B38"/>
  <c r="B39" s="1"/>
  <c r="E7"/>
  <c r="C7"/>
  <c r="D7" s="1"/>
  <c r="BH7"/>
  <c r="BI9"/>
  <c r="BB9"/>
  <c r="BD9" s="1"/>
  <c r="AX9"/>
  <c r="AF9"/>
  <c r="M9"/>
  <c r="AI9"/>
  <c r="H9"/>
  <c r="BI11"/>
  <c r="BB11"/>
  <c r="BD11" s="1"/>
  <c r="AX11"/>
  <c r="AF11"/>
  <c r="M11"/>
  <c r="AI11"/>
  <c r="H11"/>
  <c r="BI13"/>
  <c r="BB13"/>
  <c r="BD13" s="1"/>
  <c r="AX13"/>
  <c r="AF13"/>
  <c r="M13"/>
  <c r="AI13"/>
  <c r="H13"/>
  <c r="BB15"/>
  <c r="BD15" s="1"/>
  <c r="AX15"/>
  <c r="AF15"/>
  <c r="M15"/>
  <c r="F15"/>
  <c r="AI15"/>
  <c r="U15"/>
  <c r="H15"/>
  <c r="DA18"/>
  <c r="BC18"/>
  <c r="AZ18"/>
  <c r="BC19"/>
  <c r="DA20"/>
  <c r="BC20"/>
  <c r="AZ20"/>
  <c r="BC21"/>
  <c r="AZ22"/>
  <c r="BD16"/>
  <c r="J39"/>
  <c r="AY22"/>
  <c r="BC22" s="1"/>
  <c r="AN22"/>
  <c r="E24"/>
  <c r="C24"/>
  <c r="D24" s="1"/>
  <c r="AY24"/>
  <c r="AN24"/>
  <c r="E26"/>
  <c r="C26"/>
  <c r="D26" s="1"/>
  <c r="U30"/>
  <c r="U31"/>
  <c r="U34"/>
  <c r="U35"/>
  <c r="CV39"/>
  <c r="DD7"/>
  <c r="C8"/>
  <c r="D8" s="1"/>
  <c r="R8"/>
  <c r="T8" s="1"/>
  <c r="AN8"/>
  <c r="BH8"/>
  <c r="BH9" s="1"/>
  <c r="BH10" s="1"/>
  <c r="BH11" s="1"/>
  <c r="BH12" s="1"/>
  <c r="BH13" s="1"/>
  <c r="BH14" s="1"/>
  <c r="BH15" s="1"/>
  <c r="BH16" s="1"/>
  <c r="BH17" s="1"/>
  <c r="BH18" s="1"/>
  <c r="BH19" s="1"/>
  <c r="BH20" s="1"/>
  <c r="BH21" s="1"/>
  <c r="BH22" s="1"/>
  <c r="BH23" s="1"/>
  <c r="BH24" s="1"/>
  <c r="BH25" s="1"/>
  <c r="BH26" s="1"/>
  <c r="BH27" s="1"/>
  <c r="BH28" s="1"/>
  <c r="BH29" s="1"/>
  <c r="BH30" s="1"/>
  <c r="BH31" s="1"/>
  <c r="BH32" s="1"/>
  <c r="BH33" s="1"/>
  <c r="BH34" s="1"/>
  <c r="BH35" s="1"/>
  <c r="BH36" s="1"/>
  <c r="BH37" s="1"/>
  <c r="C9"/>
  <c r="D9" s="1"/>
  <c r="E9"/>
  <c r="R9"/>
  <c r="T9" s="1"/>
  <c r="AN9"/>
  <c r="C10"/>
  <c r="D10" s="1"/>
  <c r="E10"/>
  <c r="R10"/>
  <c r="T10" s="1"/>
  <c r="AN10"/>
  <c r="C11"/>
  <c r="D11" s="1"/>
  <c r="E11"/>
  <c r="R11"/>
  <c r="T11" s="1"/>
  <c r="AN11"/>
  <c r="C12"/>
  <c r="D12" s="1"/>
  <c r="E12"/>
  <c r="R12"/>
  <c r="T12" s="1"/>
  <c r="AN12"/>
  <c r="C13"/>
  <c r="D13" s="1"/>
  <c r="E13"/>
  <c r="R13"/>
  <c r="T13" s="1"/>
  <c r="AN13"/>
  <c r="C14"/>
  <c r="D14" s="1"/>
  <c r="E14"/>
  <c r="R14"/>
  <c r="T14" s="1"/>
  <c r="AN14"/>
  <c r="C15"/>
  <c r="D15" s="1"/>
  <c r="E15"/>
  <c r="R15"/>
  <c r="T15" s="1"/>
  <c r="DB15" s="1"/>
  <c r="AN15"/>
  <c r="F16"/>
  <c r="M16"/>
  <c r="AF16"/>
  <c r="AX16"/>
  <c r="C17"/>
  <c r="D17" s="1"/>
  <c r="E17"/>
  <c r="R17"/>
  <c r="T17" s="1"/>
  <c r="DB17" s="1"/>
  <c r="AN17"/>
  <c r="F18"/>
  <c r="M18"/>
  <c r="AF18"/>
  <c r="AX18"/>
  <c r="BB18"/>
  <c r="BD18" s="1"/>
  <c r="F19"/>
  <c r="M19"/>
  <c r="AF19"/>
  <c r="AX19"/>
  <c r="BB19"/>
  <c r="BD19" s="1"/>
  <c r="F20"/>
  <c r="M20"/>
  <c r="AF20"/>
  <c r="AX20"/>
  <c r="BB20"/>
  <c r="BD20" s="1"/>
  <c r="F21"/>
  <c r="M21"/>
  <c r="AF21"/>
  <c r="AX21"/>
  <c r="BB21"/>
  <c r="BD21" s="1"/>
  <c r="T24"/>
  <c r="DB24" s="1"/>
  <c r="T26"/>
  <c r="DB26" s="1"/>
  <c r="D27"/>
  <c r="E23"/>
  <c r="C23"/>
  <c r="D23" s="1"/>
  <c r="AY23"/>
  <c r="DB23" s="1"/>
  <c r="AN23"/>
  <c r="E25"/>
  <c r="C25"/>
  <c r="D25" s="1"/>
  <c r="AY25"/>
  <c r="AN25"/>
  <c r="BI26"/>
  <c r="BB26"/>
  <c r="BD26" s="1"/>
  <c r="AX26"/>
  <c r="AI26"/>
  <c r="U26"/>
  <c r="H26"/>
  <c r="BI27"/>
  <c r="BB27"/>
  <c r="BD27" s="1"/>
  <c r="AX27"/>
  <c r="AF27"/>
  <c r="M27"/>
  <c r="F27"/>
  <c r="AZ28"/>
  <c r="BC28"/>
  <c r="AZ29"/>
  <c r="DA29"/>
  <c r="BC29"/>
  <c r="AZ30"/>
  <c r="BC30"/>
  <c r="AZ31"/>
  <c r="DA31"/>
  <c r="BC31"/>
  <c r="AZ32"/>
  <c r="BC32"/>
  <c r="AZ33"/>
  <c r="DA33"/>
  <c r="BC33"/>
  <c r="AZ34"/>
  <c r="BC34"/>
  <c r="AZ35"/>
  <c r="DA35"/>
  <c r="BC35"/>
  <c r="AZ36"/>
  <c r="BC36"/>
  <c r="DA37"/>
  <c r="BC37"/>
  <c r="F37"/>
  <c r="AZ37"/>
  <c r="T27"/>
  <c r="AT39"/>
  <c r="BS39"/>
  <c r="BW39"/>
  <c r="BY39"/>
  <c r="CA39"/>
  <c r="CC39"/>
  <c r="CE39"/>
  <c r="L46"/>
  <c r="F28"/>
  <c r="M28"/>
  <c r="AF28"/>
  <c r="AX28"/>
  <c r="BB28"/>
  <c r="BD28" s="1"/>
  <c r="F29"/>
  <c r="M29"/>
  <c r="AF29"/>
  <c r="AX29"/>
  <c r="BB29"/>
  <c r="BD29" s="1"/>
  <c r="F30"/>
  <c r="M30"/>
  <c r="AF30"/>
  <c r="AX30"/>
  <c r="BB30"/>
  <c r="BD30" s="1"/>
  <c r="F31"/>
  <c r="M31"/>
  <c r="AF31"/>
  <c r="AX31"/>
  <c r="BB31"/>
  <c r="BD31" s="1"/>
  <c r="F32"/>
  <c r="M32"/>
  <c r="AF32"/>
  <c r="AX32"/>
  <c r="BB32"/>
  <c r="BD32" s="1"/>
  <c r="F33"/>
  <c r="M33"/>
  <c r="AF33"/>
  <c r="AX33"/>
  <c r="BB33"/>
  <c r="BD33" s="1"/>
  <c r="F34"/>
  <c r="M34"/>
  <c r="AF34"/>
  <c r="AX34"/>
  <c r="BB34"/>
  <c r="BD34" s="1"/>
  <c r="F35"/>
  <c r="M35"/>
  <c r="AF35"/>
  <c r="AX35"/>
  <c r="BB35"/>
  <c r="BD35" s="1"/>
  <c r="F36"/>
  <c r="M36"/>
  <c r="AF36"/>
  <c r="AX36"/>
  <c r="BB36"/>
  <c r="BD36" s="1"/>
  <c r="CY36" i="93"/>
  <c r="CX36"/>
  <c r="CW36"/>
  <c r="CV36"/>
  <c r="CU36"/>
  <c r="CT36"/>
  <c r="CS36"/>
  <c r="CR36"/>
  <c r="CQ36"/>
  <c r="CP36"/>
  <c r="CO36"/>
  <c r="BG36"/>
  <c r="BA36"/>
  <c r="AY36"/>
  <c r="Q36"/>
  <c r="R36" s="1"/>
  <c r="P36"/>
  <c r="O36"/>
  <c r="N36"/>
  <c r="L36"/>
  <c r="K36"/>
  <c r="J36"/>
  <c r="DD36" s="1"/>
  <c r="DG36" s="1"/>
  <c r="DH36" s="1"/>
  <c r="I36"/>
  <c r="B36"/>
  <c r="E36" s="1"/>
  <c r="U29" i="96" l="1"/>
  <c r="U37" i="93"/>
  <c r="U33" i="96"/>
  <c r="DB21"/>
  <c r="AZ37" i="93"/>
  <c r="DA37"/>
  <c r="F37"/>
  <c r="DB25" i="96"/>
  <c r="U36"/>
  <c r="U32"/>
  <c r="U28"/>
  <c r="DB19"/>
  <c r="BC37" i="93"/>
  <c r="U37" i="96"/>
  <c r="DB37"/>
  <c r="CO40"/>
  <c r="AZ21"/>
  <c r="AZ19"/>
  <c r="E39"/>
  <c r="BU39"/>
  <c r="C39" s="1"/>
  <c r="DA25"/>
  <c r="BC25"/>
  <c r="AZ25"/>
  <c r="DA23"/>
  <c r="BC23"/>
  <c r="AZ23"/>
  <c r="DA17"/>
  <c r="BC17"/>
  <c r="DA15"/>
  <c r="BC15"/>
  <c r="DB14"/>
  <c r="U14"/>
  <c r="AZ14"/>
  <c r="DA14"/>
  <c r="BC14"/>
  <c r="F14"/>
  <c r="DB13"/>
  <c r="U13"/>
  <c r="AZ13"/>
  <c r="DA13"/>
  <c r="BC13"/>
  <c r="F13"/>
  <c r="DB12"/>
  <c r="U12"/>
  <c r="AZ12"/>
  <c r="DA12"/>
  <c r="BC12"/>
  <c r="F12"/>
  <c r="DB11"/>
  <c r="U11"/>
  <c r="AZ11"/>
  <c r="DA11"/>
  <c r="BC11"/>
  <c r="F11"/>
  <c r="DB10"/>
  <c r="U10"/>
  <c r="AZ10"/>
  <c r="DA10"/>
  <c r="BC10"/>
  <c r="F10"/>
  <c r="DB9"/>
  <c r="U9"/>
  <c r="AZ9"/>
  <c r="DA9"/>
  <c r="BC9"/>
  <c r="F9"/>
  <c r="DB8"/>
  <c r="U8"/>
  <c r="D38"/>
  <c r="DA7"/>
  <c r="BC7"/>
  <c r="DB27"/>
  <c r="U27"/>
  <c r="AZ26"/>
  <c r="DA26"/>
  <c r="BC26"/>
  <c r="DA24"/>
  <c r="BC24"/>
  <c r="AZ24"/>
  <c r="R38"/>
  <c r="Q39"/>
  <c r="AB39"/>
  <c r="AY38"/>
  <c r="X39"/>
  <c r="BF7"/>
  <c r="BF8" s="1"/>
  <c r="BF9" s="1"/>
  <c r="BF10" s="1"/>
  <c r="BF11" s="1"/>
  <c r="BF12" s="1"/>
  <c r="BF13" s="1"/>
  <c r="BF14" s="1"/>
  <c r="BF15" s="1"/>
  <c r="BF16" s="1"/>
  <c r="BF17" s="1"/>
  <c r="BF18" s="1"/>
  <c r="BF19" s="1"/>
  <c r="BF20" s="1"/>
  <c r="BF21" s="1"/>
  <c r="BF22" s="1"/>
  <c r="BF23" s="1"/>
  <c r="BF24" s="1"/>
  <c r="BF25" s="1"/>
  <c r="BF26" s="1"/>
  <c r="BF27" s="1"/>
  <c r="BF28" s="1"/>
  <c r="BF29" s="1"/>
  <c r="BF30" s="1"/>
  <c r="BF31" s="1"/>
  <c r="BF32" s="1"/>
  <c r="BF33" s="1"/>
  <c r="BF34" s="1"/>
  <c r="BF35" s="1"/>
  <c r="BF36" s="1"/>
  <c r="BF37" s="1"/>
  <c r="AI7"/>
  <c r="H7"/>
  <c r="BI7"/>
  <c r="AX7"/>
  <c r="AF7"/>
  <c r="M7"/>
  <c r="BB7"/>
  <c r="F7"/>
  <c r="DB22"/>
  <c r="F26"/>
  <c r="AI25"/>
  <c r="U25"/>
  <c r="H25"/>
  <c r="BB25"/>
  <c r="BD25" s="1"/>
  <c r="F25"/>
  <c r="BI25"/>
  <c r="AX25"/>
  <c r="AF25"/>
  <c r="M25"/>
  <c r="AI23"/>
  <c r="U23"/>
  <c r="H23"/>
  <c r="BB23"/>
  <c r="BD23" s="1"/>
  <c r="F23"/>
  <c r="BI23"/>
  <c r="AX23"/>
  <c r="AF23"/>
  <c r="M23"/>
  <c r="AZ27"/>
  <c r="DA27"/>
  <c r="BC27"/>
  <c r="DD38"/>
  <c r="DF38" s="1"/>
  <c r="DG7"/>
  <c r="AZ8"/>
  <c r="DA8"/>
  <c r="BC8"/>
  <c r="AI24"/>
  <c r="U24"/>
  <c r="H24"/>
  <c r="BI24"/>
  <c r="AX24"/>
  <c r="AF24"/>
  <c r="M24"/>
  <c r="BB24"/>
  <c r="BD24" s="1"/>
  <c r="F24"/>
  <c r="AI22"/>
  <c r="U22"/>
  <c r="BI22"/>
  <c r="AX22"/>
  <c r="AF22"/>
  <c r="H22"/>
  <c r="BB22"/>
  <c r="BD22" s="1"/>
  <c r="M22"/>
  <c r="F22"/>
  <c r="R39"/>
  <c r="R41" s="1"/>
  <c r="T7"/>
  <c r="AM44"/>
  <c r="AM39"/>
  <c r="AN39" s="1"/>
  <c r="DA22"/>
  <c r="F8"/>
  <c r="BI36" i="93"/>
  <c r="AI36"/>
  <c r="H36"/>
  <c r="BB36"/>
  <c r="BD36" s="1"/>
  <c r="AX36"/>
  <c r="AF36"/>
  <c r="M36"/>
  <c r="T36"/>
  <c r="DB36" s="1"/>
  <c r="C36"/>
  <c r="D36" s="1"/>
  <c r="AN36"/>
  <c r="BH36"/>
  <c r="CY35"/>
  <c r="CX35"/>
  <c r="CW35"/>
  <c r="CV35"/>
  <c r="CU35"/>
  <c r="CT35"/>
  <c r="CS35"/>
  <c r="CR35"/>
  <c r="CQ35"/>
  <c r="CP35"/>
  <c r="CO35"/>
  <c r="BG35"/>
  <c r="BA35"/>
  <c r="AY35"/>
  <c r="Q35"/>
  <c r="P35"/>
  <c r="O35"/>
  <c r="N35"/>
  <c r="L35"/>
  <c r="K35"/>
  <c r="J35"/>
  <c r="DD35" s="1"/>
  <c r="DG35" s="1"/>
  <c r="DH35" s="1"/>
  <c r="I35"/>
  <c r="B35"/>
  <c r="CY34"/>
  <c r="CX34"/>
  <c r="CW34"/>
  <c r="CV34"/>
  <c r="CU34"/>
  <c r="CT34"/>
  <c r="CS34"/>
  <c r="CR34"/>
  <c r="CQ34"/>
  <c r="CP34"/>
  <c r="CO34"/>
  <c r="BG34"/>
  <c r="BA34"/>
  <c r="AY34"/>
  <c r="Q34"/>
  <c r="P34"/>
  <c r="O34"/>
  <c r="N34"/>
  <c r="L34"/>
  <c r="K34"/>
  <c r="J34"/>
  <c r="DD34" s="1"/>
  <c r="DG34" s="1"/>
  <c r="DH34" s="1"/>
  <c r="I34"/>
  <c r="B34"/>
  <c r="E34" s="1"/>
  <c r="CY33"/>
  <c r="CX33"/>
  <c r="CW33"/>
  <c r="CV33"/>
  <c r="CU33"/>
  <c r="CT33"/>
  <c r="CS33"/>
  <c r="CR33"/>
  <c r="CQ33"/>
  <c r="CP33"/>
  <c r="CO33"/>
  <c r="BG33"/>
  <c r="BA33"/>
  <c r="AY33"/>
  <c r="Q33"/>
  <c r="P33"/>
  <c r="O33"/>
  <c r="N33"/>
  <c r="L33"/>
  <c r="K33"/>
  <c r="J33"/>
  <c r="DD33" s="1"/>
  <c r="DG33" s="1"/>
  <c r="DH33" s="1"/>
  <c r="I33"/>
  <c r="B33"/>
  <c r="CY32"/>
  <c r="CX32"/>
  <c r="CW32"/>
  <c r="CV32"/>
  <c r="CU32"/>
  <c r="CT32"/>
  <c r="CS32"/>
  <c r="CR32"/>
  <c r="CQ32"/>
  <c r="CP32"/>
  <c r="CO32"/>
  <c r="BG32"/>
  <c r="BA32"/>
  <c r="AY32"/>
  <c r="Q32"/>
  <c r="P32"/>
  <c r="O32"/>
  <c r="N32"/>
  <c r="L32"/>
  <c r="K32"/>
  <c r="J32"/>
  <c r="DD32" s="1"/>
  <c r="DG32" s="1"/>
  <c r="DH32" s="1"/>
  <c r="I32"/>
  <c r="B32"/>
  <c r="CY31"/>
  <c r="CX31"/>
  <c r="CW31"/>
  <c r="CV31"/>
  <c r="CU31"/>
  <c r="CT31"/>
  <c r="CS31"/>
  <c r="CR31"/>
  <c r="CQ31"/>
  <c r="CP31"/>
  <c r="CO31"/>
  <c r="BG31"/>
  <c r="BA31"/>
  <c r="AY31"/>
  <c r="Q31"/>
  <c r="P31"/>
  <c r="O31"/>
  <c r="N31"/>
  <c r="L31"/>
  <c r="K31"/>
  <c r="J31"/>
  <c r="DD31" s="1"/>
  <c r="DG31" s="1"/>
  <c r="DH31" s="1"/>
  <c r="I31"/>
  <c r="B31"/>
  <c r="CY30"/>
  <c r="CX30"/>
  <c r="CW30"/>
  <c r="CV30"/>
  <c r="CU30"/>
  <c r="CT30"/>
  <c r="CS30"/>
  <c r="CR30"/>
  <c r="CQ30"/>
  <c r="CP30"/>
  <c r="CO30"/>
  <c r="BG30"/>
  <c r="BA30"/>
  <c r="AY30"/>
  <c r="Q30"/>
  <c r="P30"/>
  <c r="O30"/>
  <c r="N30"/>
  <c r="L30"/>
  <c r="K30"/>
  <c r="J30"/>
  <c r="DD30" s="1"/>
  <c r="DG30" s="1"/>
  <c r="DH30" s="1"/>
  <c r="I30"/>
  <c r="B30"/>
  <c r="E30" s="1"/>
  <c r="CY29"/>
  <c r="CX29"/>
  <c r="CW29"/>
  <c r="CV29"/>
  <c r="CU29"/>
  <c r="CT29"/>
  <c r="CS29"/>
  <c r="CR29"/>
  <c r="CQ29"/>
  <c r="CP29"/>
  <c r="CO29"/>
  <c r="BG29"/>
  <c r="BA29"/>
  <c r="AY29"/>
  <c r="Q29"/>
  <c r="R29" s="1"/>
  <c r="P29"/>
  <c r="O29"/>
  <c r="N29"/>
  <c r="L29"/>
  <c r="K29"/>
  <c r="J29"/>
  <c r="DD29" s="1"/>
  <c r="DG29" s="1"/>
  <c r="DH29" s="1"/>
  <c r="I29"/>
  <c r="B29"/>
  <c r="E29" s="1"/>
  <c r="CY28"/>
  <c r="CX28"/>
  <c r="CW28"/>
  <c r="CV28"/>
  <c r="CU28"/>
  <c r="CT28"/>
  <c r="CS28"/>
  <c r="CR28"/>
  <c r="CQ28"/>
  <c r="CP28"/>
  <c r="CO28"/>
  <c r="BG28"/>
  <c r="BA28"/>
  <c r="AY28"/>
  <c r="Q28"/>
  <c r="R28" s="1"/>
  <c r="P28"/>
  <c r="O28"/>
  <c r="N28"/>
  <c r="L28"/>
  <c r="K28"/>
  <c r="J28"/>
  <c r="DD28" s="1"/>
  <c r="DG28" s="1"/>
  <c r="DH28" s="1"/>
  <c r="I28"/>
  <c r="B28"/>
  <c r="E28" s="1"/>
  <c r="CY27"/>
  <c r="CX27"/>
  <c r="CW27"/>
  <c r="CV27"/>
  <c r="CU27"/>
  <c r="CT27"/>
  <c r="CS27"/>
  <c r="CR27"/>
  <c r="CQ27"/>
  <c r="CP27"/>
  <c r="CO27"/>
  <c r="BG27"/>
  <c r="BA27"/>
  <c r="AY27"/>
  <c r="Q27"/>
  <c r="R27" s="1"/>
  <c r="P27"/>
  <c r="O27"/>
  <c r="N27"/>
  <c r="L27"/>
  <c r="K27"/>
  <c r="J27"/>
  <c r="DD27" s="1"/>
  <c r="DG27" s="1"/>
  <c r="DH27" s="1"/>
  <c r="I27"/>
  <c r="B27"/>
  <c r="E27" s="1"/>
  <c r="B26"/>
  <c r="C26" s="1"/>
  <c r="D26" s="1"/>
  <c r="I26"/>
  <c r="J26"/>
  <c r="DD26" s="1"/>
  <c r="DG26" s="1"/>
  <c r="DH26" s="1"/>
  <c r="K26"/>
  <c r="L26"/>
  <c r="N26"/>
  <c r="O26"/>
  <c r="P26"/>
  <c r="Q26"/>
  <c r="R26" s="1"/>
  <c r="T26" s="1"/>
  <c r="DB26" s="1"/>
  <c r="AN26"/>
  <c r="AY26"/>
  <c r="H26" s="1"/>
  <c r="BA26"/>
  <c r="BG26"/>
  <c r="BH26" s="1"/>
  <c r="BI26"/>
  <c r="CO26"/>
  <c r="CP26"/>
  <c r="CQ26"/>
  <c r="CR26"/>
  <c r="CS26"/>
  <c r="CT26"/>
  <c r="CU26"/>
  <c r="CV26"/>
  <c r="CW26"/>
  <c r="CX26"/>
  <c r="CY26"/>
  <c r="B25"/>
  <c r="C25" s="1"/>
  <c r="D25" s="1"/>
  <c r="I25"/>
  <c r="J25"/>
  <c r="DD25" s="1"/>
  <c r="DG25" s="1"/>
  <c r="DH25" s="1"/>
  <c r="K25"/>
  <c r="L25"/>
  <c r="N25"/>
  <c r="O25"/>
  <c r="P25"/>
  <c r="Q25"/>
  <c r="R25" s="1"/>
  <c r="T25" s="1"/>
  <c r="DB25" s="1"/>
  <c r="AN25"/>
  <c r="AY25"/>
  <c r="H25" s="1"/>
  <c r="BA25"/>
  <c r="BG25"/>
  <c r="BH25" s="1"/>
  <c r="BI25"/>
  <c r="CO25"/>
  <c r="CP25"/>
  <c r="CQ25"/>
  <c r="CR25"/>
  <c r="CS25"/>
  <c r="CT25"/>
  <c r="CU25"/>
  <c r="CV25"/>
  <c r="CW25"/>
  <c r="CX25"/>
  <c r="CY25"/>
  <c r="T38" i="96" l="1"/>
  <c r="DB38" s="1"/>
  <c r="DB7"/>
  <c r="D39"/>
  <c r="DA38"/>
  <c r="DE38"/>
  <c r="DG38" s="1"/>
  <c r="DH38" s="1"/>
  <c r="DH7"/>
  <c r="AZ7" s="1"/>
  <c r="AZ38" s="1"/>
  <c r="AZ39" s="1"/>
  <c r="BB38"/>
  <c r="BD7"/>
  <c r="BD38" s="1"/>
  <c r="BD39" s="1"/>
  <c r="BI38"/>
  <c r="BJ7"/>
  <c r="BJ8" s="1"/>
  <c r="BJ9" s="1"/>
  <c r="BJ10" s="1"/>
  <c r="BJ11" s="1"/>
  <c r="BJ12" s="1"/>
  <c r="BJ13" s="1"/>
  <c r="BJ14" s="1"/>
  <c r="BJ15" s="1"/>
  <c r="BJ16" s="1"/>
  <c r="BJ17" s="1"/>
  <c r="BJ18" s="1"/>
  <c r="BJ19" s="1"/>
  <c r="BJ20" s="1"/>
  <c r="BJ21" s="1"/>
  <c r="BJ22" s="1"/>
  <c r="BJ23" s="1"/>
  <c r="BJ24" s="1"/>
  <c r="BJ25" s="1"/>
  <c r="BJ26" s="1"/>
  <c r="BJ27" s="1"/>
  <c r="BJ28" s="1"/>
  <c r="BJ29" s="1"/>
  <c r="BJ30" s="1"/>
  <c r="BJ31" s="1"/>
  <c r="BJ32" s="1"/>
  <c r="BJ33" s="1"/>
  <c r="BJ34" s="1"/>
  <c r="BJ35" s="1"/>
  <c r="BJ36" s="1"/>
  <c r="BJ37" s="1"/>
  <c r="AZ48" s="1"/>
  <c r="AZ51" s="1"/>
  <c r="BC39"/>
  <c r="AY39"/>
  <c r="AX39" s="1"/>
  <c r="AF39"/>
  <c r="H39"/>
  <c r="F39"/>
  <c r="F41" s="1"/>
  <c r="AI39"/>
  <c r="M39"/>
  <c r="U7"/>
  <c r="DA36" i="93"/>
  <c r="BC36"/>
  <c r="AZ36"/>
  <c r="F36"/>
  <c r="U36"/>
  <c r="BI35"/>
  <c r="BB35"/>
  <c r="BD35" s="1"/>
  <c r="AX35"/>
  <c r="AF35"/>
  <c r="AI35"/>
  <c r="H35"/>
  <c r="M35"/>
  <c r="C35"/>
  <c r="D35" s="1"/>
  <c r="E35"/>
  <c r="R35"/>
  <c r="T35" s="1"/>
  <c r="AN35"/>
  <c r="BH35"/>
  <c r="BI34"/>
  <c r="BB34"/>
  <c r="BD34" s="1"/>
  <c r="AX34"/>
  <c r="AF34"/>
  <c r="M34"/>
  <c r="AI34"/>
  <c r="H34"/>
  <c r="C34"/>
  <c r="D34" s="1"/>
  <c r="R34"/>
  <c r="T34" s="1"/>
  <c r="AN34"/>
  <c r="BH34"/>
  <c r="BI30"/>
  <c r="BB30"/>
  <c r="BD30" s="1"/>
  <c r="AX30"/>
  <c r="AF30"/>
  <c r="M30"/>
  <c r="AI30"/>
  <c r="H30"/>
  <c r="BI32"/>
  <c r="BB32"/>
  <c r="BD32" s="1"/>
  <c r="AX32"/>
  <c r="AF32"/>
  <c r="M32"/>
  <c r="AI32"/>
  <c r="H32"/>
  <c r="BI31"/>
  <c r="BB31"/>
  <c r="BD31" s="1"/>
  <c r="AX31"/>
  <c r="AF31"/>
  <c r="M31"/>
  <c r="AI31"/>
  <c r="H31"/>
  <c r="BI33"/>
  <c r="BB33"/>
  <c r="BD33" s="1"/>
  <c r="AX33"/>
  <c r="AF33"/>
  <c r="M33"/>
  <c r="AI33"/>
  <c r="H33"/>
  <c r="C30"/>
  <c r="D30" s="1"/>
  <c r="R30"/>
  <c r="T30" s="1"/>
  <c r="AN30"/>
  <c r="BH30"/>
  <c r="C31"/>
  <c r="D31" s="1"/>
  <c r="E31"/>
  <c r="R31"/>
  <c r="T31" s="1"/>
  <c r="AN31"/>
  <c r="BH31"/>
  <c r="C32"/>
  <c r="D32" s="1"/>
  <c r="E32"/>
  <c r="R32"/>
  <c r="T32" s="1"/>
  <c r="AN32"/>
  <c r="BH32"/>
  <c r="C33"/>
  <c r="D33" s="1"/>
  <c r="E33"/>
  <c r="R33"/>
  <c r="T33" s="1"/>
  <c r="AN33"/>
  <c r="BH33"/>
  <c r="BI29"/>
  <c r="AI29"/>
  <c r="H29"/>
  <c r="BB29"/>
  <c r="BD29" s="1"/>
  <c r="AX29"/>
  <c r="AF29"/>
  <c r="M29"/>
  <c r="T29"/>
  <c r="DB29" s="1"/>
  <c r="C29"/>
  <c r="D29" s="1"/>
  <c r="AN29"/>
  <c r="BH29"/>
  <c r="BI28"/>
  <c r="AI28"/>
  <c r="H28"/>
  <c r="BB28"/>
  <c r="BD28" s="1"/>
  <c r="AX28"/>
  <c r="AF28"/>
  <c r="M28"/>
  <c r="T28"/>
  <c r="DB28" s="1"/>
  <c r="C28"/>
  <c r="D28" s="1"/>
  <c r="AN28"/>
  <c r="BH28"/>
  <c r="BI27"/>
  <c r="AI27"/>
  <c r="H27"/>
  <c r="BB27"/>
  <c r="BD27" s="1"/>
  <c r="AX27"/>
  <c r="AF27"/>
  <c r="M27"/>
  <c r="T27"/>
  <c r="DB27" s="1"/>
  <c r="C27"/>
  <c r="D27" s="1"/>
  <c r="AN27"/>
  <c r="BH27"/>
  <c r="DA26"/>
  <c r="AF26"/>
  <c r="M26"/>
  <c r="F26"/>
  <c r="BB26"/>
  <c r="BD26" s="1"/>
  <c r="AX26"/>
  <c r="AI26"/>
  <c r="U26"/>
  <c r="E26"/>
  <c r="BC26" s="1"/>
  <c r="DA25"/>
  <c r="AF25"/>
  <c r="M25"/>
  <c r="F25"/>
  <c r="BB25"/>
  <c r="BD25" s="1"/>
  <c r="AX25"/>
  <c r="AI25"/>
  <c r="U25"/>
  <c r="E25"/>
  <c r="BC25" s="1"/>
  <c r="CY24"/>
  <c r="CX24"/>
  <c r="CW24"/>
  <c r="CV24"/>
  <c r="CU24"/>
  <c r="CT24"/>
  <c r="CS24"/>
  <c r="CR24"/>
  <c r="CQ24"/>
  <c r="CP24"/>
  <c r="CO24"/>
  <c r="BG24"/>
  <c r="BA24"/>
  <c r="AY24"/>
  <c r="Q24"/>
  <c r="R24" s="1"/>
  <c r="P24"/>
  <c r="O24"/>
  <c r="N24"/>
  <c r="L24"/>
  <c r="K24"/>
  <c r="J24"/>
  <c r="DD24" s="1"/>
  <c r="DG24" s="1"/>
  <c r="DH24" s="1"/>
  <c r="I24"/>
  <c r="B24"/>
  <c r="E24" s="1"/>
  <c r="CY23"/>
  <c r="CX23"/>
  <c r="CW23"/>
  <c r="CV23"/>
  <c r="CU23"/>
  <c r="CT23"/>
  <c r="CS23"/>
  <c r="CR23"/>
  <c r="CQ23"/>
  <c r="CP23"/>
  <c r="CO23"/>
  <c r="BG23"/>
  <c r="BA23"/>
  <c r="AY23"/>
  <c r="Q23"/>
  <c r="P23"/>
  <c r="O23"/>
  <c r="N23"/>
  <c r="L23"/>
  <c r="K23"/>
  <c r="J23"/>
  <c r="DD23" s="1"/>
  <c r="DG23" s="1"/>
  <c r="DH23" s="1"/>
  <c r="I23"/>
  <c r="B23"/>
  <c r="AY23" i="92"/>
  <c r="CY22" i="93"/>
  <c r="CX22"/>
  <c r="CW22"/>
  <c r="CV22"/>
  <c r="CU22"/>
  <c r="CT22"/>
  <c r="CS22"/>
  <c r="CR22"/>
  <c r="CQ22"/>
  <c r="CP22"/>
  <c r="CO22"/>
  <c r="BG22"/>
  <c r="BA22"/>
  <c r="AY22"/>
  <c r="Q22"/>
  <c r="P22"/>
  <c r="O22"/>
  <c r="N22"/>
  <c r="L22"/>
  <c r="K22"/>
  <c r="J22"/>
  <c r="DD22" s="1"/>
  <c r="DG22" s="1"/>
  <c r="DH22" s="1"/>
  <c r="I22"/>
  <c r="B22"/>
  <c r="CY21"/>
  <c r="CX21"/>
  <c r="CW21"/>
  <c r="CV21"/>
  <c r="CU21"/>
  <c r="CT21"/>
  <c r="CS21"/>
  <c r="CR21"/>
  <c r="CQ21"/>
  <c r="CP21"/>
  <c r="CO21"/>
  <c r="BG21"/>
  <c r="BA21"/>
  <c r="AY21"/>
  <c r="Q21"/>
  <c r="P21"/>
  <c r="O21"/>
  <c r="N21"/>
  <c r="L21"/>
  <c r="K21"/>
  <c r="J21"/>
  <c r="DD21" s="1"/>
  <c r="DG21" s="1"/>
  <c r="DH21" s="1"/>
  <c r="I21"/>
  <c r="B21"/>
  <c r="CY20"/>
  <c r="CX20"/>
  <c r="CW20"/>
  <c r="CV20"/>
  <c r="CU20"/>
  <c r="CT20"/>
  <c r="CS20"/>
  <c r="CR20"/>
  <c r="CQ20"/>
  <c r="CP20"/>
  <c r="CO20"/>
  <c r="BG20"/>
  <c r="BA20"/>
  <c r="AY20"/>
  <c r="Q20"/>
  <c r="P20"/>
  <c r="O20"/>
  <c r="N20"/>
  <c r="L20"/>
  <c r="K20"/>
  <c r="J20"/>
  <c r="DD20" s="1"/>
  <c r="DG20" s="1"/>
  <c r="DH20" s="1"/>
  <c r="I20"/>
  <c r="B20"/>
  <c r="B15"/>
  <c r="C15" s="1"/>
  <c r="D15" s="1"/>
  <c r="I15"/>
  <c r="J15"/>
  <c r="DD15" s="1"/>
  <c r="DG15" s="1"/>
  <c r="K15"/>
  <c r="L15"/>
  <c r="N15"/>
  <c r="O15"/>
  <c r="P15"/>
  <c r="Q15"/>
  <c r="R15" s="1"/>
  <c r="T15" s="1"/>
  <c r="DB15" s="1"/>
  <c r="AM15"/>
  <c r="AN15"/>
  <c r="AY15"/>
  <c r="H15" s="1"/>
  <c r="BA15"/>
  <c r="BF15"/>
  <c r="BG15"/>
  <c r="BH15"/>
  <c r="BJ15"/>
  <c r="CO15"/>
  <c r="CP15"/>
  <c r="CQ15"/>
  <c r="CR15"/>
  <c r="CS15"/>
  <c r="CT15"/>
  <c r="CU15"/>
  <c r="CV15"/>
  <c r="CW15"/>
  <c r="CX15"/>
  <c r="CY15"/>
  <c r="DH15"/>
  <c r="AZ15" s="1"/>
  <c r="B16"/>
  <c r="C16" s="1"/>
  <c r="D16" s="1"/>
  <c r="I16"/>
  <c r="J16"/>
  <c r="K16"/>
  <c r="L16"/>
  <c r="N16"/>
  <c r="O16"/>
  <c r="P16"/>
  <c r="Q16"/>
  <c r="R16" s="1"/>
  <c r="T16" s="1"/>
  <c r="AM16"/>
  <c r="AN16" s="1"/>
  <c r="BA16"/>
  <c r="BG16"/>
  <c r="BH16" s="1"/>
  <c r="BH17" s="1"/>
  <c r="BH18" s="1"/>
  <c r="BJ16"/>
  <c r="CO16"/>
  <c r="CP16"/>
  <c r="CQ16"/>
  <c r="CR16"/>
  <c r="CS16"/>
  <c r="CT16"/>
  <c r="CU16"/>
  <c r="CV16"/>
  <c r="CW16"/>
  <c r="CX16"/>
  <c r="CY16"/>
  <c r="DD16"/>
  <c r="DG16" s="1"/>
  <c r="DH16"/>
  <c r="AZ16" s="1"/>
  <c r="B17"/>
  <c r="C17" s="1"/>
  <c r="D17" s="1"/>
  <c r="I17"/>
  <c r="J17"/>
  <c r="DD17" s="1"/>
  <c r="DG17" s="1"/>
  <c r="K17"/>
  <c r="L17"/>
  <c r="N17"/>
  <c r="O17"/>
  <c r="P17"/>
  <c r="Q17"/>
  <c r="R17" s="1"/>
  <c r="T17" s="1"/>
  <c r="DB17" s="1"/>
  <c r="AM17"/>
  <c r="AN17"/>
  <c r="AY17"/>
  <c r="H17" s="1"/>
  <c r="BA17"/>
  <c r="BG17"/>
  <c r="BJ17"/>
  <c r="CO17"/>
  <c r="CP17"/>
  <c r="CQ17"/>
  <c r="CR17"/>
  <c r="CS17"/>
  <c r="CT17"/>
  <c r="CU17"/>
  <c r="CV17"/>
  <c r="CW17"/>
  <c r="CX17"/>
  <c r="CY17"/>
  <c r="DH17"/>
  <c r="AZ17" s="1"/>
  <c r="B18"/>
  <c r="C18" s="1"/>
  <c r="D18" s="1"/>
  <c r="I18"/>
  <c r="J18"/>
  <c r="K18"/>
  <c r="L18"/>
  <c r="N18"/>
  <c r="O18"/>
  <c r="P18"/>
  <c r="Q18"/>
  <c r="R18" s="1"/>
  <c r="T18" s="1"/>
  <c r="DB18" s="1"/>
  <c r="AN18"/>
  <c r="AY18"/>
  <c r="F18" s="1"/>
  <c r="BA18"/>
  <c r="BG18"/>
  <c r="CO18"/>
  <c r="CP18"/>
  <c r="CQ18"/>
  <c r="CR18"/>
  <c r="CS18"/>
  <c r="CT18"/>
  <c r="CU18"/>
  <c r="CV18"/>
  <c r="CW18"/>
  <c r="CX18"/>
  <c r="CY18"/>
  <c r="DD18"/>
  <c r="DG18" s="1"/>
  <c r="DH18" s="1"/>
  <c r="B19"/>
  <c r="C19" s="1"/>
  <c r="D19" s="1"/>
  <c r="I19"/>
  <c r="J19"/>
  <c r="DD19" s="1"/>
  <c r="DG19" s="1"/>
  <c r="DH19" s="1"/>
  <c r="K19"/>
  <c r="L19"/>
  <c r="N19"/>
  <c r="O19"/>
  <c r="P19"/>
  <c r="Q19"/>
  <c r="R19" s="1"/>
  <c r="T19" s="1"/>
  <c r="AI19"/>
  <c r="AN19"/>
  <c r="AX19"/>
  <c r="AY19"/>
  <c r="BA19"/>
  <c r="BB19"/>
  <c r="BD19"/>
  <c r="BG19"/>
  <c r="BH19" s="1"/>
  <c r="BI19"/>
  <c r="CO19"/>
  <c r="CP19"/>
  <c r="H19" s="1"/>
  <c r="CQ19"/>
  <c r="CR19"/>
  <c r="CS19"/>
  <c r="CT19"/>
  <c r="CU19"/>
  <c r="CV19"/>
  <c r="CW19"/>
  <c r="CX19"/>
  <c r="CY19"/>
  <c r="AY14"/>
  <c r="CY14"/>
  <c r="CX14"/>
  <c r="CW14"/>
  <c r="CV14"/>
  <c r="CU14"/>
  <c r="CT14"/>
  <c r="CS14"/>
  <c r="CR14"/>
  <c r="CQ14"/>
  <c r="CP14"/>
  <c r="CO14"/>
  <c r="BG14"/>
  <c r="BA14"/>
  <c r="Q14"/>
  <c r="P14"/>
  <c r="O14"/>
  <c r="N14"/>
  <c r="L14"/>
  <c r="K14"/>
  <c r="J14"/>
  <c r="DD14" s="1"/>
  <c r="DG14" s="1"/>
  <c r="DH14" s="1"/>
  <c r="I14"/>
  <c r="B14"/>
  <c r="B14" i="92"/>
  <c r="C14" s="1"/>
  <c r="D14" s="1"/>
  <c r="I14"/>
  <c r="J14"/>
  <c r="DD14" s="1"/>
  <c r="DG14" s="1"/>
  <c r="DH14" s="1"/>
  <c r="K14"/>
  <c r="L14"/>
  <c r="N14"/>
  <c r="O14"/>
  <c r="P14"/>
  <c r="Q14"/>
  <c r="R14" s="1"/>
  <c r="T14" s="1"/>
  <c r="DB14" s="1"/>
  <c r="AM14"/>
  <c r="AN14"/>
  <c r="AY14"/>
  <c r="H14" s="1"/>
  <c r="BA14"/>
  <c r="BF14"/>
  <c r="BG14"/>
  <c r="BH14" s="1"/>
  <c r="BI14"/>
  <c r="CO14"/>
  <c r="CP14"/>
  <c r="CQ14"/>
  <c r="CR14"/>
  <c r="CS14"/>
  <c r="CT14"/>
  <c r="CU14"/>
  <c r="CV14"/>
  <c r="CW14"/>
  <c r="CX14"/>
  <c r="CY14"/>
  <c r="B13"/>
  <c r="C13" s="1"/>
  <c r="D13" s="1"/>
  <c r="I13"/>
  <c r="J13"/>
  <c r="K13"/>
  <c r="L13"/>
  <c r="N13"/>
  <c r="O13"/>
  <c r="P13"/>
  <c r="Q13"/>
  <c r="R13" s="1"/>
  <c r="T13" s="1"/>
  <c r="DB13" s="1"/>
  <c r="AM13"/>
  <c r="AN13" s="1"/>
  <c r="AY13"/>
  <c r="H13" s="1"/>
  <c r="BA13"/>
  <c r="BB13"/>
  <c r="BD13"/>
  <c r="BF13"/>
  <c r="BG13"/>
  <c r="BH13" s="1"/>
  <c r="BI13"/>
  <c r="CO13"/>
  <c r="CP13"/>
  <c r="CQ13"/>
  <c r="CR13"/>
  <c r="CS13"/>
  <c r="CT13"/>
  <c r="CU13"/>
  <c r="CV13"/>
  <c r="CW13"/>
  <c r="CX13"/>
  <c r="CY13"/>
  <c r="DD13"/>
  <c r="DG13" s="1"/>
  <c r="DH13" s="1"/>
  <c r="B12"/>
  <c r="C12" s="1"/>
  <c r="D12" s="1"/>
  <c r="I12"/>
  <c r="J12"/>
  <c r="DD12" s="1"/>
  <c r="DG12" s="1"/>
  <c r="DH12" s="1"/>
  <c r="K12"/>
  <c r="L12"/>
  <c r="N12"/>
  <c r="O12"/>
  <c r="P12"/>
  <c r="Q12"/>
  <c r="R12" s="1"/>
  <c r="T12" s="1"/>
  <c r="AM12"/>
  <c r="AN12" s="1"/>
  <c r="BA12"/>
  <c r="BG12"/>
  <c r="BH12" s="1"/>
  <c r="CO12"/>
  <c r="CP12"/>
  <c r="CQ12"/>
  <c r="CR12"/>
  <c r="CS12"/>
  <c r="CT12"/>
  <c r="CU12"/>
  <c r="CV12"/>
  <c r="CW12"/>
  <c r="CX12"/>
  <c r="CY12"/>
  <c r="B11"/>
  <c r="C11" s="1"/>
  <c r="D11" s="1"/>
  <c r="I11"/>
  <c r="J11"/>
  <c r="DD11" s="1"/>
  <c r="DG11" s="1"/>
  <c r="DH11" s="1"/>
  <c r="K11"/>
  <c r="L11"/>
  <c r="N11"/>
  <c r="O11"/>
  <c r="P11"/>
  <c r="Q11"/>
  <c r="R11" s="1"/>
  <c r="T11" s="1"/>
  <c r="AM11"/>
  <c r="AN11" s="1"/>
  <c r="BA11"/>
  <c r="BG11"/>
  <c r="BH11" s="1"/>
  <c r="CO11"/>
  <c r="CP11"/>
  <c r="CQ11"/>
  <c r="CR11"/>
  <c r="CS11"/>
  <c r="CT11"/>
  <c r="CU11"/>
  <c r="CV11"/>
  <c r="CW11"/>
  <c r="CX11"/>
  <c r="CY11"/>
  <c r="B10"/>
  <c r="C10" s="1"/>
  <c r="D10" s="1"/>
  <c r="I10"/>
  <c r="J10"/>
  <c r="DD10" s="1"/>
  <c r="DG10" s="1"/>
  <c r="DH10" s="1"/>
  <c r="K10"/>
  <c r="L10"/>
  <c r="N10"/>
  <c r="O10"/>
  <c r="P10"/>
  <c r="Q10"/>
  <c r="R10" s="1"/>
  <c r="T10" s="1"/>
  <c r="AM10"/>
  <c r="AN10" s="1"/>
  <c r="BA10"/>
  <c r="BG10"/>
  <c r="BH10" s="1"/>
  <c r="CO10"/>
  <c r="CP10"/>
  <c r="CQ10"/>
  <c r="CR10"/>
  <c r="CS10"/>
  <c r="CT10"/>
  <c r="CU10"/>
  <c r="CV10"/>
  <c r="CW10"/>
  <c r="CX10"/>
  <c r="CY10"/>
  <c r="B9"/>
  <c r="C9" s="1"/>
  <c r="D9" s="1"/>
  <c r="I9"/>
  <c r="J9"/>
  <c r="DD9" s="1"/>
  <c r="DG9" s="1"/>
  <c r="DH9" s="1"/>
  <c r="K9"/>
  <c r="L9"/>
  <c r="N9"/>
  <c r="O9"/>
  <c r="P9"/>
  <c r="Q9"/>
  <c r="R9" s="1"/>
  <c r="T9" s="1"/>
  <c r="AM9"/>
  <c r="AN9" s="1"/>
  <c r="BA9"/>
  <c r="BG9"/>
  <c r="BH9" s="1"/>
  <c r="CO9"/>
  <c r="CP9"/>
  <c r="CQ9"/>
  <c r="CR9"/>
  <c r="CS9"/>
  <c r="CT9"/>
  <c r="CU9"/>
  <c r="CV9"/>
  <c r="CW9"/>
  <c r="CX9"/>
  <c r="CY9"/>
  <c r="AM8"/>
  <c r="AM15"/>
  <c r="AM16"/>
  <c r="AM17"/>
  <c r="AM18"/>
  <c r="AM19"/>
  <c r="AM20"/>
  <c r="AM21"/>
  <c r="AM22"/>
  <c r="AM23"/>
  <c r="AM24"/>
  <c r="AM25"/>
  <c r="AM27"/>
  <c r="AM28"/>
  <c r="AM29"/>
  <c r="AM30"/>
  <c r="AM31"/>
  <c r="AM32"/>
  <c r="AM33"/>
  <c r="AM34"/>
  <c r="AM35"/>
  <c r="AM7"/>
  <c r="CY13" i="93"/>
  <c r="CX13"/>
  <c r="CW13"/>
  <c r="CV13"/>
  <c r="CU13"/>
  <c r="CT13"/>
  <c r="CS13"/>
  <c r="CR13"/>
  <c r="CQ13"/>
  <c r="CP13"/>
  <c r="CO13"/>
  <c r="BG13"/>
  <c r="BA13"/>
  <c r="AY13"/>
  <c r="Q13"/>
  <c r="P13"/>
  <c r="O13"/>
  <c r="N13"/>
  <c r="L13"/>
  <c r="K13"/>
  <c r="J13"/>
  <c r="DD13" s="1"/>
  <c r="DG13" s="1"/>
  <c r="DH13" s="1"/>
  <c r="I13"/>
  <c r="B13"/>
  <c r="B12"/>
  <c r="C12" s="1"/>
  <c r="D12" s="1"/>
  <c r="I12"/>
  <c r="J12"/>
  <c r="K12"/>
  <c r="L12"/>
  <c r="N12"/>
  <c r="O12"/>
  <c r="P12"/>
  <c r="Q12"/>
  <c r="R12" s="1"/>
  <c r="T12" s="1"/>
  <c r="DB12" s="1"/>
  <c r="AN12"/>
  <c r="AY12"/>
  <c r="H12" s="1"/>
  <c r="BA12"/>
  <c r="BF12"/>
  <c r="BG12"/>
  <c r="BH12" s="1"/>
  <c r="BI12"/>
  <c r="CO12"/>
  <c r="CP12"/>
  <c r="CQ12"/>
  <c r="CR12"/>
  <c r="CS12"/>
  <c r="CT12"/>
  <c r="CU12"/>
  <c r="CV12"/>
  <c r="CW12"/>
  <c r="CX12"/>
  <c r="CY12"/>
  <c r="DD12"/>
  <c r="DG12" s="1"/>
  <c r="DH12" s="1"/>
  <c r="B11"/>
  <c r="C11" s="1"/>
  <c r="D11" s="1"/>
  <c r="I11"/>
  <c r="J11"/>
  <c r="K11"/>
  <c r="L11"/>
  <c r="N11"/>
  <c r="O11"/>
  <c r="P11"/>
  <c r="Q11"/>
  <c r="R11" s="1"/>
  <c r="T11" s="1"/>
  <c r="DB11" s="1"/>
  <c r="AN11"/>
  <c r="AY11"/>
  <c r="H11" s="1"/>
  <c r="BA11"/>
  <c r="BF11"/>
  <c r="BG11"/>
  <c r="BH11" s="1"/>
  <c r="BI11"/>
  <c r="CO11"/>
  <c r="CP11"/>
  <c r="CQ11"/>
  <c r="CR11"/>
  <c r="CS11"/>
  <c r="CT11"/>
  <c r="CU11"/>
  <c r="CV11"/>
  <c r="CW11"/>
  <c r="CX11"/>
  <c r="CY11"/>
  <c r="DD11"/>
  <c r="DG11" s="1"/>
  <c r="DH11" s="1"/>
  <c r="CY10"/>
  <c r="CX10"/>
  <c r="CW10"/>
  <c r="CV10"/>
  <c r="CU10"/>
  <c r="CT10"/>
  <c r="CS10"/>
  <c r="CR10"/>
  <c r="CQ10"/>
  <c r="CP10"/>
  <c r="CO10"/>
  <c r="BG10"/>
  <c r="BA10"/>
  <c r="AY10"/>
  <c r="Q10"/>
  <c r="P10"/>
  <c r="O10"/>
  <c r="N10"/>
  <c r="L10"/>
  <c r="K10"/>
  <c r="J10"/>
  <c r="DD10" s="1"/>
  <c r="DG10" s="1"/>
  <c r="DH10" s="1"/>
  <c r="I10"/>
  <c r="B10"/>
  <c r="B9"/>
  <c r="C9" s="1"/>
  <c r="D9" s="1"/>
  <c r="I9"/>
  <c r="J9"/>
  <c r="DD9" s="1"/>
  <c r="DG9" s="1"/>
  <c r="DH9" s="1"/>
  <c r="K9"/>
  <c r="L9"/>
  <c r="N9"/>
  <c r="O9"/>
  <c r="P9"/>
  <c r="Q9"/>
  <c r="R9" s="1"/>
  <c r="T9" s="1"/>
  <c r="DB9" s="1"/>
  <c r="AN9"/>
  <c r="AY9"/>
  <c r="H9" s="1"/>
  <c r="BA9"/>
  <c r="BF9"/>
  <c r="BG9"/>
  <c r="BH9"/>
  <c r="BI9"/>
  <c r="BJ9"/>
  <c r="CO9"/>
  <c r="CP9"/>
  <c r="CQ9"/>
  <c r="CR9"/>
  <c r="CS9"/>
  <c r="CT9"/>
  <c r="CU9"/>
  <c r="CV9"/>
  <c r="CW9"/>
  <c r="CX9"/>
  <c r="CY9"/>
  <c r="CY8"/>
  <c r="CX8"/>
  <c r="CW8"/>
  <c r="CV8"/>
  <c r="CU8"/>
  <c r="CT8"/>
  <c r="CS8"/>
  <c r="CR8"/>
  <c r="CQ8"/>
  <c r="CP8"/>
  <c r="CO8"/>
  <c r="BG8"/>
  <c r="BA8"/>
  <c r="AY8"/>
  <c r="Q8"/>
  <c r="P8"/>
  <c r="O8"/>
  <c r="N8"/>
  <c r="L8"/>
  <c r="K8"/>
  <c r="J8"/>
  <c r="DD8" s="1"/>
  <c r="DG8" s="1"/>
  <c r="DH8" s="1"/>
  <c r="I8"/>
  <c r="B8"/>
  <c r="I36" i="95"/>
  <c r="J36"/>
  <c r="DD36" s="1"/>
  <c r="DG36" s="1"/>
  <c r="DH36" s="1"/>
  <c r="K36"/>
  <c r="N36"/>
  <c r="O36"/>
  <c r="AN36"/>
  <c r="AY36"/>
  <c r="H36" s="1"/>
  <c r="BA36"/>
  <c r="BF36"/>
  <c r="BG36"/>
  <c r="BH36"/>
  <c r="BI36"/>
  <c r="BJ36"/>
  <c r="CO36"/>
  <c r="CP36"/>
  <c r="CQ36"/>
  <c r="CS36"/>
  <c r="CT36"/>
  <c r="CU36"/>
  <c r="CW36"/>
  <c r="CX36"/>
  <c r="CY36"/>
  <c r="DK36"/>
  <c r="BN36" s="1"/>
  <c r="DM36"/>
  <c r="CF36" s="1"/>
  <c r="I35"/>
  <c r="J35"/>
  <c r="K35"/>
  <c r="N35"/>
  <c r="O35"/>
  <c r="AM35"/>
  <c r="AN35" s="1"/>
  <c r="BA35"/>
  <c r="BG35"/>
  <c r="BH35" s="1"/>
  <c r="CO35"/>
  <c r="CP35"/>
  <c r="CQ35"/>
  <c r="CS35"/>
  <c r="CT35"/>
  <c r="CU35"/>
  <c r="CW35"/>
  <c r="CX35"/>
  <c r="CY35"/>
  <c r="DD35"/>
  <c r="DG35" s="1"/>
  <c r="DH35" s="1"/>
  <c r="DK35"/>
  <c r="BN35" s="1"/>
  <c r="DM35"/>
  <c r="CF35" s="1"/>
  <c r="I34"/>
  <c r="J34"/>
  <c r="K34"/>
  <c r="N34"/>
  <c r="O34"/>
  <c r="AM34"/>
  <c r="AN34" s="1"/>
  <c r="BA34"/>
  <c r="BG34"/>
  <c r="BH34" s="1"/>
  <c r="CO34"/>
  <c r="CP34"/>
  <c r="CQ34"/>
  <c r="CS34"/>
  <c r="CT34"/>
  <c r="CU34"/>
  <c r="CW34"/>
  <c r="CX34"/>
  <c r="CY34"/>
  <c r="DD34"/>
  <c r="DG34" s="1"/>
  <c r="DH34" s="1"/>
  <c r="DK34"/>
  <c r="BN34" s="1"/>
  <c r="DM34"/>
  <c r="CF34" s="1"/>
  <c r="I33"/>
  <c r="J33"/>
  <c r="K33"/>
  <c r="N33"/>
  <c r="O33"/>
  <c r="AM33"/>
  <c r="AN33" s="1"/>
  <c r="BA33"/>
  <c r="BG33"/>
  <c r="BH33" s="1"/>
  <c r="CO33"/>
  <c r="CP33"/>
  <c r="CQ33"/>
  <c r="CS33"/>
  <c r="CT33"/>
  <c r="CU33"/>
  <c r="CW33"/>
  <c r="CX33"/>
  <c r="CY33"/>
  <c r="DD33"/>
  <c r="DG33" s="1"/>
  <c r="DH33" s="1"/>
  <c r="DK33"/>
  <c r="BN33" s="1"/>
  <c r="DM33"/>
  <c r="CF33" s="1"/>
  <c r="I32"/>
  <c r="J32"/>
  <c r="K32"/>
  <c r="N32"/>
  <c r="O32"/>
  <c r="AM32"/>
  <c r="AN32" s="1"/>
  <c r="BA32"/>
  <c r="BG32"/>
  <c r="BH32" s="1"/>
  <c r="CO32"/>
  <c r="CP32"/>
  <c r="CQ32"/>
  <c r="CS32"/>
  <c r="CT32"/>
  <c r="CU32"/>
  <c r="CW32"/>
  <c r="CX32"/>
  <c r="CY32"/>
  <c r="DD32"/>
  <c r="DG32" s="1"/>
  <c r="DH32" s="1"/>
  <c r="DK32"/>
  <c r="BN32" s="1"/>
  <c r="DM32"/>
  <c r="CF32" s="1"/>
  <c r="I31"/>
  <c r="J31"/>
  <c r="K31"/>
  <c r="N31"/>
  <c r="O31"/>
  <c r="AM31"/>
  <c r="AN31" s="1"/>
  <c r="BA31"/>
  <c r="BG31"/>
  <c r="BH31" s="1"/>
  <c r="CO31"/>
  <c r="CP31"/>
  <c r="CQ31"/>
  <c r="CS31"/>
  <c r="CT31"/>
  <c r="CU31"/>
  <c r="CW31"/>
  <c r="CX31"/>
  <c r="CY31"/>
  <c r="DD31"/>
  <c r="DG31" s="1"/>
  <c r="DH31" s="1"/>
  <c r="DK31"/>
  <c r="BN31" s="1"/>
  <c r="DM31"/>
  <c r="CF31" s="1"/>
  <c r="I30"/>
  <c r="J30"/>
  <c r="K30"/>
  <c r="N30"/>
  <c r="O30"/>
  <c r="AM30"/>
  <c r="AN30" s="1"/>
  <c r="BA30"/>
  <c r="BG30"/>
  <c r="BH30" s="1"/>
  <c r="CO30"/>
  <c r="CP30"/>
  <c r="CQ30"/>
  <c r="CS30"/>
  <c r="CT30"/>
  <c r="CU30"/>
  <c r="CW30"/>
  <c r="CX30"/>
  <c r="CY30"/>
  <c r="DD30"/>
  <c r="DG30" s="1"/>
  <c r="DH30" s="1"/>
  <c r="DK30"/>
  <c r="BN30" s="1"/>
  <c r="DM30"/>
  <c r="CF30" s="1"/>
  <c r="I29"/>
  <c r="J29"/>
  <c r="K29"/>
  <c r="N29"/>
  <c r="O29"/>
  <c r="AM29"/>
  <c r="AN29" s="1"/>
  <c r="BA29"/>
  <c r="BG29"/>
  <c r="BH29" s="1"/>
  <c r="CO29"/>
  <c r="CP29"/>
  <c r="CQ29"/>
  <c r="CS29"/>
  <c r="CT29"/>
  <c r="CU29"/>
  <c r="CW29"/>
  <c r="CX29"/>
  <c r="CY29"/>
  <c r="DD29"/>
  <c r="DG29" s="1"/>
  <c r="DH29" s="1"/>
  <c r="DK29"/>
  <c r="BN29" s="1"/>
  <c r="DM29"/>
  <c r="CF29" s="1"/>
  <c r="I28"/>
  <c r="J28"/>
  <c r="K28"/>
  <c r="N28"/>
  <c r="O28"/>
  <c r="AM28"/>
  <c r="AN28" s="1"/>
  <c r="BA28"/>
  <c r="BG28"/>
  <c r="BH28" s="1"/>
  <c r="CO28"/>
  <c r="CP28"/>
  <c r="CQ28"/>
  <c r="CS28"/>
  <c r="CT28"/>
  <c r="CU28"/>
  <c r="CW28"/>
  <c r="CX28"/>
  <c r="CY28"/>
  <c r="DD28"/>
  <c r="DG28" s="1"/>
  <c r="DH28" s="1"/>
  <c r="DK28"/>
  <c r="BN28" s="1"/>
  <c r="DM28"/>
  <c r="CF28" s="1"/>
  <c r="I27"/>
  <c r="J27"/>
  <c r="K27"/>
  <c r="N27"/>
  <c r="O27"/>
  <c r="AM27"/>
  <c r="AN27" s="1"/>
  <c r="BA27"/>
  <c r="BG27"/>
  <c r="BH27" s="1"/>
  <c r="CO27"/>
  <c r="CP27"/>
  <c r="CQ27"/>
  <c r="CS27"/>
  <c r="CT27"/>
  <c r="CU27"/>
  <c r="CW27"/>
  <c r="CX27"/>
  <c r="CY27"/>
  <c r="DD27"/>
  <c r="DG27" s="1"/>
  <c r="DH27" s="1"/>
  <c r="DK27"/>
  <c r="BN27" s="1"/>
  <c r="DM27"/>
  <c r="CF27" s="1"/>
  <c r="I26"/>
  <c r="J26"/>
  <c r="DD26" s="1"/>
  <c r="DG26" s="1"/>
  <c r="DH26" s="1"/>
  <c r="K26"/>
  <c r="N26"/>
  <c r="O26"/>
  <c r="AN26"/>
  <c r="AY26"/>
  <c r="H26" s="1"/>
  <c r="BA26"/>
  <c r="BF26"/>
  <c r="BG26"/>
  <c r="BH26" s="1"/>
  <c r="BI26"/>
  <c r="CO26"/>
  <c r="CP26"/>
  <c r="CQ26"/>
  <c r="CS26"/>
  <c r="CT26"/>
  <c r="CU26"/>
  <c r="CW26"/>
  <c r="CX26"/>
  <c r="CY26"/>
  <c r="DK26"/>
  <c r="BN26" s="1"/>
  <c r="DM26"/>
  <c r="CF26" s="1"/>
  <c r="I25"/>
  <c r="J25"/>
  <c r="K25"/>
  <c r="N25"/>
  <c r="O25"/>
  <c r="AM25"/>
  <c r="AN25" s="1"/>
  <c r="BA25"/>
  <c r="BG25"/>
  <c r="BH25" s="1"/>
  <c r="CO25"/>
  <c r="CP25"/>
  <c r="CQ25"/>
  <c r="CS25"/>
  <c r="CT25"/>
  <c r="CU25"/>
  <c r="CW25"/>
  <c r="CX25"/>
  <c r="CY25"/>
  <c r="DD25"/>
  <c r="DG25" s="1"/>
  <c r="DH25" s="1"/>
  <c r="DK25"/>
  <c r="BN25" s="1"/>
  <c r="DM25"/>
  <c r="CF25" s="1"/>
  <c r="I24"/>
  <c r="J24"/>
  <c r="DD24" s="1"/>
  <c r="DG24" s="1"/>
  <c r="DH24" s="1"/>
  <c r="K24"/>
  <c r="N24"/>
  <c r="O24"/>
  <c r="AM24"/>
  <c r="AN24" s="1"/>
  <c r="AY24"/>
  <c r="H24" s="1"/>
  <c r="BA24"/>
  <c r="BB24"/>
  <c r="BD24"/>
  <c r="BF24"/>
  <c r="BG24"/>
  <c r="BH24" s="1"/>
  <c r="BI24"/>
  <c r="CO24"/>
  <c r="CP24"/>
  <c r="CQ24"/>
  <c r="CS24"/>
  <c r="CT24"/>
  <c r="CU24"/>
  <c r="CW24"/>
  <c r="CX24"/>
  <c r="CY24"/>
  <c r="DK24"/>
  <c r="BN24" s="1"/>
  <c r="DM24"/>
  <c r="CF24" s="1"/>
  <c r="I23"/>
  <c r="J23"/>
  <c r="K23"/>
  <c r="N23"/>
  <c r="O23"/>
  <c r="AM23"/>
  <c r="AN23" s="1"/>
  <c r="BA23"/>
  <c r="BG23"/>
  <c r="BH23" s="1"/>
  <c r="CO23"/>
  <c r="CP23"/>
  <c r="CQ23"/>
  <c r="CS23"/>
  <c r="CT23"/>
  <c r="CU23"/>
  <c r="CW23"/>
  <c r="CX23"/>
  <c r="CY23"/>
  <c r="DD23"/>
  <c r="DG23" s="1"/>
  <c r="DH23" s="1"/>
  <c r="DK23"/>
  <c r="BN23" s="1"/>
  <c r="DM23"/>
  <c r="CF23" s="1"/>
  <c r="I22"/>
  <c r="J22"/>
  <c r="K22"/>
  <c r="N22"/>
  <c r="O22"/>
  <c r="AM22"/>
  <c r="AN22" s="1"/>
  <c r="BA22"/>
  <c r="BG22"/>
  <c r="BH22" s="1"/>
  <c r="CO22"/>
  <c r="CP22"/>
  <c r="CQ22"/>
  <c r="CS22"/>
  <c r="CT22"/>
  <c r="CU22"/>
  <c r="CW22"/>
  <c r="CX22"/>
  <c r="CY22"/>
  <c r="DD22"/>
  <c r="DG22" s="1"/>
  <c r="DH22" s="1"/>
  <c r="DK22"/>
  <c r="BN22" s="1"/>
  <c r="DM22"/>
  <c r="CF22" s="1"/>
  <c r="I21"/>
  <c r="J21"/>
  <c r="DD21" s="1"/>
  <c r="DG21" s="1"/>
  <c r="DH21" s="1"/>
  <c r="K21"/>
  <c r="N21"/>
  <c r="O21"/>
  <c r="AM21"/>
  <c r="AN21" s="1"/>
  <c r="AY21"/>
  <c r="H21" s="1"/>
  <c r="BA21"/>
  <c r="BB21"/>
  <c r="BD21"/>
  <c r="BF21"/>
  <c r="BG21"/>
  <c r="BH21" s="1"/>
  <c r="BI21"/>
  <c r="CO21"/>
  <c r="CP21"/>
  <c r="CQ21"/>
  <c r="CS21"/>
  <c r="CT21"/>
  <c r="CU21"/>
  <c r="CW21"/>
  <c r="CX21"/>
  <c r="CY21"/>
  <c r="DK21"/>
  <c r="BN21" s="1"/>
  <c r="DM21"/>
  <c r="CF21" s="1"/>
  <c r="I20"/>
  <c r="J20"/>
  <c r="K20"/>
  <c r="N20"/>
  <c r="O20"/>
  <c r="AM20"/>
  <c r="AN20" s="1"/>
  <c r="BA20"/>
  <c r="BG20"/>
  <c r="BH20" s="1"/>
  <c r="CO20"/>
  <c r="CP20"/>
  <c r="CQ20"/>
  <c r="CS20"/>
  <c r="CT20"/>
  <c r="CU20"/>
  <c r="CW20"/>
  <c r="CX20"/>
  <c r="CY20"/>
  <c r="DD20"/>
  <c r="DG20" s="1"/>
  <c r="DH20" s="1"/>
  <c r="DK20"/>
  <c r="BN20" s="1"/>
  <c r="DM20"/>
  <c r="CF20" s="1"/>
  <c r="I19"/>
  <c r="J19"/>
  <c r="DD19" s="1"/>
  <c r="DG19" s="1"/>
  <c r="DH19" s="1"/>
  <c r="K19"/>
  <c r="N19"/>
  <c r="O19"/>
  <c r="AM19"/>
  <c r="AN19" s="1"/>
  <c r="AY19"/>
  <c r="H19" s="1"/>
  <c r="BA19"/>
  <c r="BB19"/>
  <c r="BD19"/>
  <c r="BF19"/>
  <c r="BG19"/>
  <c r="BH19" s="1"/>
  <c r="BI19"/>
  <c r="CO19"/>
  <c r="CP19"/>
  <c r="CQ19"/>
  <c r="CS19"/>
  <c r="CT19"/>
  <c r="CU19"/>
  <c r="CW19"/>
  <c r="CX19"/>
  <c r="CY19"/>
  <c r="DK19"/>
  <c r="BN19" s="1"/>
  <c r="DM19"/>
  <c r="CF19" s="1"/>
  <c r="I18"/>
  <c r="J18"/>
  <c r="K18"/>
  <c r="N18"/>
  <c r="O18"/>
  <c r="AM18"/>
  <c r="AN18" s="1"/>
  <c r="BA18"/>
  <c r="BG18"/>
  <c r="BH18" s="1"/>
  <c r="CO18"/>
  <c r="CP18"/>
  <c r="CQ18"/>
  <c r="CS18"/>
  <c r="CT18"/>
  <c r="CU18"/>
  <c r="CW18"/>
  <c r="CX18"/>
  <c r="CY18"/>
  <c r="DD18"/>
  <c r="DG18" s="1"/>
  <c r="DH18" s="1"/>
  <c r="DK18"/>
  <c r="BN18" s="1"/>
  <c r="DM18"/>
  <c r="CF18" s="1"/>
  <c r="I17"/>
  <c r="J17"/>
  <c r="K17"/>
  <c r="N17"/>
  <c r="O17"/>
  <c r="AM17"/>
  <c r="AN17" s="1"/>
  <c r="BA17"/>
  <c r="BG17"/>
  <c r="BH17" s="1"/>
  <c r="CO17"/>
  <c r="CP17"/>
  <c r="CQ17"/>
  <c r="CS17"/>
  <c r="CT17"/>
  <c r="CU17"/>
  <c r="CW17"/>
  <c r="CX17"/>
  <c r="CY17"/>
  <c r="DD17"/>
  <c r="DG17" s="1"/>
  <c r="DH17" s="1"/>
  <c r="DK17"/>
  <c r="BN17" s="1"/>
  <c r="DM17"/>
  <c r="CF17" s="1"/>
  <c r="I16"/>
  <c r="J16"/>
  <c r="DD16" s="1"/>
  <c r="DG16" s="1"/>
  <c r="DH16" s="1"/>
  <c r="K16"/>
  <c r="N16"/>
  <c r="O16"/>
  <c r="AN16"/>
  <c r="AY16"/>
  <c r="H16" s="1"/>
  <c r="BA16"/>
  <c r="BF16"/>
  <c r="BG16"/>
  <c r="BH16" s="1"/>
  <c r="BI16"/>
  <c r="CO16"/>
  <c r="CP16"/>
  <c r="CQ16"/>
  <c r="CS16"/>
  <c r="CT16"/>
  <c r="CU16"/>
  <c r="CW16"/>
  <c r="CX16"/>
  <c r="CY16"/>
  <c r="DK16"/>
  <c r="BN16" s="1"/>
  <c r="DM16"/>
  <c r="CF16" s="1"/>
  <c r="I15"/>
  <c r="J15"/>
  <c r="DD15" s="1"/>
  <c r="DG15" s="1"/>
  <c r="DH15" s="1"/>
  <c r="K15"/>
  <c r="N15"/>
  <c r="O15"/>
  <c r="AM15"/>
  <c r="AN15" s="1"/>
  <c r="AY15"/>
  <c r="H15" s="1"/>
  <c r="BA15"/>
  <c r="BB15"/>
  <c r="BD15"/>
  <c r="BF15"/>
  <c r="BG15"/>
  <c r="BH15" s="1"/>
  <c r="BI15"/>
  <c r="CO15"/>
  <c r="CP15"/>
  <c r="CQ15"/>
  <c r="CS15"/>
  <c r="CT15"/>
  <c r="CU15"/>
  <c r="CW15"/>
  <c r="CX15"/>
  <c r="CY15"/>
  <c r="DK15"/>
  <c r="BN15" s="1"/>
  <c r="DM15"/>
  <c r="CF15" s="1"/>
  <c r="I14"/>
  <c r="J14"/>
  <c r="K14"/>
  <c r="N14"/>
  <c r="O14"/>
  <c r="AM14"/>
  <c r="AN14" s="1"/>
  <c r="BA14"/>
  <c r="BG14"/>
  <c r="BH14" s="1"/>
  <c r="CO14"/>
  <c r="CP14"/>
  <c r="CQ14"/>
  <c r="CS14"/>
  <c r="CT14"/>
  <c r="CU14"/>
  <c r="CW14"/>
  <c r="CX14"/>
  <c r="CY14"/>
  <c r="DD14"/>
  <c r="DG14" s="1"/>
  <c r="DH14" s="1"/>
  <c r="DK14"/>
  <c r="BN14" s="1"/>
  <c r="DM14"/>
  <c r="CF14" s="1"/>
  <c r="I13"/>
  <c r="J13"/>
  <c r="DD13" s="1"/>
  <c r="DG13" s="1"/>
  <c r="DH13" s="1"/>
  <c r="K13"/>
  <c r="N13"/>
  <c r="O13"/>
  <c r="AM13"/>
  <c r="AN13" s="1"/>
  <c r="AY13"/>
  <c r="H13" s="1"/>
  <c r="BA13"/>
  <c r="BB13"/>
  <c r="BD13"/>
  <c r="BF13"/>
  <c r="BG13"/>
  <c r="BH13" s="1"/>
  <c r="BI13"/>
  <c r="CO13"/>
  <c r="CP13"/>
  <c r="CQ13"/>
  <c r="CS13"/>
  <c r="CT13"/>
  <c r="CU13"/>
  <c r="CW13"/>
  <c r="CX13"/>
  <c r="CY13"/>
  <c r="DK13"/>
  <c r="BN13" s="1"/>
  <c r="DM13"/>
  <c r="CF13" s="1"/>
  <c r="I12"/>
  <c r="J12"/>
  <c r="DD12" s="1"/>
  <c r="DG12" s="1"/>
  <c r="DH12" s="1"/>
  <c r="K12"/>
  <c r="N12"/>
  <c r="O12"/>
  <c r="AM12"/>
  <c r="AN12" s="1"/>
  <c r="AY12"/>
  <c r="H12" s="1"/>
  <c r="BA12"/>
  <c r="BB12"/>
  <c r="BD12"/>
  <c r="BF12"/>
  <c r="BG12"/>
  <c r="BH12" s="1"/>
  <c r="BI12"/>
  <c r="CO12"/>
  <c r="CP12"/>
  <c r="CQ12"/>
  <c r="CS12"/>
  <c r="CT12"/>
  <c r="CU12"/>
  <c r="CW12"/>
  <c r="CX12"/>
  <c r="CY12"/>
  <c r="DK12"/>
  <c r="BN12" s="1"/>
  <c r="DM12"/>
  <c r="CF12" s="1"/>
  <c r="I11"/>
  <c r="J11"/>
  <c r="K11"/>
  <c r="N11"/>
  <c r="O11"/>
  <c r="AM11"/>
  <c r="AN11" s="1"/>
  <c r="BA11"/>
  <c r="BG11"/>
  <c r="BH11" s="1"/>
  <c r="CO11"/>
  <c r="CP11"/>
  <c r="CQ11"/>
  <c r="CS11"/>
  <c r="CT11"/>
  <c r="CU11"/>
  <c r="CW11"/>
  <c r="CX11"/>
  <c r="CY11"/>
  <c r="DD11"/>
  <c r="DG11" s="1"/>
  <c r="DH11" s="1"/>
  <c r="DK11"/>
  <c r="BN11" s="1"/>
  <c r="DM11"/>
  <c r="CF11" s="1"/>
  <c r="I10"/>
  <c r="J10"/>
  <c r="DD10" s="1"/>
  <c r="DG10" s="1"/>
  <c r="DH10" s="1"/>
  <c r="K10"/>
  <c r="N10"/>
  <c r="O10"/>
  <c r="AM10"/>
  <c r="AN10" s="1"/>
  <c r="AY10"/>
  <c r="H10" s="1"/>
  <c r="BA10"/>
  <c r="BB10"/>
  <c r="BD10"/>
  <c r="BF10"/>
  <c r="BG10"/>
  <c r="BH10" s="1"/>
  <c r="BI10"/>
  <c r="CO10"/>
  <c r="CP10"/>
  <c r="CQ10"/>
  <c r="CS10"/>
  <c r="CT10"/>
  <c r="CU10"/>
  <c r="CW10"/>
  <c r="CX10"/>
  <c r="CY10"/>
  <c r="DK10"/>
  <c r="BN10" s="1"/>
  <c r="DM10"/>
  <c r="CF10" s="1"/>
  <c r="I9"/>
  <c r="J9"/>
  <c r="K9"/>
  <c r="N9"/>
  <c r="O9"/>
  <c r="AM9"/>
  <c r="AN9" s="1"/>
  <c r="BA9"/>
  <c r="BG9"/>
  <c r="BH9" s="1"/>
  <c r="CO9"/>
  <c r="CP9"/>
  <c r="CQ9"/>
  <c r="CS9"/>
  <c r="CT9"/>
  <c r="CU9"/>
  <c r="CW9"/>
  <c r="CX9"/>
  <c r="CY9"/>
  <c r="DD9"/>
  <c r="DG9" s="1"/>
  <c r="DH9" s="1"/>
  <c r="DK9"/>
  <c r="BN9" s="1"/>
  <c r="DM9"/>
  <c r="CF9" s="1"/>
  <c r="DK8"/>
  <c r="DK7"/>
  <c r="U39" i="96" l="1"/>
  <c r="U41" s="1"/>
  <c r="DB35" i="93"/>
  <c r="U35"/>
  <c r="AZ35"/>
  <c r="DA35"/>
  <c r="BC35"/>
  <c r="F35"/>
  <c r="DB34"/>
  <c r="U34"/>
  <c r="AZ34"/>
  <c r="DA34"/>
  <c r="BC34"/>
  <c r="F34"/>
  <c r="DB32"/>
  <c r="U32"/>
  <c r="AZ32"/>
  <c r="DA32"/>
  <c r="BC32"/>
  <c r="F32"/>
  <c r="DB30"/>
  <c r="U30"/>
  <c r="DB33"/>
  <c r="U33"/>
  <c r="AZ33"/>
  <c r="DA33"/>
  <c r="BC33"/>
  <c r="F33"/>
  <c r="DB31"/>
  <c r="U31"/>
  <c r="AZ31"/>
  <c r="DA31"/>
  <c r="BC31"/>
  <c r="F31"/>
  <c r="AZ30"/>
  <c r="DA30"/>
  <c r="BC30"/>
  <c r="F30"/>
  <c r="DA29"/>
  <c r="BC29"/>
  <c r="AZ29"/>
  <c r="F29"/>
  <c r="U29"/>
  <c r="DA28"/>
  <c r="BC28"/>
  <c r="AZ28"/>
  <c r="F28"/>
  <c r="U28"/>
  <c r="DA27"/>
  <c r="BC27"/>
  <c r="AZ27"/>
  <c r="F27"/>
  <c r="U27"/>
  <c r="AZ26"/>
  <c r="AZ25"/>
  <c r="AI24"/>
  <c r="H24"/>
  <c r="BI24"/>
  <c r="BB24"/>
  <c r="BD24" s="1"/>
  <c r="AX24"/>
  <c r="AF24"/>
  <c r="M24"/>
  <c r="T24"/>
  <c r="DB24" s="1"/>
  <c r="C24"/>
  <c r="D24" s="1"/>
  <c r="AN24"/>
  <c r="BH24"/>
  <c r="E19"/>
  <c r="AZ19" s="1"/>
  <c r="BI23"/>
  <c r="BB23"/>
  <c r="BD23" s="1"/>
  <c r="AX23"/>
  <c r="AF23"/>
  <c r="M23"/>
  <c r="AI23"/>
  <c r="H23"/>
  <c r="C23"/>
  <c r="D23" s="1"/>
  <c r="E23"/>
  <c r="R23"/>
  <c r="T23" s="1"/>
  <c r="AN23"/>
  <c r="BH23"/>
  <c r="BI22"/>
  <c r="BB22"/>
  <c r="BD22" s="1"/>
  <c r="AX22"/>
  <c r="AF22"/>
  <c r="M22"/>
  <c r="AI22"/>
  <c r="H22"/>
  <c r="C22"/>
  <c r="D22" s="1"/>
  <c r="E22"/>
  <c r="R22"/>
  <c r="T22" s="1"/>
  <c r="AN22"/>
  <c r="BH22"/>
  <c r="BI21"/>
  <c r="BB21"/>
  <c r="BD21" s="1"/>
  <c r="AX21"/>
  <c r="AF21"/>
  <c r="M21"/>
  <c r="BF21"/>
  <c r="BF22" s="1"/>
  <c r="BF23" s="1"/>
  <c r="BF24" s="1"/>
  <c r="BF25" s="1"/>
  <c r="BF26" s="1"/>
  <c r="BF27" s="1"/>
  <c r="BF28" s="1"/>
  <c r="BF29" s="1"/>
  <c r="BF30" s="1"/>
  <c r="BF31" s="1"/>
  <c r="BF32" s="1"/>
  <c r="BF33" s="1"/>
  <c r="BF34" s="1"/>
  <c r="BF35" s="1"/>
  <c r="BF36" s="1"/>
  <c r="AI21"/>
  <c r="H21"/>
  <c r="BJ21"/>
  <c r="BJ22" s="1"/>
  <c r="BJ23" s="1"/>
  <c r="BJ24" s="1"/>
  <c r="BJ25" s="1"/>
  <c r="BJ26" s="1"/>
  <c r="BJ27" s="1"/>
  <c r="BJ28" s="1"/>
  <c r="BJ29" s="1"/>
  <c r="BJ30" s="1"/>
  <c r="BJ31" s="1"/>
  <c r="BJ32" s="1"/>
  <c r="BJ33" s="1"/>
  <c r="BJ34" s="1"/>
  <c r="BJ35" s="1"/>
  <c r="BJ36" s="1"/>
  <c r="C21"/>
  <c r="D21" s="1"/>
  <c r="E21"/>
  <c r="R21"/>
  <c r="T21" s="1"/>
  <c r="AN21"/>
  <c r="BH21"/>
  <c r="BI20"/>
  <c r="BB20"/>
  <c r="BD20" s="1"/>
  <c r="AX20"/>
  <c r="AF20"/>
  <c r="M20"/>
  <c r="BF20"/>
  <c r="AI20"/>
  <c r="H20"/>
  <c r="BJ20"/>
  <c r="C20"/>
  <c r="D20" s="1"/>
  <c r="E20"/>
  <c r="R20"/>
  <c r="T20" s="1"/>
  <c r="AN20"/>
  <c r="BH20"/>
  <c r="E17"/>
  <c r="BC17" s="1"/>
  <c r="F19"/>
  <c r="U19"/>
  <c r="DB19"/>
  <c r="DA19"/>
  <c r="DA18"/>
  <c r="DA15"/>
  <c r="DA17"/>
  <c r="AF19"/>
  <c r="M19"/>
  <c r="BI18"/>
  <c r="BJ18" s="1"/>
  <c r="BJ19" s="1"/>
  <c r="BB18"/>
  <c r="BD18" s="1"/>
  <c r="AX18"/>
  <c r="AI18"/>
  <c r="U18"/>
  <c r="H18"/>
  <c r="E18"/>
  <c r="BC18" s="1"/>
  <c r="BB17"/>
  <c r="BD17" s="1"/>
  <c r="AX17"/>
  <c r="AF17"/>
  <c r="M17"/>
  <c r="F17"/>
  <c r="AY16"/>
  <c r="DA16" s="1"/>
  <c r="E16"/>
  <c r="BC16" s="1"/>
  <c r="BB15"/>
  <c r="BD15" s="1"/>
  <c r="AX15"/>
  <c r="AF15"/>
  <c r="M15"/>
  <c r="F15"/>
  <c r="AF18"/>
  <c r="M18"/>
  <c r="AI17"/>
  <c r="U17"/>
  <c r="AI15"/>
  <c r="U15"/>
  <c r="E15"/>
  <c r="BC15" s="1"/>
  <c r="BI14"/>
  <c r="BB14"/>
  <c r="BD14" s="1"/>
  <c r="AX14"/>
  <c r="AF14"/>
  <c r="M14"/>
  <c r="BF14"/>
  <c r="AI14"/>
  <c r="H14"/>
  <c r="BJ14"/>
  <c r="C14"/>
  <c r="D14" s="1"/>
  <c r="E14"/>
  <c r="R14"/>
  <c r="T14" s="1"/>
  <c r="AN14"/>
  <c r="BH14"/>
  <c r="DA14" i="92"/>
  <c r="BB14"/>
  <c r="BD14" s="1"/>
  <c r="AX14"/>
  <c r="AF14"/>
  <c r="M14"/>
  <c r="F14"/>
  <c r="BJ14"/>
  <c r="AI14"/>
  <c r="U14"/>
  <c r="E14"/>
  <c r="BC14" s="1"/>
  <c r="DA13"/>
  <c r="AX13"/>
  <c r="AF13"/>
  <c r="M13"/>
  <c r="F13"/>
  <c r="BJ13"/>
  <c r="AI13"/>
  <c r="U13"/>
  <c r="E13"/>
  <c r="BC13" s="1"/>
  <c r="AY12"/>
  <c r="E12"/>
  <c r="BC12" s="1"/>
  <c r="AY11"/>
  <c r="E11"/>
  <c r="BC11" s="1"/>
  <c r="AY10"/>
  <c r="E10"/>
  <c r="BC10" s="1"/>
  <c r="AY9"/>
  <c r="E9"/>
  <c r="BC9" s="1"/>
  <c r="BI13" i="93"/>
  <c r="BB13"/>
  <c r="BD13" s="1"/>
  <c r="AX13"/>
  <c r="AF13"/>
  <c r="M13"/>
  <c r="BF13"/>
  <c r="AI13"/>
  <c r="H13"/>
  <c r="BJ13"/>
  <c r="C13"/>
  <c r="D13" s="1"/>
  <c r="E13"/>
  <c r="R13"/>
  <c r="T13" s="1"/>
  <c r="AN13"/>
  <c r="BH13"/>
  <c r="DA12"/>
  <c r="BJ12"/>
  <c r="AF12"/>
  <c r="M12"/>
  <c r="F12"/>
  <c r="BB12"/>
  <c r="BD12" s="1"/>
  <c r="AX12"/>
  <c r="AI12"/>
  <c r="U12"/>
  <c r="E12"/>
  <c r="BC12" s="1"/>
  <c r="DA11"/>
  <c r="BJ11"/>
  <c r="AF11"/>
  <c r="M11"/>
  <c r="F11"/>
  <c r="BB11"/>
  <c r="BD11" s="1"/>
  <c r="AX11"/>
  <c r="AI11"/>
  <c r="U11"/>
  <c r="E11"/>
  <c r="AZ11" s="1"/>
  <c r="BI10"/>
  <c r="BJ10" s="1"/>
  <c r="BB10"/>
  <c r="BD10" s="1"/>
  <c r="AX10"/>
  <c r="AF10"/>
  <c r="M10"/>
  <c r="BF10"/>
  <c r="AI10"/>
  <c r="H10"/>
  <c r="C10"/>
  <c r="D10" s="1"/>
  <c r="E10"/>
  <c r="R10"/>
  <c r="T10" s="1"/>
  <c r="AN10"/>
  <c r="BH10"/>
  <c r="DA9"/>
  <c r="AF9"/>
  <c r="M9"/>
  <c r="F9"/>
  <c r="BB9"/>
  <c r="BD9" s="1"/>
  <c r="AX9"/>
  <c r="AI9"/>
  <c r="U9"/>
  <c r="E9"/>
  <c r="BC9" s="1"/>
  <c r="BI8"/>
  <c r="BB8"/>
  <c r="BD8" s="1"/>
  <c r="AX8"/>
  <c r="AF8"/>
  <c r="M8"/>
  <c r="BF8"/>
  <c r="AI8"/>
  <c r="H8"/>
  <c r="BJ8"/>
  <c r="C8"/>
  <c r="D8" s="1"/>
  <c r="E8"/>
  <c r="R8"/>
  <c r="T8" s="1"/>
  <c r="AN8"/>
  <c r="BH8"/>
  <c r="L36" i="95"/>
  <c r="B36"/>
  <c r="CR36"/>
  <c r="P36"/>
  <c r="Q36"/>
  <c r="CV36"/>
  <c r="AF36"/>
  <c r="M36"/>
  <c r="BB36"/>
  <c r="BD36" s="1"/>
  <c r="AX36"/>
  <c r="AI36"/>
  <c r="P35"/>
  <c r="CV35"/>
  <c r="Q35"/>
  <c r="L35"/>
  <c r="CR35"/>
  <c r="B35"/>
  <c r="AY35"/>
  <c r="P34"/>
  <c r="CV34"/>
  <c r="Q34"/>
  <c r="L34"/>
  <c r="CR34"/>
  <c r="B34"/>
  <c r="AY34"/>
  <c r="P33"/>
  <c r="CV33"/>
  <c r="Q33"/>
  <c r="L33"/>
  <c r="CR33"/>
  <c r="B33"/>
  <c r="AY33"/>
  <c r="P32"/>
  <c r="CV32"/>
  <c r="Q32"/>
  <c r="L32"/>
  <c r="CR32"/>
  <c r="B32"/>
  <c r="AY32"/>
  <c r="P31"/>
  <c r="CV31"/>
  <c r="Q31"/>
  <c r="L31"/>
  <c r="CR31"/>
  <c r="B31"/>
  <c r="AY31"/>
  <c r="P30"/>
  <c r="CV30"/>
  <c r="Q30"/>
  <c r="L30"/>
  <c r="CR30"/>
  <c r="B30"/>
  <c r="AY30"/>
  <c r="P29"/>
  <c r="CV29"/>
  <c r="Q29"/>
  <c r="L29"/>
  <c r="CR29"/>
  <c r="B29"/>
  <c r="AY29"/>
  <c r="P28"/>
  <c r="CV28"/>
  <c r="Q28"/>
  <c r="L28"/>
  <c r="CR28"/>
  <c r="B28"/>
  <c r="AY28"/>
  <c r="P27"/>
  <c r="CV27"/>
  <c r="Q27"/>
  <c r="L27"/>
  <c r="CR27"/>
  <c r="B27"/>
  <c r="AY27"/>
  <c r="L26"/>
  <c r="B26"/>
  <c r="CR26"/>
  <c r="P26"/>
  <c r="Q26"/>
  <c r="CV26"/>
  <c r="BJ26"/>
  <c r="AF26"/>
  <c r="M26"/>
  <c r="BB26"/>
  <c r="BD26" s="1"/>
  <c r="AX26"/>
  <c r="AI26"/>
  <c r="P25"/>
  <c r="CV25"/>
  <c r="Q25"/>
  <c r="L25"/>
  <c r="CR25"/>
  <c r="B25"/>
  <c r="AY25"/>
  <c r="L24"/>
  <c r="CR24"/>
  <c r="B24"/>
  <c r="P24"/>
  <c r="CV24"/>
  <c r="Q24"/>
  <c r="AX24"/>
  <c r="AF24"/>
  <c r="M24"/>
  <c r="BJ24"/>
  <c r="AI24"/>
  <c r="P23"/>
  <c r="CV23"/>
  <c r="Q23"/>
  <c r="L23"/>
  <c r="CR23"/>
  <c r="B23"/>
  <c r="AY23"/>
  <c r="P22"/>
  <c r="CV22"/>
  <c r="Q22"/>
  <c r="L22"/>
  <c r="CR22"/>
  <c r="B22"/>
  <c r="AY22"/>
  <c r="L21"/>
  <c r="CR21"/>
  <c r="B21"/>
  <c r="P21"/>
  <c r="CV21"/>
  <c r="Q21"/>
  <c r="AX21"/>
  <c r="AF21"/>
  <c r="M21"/>
  <c r="BJ21"/>
  <c r="AI21"/>
  <c r="P20"/>
  <c r="CV20"/>
  <c r="Q20"/>
  <c r="L20"/>
  <c r="CR20"/>
  <c r="B20"/>
  <c r="AY20"/>
  <c r="L19"/>
  <c r="CR19"/>
  <c r="B19"/>
  <c r="P19"/>
  <c r="CV19"/>
  <c r="Q19"/>
  <c r="AX19"/>
  <c r="AF19"/>
  <c r="M19"/>
  <c r="BJ19"/>
  <c r="AI19"/>
  <c r="P18"/>
  <c r="CV18"/>
  <c r="Q18"/>
  <c r="L18"/>
  <c r="CR18"/>
  <c r="B18"/>
  <c r="AY18"/>
  <c r="P17"/>
  <c r="CV17"/>
  <c r="Q17"/>
  <c r="L17"/>
  <c r="CR17"/>
  <c r="B17"/>
  <c r="AY17"/>
  <c r="L16"/>
  <c r="B16"/>
  <c r="CR16"/>
  <c r="P16"/>
  <c r="Q16"/>
  <c r="CV16"/>
  <c r="BJ16"/>
  <c r="AF16"/>
  <c r="M16"/>
  <c r="BB16"/>
  <c r="BD16" s="1"/>
  <c r="AX16"/>
  <c r="AI16"/>
  <c r="L15"/>
  <c r="CR15"/>
  <c r="B15"/>
  <c r="P15"/>
  <c r="CV15"/>
  <c r="Q15"/>
  <c r="AX15"/>
  <c r="AF15"/>
  <c r="M15"/>
  <c r="BJ15"/>
  <c r="AI15"/>
  <c r="P14"/>
  <c r="CV14"/>
  <c r="Q14"/>
  <c r="L14"/>
  <c r="CR14"/>
  <c r="B14"/>
  <c r="AY14"/>
  <c r="L13"/>
  <c r="CR13"/>
  <c r="B13"/>
  <c r="P13"/>
  <c r="CV13"/>
  <c r="Q13"/>
  <c r="AX13"/>
  <c r="AF13"/>
  <c r="M13"/>
  <c r="BJ13"/>
  <c r="AI13"/>
  <c r="L12"/>
  <c r="CR12"/>
  <c r="B12"/>
  <c r="P12"/>
  <c r="CV12"/>
  <c r="Q12"/>
  <c r="AX12"/>
  <c r="AF12"/>
  <c r="M12"/>
  <c r="BJ12"/>
  <c r="AI12"/>
  <c r="P11"/>
  <c r="CV11"/>
  <c r="Q11"/>
  <c r="L11"/>
  <c r="CR11"/>
  <c r="B11"/>
  <c r="AY11"/>
  <c r="L10"/>
  <c r="CR10"/>
  <c r="B10"/>
  <c r="P10"/>
  <c r="CV10"/>
  <c r="Q10"/>
  <c r="AX10"/>
  <c r="AF10"/>
  <c r="M10"/>
  <c r="BJ10"/>
  <c r="AI10"/>
  <c r="P9"/>
  <c r="CV9"/>
  <c r="Q9"/>
  <c r="L9"/>
  <c r="CR9"/>
  <c r="B9"/>
  <c r="AY9"/>
  <c r="BN7"/>
  <c r="Q8"/>
  <c r="Q7"/>
  <c r="CF8"/>
  <c r="CF7"/>
  <c r="DM8"/>
  <c r="DM7"/>
  <c r="BN8"/>
  <c r="B8" s="1"/>
  <c r="BD59"/>
  <c r="AT46"/>
  <c r="AT43"/>
  <c r="AS39"/>
  <c r="AQ39"/>
  <c r="AP39"/>
  <c r="AD39"/>
  <c r="AC39"/>
  <c r="Z39"/>
  <c r="Z41" s="1"/>
  <c r="Y39"/>
  <c r="CI38"/>
  <c r="CM39" s="1"/>
  <c r="CH38"/>
  <c r="CL39" s="1"/>
  <c r="CG38"/>
  <c r="CK39" s="1"/>
  <c r="BQ38"/>
  <c r="BX39" s="1"/>
  <c r="BP38"/>
  <c r="CD39" s="1"/>
  <c r="BO38"/>
  <c r="BV39" s="1"/>
  <c r="BM38"/>
  <c r="BT39" s="1"/>
  <c r="BL38"/>
  <c r="BZ39" s="1"/>
  <c r="BK38"/>
  <c r="BR39" s="1"/>
  <c r="BG38"/>
  <c r="AW38"/>
  <c r="AW39" s="1"/>
  <c r="AV38"/>
  <c r="AV39" s="1"/>
  <c r="AU38"/>
  <c r="AU39" s="1"/>
  <c r="AT38"/>
  <c r="AT41" s="1"/>
  <c r="AL38"/>
  <c r="AL39" s="1"/>
  <c r="AJ38"/>
  <c r="AJ39" s="1"/>
  <c r="AH38"/>
  <c r="AH39" s="1"/>
  <c r="AG38"/>
  <c r="AG39" s="1"/>
  <c r="AE38"/>
  <c r="AE39" s="1"/>
  <c r="AD38"/>
  <c r="W38"/>
  <c r="W39" s="1"/>
  <c r="V38"/>
  <c r="V39" s="1"/>
  <c r="S38"/>
  <c r="S39" s="1"/>
  <c r="G38"/>
  <c r="G39" s="1"/>
  <c r="G41" s="1"/>
  <c r="DH37"/>
  <c r="AZ37" s="1"/>
  <c r="CY37"/>
  <c r="CX37"/>
  <c r="CW37"/>
  <c r="CV37"/>
  <c r="CU37"/>
  <c r="CT37"/>
  <c r="CS37"/>
  <c r="CR37"/>
  <c r="CQ37"/>
  <c r="CP37"/>
  <c r="CO37"/>
  <c r="BG37"/>
  <c r="BA37"/>
  <c r="AM37"/>
  <c r="AY37" s="1"/>
  <c r="Q37"/>
  <c r="R37" s="1"/>
  <c r="P37"/>
  <c r="O37"/>
  <c r="N37"/>
  <c r="L37"/>
  <c r="K37"/>
  <c r="J37"/>
  <c r="DD37" s="1"/>
  <c r="DG37" s="1"/>
  <c r="I37"/>
  <c r="B37"/>
  <c r="E37" s="1"/>
  <c r="CY8"/>
  <c r="CX8"/>
  <c r="CW8"/>
  <c r="CV8"/>
  <c r="CU8"/>
  <c r="CT8"/>
  <c r="CS8"/>
  <c r="CR8"/>
  <c r="CQ8"/>
  <c r="CP8"/>
  <c r="CO8"/>
  <c r="BG8"/>
  <c r="BA8"/>
  <c r="AY8"/>
  <c r="BI8" s="1"/>
  <c r="AN8"/>
  <c r="AM8"/>
  <c r="R8"/>
  <c r="P8"/>
  <c r="O8"/>
  <c r="N8"/>
  <c r="K8"/>
  <c r="J8"/>
  <c r="DD8" s="1"/>
  <c r="DG8" s="1"/>
  <c r="DH8" s="1"/>
  <c r="I8"/>
  <c r="H8"/>
  <c r="CY7"/>
  <c r="CY38" s="1"/>
  <c r="CX7"/>
  <c r="CX38" s="1"/>
  <c r="CW7"/>
  <c r="CW38" s="1"/>
  <c r="CU7"/>
  <c r="CU38" s="1"/>
  <c r="CT7"/>
  <c r="CT38" s="1"/>
  <c r="CS7"/>
  <c r="CS38" s="1"/>
  <c r="CQ7"/>
  <c r="CQ38" s="1"/>
  <c r="CP7"/>
  <c r="CP38" s="1"/>
  <c r="CO7"/>
  <c r="CO38" s="1"/>
  <c r="BH7"/>
  <c r="BH8" s="1"/>
  <c r="BG7"/>
  <c r="BA7"/>
  <c r="BA38" s="1"/>
  <c r="AY7"/>
  <c r="AN7"/>
  <c r="AM7"/>
  <c r="AM38" s="1"/>
  <c r="AI7"/>
  <c r="O7"/>
  <c r="N7"/>
  <c r="K7"/>
  <c r="J7"/>
  <c r="I7"/>
  <c r="H7"/>
  <c r="DA24" i="93" l="1"/>
  <c r="BC24"/>
  <c r="AZ24"/>
  <c r="F24"/>
  <c r="U24"/>
  <c r="BC19"/>
  <c r="DB23"/>
  <c r="U23"/>
  <c r="AZ23"/>
  <c r="DA23"/>
  <c r="BC23"/>
  <c r="F23"/>
  <c r="DB22"/>
  <c r="U22"/>
  <c r="AZ22"/>
  <c r="DA22"/>
  <c r="BC22"/>
  <c r="F22"/>
  <c r="DB21"/>
  <c r="U21"/>
  <c r="AZ21"/>
  <c r="DA21"/>
  <c r="BC21"/>
  <c r="F21"/>
  <c r="DB20"/>
  <c r="U20"/>
  <c r="AZ20"/>
  <c r="DA20"/>
  <c r="BC20"/>
  <c r="F20"/>
  <c r="DB16"/>
  <c r="F16"/>
  <c r="M16"/>
  <c r="AF16"/>
  <c r="AX16"/>
  <c r="BB16"/>
  <c r="BD16" s="1"/>
  <c r="H16"/>
  <c r="U16"/>
  <c r="AI16"/>
  <c r="BF16"/>
  <c r="BF17" s="1"/>
  <c r="BF18" s="1"/>
  <c r="BF19" s="1"/>
  <c r="AZ18"/>
  <c r="DB14"/>
  <c r="U14"/>
  <c r="AZ14"/>
  <c r="DA14"/>
  <c r="BC14"/>
  <c r="F14"/>
  <c r="AZ14" i="92"/>
  <c r="AZ13"/>
  <c r="H12"/>
  <c r="U12"/>
  <c r="AI12"/>
  <c r="BF12"/>
  <c r="F12"/>
  <c r="M12"/>
  <c r="AF12"/>
  <c r="AX12"/>
  <c r="BB12"/>
  <c r="BD12" s="1"/>
  <c r="BI12"/>
  <c r="BJ12" s="1"/>
  <c r="DA12"/>
  <c r="DB12"/>
  <c r="AZ12"/>
  <c r="H11"/>
  <c r="U11"/>
  <c r="AI11"/>
  <c r="BF11"/>
  <c r="F11"/>
  <c r="M11"/>
  <c r="AF11"/>
  <c r="AX11"/>
  <c r="BB11"/>
  <c r="BD11" s="1"/>
  <c r="BI11"/>
  <c r="BJ11" s="1"/>
  <c r="DB11"/>
  <c r="DA11"/>
  <c r="AZ11"/>
  <c r="H10"/>
  <c r="U10"/>
  <c r="AI10"/>
  <c r="BF10"/>
  <c r="F10"/>
  <c r="M10"/>
  <c r="AF10"/>
  <c r="AX10"/>
  <c r="BB10"/>
  <c r="BD10" s="1"/>
  <c r="BI10"/>
  <c r="BJ10" s="1"/>
  <c r="DB10"/>
  <c r="AZ10"/>
  <c r="DA10"/>
  <c r="H9"/>
  <c r="U9"/>
  <c r="AI9"/>
  <c r="BF9"/>
  <c r="F9"/>
  <c r="M9"/>
  <c r="AF9"/>
  <c r="AX9"/>
  <c r="BB9"/>
  <c r="BD9" s="1"/>
  <c r="BI9"/>
  <c r="BJ9" s="1"/>
  <c r="AZ9"/>
  <c r="DB9"/>
  <c r="DA9"/>
  <c r="DB13" i="93"/>
  <c r="U13"/>
  <c r="AZ13"/>
  <c r="DA13"/>
  <c r="BC13"/>
  <c r="F13"/>
  <c r="AZ12"/>
  <c r="BC11"/>
  <c r="DB10"/>
  <c r="U10"/>
  <c r="AZ10"/>
  <c r="DA10"/>
  <c r="BC10"/>
  <c r="F10"/>
  <c r="AZ9"/>
  <c r="DB8"/>
  <c r="U8"/>
  <c r="AZ8"/>
  <c r="DA8"/>
  <c r="BC8"/>
  <c r="F8"/>
  <c r="R36" i="95"/>
  <c r="T36" s="1"/>
  <c r="C36"/>
  <c r="E36"/>
  <c r="D36"/>
  <c r="H35"/>
  <c r="AI35"/>
  <c r="BF35"/>
  <c r="M35"/>
  <c r="AF35"/>
  <c r="AX35"/>
  <c r="BB35"/>
  <c r="BD35" s="1"/>
  <c r="BI35"/>
  <c r="BJ35" s="1"/>
  <c r="C35"/>
  <c r="E35"/>
  <c r="D35"/>
  <c r="R35"/>
  <c r="T35" s="1"/>
  <c r="H34"/>
  <c r="AI34"/>
  <c r="BF34"/>
  <c r="M34"/>
  <c r="AF34"/>
  <c r="AX34"/>
  <c r="BB34"/>
  <c r="BD34" s="1"/>
  <c r="BI34"/>
  <c r="BJ34" s="1"/>
  <c r="R34"/>
  <c r="T34" s="1"/>
  <c r="C34"/>
  <c r="E34"/>
  <c r="D34"/>
  <c r="F34" s="1"/>
  <c r="H33"/>
  <c r="AI33"/>
  <c r="BF33"/>
  <c r="M33"/>
  <c r="AF33"/>
  <c r="AX33"/>
  <c r="BB33"/>
  <c r="BD33" s="1"/>
  <c r="BI33"/>
  <c r="BJ33" s="1"/>
  <c r="C33"/>
  <c r="E33"/>
  <c r="D33"/>
  <c r="R33"/>
  <c r="T33" s="1"/>
  <c r="C32"/>
  <c r="E32"/>
  <c r="D32"/>
  <c r="R32"/>
  <c r="T32" s="1"/>
  <c r="H32"/>
  <c r="AI32"/>
  <c r="BF32"/>
  <c r="F32"/>
  <c r="M32"/>
  <c r="AF32"/>
  <c r="AX32"/>
  <c r="BB32"/>
  <c r="BD32" s="1"/>
  <c r="BI32"/>
  <c r="BJ32" s="1"/>
  <c r="H31"/>
  <c r="AI31"/>
  <c r="BF31"/>
  <c r="M31"/>
  <c r="AF31"/>
  <c r="AX31"/>
  <c r="BB31"/>
  <c r="BD31" s="1"/>
  <c r="BI31"/>
  <c r="BJ31" s="1"/>
  <c r="C31"/>
  <c r="E31"/>
  <c r="D31"/>
  <c r="R31"/>
  <c r="T31" s="1"/>
  <c r="H30"/>
  <c r="AI30"/>
  <c r="BF30"/>
  <c r="M30"/>
  <c r="AF30"/>
  <c r="AX30"/>
  <c r="BB30"/>
  <c r="BD30" s="1"/>
  <c r="BI30"/>
  <c r="BJ30" s="1"/>
  <c r="R30"/>
  <c r="T30" s="1"/>
  <c r="C30"/>
  <c r="E30"/>
  <c r="D30"/>
  <c r="F30" s="1"/>
  <c r="H29"/>
  <c r="AI29"/>
  <c r="BF29"/>
  <c r="M29"/>
  <c r="AF29"/>
  <c r="AX29"/>
  <c r="BB29"/>
  <c r="BD29" s="1"/>
  <c r="BI29"/>
  <c r="BJ29" s="1"/>
  <c r="C29"/>
  <c r="E29"/>
  <c r="D29"/>
  <c r="R29"/>
  <c r="T29" s="1"/>
  <c r="C28"/>
  <c r="E28"/>
  <c r="D28"/>
  <c r="R28"/>
  <c r="T28" s="1"/>
  <c r="H28"/>
  <c r="AI28"/>
  <c r="BF28"/>
  <c r="F28"/>
  <c r="M28"/>
  <c r="AF28"/>
  <c r="AX28"/>
  <c r="BB28"/>
  <c r="BD28" s="1"/>
  <c r="BI28"/>
  <c r="BJ28" s="1"/>
  <c r="H27"/>
  <c r="AI27"/>
  <c r="BF27"/>
  <c r="M27"/>
  <c r="AF27"/>
  <c r="AX27"/>
  <c r="BB27"/>
  <c r="BD27" s="1"/>
  <c r="BI27"/>
  <c r="BJ27" s="1"/>
  <c r="C27"/>
  <c r="E27"/>
  <c r="D27"/>
  <c r="R27"/>
  <c r="T27" s="1"/>
  <c r="R26"/>
  <c r="T26" s="1"/>
  <c r="C26"/>
  <c r="E26"/>
  <c r="D26"/>
  <c r="C25"/>
  <c r="E25"/>
  <c r="D25"/>
  <c r="H25"/>
  <c r="AI25"/>
  <c r="BF25"/>
  <c r="F25"/>
  <c r="M25"/>
  <c r="AF25"/>
  <c r="AX25"/>
  <c r="BB25"/>
  <c r="BD25" s="1"/>
  <c r="BI25"/>
  <c r="BJ25" s="1"/>
  <c r="R25"/>
  <c r="T25" s="1"/>
  <c r="C24"/>
  <c r="E24"/>
  <c r="D24"/>
  <c r="R24"/>
  <c r="T24"/>
  <c r="H23"/>
  <c r="AI23"/>
  <c r="BF23"/>
  <c r="M23"/>
  <c r="AF23"/>
  <c r="AX23"/>
  <c r="BB23"/>
  <c r="BD23" s="1"/>
  <c r="BI23"/>
  <c r="BJ23" s="1"/>
  <c r="C23"/>
  <c r="E23"/>
  <c r="D23"/>
  <c r="R23"/>
  <c r="T23"/>
  <c r="DB23" s="1"/>
  <c r="H22"/>
  <c r="AI22"/>
  <c r="BF22"/>
  <c r="M22"/>
  <c r="AF22"/>
  <c r="AX22"/>
  <c r="BB22"/>
  <c r="BD22" s="1"/>
  <c r="BI22"/>
  <c r="BJ22" s="1"/>
  <c r="R22"/>
  <c r="T22"/>
  <c r="DB22" s="1"/>
  <c r="C22"/>
  <c r="E22"/>
  <c r="D22"/>
  <c r="R21"/>
  <c r="T21" s="1"/>
  <c r="C21"/>
  <c r="E21"/>
  <c r="D21"/>
  <c r="H20"/>
  <c r="AI20"/>
  <c r="BF20"/>
  <c r="M20"/>
  <c r="AF20"/>
  <c r="AX20"/>
  <c r="BB20"/>
  <c r="BD20" s="1"/>
  <c r="BI20"/>
  <c r="BJ20" s="1"/>
  <c r="C20"/>
  <c r="E20"/>
  <c r="D20"/>
  <c r="F20" s="1"/>
  <c r="R20"/>
  <c r="T20"/>
  <c r="DB20" s="1"/>
  <c r="R19"/>
  <c r="T19" s="1"/>
  <c r="C19"/>
  <c r="E19"/>
  <c r="D19"/>
  <c r="C18"/>
  <c r="E18"/>
  <c r="D18"/>
  <c r="H18"/>
  <c r="AI18"/>
  <c r="BF18"/>
  <c r="F18"/>
  <c r="M18"/>
  <c r="AF18"/>
  <c r="AX18"/>
  <c r="BB18"/>
  <c r="BD18" s="1"/>
  <c r="BI18"/>
  <c r="BJ18" s="1"/>
  <c r="R18"/>
  <c r="T18"/>
  <c r="DB18" s="1"/>
  <c r="R17"/>
  <c r="T17" s="1"/>
  <c r="H17"/>
  <c r="AI17"/>
  <c r="BF17"/>
  <c r="M17"/>
  <c r="AF17"/>
  <c r="AX17"/>
  <c r="BB17"/>
  <c r="BD17" s="1"/>
  <c r="BI17"/>
  <c r="BJ17" s="1"/>
  <c r="C17"/>
  <c r="E17"/>
  <c r="D17"/>
  <c r="R16"/>
  <c r="T16"/>
  <c r="C16"/>
  <c r="E16"/>
  <c r="D16"/>
  <c r="R15"/>
  <c r="T15" s="1"/>
  <c r="C15"/>
  <c r="E15"/>
  <c r="D15"/>
  <c r="H14"/>
  <c r="AI14"/>
  <c r="BF14"/>
  <c r="M14"/>
  <c r="AF14"/>
  <c r="AX14"/>
  <c r="BB14"/>
  <c r="BD14" s="1"/>
  <c r="BI14"/>
  <c r="BJ14" s="1"/>
  <c r="C14"/>
  <c r="E14"/>
  <c r="D14"/>
  <c r="R14"/>
  <c r="T14"/>
  <c r="DB14" s="1"/>
  <c r="R13"/>
  <c r="T13" s="1"/>
  <c r="C13"/>
  <c r="E13"/>
  <c r="D13"/>
  <c r="R12"/>
  <c r="T12" s="1"/>
  <c r="C12"/>
  <c r="E12"/>
  <c r="D12"/>
  <c r="H11"/>
  <c r="AI11"/>
  <c r="BF11"/>
  <c r="M11"/>
  <c r="AF11"/>
  <c r="AX11"/>
  <c r="BB11"/>
  <c r="BD11" s="1"/>
  <c r="BI11"/>
  <c r="BJ11" s="1"/>
  <c r="C11"/>
  <c r="E11"/>
  <c r="D11"/>
  <c r="R11"/>
  <c r="T11" s="1"/>
  <c r="C10"/>
  <c r="E10"/>
  <c r="D10"/>
  <c r="R10"/>
  <c r="T10"/>
  <c r="H9"/>
  <c r="AI9"/>
  <c r="BF9"/>
  <c r="M9"/>
  <c r="AF9"/>
  <c r="AX9"/>
  <c r="BB9"/>
  <c r="BD9" s="1"/>
  <c r="BI9"/>
  <c r="BJ9" s="1"/>
  <c r="C9"/>
  <c r="E9"/>
  <c r="D9"/>
  <c r="R9"/>
  <c r="T9"/>
  <c r="DB9" s="1"/>
  <c r="E8"/>
  <c r="C8"/>
  <c r="D8" s="1"/>
  <c r="L8"/>
  <c r="B7"/>
  <c r="E7" s="1"/>
  <c r="L7"/>
  <c r="J38"/>
  <c r="J39" s="1"/>
  <c r="N38"/>
  <c r="N39" s="1"/>
  <c r="I38"/>
  <c r="I39" s="1"/>
  <c r="I41" s="1"/>
  <c r="K38"/>
  <c r="K39" s="1"/>
  <c r="O38"/>
  <c r="O39" s="1"/>
  <c r="Q38"/>
  <c r="CF38"/>
  <c r="CJ39" s="1"/>
  <c r="T8"/>
  <c r="DB8" s="1"/>
  <c r="P7"/>
  <c r="P38" s="1"/>
  <c r="P39" s="1"/>
  <c r="R7"/>
  <c r="T7" s="1"/>
  <c r="CV7"/>
  <c r="CV38" s="1"/>
  <c r="CV39" s="1"/>
  <c r="BH37"/>
  <c r="BN38"/>
  <c r="CB39" s="1"/>
  <c r="CR7"/>
  <c r="CR38" s="1"/>
  <c r="CQ39" s="1"/>
  <c r="AI37"/>
  <c r="U37"/>
  <c r="H37"/>
  <c r="BI37"/>
  <c r="BB37"/>
  <c r="BD37" s="1"/>
  <c r="AX37"/>
  <c r="AF37"/>
  <c r="M37"/>
  <c r="F37"/>
  <c r="U8"/>
  <c r="AI8"/>
  <c r="AY38"/>
  <c r="AB39" s="1"/>
  <c r="AM44"/>
  <c r="AM39"/>
  <c r="BF7"/>
  <c r="BF8" s="1"/>
  <c r="DD7"/>
  <c r="AF7"/>
  <c r="AX7"/>
  <c r="BB7"/>
  <c r="BD7" s="1"/>
  <c r="BI7"/>
  <c r="CO39"/>
  <c r="M8"/>
  <c r="AF8"/>
  <c r="AX8"/>
  <c r="BB8"/>
  <c r="BD8" s="1"/>
  <c r="T37"/>
  <c r="DB37" s="1"/>
  <c r="AT39"/>
  <c r="BS39"/>
  <c r="BU39"/>
  <c r="BW39"/>
  <c r="BY39"/>
  <c r="CA39"/>
  <c r="CC39"/>
  <c r="CE39"/>
  <c r="L46"/>
  <c r="C37"/>
  <c r="D37" s="1"/>
  <c r="AN37"/>
  <c r="BD59" i="93"/>
  <c r="AT46"/>
  <c r="AT43"/>
  <c r="AS39"/>
  <c r="AQ39"/>
  <c r="AP39"/>
  <c r="AD39"/>
  <c r="AC39"/>
  <c r="Z39"/>
  <c r="Z41" s="1"/>
  <c r="Y39"/>
  <c r="CI38"/>
  <c r="CM39" s="1"/>
  <c r="CH38"/>
  <c r="CL39" s="1"/>
  <c r="CG38"/>
  <c r="CK39" s="1"/>
  <c r="CF38"/>
  <c r="CJ39" s="1"/>
  <c r="BQ38"/>
  <c r="BX39" s="1"/>
  <c r="BP38"/>
  <c r="CD39" s="1"/>
  <c r="BO38"/>
  <c r="BV39" s="1"/>
  <c r="BN38"/>
  <c r="CB39" s="1"/>
  <c r="BM38"/>
  <c r="BT39" s="1"/>
  <c r="BL38"/>
  <c r="BZ39" s="1"/>
  <c r="BK38"/>
  <c r="BR39" s="1"/>
  <c r="BG38"/>
  <c r="AW38"/>
  <c r="AW39" s="1"/>
  <c r="AV38"/>
  <c r="AV39" s="1"/>
  <c r="AU38"/>
  <c r="AU39" s="1"/>
  <c r="AT38"/>
  <c r="AT41" s="1"/>
  <c r="AL38"/>
  <c r="AL39" s="1"/>
  <c r="AJ38"/>
  <c r="AJ39" s="1"/>
  <c r="AH38"/>
  <c r="AH39" s="1"/>
  <c r="AG38"/>
  <c r="AG39" s="1"/>
  <c r="AE38"/>
  <c r="AE39" s="1"/>
  <c r="AD38"/>
  <c r="W38"/>
  <c r="W39" s="1"/>
  <c r="V38"/>
  <c r="V39" s="1"/>
  <c r="S38"/>
  <c r="S39" s="1"/>
  <c r="G38"/>
  <c r="G39" s="1"/>
  <c r="G41" s="1"/>
  <c r="DJ37"/>
  <c r="CY7"/>
  <c r="CX7"/>
  <c r="CX38" s="1"/>
  <c r="CW7"/>
  <c r="CW38" s="1"/>
  <c r="CV7"/>
  <c r="CV38" s="1"/>
  <c r="CU7"/>
  <c r="CU38" s="1"/>
  <c r="CT7"/>
  <c r="CT38" s="1"/>
  <c r="CS7"/>
  <c r="CS38" s="1"/>
  <c r="CR7"/>
  <c r="CR38" s="1"/>
  <c r="CQ7"/>
  <c r="CQ38" s="1"/>
  <c r="CP7"/>
  <c r="CP38" s="1"/>
  <c r="CO7"/>
  <c r="CO38" s="1"/>
  <c r="BH7"/>
  <c r="BG7"/>
  <c r="BA7"/>
  <c r="BA38" s="1"/>
  <c r="AY7"/>
  <c r="BI7" s="1"/>
  <c r="AN7"/>
  <c r="AM38"/>
  <c r="AI7"/>
  <c r="Q7"/>
  <c r="R7" s="1"/>
  <c r="P7"/>
  <c r="P38" s="1"/>
  <c r="P39" s="1"/>
  <c r="O7"/>
  <c r="N7"/>
  <c r="M7"/>
  <c r="L7"/>
  <c r="K7"/>
  <c r="J7"/>
  <c r="I7"/>
  <c r="H7"/>
  <c r="B7"/>
  <c r="CY36" i="91"/>
  <c r="CX36"/>
  <c r="CW36"/>
  <c r="CV36"/>
  <c r="CU36"/>
  <c r="CT36"/>
  <c r="CS36"/>
  <c r="CR36"/>
  <c r="CQ36"/>
  <c r="CP36"/>
  <c r="CO36"/>
  <c r="BG36"/>
  <c r="BA36"/>
  <c r="AY36"/>
  <c r="BI36" s="1"/>
  <c r="AN36"/>
  <c r="AF36"/>
  <c r="Q36"/>
  <c r="R36" s="1"/>
  <c r="P36"/>
  <c r="O36"/>
  <c r="N36"/>
  <c r="M36"/>
  <c r="L36"/>
  <c r="K36"/>
  <c r="J36"/>
  <c r="DD36" s="1"/>
  <c r="DG36" s="1"/>
  <c r="DH36" s="1"/>
  <c r="I36"/>
  <c r="B36"/>
  <c r="B34"/>
  <c r="C34" s="1"/>
  <c r="D34" s="1"/>
  <c r="I34"/>
  <c r="J34"/>
  <c r="K34"/>
  <c r="L34"/>
  <c r="N34"/>
  <c r="O34"/>
  <c r="P34"/>
  <c r="Q34"/>
  <c r="R34" s="1"/>
  <c r="T34" s="1"/>
  <c r="AN34"/>
  <c r="AY34"/>
  <c r="H34" s="1"/>
  <c r="BA34"/>
  <c r="BF34"/>
  <c r="BG34"/>
  <c r="BH34" s="1"/>
  <c r="BI34"/>
  <c r="CO34"/>
  <c r="CP34"/>
  <c r="CQ34"/>
  <c r="CR34"/>
  <c r="CS34"/>
  <c r="CT34"/>
  <c r="CU34"/>
  <c r="CV34"/>
  <c r="CW34"/>
  <c r="CX34"/>
  <c r="CY34"/>
  <c r="DD34"/>
  <c r="DG34" s="1"/>
  <c r="DH34" s="1"/>
  <c r="DJ34"/>
  <c r="B35"/>
  <c r="C35" s="1"/>
  <c r="D35" s="1"/>
  <c r="I35"/>
  <c r="J35"/>
  <c r="DD35" s="1"/>
  <c r="DG35" s="1"/>
  <c r="DH35" s="1"/>
  <c r="K35"/>
  <c r="L35"/>
  <c r="N35"/>
  <c r="O35"/>
  <c r="P35"/>
  <c r="Q35"/>
  <c r="R35" s="1"/>
  <c r="T35" s="1"/>
  <c r="AI35"/>
  <c r="AN35"/>
  <c r="AX35"/>
  <c r="AY35"/>
  <c r="H35" s="1"/>
  <c r="BA35"/>
  <c r="BB35"/>
  <c r="BD35"/>
  <c r="BF35"/>
  <c r="BG35"/>
  <c r="BH35" s="1"/>
  <c r="BI35"/>
  <c r="CO35"/>
  <c r="CP35"/>
  <c r="CQ35"/>
  <c r="CR35"/>
  <c r="CS35"/>
  <c r="CT35"/>
  <c r="CU35"/>
  <c r="CV35"/>
  <c r="CW35"/>
  <c r="CX35"/>
  <c r="CY35"/>
  <c r="DJ35"/>
  <c r="CY33"/>
  <c r="CX33"/>
  <c r="CW33"/>
  <c r="CV33"/>
  <c r="CU33"/>
  <c r="CT33"/>
  <c r="CS33"/>
  <c r="CR33"/>
  <c r="CQ33"/>
  <c r="CP33"/>
  <c r="CO33"/>
  <c r="BH33"/>
  <c r="BG33"/>
  <c r="BA33"/>
  <c r="AY33"/>
  <c r="BI33" s="1"/>
  <c r="BJ33" s="1"/>
  <c r="AN33"/>
  <c r="AI33"/>
  <c r="Q33"/>
  <c r="R33" s="1"/>
  <c r="P33"/>
  <c r="O33"/>
  <c r="N33"/>
  <c r="L33"/>
  <c r="K33"/>
  <c r="J33"/>
  <c r="DD33" s="1"/>
  <c r="DG33" s="1"/>
  <c r="DH33" s="1"/>
  <c r="I33"/>
  <c r="H33"/>
  <c r="B33"/>
  <c r="AM32" i="89"/>
  <c r="CY32" i="91"/>
  <c r="CX32"/>
  <c r="CW32"/>
  <c r="CV32"/>
  <c r="CU32"/>
  <c r="CT32"/>
  <c r="CS32"/>
  <c r="CR32"/>
  <c r="CQ32"/>
  <c r="CP32"/>
  <c r="CO32"/>
  <c r="BG32"/>
  <c r="BA32"/>
  <c r="AY32"/>
  <c r="Q32"/>
  <c r="P32"/>
  <c r="O32"/>
  <c r="N32"/>
  <c r="L32"/>
  <c r="K32"/>
  <c r="J32"/>
  <c r="DD32" s="1"/>
  <c r="DG32" s="1"/>
  <c r="DH32" s="1"/>
  <c r="I32"/>
  <c r="B32"/>
  <c r="CY31"/>
  <c r="CX31"/>
  <c r="CW31"/>
  <c r="CV31"/>
  <c r="CU31"/>
  <c r="CT31"/>
  <c r="CS31"/>
  <c r="CR31"/>
  <c r="CQ31"/>
  <c r="CP31"/>
  <c r="CO31"/>
  <c r="BG31"/>
  <c r="BA31"/>
  <c r="AY31"/>
  <c r="Q31"/>
  <c r="P31"/>
  <c r="O31"/>
  <c r="N31"/>
  <c r="L31"/>
  <c r="K31"/>
  <c r="J31"/>
  <c r="DD31" s="1"/>
  <c r="DG31" s="1"/>
  <c r="DH31" s="1"/>
  <c r="I31"/>
  <c r="B31"/>
  <c r="CY30"/>
  <c r="CX30"/>
  <c r="CW30"/>
  <c r="CV30"/>
  <c r="CU30"/>
  <c r="CT30"/>
  <c r="CS30"/>
  <c r="CR30"/>
  <c r="CQ30"/>
  <c r="CP30"/>
  <c r="CO30"/>
  <c r="BG30"/>
  <c r="BA30"/>
  <c r="AY30"/>
  <c r="Q30"/>
  <c r="P30"/>
  <c r="O30"/>
  <c r="N30"/>
  <c r="L30"/>
  <c r="K30"/>
  <c r="J30"/>
  <c r="DD30" s="1"/>
  <c r="DG30" s="1"/>
  <c r="DH30" s="1"/>
  <c r="I30"/>
  <c r="B30"/>
  <c r="BD59" i="92"/>
  <c r="Q8"/>
  <c r="Q15"/>
  <c r="Q16"/>
  <c r="Q17"/>
  <c r="R17" s="1"/>
  <c r="Q18"/>
  <c r="R18" s="1"/>
  <c r="Q19"/>
  <c r="R19" s="1"/>
  <c r="Q20"/>
  <c r="R20" s="1"/>
  <c r="Q21"/>
  <c r="R21" s="1"/>
  <c r="Q22"/>
  <c r="R22" s="1"/>
  <c r="Q23"/>
  <c r="R23" s="1"/>
  <c r="Q24"/>
  <c r="R24" s="1"/>
  <c r="Q25"/>
  <c r="R25" s="1"/>
  <c r="Q26"/>
  <c r="R26" s="1"/>
  <c r="Q27"/>
  <c r="Q28"/>
  <c r="Q29"/>
  <c r="Q30"/>
  <c r="Q31"/>
  <c r="Q32"/>
  <c r="Q33"/>
  <c r="Q34"/>
  <c r="R34" s="1"/>
  <c r="Q35"/>
  <c r="R35" s="1"/>
  <c r="Q36"/>
  <c r="R36" s="1"/>
  <c r="Q37"/>
  <c r="Q7"/>
  <c r="O8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7"/>
  <c r="N8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7"/>
  <c r="L8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7"/>
  <c r="J8"/>
  <c r="DD8" s="1"/>
  <c r="DG8" s="1"/>
  <c r="DH8" s="1"/>
  <c r="J15"/>
  <c r="DD15" s="1"/>
  <c r="DG15" s="1"/>
  <c r="DH15" s="1"/>
  <c r="J16"/>
  <c r="DD16" s="1"/>
  <c r="DG16" s="1"/>
  <c r="DH16" s="1"/>
  <c r="J17"/>
  <c r="DD17" s="1"/>
  <c r="DG17" s="1"/>
  <c r="DH17" s="1"/>
  <c r="J18"/>
  <c r="DD18" s="1"/>
  <c r="DG18" s="1"/>
  <c r="DH18" s="1"/>
  <c r="J19"/>
  <c r="DD19" s="1"/>
  <c r="DG19" s="1"/>
  <c r="DH19" s="1"/>
  <c r="J20"/>
  <c r="DD20" s="1"/>
  <c r="DG20" s="1"/>
  <c r="DH20" s="1"/>
  <c r="J21"/>
  <c r="DD21" s="1"/>
  <c r="DG21" s="1"/>
  <c r="DH21" s="1"/>
  <c r="J22"/>
  <c r="DD22" s="1"/>
  <c r="DG22" s="1"/>
  <c r="DH22" s="1"/>
  <c r="J23"/>
  <c r="DD23" s="1"/>
  <c r="DG23" s="1"/>
  <c r="DH23" s="1"/>
  <c r="J24"/>
  <c r="DD24" s="1"/>
  <c r="DG24" s="1"/>
  <c r="DH24" s="1"/>
  <c r="J25"/>
  <c r="DD25" s="1"/>
  <c r="DG25" s="1"/>
  <c r="DH25" s="1"/>
  <c r="J26"/>
  <c r="DD26" s="1"/>
  <c r="DG26" s="1"/>
  <c r="DH26" s="1"/>
  <c r="J27"/>
  <c r="DD27" s="1"/>
  <c r="DG27" s="1"/>
  <c r="DH27" s="1"/>
  <c r="J28"/>
  <c r="DD28" s="1"/>
  <c r="DG28" s="1"/>
  <c r="DH28" s="1"/>
  <c r="J29"/>
  <c r="DD29" s="1"/>
  <c r="DG29" s="1"/>
  <c r="DH29" s="1"/>
  <c r="J30"/>
  <c r="DD30" s="1"/>
  <c r="DG30" s="1"/>
  <c r="DH30" s="1"/>
  <c r="J31"/>
  <c r="DD31" s="1"/>
  <c r="DG31" s="1"/>
  <c r="DH31" s="1"/>
  <c r="J32"/>
  <c r="DD32" s="1"/>
  <c r="DG32" s="1"/>
  <c r="DH32" s="1"/>
  <c r="J33"/>
  <c r="DD33" s="1"/>
  <c r="DG33" s="1"/>
  <c r="DH33" s="1"/>
  <c r="J34"/>
  <c r="DD34" s="1"/>
  <c r="DG34" s="1"/>
  <c r="DH34" s="1"/>
  <c r="J35"/>
  <c r="DD35" s="1"/>
  <c r="DG35" s="1"/>
  <c r="DH35" s="1"/>
  <c r="J36"/>
  <c r="DD36" s="1"/>
  <c r="DG36" s="1"/>
  <c r="DH36" s="1"/>
  <c r="J37"/>
  <c r="DD37" s="1"/>
  <c r="DG37" s="1"/>
  <c r="J7"/>
  <c r="B8"/>
  <c r="B15"/>
  <c r="B16"/>
  <c r="B17"/>
  <c r="E17" s="1"/>
  <c r="B18"/>
  <c r="C18" s="1"/>
  <c r="D18" s="1"/>
  <c r="B19"/>
  <c r="C19" s="1"/>
  <c r="D19" s="1"/>
  <c r="B20"/>
  <c r="E20" s="1"/>
  <c r="B21"/>
  <c r="E21" s="1"/>
  <c r="B22"/>
  <c r="C22" s="1"/>
  <c r="D22" s="1"/>
  <c r="B23"/>
  <c r="B24"/>
  <c r="B25"/>
  <c r="B26"/>
  <c r="E26" s="1"/>
  <c r="B27"/>
  <c r="E27" s="1"/>
  <c r="B28"/>
  <c r="E28" s="1"/>
  <c r="B29"/>
  <c r="E29" s="1"/>
  <c r="B30"/>
  <c r="C30" s="1"/>
  <c r="D30" s="1"/>
  <c r="B31"/>
  <c r="E31" s="1"/>
  <c r="B32"/>
  <c r="E32" s="1"/>
  <c r="B33"/>
  <c r="E33" s="1"/>
  <c r="B34"/>
  <c r="E34" s="1"/>
  <c r="B35"/>
  <c r="E35" s="1"/>
  <c r="B36"/>
  <c r="E36" s="1"/>
  <c r="B37"/>
  <c r="B7"/>
  <c r="AT46"/>
  <c r="AT43"/>
  <c r="AS39"/>
  <c r="AQ39"/>
  <c r="AP39"/>
  <c r="AD39"/>
  <c r="AC39"/>
  <c r="Z39"/>
  <c r="Z41" s="1"/>
  <c r="Y39"/>
  <c r="CI38"/>
  <c r="CM39" s="1"/>
  <c r="CH38"/>
  <c r="CL39" s="1"/>
  <c r="CG38"/>
  <c r="CK39" s="1"/>
  <c r="CF38"/>
  <c r="CJ39" s="1"/>
  <c r="BQ38"/>
  <c r="BX39" s="1"/>
  <c r="BP38"/>
  <c r="CD39" s="1"/>
  <c r="BO38"/>
  <c r="BV39" s="1"/>
  <c r="BN38"/>
  <c r="CB39" s="1"/>
  <c r="BM38"/>
  <c r="BT39" s="1"/>
  <c r="BL38"/>
  <c r="BZ39" s="1"/>
  <c r="BK38"/>
  <c r="BR39" s="1"/>
  <c r="BG38"/>
  <c r="AW38"/>
  <c r="AW39" s="1"/>
  <c r="AV38"/>
  <c r="AV39" s="1"/>
  <c r="AU38"/>
  <c r="AU39" s="1"/>
  <c r="AT38"/>
  <c r="AT41" s="1"/>
  <c r="AL38"/>
  <c r="AL39" s="1"/>
  <c r="AJ38"/>
  <c r="AJ39" s="1"/>
  <c r="AH38"/>
  <c r="AH39" s="1"/>
  <c r="AG38"/>
  <c r="AG39" s="1"/>
  <c r="AE38"/>
  <c r="AE39" s="1"/>
  <c r="AD38"/>
  <c r="W38"/>
  <c r="W39" s="1"/>
  <c r="V38"/>
  <c r="V39" s="1"/>
  <c r="S38"/>
  <c r="S39" s="1"/>
  <c r="G38"/>
  <c r="G39" s="1"/>
  <c r="G41" s="1"/>
  <c r="DH37"/>
  <c r="CY37"/>
  <c r="CX37"/>
  <c r="CW37"/>
  <c r="CV37"/>
  <c r="CU37"/>
  <c r="CT37"/>
  <c r="CS37"/>
  <c r="CR37"/>
  <c r="CQ37"/>
  <c r="CP37"/>
  <c r="CO37"/>
  <c r="BG37"/>
  <c r="BA37"/>
  <c r="AY37"/>
  <c r="P37"/>
  <c r="K37"/>
  <c r="I37"/>
  <c r="CY36"/>
  <c r="CX36"/>
  <c r="CW36"/>
  <c r="CV36"/>
  <c r="CU36"/>
  <c r="CT36"/>
  <c r="CS36"/>
  <c r="CR36"/>
  <c r="CQ36"/>
  <c r="CP36"/>
  <c r="CO36"/>
  <c r="BG36"/>
  <c r="BA36"/>
  <c r="AY36"/>
  <c r="P36"/>
  <c r="K36"/>
  <c r="I36"/>
  <c r="CY35"/>
  <c r="CX35"/>
  <c r="CW35"/>
  <c r="CV35"/>
  <c r="CU35"/>
  <c r="CT35"/>
  <c r="CS35"/>
  <c r="CR35"/>
  <c r="CQ35"/>
  <c r="CP35"/>
  <c r="CO35"/>
  <c r="BG35"/>
  <c r="BA35"/>
  <c r="AY35"/>
  <c r="BI35" s="1"/>
  <c r="AN35"/>
  <c r="AI35"/>
  <c r="P35"/>
  <c r="K35"/>
  <c r="I35"/>
  <c r="H35"/>
  <c r="CY34"/>
  <c r="CX34"/>
  <c r="CW34"/>
  <c r="CV34"/>
  <c r="CU34"/>
  <c r="CT34"/>
  <c r="CS34"/>
  <c r="CR34"/>
  <c r="CQ34"/>
  <c r="CP34"/>
  <c r="CO34"/>
  <c r="BG34"/>
  <c r="BA34"/>
  <c r="AY34"/>
  <c r="P34"/>
  <c r="K34"/>
  <c r="I34"/>
  <c r="CY33"/>
  <c r="CX33"/>
  <c r="CW33"/>
  <c r="CV33"/>
  <c r="CU33"/>
  <c r="CT33"/>
  <c r="CS33"/>
  <c r="CR33"/>
  <c r="CQ33"/>
  <c r="CP33"/>
  <c r="CO33"/>
  <c r="BG33"/>
  <c r="BA33"/>
  <c r="AY33"/>
  <c r="BI33" s="1"/>
  <c r="AN33"/>
  <c r="AI33"/>
  <c r="P33"/>
  <c r="K33"/>
  <c r="I33"/>
  <c r="CY32"/>
  <c r="CX32"/>
  <c r="CW32"/>
  <c r="CV32"/>
  <c r="CU32"/>
  <c r="CT32"/>
  <c r="CS32"/>
  <c r="CR32"/>
  <c r="CQ32"/>
  <c r="CP32"/>
  <c r="CO32"/>
  <c r="BG32"/>
  <c r="BA32"/>
  <c r="AY32"/>
  <c r="BI32" s="1"/>
  <c r="AN32"/>
  <c r="AI32"/>
  <c r="P32"/>
  <c r="K32"/>
  <c r="I32"/>
  <c r="CY31"/>
  <c r="CX31"/>
  <c r="CW31"/>
  <c r="CV31"/>
  <c r="CU31"/>
  <c r="CT31"/>
  <c r="CS31"/>
  <c r="CR31"/>
  <c r="CQ31"/>
  <c r="CP31"/>
  <c r="CO31"/>
  <c r="BG31"/>
  <c r="BA31"/>
  <c r="AY31"/>
  <c r="BI31" s="1"/>
  <c r="AN31"/>
  <c r="AI31"/>
  <c r="P31"/>
  <c r="K31"/>
  <c r="I31"/>
  <c r="H31"/>
  <c r="CY30"/>
  <c r="CX30"/>
  <c r="CW30"/>
  <c r="CV30"/>
  <c r="CU30"/>
  <c r="CT30"/>
  <c r="CS30"/>
  <c r="CR30"/>
  <c r="CQ30"/>
  <c r="CP30"/>
  <c r="CO30"/>
  <c r="BG30"/>
  <c r="BA30"/>
  <c r="AY30"/>
  <c r="BI30" s="1"/>
  <c r="AN30"/>
  <c r="AI30"/>
  <c r="P30"/>
  <c r="K30"/>
  <c r="I30"/>
  <c r="H30"/>
  <c r="CY29"/>
  <c r="CX29"/>
  <c r="CW29"/>
  <c r="CV29"/>
  <c r="CU29"/>
  <c r="CT29"/>
  <c r="CS29"/>
  <c r="CR29"/>
  <c r="CQ29"/>
  <c r="CP29"/>
  <c r="CO29"/>
  <c r="BG29"/>
  <c r="BA29"/>
  <c r="AN29"/>
  <c r="P29"/>
  <c r="K29"/>
  <c r="I29"/>
  <c r="CY28"/>
  <c r="CX28"/>
  <c r="CW28"/>
  <c r="CV28"/>
  <c r="CU28"/>
  <c r="CT28"/>
  <c r="CS28"/>
  <c r="CR28"/>
  <c r="CQ28"/>
  <c r="CP28"/>
  <c r="CO28"/>
  <c r="BG28"/>
  <c r="BA28"/>
  <c r="AN28"/>
  <c r="P28"/>
  <c r="K28"/>
  <c r="I28"/>
  <c r="CY27"/>
  <c r="CX27"/>
  <c r="CW27"/>
  <c r="CV27"/>
  <c r="CU27"/>
  <c r="CT27"/>
  <c r="CS27"/>
  <c r="CR27"/>
  <c r="CQ27"/>
  <c r="CP27"/>
  <c r="CO27"/>
  <c r="BG27"/>
  <c r="BA27"/>
  <c r="AY27"/>
  <c r="P27"/>
  <c r="K27"/>
  <c r="I27"/>
  <c r="CY26"/>
  <c r="CX26"/>
  <c r="CW26"/>
  <c r="CV26"/>
  <c r="CU26"/>
  <c r="M26" s="1"/>
  <c r="CT26"/>
  <c r="CS26"/>
  <c r="CR26"/>
  <c r="CQ26"/>
  <c r="CP26"/>
  <c r="CO26"/>
  <c r="BG26"/>
  <c r="BA26"/>
  <c r="AY26"/>
  <c r="BI26" s="1"/>
  <c r="AN26"/>
  <c r="AF26"/>
  <c r="P26"/>
  <c r="K26"/>
  <c r="I26"/>
  <c r="CY25"/>
  <c r="CX25"/>
  <c r="CW25"/>
  <c r="CV25"/>
  <c r="CU25"/>
  <c r="CT25"/>
  <c r="CS25"/>
  <c r="CR25"/>
  <c r="CQ25"/>
  <c r="CP25"/>
  <c r="CO25"/>
  <c r="BG25"/>
  <c r="BA25"/>
  <c r="P25"/>
  <c r="K25"/>
  <c r="I25"/>
  <c r="CY24"/>
  <c r="CX24"/>
  <c r="CW24"/>
  <c r="CV24"/>
  <c r="CU24"/>
  <c r="CT24"/>
  <c r="CS24"/>
  <c r="CR24"/>
  <c r="CQ24"/>
  <c r="CP24"/>
  <c r="CO24"/>
  <c r="BG24"/>
  <c r="BA24"/>
  <c r="P24"/>
  <c r="K24"/>
  <c r="I24"/>
  <c r="CY23"/>
  <c r="CX23"/>
  <c r="CW23"/>
  <c r="CV23"/>
  <c r="CU23"/>
  <c r="CT23"/>
  <c r="CS23"/>
  <c r="CR23"/>
  <c r="CQ23"/>
  <c r="CP23"/>
  <c r="CO23"/>
  <c r="BG23"/>
  <c r="BA23"/>
  <c r="P23"/>
  <c r="K23"/>
  <c r="I23"/>
  <c r="CY22"/>
  <c r="CX22"/>
  <c r="CW22"/>
  <c r="CV22"/>
  <c r="CU22"/>
  <c r="CT22"/>
  <c r="CS22"/>
  <c r="CR22"/>
  <c r="CQ22"/>
  <c r="CP22"/>
  <c r="CO22"/>
  <c r="BG22"/>
  <c r="BA22"/>
  <c r="AN22"/>
  <c r="P22"/>
  <c r="K22"/>
  <c r="I22"/>
  <c r="CY21"/>
  <c r="CX21"/>
  <c r="CW21"/>
  <c r="CV21"/>
  <c r="CU21"/>
  <c r="CT21"/>
  <c r="CS21"/>
  <c r="CR21"/>
  <c r="CQ21"/>
  <c r="CP21"/>
  <c r="CO21"/>
  <c r="BG21"/>
  <c r="BA21"/>
  <c r="AN21"/>
  <c r="AY21"/>
  <c r="P21"/>
  <c r="K21"/>
  <c r="I21"/>
  <c r="CY20"/>
  <c r="CX20"/>
  <c r="CW20"/>
  <c r="CV20"/>
  <c r="CU20"/>
  <c r="CT20"/>
  <c r="CS20"/>
  <c r="CR20"/>
  <c r="CQ20"/>
  <c r="CP20"/>
  <c r="CO20"/>
  <c r="BG20"/>
  <c r="BA20"/>
  <c r="AN20"/>
  <c r="P20"/>
  <c r="K20"/>
  <c r="I20"/>
  <c r="CY19"/>
  <c r="CX19"/>
  <c r="CW19"/>
  <c r="CV19"/>
  <c r="CU19"/>
  <c r="CT19"/>
  <c r="CS19"/>
  <c r="CR19"/>
  <c r="CQ19"/>
  <c r="CP19"/>
  <c r="CO19"/>
  <c r="BG19"/>
  <c r="BA19"/>
  <c r="AN19"/>
  <c r="AY19"/>
  <c r="P19"/>
  <c r="K19"/>
  <c r="I19"/>
  <c r="CY18"/>
  <c r="CX18"/>
  <c r="CW18"/>
  <c r="CV18"/>
  <c r="CU18"/>
  <c r="CT18"/>
  <c r="CS18"/>
  <c r="CR18"/>
  <c r="CQ18"/>
  <c r="CP18"/>
  <c r="CO18"/>
  <c r="BG18"/>
  <c r="BA18"/>
  <c r="AN18"/>
  <c r="P18"/>
  <c r="K18"/>
  <c r="I18"/>
  <c r="CY17"/>
  <c r="CX17"/>
  <c r="CW17"/>
  <c r="CV17"/>
  <c r="CU17"/>
  <c r="CT17"/>
  <c r="CS17"/>
  <c r="CR17"/>
  <c r="CQ17"/>
  <c r="CP17"/>
  <c r="CO17"/>
  <c r="BG17"/>
  <c r="BA17"/>
  <c r="AN17"/>
  <c r="AY17"/>
  <c r="P17"/>
  <c r="K17"/>
  <c r="I17"/>
  <c r="CY16"/>
  <c r="CX16"/>
  <c r="CW16"/>
  <c r="CV16"/>
  <c r="CU16"/>
  <c r="CT16"/>
  <c r="CS16"/>
  <c r="CR16"/>
  <c r="CQ16"/>
  <c r="CP16"/>
  <c r="CO16"/>
  <c r="BG16"/>
  <c r="BA16"/>
  <c r="AY16"/>
  <c r="AN16"/>
  <c r="AF16"/>
  <c r="P16"/>
  <c r="M16"/>
  <c r="K16"/>
  <c r="I16"/>
  <c r="CY15"/>
  <c r="CX15"/>
  <c r="CW15"/>
  <c r="CV15"/>
  <c r="CU15"/>
  <c r="CT15"/>
  <c r="CS15"/>
  <c r="CR15"/>
  <c r="CQ15"/>
  <c r="CP15"/>
  <c r="CO15"/>
  <c r="BG15"/>
  <c r="BA15"/>
  <c r="AY15"/>
  <c r="P15"/>
  <c r="K15"/>
  <c r="I15"/>
  <c r="CY8"/>
  <c r="CX8"/>
  <c r="CW8"/>
  <c r="CV8"/>
  <c r="CU8"/>
  <c r="CT8"/>
  <c r="CS8"/>
  <c r="CR8"/>
  <c r="CQ8"/>
  <c r="CP8"/>
  <c r="CO8"/>
  <c r="BG8"/>
  <c r="BA8"/>
  <c r="AY8"/>
  <c r="P8"/>
  <c r="K8"/>
  <c r="I8"/>
  <c r="CY7"/>
  <c r="CX7"/>
  <c r="CX38" s="1"/>
  <c r="CW7"/>
  <c r="CW38" s="1"/>
  <c r="CV7"/>
  <c r="CU7"/>
  <c r="CT7"/>
  <c r="CT38" s="1"/>
  <c r="CS7"/>
  <c r="CS38" s="1"/>
  <c r="CR7"/>
  <c r="CQ7"/>
  <c r="CQ38" s="1"/>
  <c r="CP7"/>
  <c r="CO7"/>
  <c r="CO38" s="1"/>
  <c r="BG7"/>
  <c r="BA7"/>
  <c r="P7"/>
  <c r="K7"/>
  <c r="I7"/>
  <c r="CY29" i="91"/>
  <c r="CX29"/>
  <c r="CW29"/>
  <c r="CV29"/>
  <c r="CU29"/>
  <c r="CT29"/>
  <c r="CS29"/>
  <c r="CR29"/>
  <c r="CQ29"/>
  <c r="CP29"/>
  <c r="CO29"/>
  <c r="BG29"/>
  <c r="BA29"/>
  <c r="AY29"/>
  <c r="Q29"/>
  <c r="R29" s="1"/>
  <c r="P29"/>
  <c r="O29"/>
  <c r="N29"/>
  <c r="L29"/>
  <c r="K29"/>
  <c r="J29"/>
  <c r="DD29" s="1"/>
  <c r="DG29" s="1"/>
  <c r="DH29" s="1"/>
  <c r="I29"/>
  <c r="B29"/>
  <c r="B28"/>
  <c r="C28" s="1"/>
  <c r="D28" s="1"/>
  <c r="I28"/>
  <c r="J28"/>
  <c r="K28"/>
  <c r="L28"/>
  <c r="N28"/>
  <c r="O28"/>
  <c r="P28"/>
  <c r="Q28"/>
  <c r="R28" s="1"/>
  <c r="T28" s="1"/>
  <c r="AN28"/>
  <c r="AY28"/>
  <c r="H28" s="1"/>
  <c r="BA28"/>
  <c r="BF28"/>
  <c r="BG28"/>
  <c r="BH28" s="1"/>
  <c r="BI28"/>
  <c r="CO28"/>
  <c r="CP28"/>
  <c r="CQ28"/>
  <c r="CR28"/>
  <c r="CS28"/>
  <c r="CT28"/>
  <c r="CU28"/>
  <c r="CV28"/>
  <c r="CW28"/>
  <c r="CX28"/>
  <c r="CY28"/>
  <c r="DD28"/>
  <c r="DG28" s="1"/>
  <c r="DH28" s="1"/>
  <c r="B27"/>
  <c r="C27" s="1"/>
  <c r="D27" s="1"/>
  <c r="I27"/>
  <c r="J27"/>
  <c r="K27"/>
  <c r="L27"/>
  <c r="N27"/>
  <c r="O27"/>
  <c r="P27"/>
  <c r="Q27"/>
  <c r="R27" s="1"/>
  <c r="T27" s="1"/>
  <c r="AN27"/>
  <c r="AY27"/>
  <c r="H27" s="1"/>
  <c r="BA27"/>
  <c r="BF27"/>
  <c r="BG27"/>
  <c r="BH27" s="1"/>
  <c r="BI27"/>
  <c r="CO27"/>
  <c r="CP27"/>
  <c r="CQ27"/>
  <c r="CR27"/>
  <c r="CS27"/>
  <c r="CT27"/>
  <c r="CU27"/>
  <c r="CV27"/>
  <c r="CW27"/>
  <c r="CX27"/>
  <c r="CY27"/>
  <c r="DD27"/>
  <c r="DG27" s="1"/>
  <c r="DH27" s="1"/>
  <c r="CY26"/>
  <c r="CX26"/>
  <c r="CW26"/>
  <c r="CV26"/>
  <c r="CU26"/>
  <c r="CT26"/>
  <c r="CS26"/>
  <c r="CR26"/>
  <c r="CQ26"/>
  <c r="CP26"/>
  <c r="CO26"/>
  <c r="BG26"/>
  <c r="BA26"/>
  <c r="AY26"/>
  <c r="BF26" s="1"/>
  <c r="AN26"/>
  <c r="AF26"/>
  <c r="Q26"/>
  <c r="P26"/>
  <c r="O26"/>
  <c r="N26"/>
  <c r="M26"/>
  <c r="L26"/>
  <c r="K26"/>
  <c r="J26"/>
  <c r="DD26" s="1"/>
  <c r="DG26" s="1"/>
  <c r="DH26" s="1"/>
  <c r="I26"/>
  <c r="B26"/>
  <c r="C26" s="1"/>
  <c r="CY25"/>
  <c r="CX25"/>
  <c r="CW25"/>
  <c r="CV25"/>
  <c r="CU25"/>
  <c r="CT25"/>
  <c r="CS25"/>
  <c r="CR25"/>
  <c r="CQ25"/>
  <c r="CP25"/>
  <c r="CO25"/>
  <c r="BG25"/>
  <c r="BA25"/>
  <c r="AY25"/>
  <c r="Q25"/>
  <c r="P25"/>
  <c r="O25"/>
  <c r="N25"/>
  <c r="L25"/>
  <c r="K25"/>
  <c r="J25"/>
  <c r="DD25" s="1"/>
  <c r="DG25" s="1"/>
  <c r="DH25" s="1"/>
  <c r="I25"/>
  <c r="B25"/>
  <c r="CY24"/>
  <c r="CX24"/>
  <c r="CW24"/>
  <c r="CV24"/>
  <c r="CU24"/>
  <c r="CT24"/>
  <c r="CS24"/>
  <c r="CR24"/>
  <c r="CQ24"/>
  <c r="CP24"/>
  <c r="CO24"/>
  <c r="BG24"/>
  <c r="BA24"/>
  <c r="AY24"/>
  <c r="Q24"/>
  <c r="P24"/>
  <c r="O24"/>
  <c r="N24"/>
  <c r="L24"/>
  <c r="K24"/>
  <c r="J24"/>
  <c r="DD24" s="1"/>
  <c r="DG24" s="1"/>
  <c r="DH24" s="1"/>
  <c r="I24"/>
  <c r="B24"/>
  <c r="CY23"/>
  <c r="CX23"/>
  <c r="CW23"/>
  <c r="CV23"/>
  <c r="CU23"/>
  <c r="CT23"/>
  <c r="CS23"/>
  <c r="CR23"/>
  <c r="CQ23"/>
  <c r="CP23"/>
  <c r="CO23"/>
  <c r="BG23"/>
  <c r="BA23"/>
  <c r="AY23"/>
  <c r="Q23"/>
  <c r="R23" s="1"/>
  <c r="P23"/>
  <c r="O23"/>
  <c r="N23"/>
  <c r="L23"/>
  <c r="K23"/>
  <c r="J23"/>
  <c r="DD23" s="1"/>
  <c r="DG23" s="1"/>
  <c r="DH23" s="1"/>
  <c r="I23"/>
  <c r="B23"/>
  <c r="E23" s="1"/>
  <c r="CY22"/>
  <c r="CX22"/>
  <c r="CW22"/>
  <c r="CV22"/>
  <c r="CU22"/>
  <c r="CT22"/>
  <c r="CS22"/>
  <c r="CR22"/>
  <c r="CQ22"/>
  <c r="CP22"/>
  <c r="CO22"/>
  <c r="BG22"/>
  <c r="BA22"/>
  <c r="AY22"/>
  <c r="Q22"/>
  <c r="R22" s="1"/>
  <c r="P22"/>
  <c r="O22"/>
  <c r="N22"/>
  <c r="L22"/>
  <c r="K22"/>
  <c r="J22"/>
  <c r="DD22" s="1"/>
  <c r="DG22" s="1"/>
  <c r="DH22" s="1"/>
  <c r="I22"/>
  <c r="B22"/>
  <c r="B21"/>
  <c r="C21" s="1"/>
  <c r="D21" s="1"/>
  <c r="I21"/>
  <c r="J21"/>
  <c r="DD21" s="1"/>
  <c r="DG21" s="1"/>
  <c r="DH21" s="1"/>
  <c r="K21"/>
  <c r="L21"/>
  <c r="N21"/>
  <c r="O21"/>
  <c r="P21"/>
  <c r="Q21"/>
  <c r="R21" s="1"/>
  <c r="T21" s="1"/>
  <c r="AI21"/>
  <c r="AN21"/>
  <c r="AX21"/>
  <c r="AY21"/>
  <c r="H21" s="1"/>
  <c r="BA21"/>
  <c r="BB21"/>
  <c r="BD21"/>
  <c r="BF21"/>
  <c r="BG21"/>
  <c r="BH21" s="1"/>
  <c r="BI21"/>
  <c r="CO21"/>
  <c r="CP21"/>
  <c r="CQ21"/>
  <c r="CR21"/>
  <c r="CS21"/>
  <c r="CT21"/>
  <c r="CU21"/>
  <c r="CV21"/>
  <c r="CW21"/>
  <c r="CX21"/>
  <c r="CY21"/>
  <c r="B20"/>
  <c r="C20" s="1"/>
  <c r="D20" s="1"/>
  <c r="I20"/>
  <c r="J20"/>
  <c r="DD20" s="1"/>
  <c r="DG20" s="1"/>
  <c r="DH20" s="1"/>
  <c r="K20"/>
  <c r="L20"/>
  <c r="N20"/>
  <c r="O20"/>
  <c r="P20"/>
  <c r="Q20"/>
  <c r="R20" s="1"/>
  <c r="T20" s="1"/>
  <c r="AN20"/>
  <c r="AY20"/>
  <c r="H20" s="1"/>
  <c r="BA20"/>
  <c r="BF20"/>
  <c r="BG20"/>
  <c r="BH20" s="1"/>
  <c r="BI20"/>
  <c r="CO20"/>
  <c r="CP20"/>
  <c r="CQ20"/>
  <c r="CR20"/>
  <c r="CS20"/>
  <c r="CT20"/>
  <c r="CU20"/>
  <c r="CV20"/>
  <c r="CW20"/>
  <c r="CX20"/>
  <c r="CY20"/>
  <c r="CY19"/>
  <c r="CX19"/>
  <c r="CW19"/>
  <c r="CV19"/>
  <c r="CU19"/>
  <c r="CT19"/>
  <c r="CS19"/>
  <c r="CR19"/>
  <c r="CQ19"/>
  <c r="CP19"/>
  <c r="CO19"/>
  <c r="BG19"/>
  <c r="BA19"/>
  <c r="AY19"/>
  <c r="Q19"/>
  <c r="P19"/>
  <c r="O19"/>
  <c r="N19"/>
  <c r="L19"/>
  <c r="K19"/>
  <c r="J19"/>
  <c r="DD19" s="1"/>
  <c r="DG19" s="1"/>
  <c r="DH19" s="1"/>
  <c r="I19"/>
  <c r="B19"/>
  <c r="CY18"/>
  <c r="CX18"/>
  <c r="CW18"/>
  <c r="CV18"/>
  <c r="CU18"/>
  <c r="CT18"/>
  <c r="CS18"/>
  <c r="CR18"/>
  <c r="CQ18"/>
  <c r="CP18"/>
  <c r="CO18"/>
  <c r="BG18"/>
  <c r="BA18"/>
  <c r="AY18"/>
  <c r="Q18"/>
  <c r="R18" s="1"/>
  <c r="P18"/>
  <c r="O18"/>
  <c r="N18"/>
  <c r="L18"/>
  <c r="K18"/>
  <c r="J18"/>
  <c r="DD18" s="1"/>
  <c r="DG18" s="1"/>
  <c r="DH18" s="1"/>
  <c r="I18"/>
  <c r="B18"/>
  <c r="E18" s="1"/>
  <c r="H33" i="92" l="1"/>
  <c r="H32"/>
  <c r="C32"/>
  <c r="D32" s="1"/>
  <c r="BC32" s="1"/>
  <c r="R39" i="95"/>
  <c r="R41" s="1"/>
  <c r="BA38" i="92"/>
  <c r="CU38"/>
  <c r="CY38"/>
  <c r="CY38" i="93"/>
  <c r="E30" i="92"/>
  <c r="BC30" s="1"/>
  <c r="P38"/>
  <c r="P39" s="1"/>
  <c r="B38" i="93"/>
  <c r="B39" s="1"/>
  <c r="I38"/>
  <c r="I39" s="1"/>
  <c r="I41" s="1"/>
  <c r="K38"/>
  <c r="K39" s="1"/>
  <c r="CV39"/>
  <c r="AM38" i="92"/>
  <c r="AM39" s="1"/>
  <c r="CV38"/>
  <c r="CR38"/>
  <c r="CP38"/>
  <c r="CO39" s="1"/>
  <c r="DB36" i="95"/>
  <c r="U36"/>
  <c r="AZ36"/>
  <c r="BC36"/>
  <c r="DA36"/>
  <c r="F36"/>
  <c r="DB35"/>
  <c r="U35"/>
  <c r="BC35"/>
  <c r="DA35"/>
  <c r="AZ35"/>
  <c r="F35"/>
  <c r="DB34"/>
  <c r="U34"/>
  <c r="BC34"/>
  <c r="DA34"/>
  <c r="AZ34"/>
  <c r="DB33"/>
  <c r="U33"/>
  <c r="BC33"/>
  <c r="DA33"/>
  <c r="AZ33"/>
  <c r="F33"/>
  <c r="DB32"/>
  <c r="U32"/>
  <c r="BC32"/>
  <c r="DA32"/>
  <c r="AZ32"/>
  <c r="DB31"/>
  <c r="U31"/>
  <c r="BC31"/>
  <c r="DA31"/>
  <c r="AZ31"/>
  <c r="F31"/>
  <c r="DB30"/>
  <c r="U30"/>
  <c r="BC30"/>
  <c r="DA30"/>
  <c r="AZ30"/>
  <c r="DB29"/>
  <c r="U29"/>
  <c r="BC29"/>
  <c r="DA29"/>
  <c r="AZ29"/>
  <c r="F29"/>
  <c r="DB28"/>
  <c r="U28"/>
  <c r="BC28"/>
  <c r="DA28"/>
  <c r="AZ28"/>
  <c r="DB27"/>
  <c r="U27"/>
  <c r="BC27"/>
  <c r="DA27"/>
  <c r="AZ27"/>
  <c r="F27"/>
  <c r="DB26"/>
  <c r="U26"/>
  <c r="AZ26"/>
  <c r="BC26"/>
  <c r="DA26"/>
  <c r="F26"/>
  <c r="DB25"/>
  <c r="U25"/>
  <c r="BC25"/>
  <c r="DA25"/>
  <c r="AZ25"/>
  <c r="DB24"/>
  <c r="U24"/>
  <c r="BC24"/>
  <c r="DA24"/>
  <c r="AZ24"/>
  <c r="F24"/>
  <c r="BC23"/>
  <c r="DA23"/>
  <c r="AZ23"/>
  <c r="F23"/>
  <c r="U23"/>
  <c r="BC22"/>
  <c r="DA22"/>
  <c r="AZ22"/>
  <c r="F22"/>
  <c r="U22"/>
  <c r="DB21"/>
  <c r="U21"/>
  <c r="BC21"/>
  <c r="DA21"/>
  <c r="AZ21"/>
  <c r="F21"/>
  <c r="BC20"/>
  <c r="DA20"/>
  <c r="AZ20"/>
  <c r="U20"/>
  <c r="DB19"/>
  <c r="U19"/>
  <c r="BC19"/>
  <c r="DA19"/>
  <c r="AZ19"/>
  <c r="F19"/>
  <c r="BC18"/>
  <c r="DA18"/>
  <c r="AZ18"/>
  <c r="U18"/>
  <c r="DB17"/>
  <c r="U17"/>
  <c r="BC17"/>
  <c r="DA17"/>
  <c r="AZ17"/>
  <c r="F17"/>
  <c r="AZ16"/>
  <c r="BC16"/>
  <c r="DA16"/>
  <c r="F16"/>
  <c r="DB16"/>
  <c r="U16"/>
  <c r="DB15"/>
  <c r="U15"/>
  <c r="BC15"/>
  <c r="DA15"/>
  <c r="AZ15"/>
  <c r="F15"/>
  <c r="BC14"/>
  <c r="DA14"/>
  <c r="AZ14"/>
  <c r="F14"/>
  <c r="X39"/>
  <c r="U14"/>
  <c r="DB13"/>
  <c r="U13"/>
  <c r="BC13"/>
  <c r="DA13"/>
  <c r="AZ13"/>
  <c r="F13"/>
  <c r="DB12"/>
  <c r="U12"/>
  <c r="BC12"/>
  <c r="DA12"/>
  <c r="AZ12"/>
  <c r="F12"/>
  <c r="DB11"/>
  <c r="U11"/>
  <c r="BC11"/>
  <c r="DA11"/>
  <c r="AZ11"/>
  <c r="F11"/>
  <c r="DB10"/>
  <c r="U10"/>
  <c r="BC10"/>
  <c r="DA10"/>
  <c r="AZ10"/>
  <c r="F10"/>
  <c r="BC9"/>
  <c r="DA9"/>
  <c r="AZ9"/>
  <c r="F9"/>
  <c r="U9"/>
  <c r="M7"/>
  <c r="AZ8"/>
  <c r="BC8"/>
  <c r="F8"/>
  <c r="DA8"/>
  <c r="C7"/>
  <c r="D7" s="1"/>
  <c r="F7" s="1"/>
  <c r="J38" i="92"/>
  <c r="J39" s="1"/>
  <c r="E18"/>
  <c r="AZ18" s="1"/>
  <c r="E22"/>
  <c r="BC22" s="1"/>
  <c r="C28"/>
  <c r="D28" s="1"/>
  <c r="AZ28" s="1"/>
  <c r="C20"/>
  <c r="D20" s="1"/>
  <c r="AZ20" s="1"/>
  <c r="R38" i="95"/>
  <c r="J38" i="93"/>
  <c r="J39" s="1"/>
  <c r="L38"/>
  <c r="L39" s="1"/>
  <c r="N38"/>
  <c r="N39" s="1"/>
  <c r="Q39" i="95"/>
  <c r="L38"/>
  <c r="L39" s="1"/>
  <c r="B38"/>
  <c r="B39" s="1"/>
  <c r="DA37"/>
  <c r="BC37"/>
  <c r="T38"/>
  <c r="DB38" s="1"/>
  <c r="DB7"/>
  <c r="U7"/>
  <c r="DD38"/>
  <c r="DE38" s="1"/>
  <c r="DG7"/>
  <c r="AY39"/>
  <c r="AX39" s="1"/>
  <c r="AF39"/>
  <c r="H39"/>
  <c r="AI39"/>
  <c r="M39"/>
  <c r="BD38"/>
  <c r="BD39" s="1"/>
  <c r="CO40"/>
  <c r="BI38"/>
  <c r="BJ7"/>
  <c r="BJ8" s="1"/>
  <c r="BC7"/>
  <c r="BB38"/>
  <c r="AN39"/>
  <c r="C7" i="93"/>
  <c r="D7" s="1"/>
  <c r="E7"/>
  <c r="O38"/>
  <c r="O39" s="1"/>
  <c r="Q38"/>
  <c r="R38" s="1"/>
  <c r="BJ7"/>
  <c r="AM44"/>
  <c r="AM39"/>
  <c r="T7"/>
  <c r="AF7"/>
  <c r="AX7"/>
  <c r="BB7"/>
  <c r="BD7"/>
  <c r="CO39"/>
  <c r="CQ39"/>
  <c r="BF7"/>
  <c r="DD7"/>
  <c r="AT39"/>
  <c r="BS39"/>
  <c r="BU39"/>
  <c r="BW39"/>
  <c r="BY39"/>
  <c r="CA39"/>
  <c r="CC39"/>
  <c r="CE39"/>
  <c r="L46"/>
  <c r="C17" i="92"/>
  <c r="D17" s="1"/>
  <c r="BC17" s="1"/>
  <c r="C27"/>
  <c r="D27" s="1"/>
  <c r="BC27" s="1"/>
  <c r="E19"/>
  <c r="BC19" s="1"/>
  <c r="C21"/>
  <c r="D21" s="1"/>
  <c r="BC21" s="1"/>
  <c r="E36" i="91"/>
  <c r="C36"/>
  <c r="D36" s="1"/>
  <c r="T36"/>
  <c r="BB36"/>
  <c r="BD36" s="1"/>
  <c r="H36"/>
  <c r="AI36"/>
  <c r="AX36"/>
  <c r="BJ36"/>
  <c r="BF36"/>
  <c r="BH36"/>
  <c r="C29" i="92"/>
  <c r="D29" s="1"/>
  <c r="AZ29" s="1"/>
  <c r="C31"/>
  <c r="D31" s="1"/>
  <c r="F31" s="1"/>
  <c r="C33"/>
  <c r="D33" s="1"/>
  <c r="F33" s="1"/>
  <c r="E35" i="91"/>
  <c r="BC35" s="1"/>
  <c r="E33"/>
  <c r="C33"/>
  <c r="D33" s="1"/>
  <c r="T33"/>
  <c r="U35"/>
  <c r="AF35"/>
  <c r="M35"/>
  <c r="F35"/>
  <c r="BJ34"/>
  <c r="BJ35" s="1"/>
  <c r="AF34"/>
  <c r="M34"/>
  <c r="F34"/>
  <c r="BB34"/>
  <c r="BD34" s="1"/>
  <c r="AX34"/>
  <c r="AI34"/>
  <c r="U34"/>
  <c r="E34"/>
  <c r="AZ34" s="1"/>
  <c r="BF33"/>
  <c r="M33"/>
  <c r="AF33"/>
  <c r="AX33"/>
  <c r="BB33"/>
  <c r="BD33" s="1"/>
  <c r="C35" i="92"/>
  <c r="D35" s="1"/>
  <c r="F35" s="1"/>
  <c r="B38"/>
  <c r="B39" s="1"/>
  <c r="L38"/>
  <c r="L39" s="1"/>
  <c r="O38"/>
  <c r="O39" s="1"/>
  <c r="BI32" i="91"/>
  <c r="BB32"/>
  <c r="BD32" s="1"/>
  <c r="AX32"/>
  <c r="AF32"/>
  <c r="M32"/>
  <c r="BF32"/>
  <c r="AI32"/>
  <c r="H32"/>
  <c r="BJ32"/>
  <c r="C32"/>
  <c r="D32" s="1"/>
  <c r="E32"/>
  <c r="R32"/>
  <c r="T32" s="1"/>
  <c r="AN32"/>
  <c r="BH32"/>
  <c r="BI31"/>
  <c r="BB31"/>
  <c r="BD31" s="1"/>
  <c r="AX31"/>
  <c r="AF31"/>
  <c r="M31"/>
  <c r="BF31"/>
  <c r="AI31"/>
  <c r="H31"/>
  <c r="BJ31"/>
  <c r="C31"/>
  <c r="D31" s="1"/>
  <c r="E31"/>
  <c r="R31"/>
  <c r="T31" s="1"/>
  <c r="AN31"/>
  <c r="BH31"/>
  <c r="BI30"/>
  <c r="BB30"/>
  <c r="BD30" s="1"/>
  <c r="AX30"/>
  <c r="AF30"/>
  <c r="M30"/>
  <c r="BF30"/>
  <c r="AI30"/>
  <c r="H30"/>
  <c r="BJ30"/>
  <c r="C30"/>
  <c r="D30" s="1"/>
  <c r="E30"/>
  <c r="R30"/>
  <c r="T30" s="1"/>
  <c r="AN30"/>
  <c r="BH30"/>
  <c r="AI17" i="92"/>
  <c r="H17"/>
  <c r="BI21"/>
  <c r="AI21"/>
  <c r="H21"/>
  <c r="BI27"/>
  <c r="H27"/>
  <c r="BI19"/>
  <c r="AI19"/>
  <c r="H19"/>
  <c r="AY18"/>
  <c r="BI18" s="1"/>
  <c r="AY20"/>
  <c r="BI20" s="1"/>
  <c r="AY22"/>
  <c r="BI22" s="1"/>
  <c r="AN27"/>
  <c r="AY28"/>
  <c r="AI28" s="1"/>
  <c r="AY29"/>
  <c r="M29" s="1"/>
  <c r="H18"/>
  <c r="H20"/>
  <c r="H22"/>
  <c r="AI22"/>
  <c r="AI27"/>
  <c r="I38"/>
  <c r="I39" s="1"/>
  <c r="I41" s="1"/>
  <c r="K38"/>
  <c r="K39" s="1"/>
  <c r="Q38"/>
  <c r="R38" s="1"/>
  <c r="T17"/>
  <c r="T18"/>
  <c r="T19"/>
  <c r="U19" s="1"/>
  <c r="T20"/>
  <c r="U20" s="1"/>
  <c r="T21"/>
  <c r="U21" s="1"/>
  <c r="T22"/>
  <c r="T23"/>
  <c r="T24"/>
  <c r="T25"/>
  <c r="R27"/>
  <c r="T27" s="1"/>
  <c r="R28"/>
  <c r="T28" s="1"/>
  <c r="R29"/>
  <c r="T29" s="1"/>
  <c r="R30"/>
  <c r="T30" s="1"/>
  <c r="U30" s="1"/>
  <c r="R31"/>
  <c r="T31" s="1"/>
  <c r="U31" s="1"/>
  <c r="R32"/>
  <c r="T32" s="1"/>
  <c r="U32" s="1"/>
  <c r="R33"/>
  <c r="T33" s="1"/>
  <c r="U33" s="1"/>
  <c r="T35"/>
  <c r="U35" s="1"/>
  <c r="N38"/>
  <c r="N39" s="1"/>
  <c r="BI8"/>
  <c r="BB8"/>
  <c r="BD8" s="1"/>
  <c r="AX8"/>
  <c r="AF8"/>
  <c r="M8"/>
  <c r="AI8"/>
  <c r="H8"/>
  <c r="AZ17"/>
  <c r="BB15"/>
  <c r="BD15" s="1"/>
  <c r="AX15"/>
  <c r="AF15"/>
  <c r="M15"/>
  <c r="AI15"/>
  <c r="H15"/>
  <c r="U17"/>
  <c r="U22"/>
  <c r="E24"/>
  <c r="C24"/>
  <c r="D24" s="1"/>
  <c r="AY24"/>
  <c r="AN24"/>
  <c r="AI34"/>
  <c r="H34"/>
  <c r="BI34"/>
  <c r="BB34"/>
  <c r="BD34" s="1"/>
  <c r="AX34"/>
  <c r="AF34"/>
  <c r="M34"/>
  <c r="BI37"/>
  <c r="BB37"/>
  <c r="BD37" s="1"/>
  <c r="AX37"/>
  <c r="AF37"/>
  <c r="M37"/>
  <c r="AI37"/>
  <c r="H37"/>
  <c r="C7"/>
  <c r="D7" s="1"/>
  <c r="E7"/>
  <c r="R7"/>
  <c r="T7" s="1"/>
  <c r="AN7"/>
  <c r="AY7"/>
  <c r="BH7"/>
  <c r="BH8" s="1"/>
  <c r="BH15" s="1"/>
  <c r="BH16" s="1"/>
  <c r="BH17" s="1"/>
  <c r="BH18" s="1"/>
  <c r="BH19" s="1"/>
  <c r="BH20" s="1"/>
  <c r="BH21" s="1"/>
  <c r="BH22" s="1"/>
  <c r="BH23" s="1"/>
  <c r="BH24" s="1"/>
  <c r="BH25" s="1"/>
  <c r="BH26" s="1"/>
  <c r="BH27" s="1"/>
  <c r="BH28" s="1"/>
  <c r="BH29" s="1"/>
  <c r="BH30" s="1"/>
  <c r="BH31" s="1"/>
  <c r="BH32" s="1"/>
  <c r="BH33" s="1"/>
  <c r="BH34" s="1"/>
  <c r="BH35" s="1"/>
  <c r="BH36" s="1"/>
  <c r="BH37" s="1"/>
  <c r="DD7"/>
  <c r="C8"/>
  <c r="D8" s="1"/>
  <c r="E8"/>
  <c r="R8"/>
  <c r="T8" s="1"/>
  <c r="AN8"/>
  <c r="C15"/>
  <c r="D15" s="1"/>
  <c r="E15"/>
  <c r="R15"/>
  <c r="T15" s="1"/>
  <c r="AN15"/>
  <c r="C16"/>
  <c r="D16" s="1"/>
  <c r="E16"/>
  <c r="H16"/>
  <c r="R16"/>
  <c r="T16" s="1"/>
  <c r="AI16"/>
  <c r="AX16"/>
  <c r="BB16"/>
  <c r="BD16" s="1"/>
  <c r="F17"/>
  <c r="M17"/>
  <c r="AF17"/>
  <c r="AX17"/>
  <c r="BB17"/>
  <c r="BD17" s="1"/>
  <c r="F19"/>
  <c r="M19"/>
  <c r="AF19"/>
  <c r="AX19"/>
  <c r="BB19"/>
  <c r="BD19" s="1"/>
  <c r="M20"/>
  <c r="AX20"/>
  <c r="M21"/>
  <c r="AF21"/>
  <c r="AX21"/>
  <c r="BB21"/>
  <c r="BD21" s="1"/>
  <c r="F22"/>
  <c r="M22"/>
  <c r="AF22"/>
  <c r="AX22"/>
  <c r="BB22"/>
  <c r="BD22" s="1"/>
  <c r="E23"/>
  <c r="C23"/>
  <c r="D23" s="1"/>
  <c r="AN23"/>
  <c r="E25"/>
  <c r="C25"/>
  <c r="D25" s="1"/>
  <c r="AY25"/>
  <c r="AN25"/>
  <c r="AI36"/>
  <c r="H36"/>
  <c r="BI36"/>
  <c r="BB36"/>
  <c r="BD36" s="1"/>
  <c r="AX36"/>
  <c r="AF36"/>
  <c r="M36"/>
  <c r="T26"/>
  <c r="T34"/>
  <c r="U34" s="1"/>
  <c r="T36"/>
  <c r="U36" s="1"/>
  <c r="C37"/>
  <c r="D37" s="1"/>
  <c r="F37" s="1"/>
  <c r="E37"/>
  <c r="R37"/>
  <c r="T37" s="1"/>
  <c r="U37" s="1"/>
  <c r="AN37"/>
  <c r="AT39"/>
  <c r="BS39"/>
  <c r="BU39"/>
  <c r="BW39"/>
  <c r="BY39"/>
  <c r="CA39"/>
  <c r="CC39"/>
  <c r="CE39"/>
  <c r="L46"/>
  <c r="C26"/>
  <c r="D26" s="1"/>
  <c r="H26"/>
  <c r="U26"/>
  <c r="AI26"/>
  <c r="AX26"/>
  <c r="BB26"/>
  <c r="BD26" s="1"/>
  <c r="M27"/>
  <c r="AF27"/>
  <c r="AX27"/>
  <c r="BB27"/>
  <c r="BD27" s="1"/>
  <c r="AF28"/>
  <c r="BB28"/>
  <c r="BD28" s="1"/>
  <c r="F30"/>
  <c r="M30"/>
  <c r="AF30"/>
  <c r="AX30"/>
  <c r="BB30"/>
  <c r="BD30" s="1"/>
  <c r="M31"/>
  <c r="AF31"/>
  <c r="AX31"/>
  <c r="BB31"/>
  <c r="BD31" s="1"/>
  <c r="M32"/>
  <c r="AF32"/>
  <c r="AX32"/>
  <c r="BB32"/>
  <c r="BD32" s="1"/>
  <c r="M33"/>
  <c r="AF33"/>
  <c r="AX33"/>
  <c r="BB33"/>
  <c r="BD33" s="1"/>
  <c r="C34"/>
  <c r="D34" s="1"/>
  <c r="AN34"/>
  <c r="M35"/>
  <c r="AF35"/>
  <c r="AX35"/>
  <c r="BB35"/>
  <c r="BD35" s="1"/>
  <c r="C36"/>
  <c r="D36" s="1"/>
  <c r="AN36"/>
  <c r="BI29" i="91"/>
  <c r="BB29"/>
  <c r="BD29" s="1"/>
  <c r="AX29"/>
  <c r="AF29"/>
  <c r="M29"/>
  <c r="BF29"/>
  <c r="AI29"/>
  <c r="H29"/>
  <c r="BJ29"/>
  <c r="T29"/>
  <c r="C29"/>
  <c r="D29" s="1"/>
  <c r="E29"/>
  <c r="AN29"/>
  <c r="BH29"/>
  <c r="D26"/>
  <c r="F26" s="1"/>
  <c r="E26"/>
  <c r="R26"/>
  <c r="T26" s="1"/>
  <c r="BJ28"/>
  <c r="AF28"/>
  <c r="M28"/>
  <c r="F28"/>
  <c r="BB28"/>
  <c r="BD28" s="1"/>
  <c r="AX28"/>
  <c r="AI28"/>
  <c r="U28"/>
  <c r="E28"/>
  <c r="BC28" s="1"/>
  <c r="BJ27"/>
  <c r="AF27"/>
  <c r="M27"/>
  <c r="F27"/>
  <c r="BB27"/>
  <c r="BD27" s="1"/>
  <c r="AX27"/>
  <c r="AI27"/>
  <c r="U27"/>
  <c r="E27"/>
  <c r="AZ27" s="1"/>
  <c r="H26"/>
  <c r="AI26"/>
  <c r="AX26"/>
  <c r="BB26"/>
  <c r="BD26" s="1"/>
  <c r="BI26"/>
  <c r="BJ26" s="1"/>
  <c r="BH26"/>
  <c r="BI25"/>
  <c r="BB25"/>
  <c r="BD25" s="1"/>
  <c r="AX25"/>
  <c r="BF25"/>
  <c r="AI25"/>
  <c r="H25"/>
  <c r="AF25"/>
  <c r="M25"/>
  <c r="BJ25"/>
  <c r="C25"/>
  <c r="D25" s="1"/>
  <c r="E25"/>
  <c r="R25"/>
  <c r="T25" s="1"/>
  <c r="AN25"/>
  <c r="BH25"/>
  <c r="BI24"/>
  <c r="BF24"/>
  <c r="AI24"/>
  <c r="H24"/>
  <c r="BB24"/>
  <c r="BD24" s="1"/>
  <c r="AX24"/>
  <c r="AF24"/>
  <c r="M24"/>
  <c r="BJ24"/>
  <c r="C24"/>
  <c r="D24" s="1"/>
  <c r="E24"/>
  <c r="R24"/>
  <c r="T24" s="1"/>
  <c r="AN24"/>
  <c r="BH24"/>
  <c r="BI23"/>
  <c r="BF23"/>
  <c r="AI23"/>
  <c r="H23"/>
  <c r="BB23"/>
  <c r="BD23" s="1"/>
  <c r="AX23"/>
  <c r="AF23"/>
  <c r="M23"/>
  <c r="BJ23"/>
  <c r="T23"/>
  <c r="C23"/>
  <c r="D23" s="1"/>
  <c r="AN23"/>
  <c r="BH23"/>
  <c r="BI22"/>
  <c r="BF22"/>
  <c r="AI22"/>
  <c r="H22"/>
  <c r="BB22"/>
  <c r="BD22" s="1"/>
  <c r="AX22"/>
  <c r="AF22"/>
  <c r="M22"/>
  <c r="BJ22"/>
  <c r="T22"/>
  <c r="C22"/>
  <c r="D22" s="1"/>
  <c r="E22"/>
  <c r="AN22"/>
  <c r="BH22"/>
  <c r="BJ21"/>
  <c r="AF21"/>
  <c r="M21"/>
  <c r="F21"/>
  <c r="U21"/>
  <c r="E21"/>
  <c r="BC21" s="1"/>
  <c r="BJ20"/>
  <c r="AF20"/>
  <c r="M20"/>
  <c r="F20"/>
  <c r="BB20"/>
  <c r="BD20" s="1"/>
  <c r="AX20"/>
  <c r="AI20"/>
  <c r="U20"/>
  <c r="E20"/>
  <c r="AZ20" s="1"/>
  <c r="BI19"/>
  <c r="AX19"/>
  <c r="AF19"/>
  <c r="M19"/>
  <c r="BF19"/>
  <c r="AI19"/>
  <c r="H19"/>
  <c r="BB19"/>
  <c r="BD19" s="1"/>
  <c r="BJ19"/>
  <c r="C19"/>
  <c r="D19" s="1"/>
  <c r="E19"/>
  <c r="R19"/>
  <c r="T19" s="1"/>
  <c r="AN19"/>
  <c r="BH19"/>
  <c r="BI18"/>
  <c r="BF18"/>
  <c r="AI18"/>
  <c r="H18"/>
  <c r="BB18"/>
  <c r="BD18" s="1"/>
  <c r="AX18"/>
  <c r="AF18"/>
  <c r="M18"/>
  <c r="BJ18"/>
  <c r="T18"/>
  <c r="C18"/>
  <c r="D18" s="1"/>
  <c r="AN18"/>
  <c r="BH18"/>
  <c r="CY17"/>
  <c r="CX17"/>
  <c r="CW17"/>
  <c r="CV17"/>
  <c r="CU17"/>
  <c r="CT17"/>
  <c r="CS17"/>
  <c r="CR17"/>
  <c r="CQ17"/>
  <c r="CP17"/>
  <c r="CO17"/>
  <c r="BG17"/>
  <c r="BA17"/>
  <c r="AY17"/>
  <c r="Q17"/>
  <c r="P17"/>
  <c r="O17"/>
  <c r="N17"/>
  <c r="L17"/>
  <c r="K17"/>
  <c r="J17"/>
  <c r="DD17" s="1"/>
  <c r="DG17" s="1"/>
  <c r="DH17" s="1"/>
  <c r="I17"/>
  <c r="B17"/>
  <c r="CY16"/>
  <c r="CX16"/>
  <c r="CW16"/>
  <c r="CV16"/>
  <c r="CU16"/>
  <c r="CT16"/>
  <c r="CS16"/>
  <c r="CR16"/>
  <c r="M16" s="1"/>
  <c r="CQ16"/>
  <c r="CP16"/>
  <c r="CO16"/>
  <c r="BG16"/>
  <c r="BA16"/>
  <c r="AY16"/>
  <c r="BI16" s="1"/>
  <c r="AN16"/>
  <c r="AF16"/>
  <c r="Q16"/>
  <c r="R16" s="1"/>
  <c r="P16"/>
  <c r="O16"/>
  <c r="N16"/>
  <c r="L16"/>
  <c r="K16"/>
  <c r="J16"/>
  <c r="DD16" s="1"/>
  <c r="DG16" s="1"/>
  <c r="DH16" s="1"/>
  <c r="I16"/>
  <c r="B16"/>
  <c r="CY15"/>
  <c r="CX15"/>
  <c r="CW15"/>
  <c r="CV15"/>
  <c r="CU15"/>
  <c r="CT15"/>
  <c r="CS15"/>
  <c r="CR15"/>
  <c r="CQ15"/>
  <c r="CP15"/>
  <c r="CO15"/>
  <c r="BG15"/>
  <c r="BA15"/>
  <c r="AY15"/>
  <c r="Q15"/>
  <c r="R15" s="1"/>
  <c r="P15"/>
  <c r="O15"/>
  <c r="N15"/>
  <c r="L15"/>
  <c r="K15"/>
  <c r="J15"/>
  <c r="DD15" s="1"/>
  <c r="DG15" s="1"/>
  <c r="DH15" s="1"/>
  <c r="I15"/>
  <c r="B15"/>
  <c r="E15" s="1"/>
  <c r="B14"/>
  <c r="C14" s="1"/>
  <c r="D14" s="1"/>
  <c r="I14"/>
  <c r="J14"/>
  <c r="K14"/>
  <c r="L14"/>
  <c r="N14"/>
  <c r="O14"/>
  <c r="P14"/>
  <c r="Q14"/>
  <c r="R14" s="1"/>
  <c r="T14" s="1"/>
  <c r="AN14"/>
  <c r="AY14"/>
  <c r="BA14"/>
  <c r="BF14"/>
  <c r="BG14"/>
  <c r="BH14" s="1"/>
  <c r="BI14"/>
  <c r="CO14"/>
  <c r="CP14"/>
  <c r="CQ14"/>
  <c r="CR14"/>
  <c r="CS14"/>
  <c r="CT14"/>
  <c r="CU14"/>
  <c r="CV14"/>
  <c r="CW14"/>
  <c r="CX14"/>
  <c r="CY14"/>
  <c r="DD14"/>
  <c r="DG14" s="1"/>
  <c r="DH14" s="1"/>
  <c r="B13"/>
  <c r="C13" s="1"/>
  <c r="D13" s="1"/>
  <c r="I13"/>
  <c r="J13"/>
  <c r="K13"/>
  <c r="L13"/>
  <c r="N13"/>
  <c r="O13"/>
  <c r="P13"/>
  <c r="Q13"/>
  <c r="R13" s="1"/>
  <c r="T13" s="1"/>
  <c r="AN13"/>
  <c r="AY13"/>
  <c r="BA13"/>
  <c r="BF13"/>
  <c r="BG13"/>
  <c r="BH13" s="1"/>
  <c r="BI13"/>
  <c r="CO13"/>
  <c r="CP13"/>
  <c r="CQ13"/>
  <c r="CR13"/>
  <c r="CS13"/>
  <c r="CT13"/>
  <c r="CU13"/>
  <c r="CV13"/>
  <c r="CW13"/>
  <c r="CX13"/>
  <c r="CY13"/>
  <c r="DD13"/>
  <c r="DG13" s="1"/>
  <c r="DH13" s="1"/>
  <c r="CY12"/>
  <c r="CX12"/>
  <c r="CW12"/>
  <c r="CV12"/>
  <c r="CU12"/>
  <c r="CT12"/>
  <c r="CS12"/>
  <c r="CR12"/>
  <c r="CQ12"/>
  <c r="CP12"/>
  <c r="CO12"/>
  <c r="BG12"/>
  <c r="BA12"/>
  <c r="AY12"/>
  <c r="Q12"/>
  <c r="P12"/>
  <c r="O12"/>
  <c r="N12"/>
  <c r="L12"/>
  <c r="K12"/>
  <c r="J12"/>
  <c r="DD12" s="1"/>
  <c r="DG12" s="1"/>
  <c r="DH12" s="1"/>
  <c r="I12"/>
  <c r="B12"/>
  <c r="AY39" i="87"/>
  <c r="CY11" i="91"/>
  <c r="CX11"/>
  <c r="CW11"/>
  <c r="CV11"/>
  <c r="CU11"/>
  <c r="CT11"/>
  <c r="CS11"/>
  <c r="CR11"/>
  <c r="CQ11"/>
  <c r="CP11"/>
  <c r="CO11"/>
  <c r="BG11"/>
  <c r="BA11"/>
  <c r="AY11"/>
  <c r="Q11"/>
  <c r="P11"/>
  <c r="O11"/>
  <c r="N11"/>
  <c r="L11"/>
  <c r="K11"/>
  <c r="J11"/>
  <c r="DD11" s="1"/>
  <c r="DG11" s="1"/>
  <c r="DH11" s="1"/>
  <c r="I11"/>
  <c r="B11"/>
  <c r="CY10"/>
  <c r="CX10"/>
  <c r="CW10"/>
  <c r="CV10"/>
  <c r="CU10"/>
  <c r="CT10"/>
  <c r="CS10"/>
  <c r="CR10"/>
  <c r="CQ10"/>
  <c r="CP10"/>
  <c r="CO10"/>
  <c r="BG10"/>
  <c r="BA10"/>
  <c r="AY10"/>
  <c r="Q10"/>
  <c r="P10"/>
  <c r="O10"/>
  <c r="N10"/>
  <c r="L10"/>
  <c r="K10"/>
  <c r="J10"/>
  <c r="DD10" s="1"/>
  <c r="DG10" s="1"/>
  <c r="DH10" s="1"/>
  <c r="I10"/>
  <c r="B10"/>
  <c r="CY9"/>
  <c r="CX9"/>
  <c r="CW9"/>
  <c r="CV9"/>
  <c r="CU9"/>
  <c r="CT9"/>
  <c r="CS9"/>
  <c r="CR9"/>
  <c r="CQ9"/>
  <c r="CP9"/>
  <c r="CO9"/>
  <c r="BG9"/>
  <c r="BA9"/>
  <c r="AY9"/>
  <c r="Q9"/>
  <c r="P9"/>
  <c r="O9"/>
  <c r="N9"/>
  <c r="L9"/>
  <c r="K9"/>
  <c r="J9"/>
  <c r="DD9" s="1"/>
  <c r="DG9" s="1"/>
  <c r="DH9" s="1"/>
  <c r="I9"/>
  <c r="B9"/>
  <c r="BD59"/>
  <c r="AT46"/>
  <c r="AT43"/>
  <c r="AS39"/>
  <c r="AQ39"/>
  <c r="AP39"/>
  <c r="AD39"/>
  <c r="AC39"/>
  <c r="Z39"/>
  <c r="Z41" s="1"/>
  <c r="Y39"/>
  <c r="CI38"/>
  <c r="CM39" s="1"/>
  <c r="CH38"/>
  <c r="CL39" s="1"/>
  <c r="CG38"/>
  <c r="CK39" s="1"/>
  <c r="CF38"/>
  <c r="CJ39" s="1"/>
  <c r="BQ38"/>
  <c r="BX39" s="1"/>
  <c r="BP38"/>
  <c r="CD39" s="1"/>
  <c r="BO38"/>
  <c r="BV39" s="1"/>
  <c r="BN38"/>
  <c r="CB39" s="1"/>
  <c r="BM38"/>
  <c r="BT39" s="1"/>
  <c r="BL38"/>
  <c r="BZ39" s="1"/>
  <c r="BK38"/>
  <c r="BR39" s="1"/>
  <c r="BG38"/>
  <c r="AW38"/>
  <c r="AW39" s="1"/>
  <c r="AV38"/>
  <c r="AV39" s="1"/>
  <c r="AU38"/>
  <c r="AU39" s="1"/>
  <c r="AT38"/>
  <c r="AT41" s="1"/>
  <c r="AL38"/>
  <c r="AL39" s="1"/>
  <c r="AJ38"/>
  <c r="AJ39" s="1"/>
  <c r="AH38"/>
  <c r="AH39" s="1"/>
  <c r="AG38"/>
  <c r="AG39" s="1"/>
  <c r="AE38"/>
  <c r="AE39" s="1"/>
  <c r="AD38"/>
  <c r="W38"/>
  <c r="W39" s="1"/>
  <c r="V38"/>
  <c r="V39" s="1"/>
  <c r="S38"/>
  <c r="S39" s="1"/>
  <c r="G38"/>
  <c r="G39" s="1"/>
  <c r="G41" s="1"/>
  <c r="DH37"/>
  <c r="AZ37" s="1"/>
  <c r="CY37"/>
  <c r="CX37"/>
  <c r="CW37"/>
  <c r="CV37"/>
  <c r="CU37"/>
  <c r="CT37"/>
  <c r="CS37"/>
  <c r="CR37"/>
  <c r="CQ37"/>
  <c r="CP37"/>
  <c r="CO37"/>
  <c r="DJ37" s="1"/>
  <c r="BG37"/>
  <c r="BA37"/>
  <c r="AM37"/>
  <c r="AY37" s="1"/>
  <c r="Q37"/>
  <c r="P37"/>
  <c r="O37"/>
  <c r="N37"/>
  <c r="L37"/>
  <c r="K37"/>
  <c r="J37"/>
  <c r="DD37" s="1"/>
  <c r="DG37" s="1"/>
  <c r="I37"/>
  <c r="B37"/>
  <c r="DJ36"/>
  <c r="DJ33"/>
  <c r="CY8"/>
  <c r="CX8"/>
  <c r="CW8"/>
  <c r="CV8"/>
  <c r="CU8"/>
  <c r="CT8"/>
  <c r="CS8"/>
  <c r="CR8"/>
  <c r="CQ8"/>
  <c r="CP8"/>
  <c r="CO8"/>
  <c r="BG8"/>
  <c r="BA8"/>
  <c r="AY8"/>
  <c r="Q8"/>
  <c r="R8" s="1"/>
  <c r="P8"/>
  <c r="O8"/>
  <c r="N8"/>
  <c r="L8"/>
  <c r="K8"/>
  <c r="J8"/>
  <c r="DD8" s="1"/>
  <c r="DG8" s="1"/>
  <c r="DH8" s="1"/>
  <c r="I8"/>
  <c r="B8"/>
  <c r="E8" s="1"/>
  <c r="CY7"/>
  <c r="CY38" s="1"/>
  <c r="CX7"/>
  <c r="CX38" s="1"/>
  <c r="CW7"/>
  <c r="CW38" s="1"/>
  <c r="CV7"/>
  <c r="CV38" s="1"/>
  <c r="CU7"/>
  <c r="CU38" s="1"/>
  <c r="CT7"/>
  <c r="CT38" s="1"/>
  <c r="CS7"/>
  <c r="CS38" s="1"/>
  <c r="CR7"/>
  <c r="CR38" s="1"/>
  <c r="CQ7"/>
  <c r="CQ38" s="1"/>
  <c r="CP7"/>
  <c r="CP38" s="1"/>
  <c r="CO7"/>
  <c r="CO38" s="1"/>
  <c r="BG7"/>
  <c r="BA7"/>
  <c r="BA38" s="1"/>
  <c r="AM38"/>
  <c r="Q7"/>
  <c r="P7"/>
  <c r="P38" s="1"/>
  <c r="P39" s="1"/>
  <c r="O7"/>
  <c r="N7"/>
  <c r="L7"/>
  <c r="K7"/>
  <c r="J7"/>
  <c r="I7"/>
  <c r="B7"/>
  <c r="Q8" i="90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7"/>
  <c r="DM37"/>
  <c r="CF37" s="1"/>
  <c r="CF8"/>
  <c r="CF9"/>
  <c r="CF10"/>
  <c r="CF11"/>
  <c r="CF12"/>
  <c r="CF13"/>
  <c r="CF14"/>
  <c r="CF15"/>
  <c r="CF16"/>
  <c r="CF17"/>
  <c r="CF18"/>
  <c r="CF19"/>
  <c r="CF20"/>
  <c r="CF21"/>
  <c r="CF22"/>
  <c r="CF23"/>
  <c r="CF24"/>
  <c r="CF25"/>
  <c r="CF26"/>
  <c r="CF27"/>
  <c r="CF28"/>
  <c r="CF29"/>
  <c r="CF30"/>
  <c r="CF31"/>
  <c r="CF32"/>
  <c r="CF33"/>
  <c r="CF34"/>
  <c r="CF35"/>
  <c r="CF36"/>
  <c r="CF7"/>
  <c r="DM8"/>
  <c r="DM9"/>
  <c r="DM10"/>
  <c r="DM11"/>
  <c r="DM12"/>
  <c r="DM13"/>
  <c r="DM14"/>
  <c r="DM15"/>
  <c r="DM16"/>
  <c r="DM17"/>
  <c r="DM18"/>
  <c r="DM19"/>
  <c r="DM20"/>
  <c r="DM21"/>
  <c r="DM22"/>
  <c r="DM23"/>
  <c r="DM24"/>
  <c r="DM25"/>
  <c r="DM26"/>
  <c r="DM27"/>
  <c r="DM28"/>
  <c r="DM29"/>
  <c r="DM30"/>
  <c r="DM31"/>
  <c r="DM32"/>
  <c r="DM33"/>
  <c r="DM34"/>
  <c r="DM35"/>
  <c r="DM36"/>
  <c r="DM7"/>
  <c r="AZ37" i="92" l="1"/>
  <c r="F28"/>
  <c r="F36"/>
  <c r="AZ36"/>
  <c r="AZ35"/>
  <c r="F32"/>
  <c r="F34"/>
  <c r="AZ34"/>
  <c r="AZ33"/>
  <c r="AZ32"/>
  <c r="AZ31"/>
  <c r="AZ30"/>
  <c r="F29"/>
  <c r="BB29"/>
  <c r="BD29" s="1"/>
  <c r="AF29"/>
  <c r="AX29"/>
  <c r="AX28"/>
  <c r="M28"/>
  <c r="BC28"/>
  <c r="F27"/>
  <c r="AZ27"/>
  <c r="AM44"/>
  <c r="AZ22"/>
  <c r="CQ39"/>
  <c r="CO40" s="1"/>
  <c r="F21"/>
  <c r="AZ21"/>
  <c r="CV39"/>
  <c r="BB20"/>
  <c r="BD20" s="1"/>
  <c r="AF20"/>
  <c r="F20"/>
  <c r="AI20"/>
  <c r="BC20"/>
  <c r="AZ19"/>
  <c r="AX18"/>
  <c r="M18"/>
  <c r="BC18"/>
  <c r="BB18"/>
  <c r="BD18" s="1"/>
  <c r="AF18"/>
  <c r="F18"/>
  <c r="U18"/>
  <c r="AI18"/>
  <c r="E39" i="93"/>
  <c r="C39"/>
  <c r="DA7" i="95"/>
  <c r="Q39" i="93"/>
  <c r="U39" i="95"/>
  <c r="U41" s="1"/>
  <c r="BJ37"/>
  <c r="DF38"/>
  <c r="BF37"/>
  <c r="C39"/>
  <c r="E39"/>
  <c r="D38"/>
  <c r="DA38" s="1"/>
  <c r="DG38"/>
  <c r="DH7"/>
  <c r="AZ7" s="1"/>
  <c r="AZ35" i="91"/>
  <c r="R39" i="93"/>
  <c r="R41" s="1"/>
  <c r="U7"/>
  <c r="AY38"/>
  <c r="AB39" s="1"/>
  <c r="BD38"/>
  <c r="BD39" s="1"/>
  <c r="AN39"/>
  <c r="DD38"/>
  <c r="DF38" s="1"/>
  <c r="DG7"/>
  <c r="D38"/>
  <c r="BC7"/>
  <c r="F7"/>
  <c r="CO40"/>
  <c r="BB38"/>
  <c r="U36" i="91"/>
  <c r="F36"/>
  <c r="AZ36"/>
  <c r="BC36"/>
  <c r="BC33" i="92"/>
  <c r="BC29"/>
  <c r="BC31"/>
  <c r="U33" i="91"/>
  <c r="BC35" i="92"/>
  <c r="AZ33" i="91"/>
  <c r="BC33"/>
  <c r="F33"/>
  <c r="BC34"/>
  <c r="U32"/>
  <c r="AZ32"/>
  <c r="BC32"/>
  <c r="F32"/>
  <c r="U31"/>
  <c r="AZ31"/>
  <c r="BC31"/>
  <c r="F31"/>
  <c r="Q39" i="92"/>
  <c r="U30" i="91"/>
  <c r="AZ30"/>
  <c r="BC30"/>
  <c r="F30"/>
  <c r="E39" i="92"/>
  <c r="C39"/>
  <c r="BI29"/>
  <c r="AI29"/>
  <c r="H29"/>
  <c r="BI28"/>
  <c r="H28"/>
  <c r="U29"/>
  <c r="U27"/>
  <c r="U28"/>
  <c r="BC34"/>
  <c r="U16"/>
  <c r="U8"/>
  <c r="AZ8"/>
  <c r="BC8"/>
  <c r="F8"/>
  <c r="BC36"/>
  <c r="AZ26"/>
  <c r="BC26"/>
  <c r="F26"/>
  <c r="BC25"/>
  <c r="AZ25"/>
  <c r="BC23"/>
  <c r="AZ23"/>
  <c r="BC16"/>
  <c r="F16"/>
  <c r="AZ16"/>
  <c r="U15"/>
  <c r="AZ15"/>
  <c r="BC15"/>
  <c r="F15"/>
  <c r="BC37"/>
  <c r="T38"/>
  <c r="AI25"/>
  <c r="U25"/>
  <c r="H25"/>
  <c r="BB25"/>
  <c r="BD25" s="1"/>
  <c r="F25"/>
  <c r="BI25"/>
  <c r="AX25"/>
  <c r="AF25"/>
  <c r="M25"/>
  <c r="AI23"/>
  <c r="U23"/>
  <c r="H23"/>
  <c r="BB23"/>
  <c r="BD23" s="1"/>
  <c r="F23"/>
  <c r="BI23"/>
  <c r="AX23"/>
  <c r="AF23"/>
  <c r="M23"/>
  <c r="AY38"/>
  <c r="AB39" s="1"/>
  <c r="BI7"/>
  <c r="BB7"/>
  <c r="AX7"/>
  <c r="M7"/>
  <c r="BF7"/>
  <c r="BF8" s="1"/>
  <c r="BF15" s="1"/>
  <c r="BF16" s="1"/>
  <c r="BF17" s="1"/>
  <c r="BF18" s="1"/>
  <c r="BF19" s="1"/>
  <c r="BF20" s="1"/>
  <c r="BF21" s="1"/>
  <c r="BF22" s="1"/>
  <c r="BF23" s="1"/>
  <c r="BF24" s="1"/>
  <c r="BF25" s="1"/>
  <c r="BF26" s="1"/>
  <c r="BF27" s="1"/>
  <c r="BF28" s="1"/>
  <c r="BF29" s="1"/>
  <c r="BF30" s="1"/>
  <c r="BF31" s="1"/>
  <c r="BF32" s="1"/>
  <c r="BF33" s="1"/>
  <c r="BF34" s="1"/>
  <c r="BF35" s="1"/>
  <c r="BF36" s="1"/>
  <c r="BF37" s="1"/>
  <c r="AI7"/>
  <c r="U7"/>
  <c r="H7"/>
  <c r="AF7"/>
  <c r="F7"/>
  <c r="BC24"/>
  <c r="AZ24"/>
  <c r="R39"/>
  <c r="R41" s="1"/>
  <c r="DD38"/>
  <c r="DE38" s="1"/>
  <c r="DG7"/>
  <c r="D38"/>
  <c r="BC7"/>
  <c r="AI24"/>
  <c r="U24"/>
  <c r="H24"/>
  <c r="BI24"/>
  <c r="AX24"/>
  <c r="AF24"/>
  <c r="M24"/>
  <c r="BB24"/>
  <c r="BD24" s="1"/>
  <c r="F24"/>
  <c r="AN39"/>
  <c r="AZ26" i="91"/>
  <c r="AZ29"/>
  <c r="BC29"/>
  <c r="F29"/>
  <c r="U29"/>
  <c r="U26"/>
  <c r="BC26"/>
  <c r="AZ28"/>
  <c r="BC27"/>
  <c r="U25"/>
  <c r="AZ25"/>
  <c r="BC25"/>
  <c r="F25"/>
  <c r="U24"/>
  <c r="AZ24"/>
  <c r="BC24"/>
  <c r="F24"/>
  <c r="BC23"/>
  <c r="AZ23"/>
  <c r="F23"/>
  <c r="U23"/>
  <c r="BC22"/>
  <c r="AZ22"/>
  <c r="F22"/>
  <c r="U22"/>
  <c r="AZ21"/>
  <c r="BC20"/>
  <c r="U19"/>
  <c r="BC19"/>
  <c r="AZ19"/>
  <c r="F19"/>
  <c r="BC18"/>
  <c r="AZ18"/>
  <c r="F18"/>
  <c r="U18"/>
  <c r="BI17"/>
  <c r="BB17"/>
  <c r="BD17" s="1"/>
  <c r="AX17"/>
  <c r="AF17"/>
  <c r="M17"/>
  <c r="BF17"/>
  <c r="AI17"/>
  <c r="H17"/>
  <c r="BJ17"/>
  <c r="C17"/>
  <c r="D17" s="1"/>
  <c r="E17"/>
  <c r="R17"/>
  <c r="T17" s="1"/>
  <c r="AN17"/>
  <c r="BH17"/>
  <c r="H14"/>
  <c r="H13"/>
  <c r="E16"/>
  <c r="C16"/>
  <c r="D16" s="1"/>
  <c r="T16"/>
  <c r="BB16"/>
  <c r="BD16" s="1"/>
  <c r="H16"/>
  <c r="AI16"/>
  <c r="AX16"/>
  <c r="BJ16"/>
  <c r="BF16"/>
  <c r="BH16"/>
  <c r="BI15"/>
  <c r="BF15"/>
  <c r="AI15"/>
  <c r="H15"/>
  <c r="BB15"/>
  <c r="BD15" s="1"/>
  <c r="AX15"/>
  <c r="AF15"/>
  <c r="M15"/>
  <c r="BJ15"/>
  <c r="T15"/>
  <c r="C15"/>
  <c r="D15" s="1"/>
  <c r="AN15"/>
  <c r="BH15"/>
  <c r="BJ14"/>
  <c r="AF14"/>
  <c r="M14"/>
  <c r="F14"/>
  <c r="BB14"/>
  <c r="BD14" s="1"/>
  <c r="AX14"/>
  <c r="AI14"/>
  <c r="U14"/>
  <c r="E14"/>
  <c r="BC14" s="1"/>
  <c r="BJ13"/>
  <c r="AF13"/>
  <c r="M13"/>
  <c r="F13"/>
  <c r="BB13"/>
  <c r="BD13" s="1"/>
  <c r="AX13"/>
  <c r="AI13"/>
  <c r="U13"/>
  <c r="E13"/>
  <c r="AZ13" s="1"/>
  <c r="BI12"/>
  <c r="BJ12" s="1"/>
  <c r="BB12"/>
  <c r="BD12" s="1"/>
  <c r="AX12"/>
  <c r="AF12"/>
  <c r="M12"/>
  <c r="BF12"/>
  <c r="AI12"/>
  <c r="H12"/>
  <c r="C12"/>
  <c r="D12" s="1"/>
  <c r="E12"/>
  <c r="R12"/>
  <c r="T12" s="1"/>
  <c r="AN12"/>
  <c r="BH12"/>
  <c r="BI11"/>
  <c r="BB11"/>
  <c r="BD11" s="1"/>
  <c r="AX11"/>
  <c r="AF11"/>
  <c r="M11"/>
  <c r="BF11"/>
  <c r="AI11"/>
  <c r="H11"/>
  <c r="BJ11"/>
  <c r="C11"/>
  <c r="D11" s="1"/>
  <c r="E11"/>
  <c r="R11"/>
  <c r="T11" s="1"/>
  <c r="AN11"/>
  <c r="BH11"/>
  <c r="CO39"/>
  <c r="CQ39"/>
  <c r="I38"/>
  <c r="I39" s="1"/>
  <c r="I41" s="1"/>
  <c r="K38"/>
  <c r="K39" s="1"/>
  <c r="BI9"/>
  <c r="BB9"/>
  <c r="BD9" s="1"/>
  <c r="AX9"/>
  <c r="AF9"/>
  <c r="M9"/>
  <c r="BF9"/>
  <c r="BF10" s="1"/>
  <c r="AI9"/>
  <c r="H9"/>
  <c r="BJ9"/>
  <c r="BI10"/>
  <c r="BB10"/>
  <c r="BD10" s="1"/>
  <c r="AX10"/>
  <c r="AF10"/>
  <c r="M10"/>
  <c r="AI10"/>
  <c r="H10"/>
  <c r="BJ10"/>
  <c r="C9"/>
  <c r="D9" s="1"/>
  <c r="E9"/>
  <c r="R9"/>
  <c r="T9" s="1"/>
  <c r="AN9"/>
  <c r="BH9"/>
  <c r="C10"/>
  <c r="D10" s="1"/>
  <c r="E10"/>
  <c r="R10"/>
  <c r="T10" s="1"/>
  <c r="AN10"/>
  <c r="BH10"/>
  <c r="N38"/>
  <c r="N39" s="1"/>
  <c r="B38"/>
  <c r="B39" s="1"/>
  <c r="J38"/>
  <c r="J39" s="1"/>
  <c r="L38"/>
  <c r="L39" s="1"/>
  <c r="O38"/>
  <c r="O39" s="1"/>
  <c r="Q38"/>
  <c r="Q39" s="1"/>
  <c r="AI8"/>
  <c r="H8"/>
  <c r="BI8"/>
  <c r="BB8"/>
  <c r="BD8" s="1"/>
  <c r="AX8"/>
  <c r="AF8"/>
  <c r="M8"/>
  <c r="AM44"/>
  <c r="AM39"/>
  <c r="BI37"/>
  <c r="BB37"/>
  <c r="BD37" s="1"/>
  <c r="AX37"/>
  <c r="AF37"/>
  <c r="M37"/>
  <c r="F37"/>
  <c r="AI37"/>
  <c r="U37"/>
  <c r="H37"/>
  <c r="T8"/>
  <c r="C7"/>
  <c r="D7" s="1"/>
  <c r="E7"/>
  <c r="R7"/>
  <c r="AN7"/>
  <c r="AY7"/>
  <c r="BH7"/>
  <c r="CV39"/>
  <c r="DD7"/>
  <c r="C8"/>
  <c r="D8" s="1"/>
  <c r="AN8"/>
  <c r="BH8"/>
  <c r="BH37" s="1"/>
  <c r="C37"/>
  <c r="D37" s="1"/>
  <c r="E37"/>
  <c r="R37"/>
  <c r="T37" s="1"/>
  <c r="AN37"/>
  <c r="AT39"/>
  <c r="BS39"/>
  <c r="BU39"/>
  <c r="BW39"/>
  <c r="BY39"/>
  <c r="CA39"/>
  <c r="CC39"/>
  <c r="CE39"/>
  <c r="L46"/>
  <c r="B37" i="90"/>
  <c r="C37" s="1"/>
  <c r="D37" s="1"/>
  <c r="I37"/>
  <c r="J37"/>
  <c r="K37"/>
  <c r="L37"/>
  <c r="N37"/>
  <c r="O37"/>
  <c r="P37"/>
  <c r="R37"/>
  <c r="T37" s="1"/>
  <c r="AN37"/>
  <c r="AY37"/>
  <c r="H37" s="1"/>
  <c r="BA37"/>
  <c r="BF37"/>
  <c r="BG37"/>
  <c r="BH37"/>
  <c r="BI37"/>
  <c r="BJ37"/>
  <c r="CO37"/>
  <c r="CP37"/>
  <c r="CQ37"/>
  <c r="CR37"/>
  <c r="CS37"/>
  <c r="CT37"/>
  <c r="CU37"/>
  <c r="CV37"/>
  <c r="CW37"/>
  <c r="CX37"/>
  <c r="CY37"/>
  <c r="DD37"/>
  <c r="DG37" s="1"/>
  <c r="DH37" s="1"/>
  <c r="DK37"/>
  <c r="I36"/>
  <c r="J36"/>
  <c r="K36"/>
  <c r="L36"/>
  <c r="N36"/>
  <c r="O36"/>
  <c r="P36"/>
  <c r="R36"/>
  <c r="T36" s="1"/>
  <c r="AM36"/>
  <c r="AN36"/>
  <c r="AY36"/>
  <c r="BA36"/>
  <c r="BF36"/>
  <c r="BG36"/>
  <c r="BH36"/>
  <c r="BI36"/>
  <c r="BJ36"/>
  <c r="CP36"/>
  <c r="CQ36"/>
  <c r="CR36"/>
  <c r="CS36"/>
  <c r="CT36"/>
  <c r="CU36"/>
  <c r="CV36"/>
  <c r="CW36"/>
  <c r="CX36"/>
  <c r="CY36"/>
  <c r="DD36"/>
  <c r="DG36" s="1"/>
  <c r="DH36" s="1"/>
  <c r="DK36"/>
  <c r="BK36" s="1"/>
  <c r="I35"/>
  <c r="J35"/>
  <c r="K35"/>
  <c r="L35"/>
  <c r="N35"/>
  <c r="O35"/>
  <c r="P35"/>
  <c r="R35"/>
  <c r="T35" s="1"/>
  <c r="AM35"/>
  <c r="AN35"/>
  <c r="AY35"/>
  <c r="BA35"/>
  <c r="BF35"/>
  <c r="BG35"/>
  <c r="BH35" s="1"/>
  <c r="BI35"/>
  <c r="CP35"/>
  <c r="CQ35"/>
  <c r="CR35"/>
  <c r="CS35"/>
  <c r="CT35"/>
  <c r="CU35"/>
  <c r="CV35"/>
  <c r="CW35"/>
  <c r="CX35"/>
  <c r="CY35"/>
  <c r="DD35"/>
  <c r="DG35" s="1"/>
  <c r="DH35" s="1"/>
  <c r="DK35"/>
  <c r="BK35" s="1"/>
  <c r="I34"/>
  <c r="J34"/>
  <c r="K34"/>
  <c r="L34"/>
  <c r="N34"/>
  <c r="O34"/>
  <c r="P34"/>
  <c r="R34"/>
  <c r="T34" s="1"/>
  <c r="AM34"/>
  <c r="AN34"/>
  <c r="AY34"/>
  <c r="BA34"/>
  <c r="BF34"/>
  <c r="BG34"/>
  <c r="BH34" s="1"/>
  <c r="BI34"/>
  <c r="BJ34" s="1"/>
  <c r="CP34"/>
  <c r="CQ34"/>
  <c r="CR34"/>
  <c r="CS34"/>
  <c r="CT34"/>
  <c r="CU34"/>
  <c r="CV34"/>
  <c r="CW34"/>
  <c r="CX34"/>
  <c r="CY34"/>
  <c r="DD34"/>
  <c r="DG34" s="1"/>
  <c r="DH34" s="1"/>
  <c r="DK34"/>
  <c r="BK34" s="1"/>
  <c r="I33"/>
  <c r="J33"/>
  <c r="K33"/>
  <c r="L33"/>
  <c r="N33"/>
  <c r="O33"/>
  <c r="P33"/>
  <c r="R33"/>
  <c r="T33" s="1"/>
  <c r="AM33"/>
  <c r="AN33"/>
  <c r="AY33"/>
  <c r="BA33"/>
  <c r="BF33"/>
  <c r="BG33"/>
  <c r="BH33"/>
  <c r="BI33"/>
  <c r="BJ33"/>
  <c r="CP33"/>
  <c r="CQ33"/>
  <c r="CR33"/>
  <c r="CS33"/>
  <c r="CT33"/>
  <c r="CU33"/>
  <c r="CV33"/>
  <c r="CW33"/>
  <c r="CX33"/>
  <c r="CY33"/>
  <c r="DD33"/>
  <c r="DG33" s="1"/>
  <c r="DH33" s="1"/>
  <c r="DK33"/>
  <c r="BK33" s="1"/>
  <c r="I32"/>
  <c r="J32"/>
  <c r="K32"/>
  <c r="L32"/>
  <c r="N32"/>
  <c r="O32"/>
  <c r="P32"/>
  <c r="R32"/>
  <c r="T32" s="1"/>
  <c r="AM32"/>
  <c r="AN32"/>
  <c r="AY32"/>
  <c r="BA32"/>
  <c r="BF32"/>
  <c r="BG32"/>
  <c r="BH32" s="1"/>
  <c r="BI32"/>
  <c r="CP32"/>
  <c r="CQ32"/>
  <c r="CR32"/>
  <c r="CS32"/>
  <c r="CT32"/>
  <c r="CU32"/>
  <c r="CV32"/>
  <c r="CW32"/>
  <c r="CX32"/>
  <c r="CY32"/>
  <c r="DD32"/>
  <c r="DG32" s="1"/>
  <c r="DH32" s="1"/>
  <c r="DK32"/>
  <c r="BK32" s="1"/>
  <c r="I31"/>
  <c r="J31"/>
  <c r="DD31" s="1"/>
  <c r="DG31" s="1"/>
  <c r="DH31" s="1"/>
  <c r="K31"/>
  <c r="L31"/>
  <c r="N31"/>
  <c r="O31"/>
  <c r="P31"/>
  <c r="R31"/>
  <c r="T31" s="1"/>
  <c r="AM31"/>
  <c r="AN31" s="1"/>
  <c r="BA31"/>
  <c r="BG31"/>
  <c r="BH31" s="1"/>
  <c r="BK31"/>
  <c r="CO31" s="1"/>
  <c r="CP31"/>
  <c r="CQ31"/>
  <c r="CR31"/>
  <c r="CS31"/>
  <c r="CT31"/>
  <c r="CU31"/>
  <c r="CV31"/>
  <c r="CW31"/>
  <c r="CX31"/>
  <c r="CY31"/>
  <c r="DK31"/>
  <c r="I30"/>
  <c r="J30"/>
  <c r="K30"/>
  <c r="L30"/>
  <c r="N30"/>
  <c r="O30"/>
  <c r="P30"/>
  <c r="R30"/>
  <c r="T30" s="1"/>
  <c r="AM30"/>
  <c r="AN30"/>
  <c r="AY30"/>
  <c r="BA30"/>
  <c r="BF30"/>
  <c r="BG30"/>
  <c r="BH30" s="1"/>
  <c r="BI30"/>
  <c r="CP30"/>
  <c r="CQ30"/>
  <c r="CR30"/>
  <c r="CS30"/>
  <c r="CT30"/>
  <c r="CU30"/>
  <c r="CV30"/>
  <c r="CW30"/>
  <c r="CX30"/>
  <c r="CY30"/>
  <c r="DD30"/>
  <c r="DG30" s="1"/>
  <c r="DH30" s="1"/>
  <c r="DK30"/>
  <c r="BK30" s="1"/>
  <c r="I29"/>
  <c r="J29"/>
  <c r="K29"/>
  <c r="L29"/>
  <c r="N29"/>
  <c r="O29"/>
  <c r="P29"/>
  <c r="R29"/>
  <c r="T29" s="1"/>
  <c r="AM29"/>
  <c r="AN29"/>
  <c r="AY29"/>
  <c r="BA29"/>
  <c r="BF29"/>
  <c r="BG29"/>
  <c r="BH29" s="1"/>
  <c r="BI29"/>
  <c r="CP29"/>
  <c r="CQ29"/>
  <c r="CR29"/>
  <c r="CS29"/>
  <c r="CT29"/>
  <c r="CU29"/>
  <c r="CV29"/>
  <c r="CW29"/>
  <c r="CX29"/>
  <c r="CY29"/>
  <c r="DD29"/>
  <c r="DG29" s="1"/>
  <c r="DH29" s="1"/>
  <c r="DK29"/>
  <c r="BK29" s="1"/>
  <c r="I28"/>
  <c r="J28"/>
  <c r="K28"/>
  <c r="L28"/>
  <c r="N28"/>
  <c r="O28"/>
  <c r="P28"/>
  <c r="R28"/>
  <c r="T28" s="1"/>
  <c r="AM28"/>
  <c r="AN28"/>
  <c r="AY28"/>
  <c r="BA28"/>
  <c r="BF28"/>
  <c r="BG28"/>
  <c r="BH28" s="1"/>
  <c r="BI28"/>
  <c r="CP28"/>
  <c r="CQ28"/>
  <c r="CR28"/>
  <c r="CS28"/>
  <c r="CT28"/>
  <c r="CU28"/>
  <c r="CV28"/>
  <c r="CW28"/>
  <c r="CX28"/>
  <c r="CY28"/>
  <c r="DD28"/>
  <c r="DG28" s="1"/>
  <c r="DH28" s="1"/>
  <c r="DK28"/>
  <c r="BK28" s="1"/>
  <c r="I27"/>
  <c r="J27"/>
  <c r="K27"/>
  <c r="L27"/>
  <c r="N27"/>
  <c r="O27"/>
  <c r="P27"/>
  <c r="R27"/>
  <c r="T27" s="1"/>
  <c r="AM27"/>
  <c r="AN27"/>
  <c r="AY27"/>
  <c r="BA27"/>
  <c r="BF27"/>
  <c r="BG27"/>
  <c r="BH27"/>
  <c r="BI27"/>
  <c r="BJ27"/>
  <c r="CP27"/>
  <c r="CQ27"/>
  <c r="CR27"/>
  <c r="CS27"/>
  <c r="CT27"/>
  <c r="CU27"/>
  <c r="CV27"/>
  <c r="CW27"/>
  <c r="CX27"/>
  <c r="CY27"/>
  <c r="DD27"/>
  <c r="DG27" s="1"/>
  <c r="DH27" s="1"/>
  <c r="DK27"/>
  <c r="BK27" s="1"/>
  <c r="I26"/>
  <c r="J26"/>
  <c r="DD26" s="1"/>
  <c r="DG26" s="1"/>
  <c r="DH26" s="1"/>
  <c r="K26"/>
  <c r="L26"/>
  <c r="N26"/>
  <c r="O26"/>
  <c r="P26"/>
  <c r="R26"/>
  <c r="T26" s="1"/>
  <c r="AN26"/>
  <c r="AY26"/>
  <c r="BA26"/>
  <c r="BF26"/>
  <c r="BG26"/>
  <c r="BH26" s="1"/>
  <c r="BI26"/>
  <c r="CP26"/>
  <c r="CQ26"/>
  <c r="CR26"/>
  <c r="CS26"/>
  <c r="CT26"/>
  <c r="CU26"/>
  <c r="CV26"/>
  <c r="CW26"/>
  <c r="CX26"/>
  <c r="CY26"/>
  <c r="DK26"/>
  <c r="BK26" s="1"/>
  <c r="I25"/>
  <c r="J25"/>
  <c r="K25"/>
  <c r="L25"/>
  <c r="N25"/>
  <c r="O25"/>
  <c r="P25"/>
  <c r="R25"/>
  <c r="T25" s="1"/>
  <c r="AM25"/>
  <c r="AN25"/>
  <c r="AY25"/>
  <c r="BA25"/>
  <c r="BF25"/>
  <c r="BG25"/>
  <c r="BH25"/>
  <c r="BI25"/>
  <c r="BJ25"/>
  <c r="CP25"/>
  <c r="CQ25"/>
  <c r="CR25"/>
  <c r="CS25"/>
  <c r="CT25"/>
  <c r="CU25"/>
  <c r="CV25"/>
  <c r="CW25"/>
  <c r="CX25"/>
  <c r="CY25"/>
  <c r="DD25"/>
  <c r="DG25" s="1"/>
  <c r="DH25" s="1"/>
  <c r="DK25"/>
  <c r="BK25" s="1"/>
  <c r="I24"/>
  <c r="J24"/>
  <c r="K24"/>
  <c r="L24"/>
  <c r="N24"/>
  <c r="O24"/>
  <c r="P24"/>
  <c r="R24"/>
  <c r="T24" s="1"/>
  <c r="AM24"/>
  <c r="AN24"/>
  <c r="AY24"/>
  <c r="BA24"/>
  <c r="BF24"/>
  <c r="BG24"/>
  <c r="BH24" s="1"/>
  <c r="BI24"/>
  <c r="CP24"/>
  <c r="CQ24"/>
  <c r="CR24"/>
  <c r="CS24"/>
  <c r="CT24"/>
  <c r="CU24"/>
  <c r="CV24"/>
  <c r="CW24"/>
  <c r="CX24"/>
  <c r="CY24"/>
  <c r="DD24"/>
  <c r="DG24" s="1"/>
  <c r="DH24" s="1"/>
  <c r="DK24"/>
  <c r="BK24" s="1"/>
  <c r="I23"/>
  <c r="J23"/>
  <c r="K23"/>
  <c r="L23"/>
  <c r="N23"/>
  <c r="O23"/>
  <c r="P23"/>
  <c r="R23"/>
  <c r="T23" s="1"/>
  <c r="AM23"/>
  <c r="AN23"/>
  <c r="AY23"/>
  <c r="BA23"/>
  <c r="BF23"/>
  <c r="BG23"/>
  <c r="BH23" s="1"/>
  <c r="BI23"/>
  <c r="CP23"/>
  <c r="CQ23"/>
  <c r="CR23"/>
  <c r="CS23"/>
  <c r="CT23"/>
  <c r="CU23"/>
  <c r="CV23"/>
  <c r="CW23"/>
  <c r="CX23"/>
  <c r="CY23"/>
  <c r="DD23"/>
  <c r="DG23" s="1"/>
  <c r="DH23" s="1"/>
  <c r="DK23"/>
  <c r="BK23" s="1"/>
  <c r="I22"/>
  <c r="J22"/>
  <c r="K22"/>
  <c r="L22"/>
  <c r="N22"/>
  <c r="O22"/>
  <c r="P22"/>
  <c r="R22"/>
  <c r="T22" s="1"/>
  <c r="AM22"/>
  <c r="AN22"/>
  <c r="AY22"/>
  <c r="BA22"/>
  <c r="BF22"/>
  <c r="BG22"/>
  <c r="BH22" s="1"/>
  <c r="BI22"/>
  <c r="CP22"/>
  <c r="CQ22"/>
  <c r="CR22"/>
  <c r="CS22"/>
  <c r="CT22"/>
  <c r="CU22"/>
  <c r="CV22"/>
  <c r="CW22"/>
  <c r="CX22"/>
  <c r="CY22"/>
  <c r="DD22"/>
  <c r="DG22" s="1"/>
  <c r="DH22" s="1"/>
  <c r="DK22"/>
  <c r="BK22" s="1"/>
  <c r="I21"/>
  <c r="J21"/>
  <c r="K21"/>
  <c r="L21"/>
  <c r="N21"/>
  <c r="O21"/>
  <c r="P21"/>
  <c r="R21"/>
  <c r="T21" s="1"/>
  <c r="AM21"/>
  <c r="AN21"/>
  <c r="AY21"/>
  <c r="BA21"/>
  <c r="BF21"/>
  <c r="BG21"/>
  <c r="BH21" s="1"/>
  <c r="BI21"/>
  <c r="CP21"/>
  <c r="CQ21"/>
  <c r="CR21"/>
  <c r="CS21"/>
  <c r="CT21"/>
  <c r="CU21"/>
  <c r="CV21"/>
  <c r="CW21"/>
  <c r="CX21"/>
  <c r="CY21"/>
  <c r="DD21"/>
  <c r="DG21" s="1"/>
  <c r="DH21" s="1"/>
  <c r="DK21"/>
  <c r="BK21" s="1"/>
  <c r="I20"/>
  <c r="J20"/>
  <c r="K20"/>
  <c r="L20"/>
  <c r="N20"/>
  <c r="O20"/>
  <c r="P20"/>
  <c r="R20"/>
  <c r="T20" s="1"/>
  <c r="AM20"/>
  <c r="AN20"/>
  <c r="AY20"/>
  <c r="BA20"/>
  <c r="BF20"/>
  <c r="BG20"/>
  <c r="BH20" s="1"/>
  <c r="BI20"/>
  <c r="CP20"/>
  <c r="CQ20"/>
  <c r="CR20"/>
  <c r="CS20"/>
  <c r="CT20"/>
  <c r="CU20"/>
  <c r="CV20"/>
  <c r="CW20"/>
  <c r="CX20"/>
  <c r="CY20"/>
  <c r="DD20"/>
  <c r="DG20" s="1"/>
  <c r="DH20" s="1"/>
  <c r="DK20"/>
  <c r="BK20" s="1"/>
  <c r="I19"/>
  <c r="J19"/>
  <c r="K19"/>
  <c r="L19"/>
  <c r="N19"/>
  <c r="O19"/>
  <c r="P19"/>
  <c r="R19"/>
  <c r="T19" s="1"/>
  <c r="AM19"/>
  <c r="AN19"/>
  <c r="AY19"/>
  <c r="BA19"/>
  <c r="BF19"/>
  <c r="BG19"/>
  <c r="BH19"/>
  <c r="BI19"/>
  <c r="BJ19"/>
  <c r="CP19"/>
  <c r="CQ19"/>
  <c r="CR19"/>
  <c r="CS19"/>
  <c r="CT19"/>
  <c r="CU19"/>
  <c r="CV19"/>
  <c r="CW19"/>
  <c r="CX19"/>
  <c r="CY19"/>
  <c r="DD19"/>
  <c r="DG19" s="1"/>
  <c r="DH19" s="1"/>
  <c r="DK19"/>
  <c r="BK19" s="1"/>
  <c r="I18"/>
  <c r="J18"/>
  <c r="K18"/>
  <c r="L18"/>
  <c r="N18"/>
  <c r="O18"/>
  <c r="P18"/>
  <c r="R18"/>
  <c r="T18" s="1"/>
  <c r="AM18"/>
  <c r="AN18"/>
  <c r="AY18"/>
  <c r="BA18"/>
  <c r="BF18"/>
  <c r="BG18"/>
  <c r="BH18" s="1"/>
  <c r="BI18"/>
  <c r="CP18"/>
  <c r="CQ18"/>
  <c r="CR18"/>
  <c r="CS18"/>
  <c r="CT18"/>
  <c r="CU18"/>
  <c r="CV18"/>
  <c r="CW18"/>
  <c r="CX18"/>
  <c r="CY18"/>
  <c r="DD18"/>
  <c r="DG18" s="1"/>
  <c r="DH18" s="1"/>
  <c r="DK18"/>
  <c r="BK18" s="1"/>
  <c r="I17"/>
  <c r="J17"/>
  <c r="K17"/>
  <c r="L17"/>
  <c r="N17"/>
  <c r="O17"/>
  <c r="P17"/>
  <c r="R17"/>
  <c r="T17" s="1"/>
  <c r="AM17"/>
  <c r="AN17"/>
  <c r="AY17"/>
  <c r="BA17"/>
  <c r="BF17"/>
  <c r="BG17"/>
  <c r="BH17"/>
  <c r="BI17"/>
  <c r="BJ17"/>
  <c r="CP17"/>
  <c r="CQ17"/>
  <c r="CR17"/>
  <c r="CS17"/>
  <c r="CT17"/>
  <c r="CU17"/>
  <c r="CV17"/>
  <c r="CW17"/>
  <c r="CX17"/>
  <c r="CY17"/>
  <c r="DD17"/>
  <c r="DG17" s="1"/>
  <c r="DH17" s="1"/>
  <c r="DK17"/>
  <c r="BK17" s="1"/>
  <c r="I16"/>
  <c r="J16"/>
  <c r="K16"/>
  <c r="L16"/>
  <c r="N16"/>
  <c r="O16"/>
  <c r="P16"/>
  <c r="R16"/>
  <c r="T16" s="1"/>
  <c r="AI16"/>
  <c r="AN16"/>
  <c r="AX16"/>
  <c r="AY16"/>
  <c r="BA16"/>
  <c r="BB16"/>
  <c r="BD16"/>
  <c r="BF16"/>
  <c r="BG16"/>
  <c r="BH16" s="1"/>
  <c r="BI16"/>
  <c r="BK16"/>
  <c r="B16" s="1"/>
  <c r="CP16"/>
  <c r="CQ16"/>
  <c r="CR16"/>
  <c r="CS16"/>
  <c r="CT16"/>
  <c r="CU16"/>
  <c r="CV16"/>
  <c r="CW16"/>
  <c r="CX16"/>
  <c r="CY16"/>
  <c r="DD16"/>
  <c r="DG16" s="1"/>
  <c r="DH16" s="1"/>
  <c r="DK16"/>
  <c r="I15"/>
  <c r="J15"/>
  <c r="K15"/>
  <c r="L15"/>
  <c r="N15"/>
  <c r="O15"/>
  <c r="P15"/>
  <c r="R15"/>
  <c r="T15" s="1"/>
  <c r="AM15"/>
  <c r="AN15"/>
  <c r="AY15"/>
  <c r="BA15"/>
  <c r="BF15"/>
  <c r="BG15"/>
  <c r="BH15" s="1"/>
  <c r="BI15"/>
  <c r="CP15"/>
  <c r="CQ15"/>
  <c r="CR15"/>
  <c r="CS15"/>
  <c r="CT15"/>
  <c r="CU15"/>
  <c r="CV15"/>
  <c r="CW15"/>
  <c r="CX15"/>
  <c r="CY15"/>
  <c r="DD15"/>
  <c r="DG15" s="1"/>
  <c r="DH15" s="1"/>
  <c r="DK15"/>
  <c r="BK15" s="1"/>
  <c r="I14"/>
  <c r="J14"/>
  <c r="K14"/>
  <c r="L14"/>
  <c r="N14"/>
  <c r="O14"/>
  <c r="P14"/>
  <c r="R14"/>
  <c r="T14" s="1"/>
  <c r="AM14"/>
  <c r="AN14"/>
  <c r="AY14"/>
  <c r="BA14"/>
  <c r="BF14"/>
  <c r="BG14"/>
  <c r="BH14" s="1"/>
  <c r="BI14"/>
  <c r="CP14"/>
  <c r="CQ14"/>
  <c r="CR14"/>
  <c r="CS14"/>
  <c r="CT14"/>
  <c r="CU14"/>
  <c r="CV14"/>
  <c r="CW14"/>
  <c r="CX14"/>
  <c r="CY14"/>
  <c r="DD14"/>
  <c r="DG14" s="1"/>
  <c r="DH14" s="1"/>
  <c r="DK14"/>
  <c r="BK14" s="1"/>
  <c r="I13"/>
  <c r="J13"/>
  <c r="K13"/>
  <c r="L13"/>
  <c r="N13"/>
  <c r="O13"/>
  <c r="P13"/>
  <c r="R13"/>
  <c r="T13" s="1"/>
  <c r="AM13"/>
  <c r="AN13"/>
  <c r="AY13"/>
  <c r="BA13"/>
  <c r="BF13"/>
  <c r="BG13"/>
  <c r="BH13" s="1"/>
  <c r="BI13"/>
  <c r="CP13"/>
  <c r="CQ13"/>
  <c r="CR13"/>
  <c r="CS13"/>
  <c r="CT13"/>
  <c r="CU13"/>
  <c r="CV13"/>
  <c r="CW13"/>
  <c r="CX13"/>
  <c r="CY13"/>
  <c r="DD13"/>
  <c r="DG13" s="1"/>
  <c r="DH13" s="1"/>
  <c r="DK13"/>
  <c r="BK13" s="1"/>
  <c r="I12"/>
  <c r="J12"/>
  <c r="K12"/>
  <c r="L12"/>
  <c r="N12"/>
  <c r="O12"/>
  <c r="P12"/>
  <c r="R12"/>
  <c r="T12" s="1"/>
  <c r="AM12"/>
  <c r="AN12"/>
  <c r="AY12"/>
  <c r="BA12"/>
  <c r="BF12"/>
  <c r="BG12"/>
  <c r="BH12" s="1"/>
  <c r="BI12"/>
  <c r="CP12"/>
  <c r="CQ12"/>
  <c r="CR12"/>
  <c r="CS12"/>
  <c r="CT12"/>
  <c r="CU12"/>
  <c r="CV12"/>
  <c r="CW12"/>
  <c r="CX12"/>
  <c r="CY12"/>
  <c r="DD12"/>
  <c r="DG12" s="1"/>
  <c r="DH12" s="1"/>
  <c r="DK12"/>
  <c r="BK12" s="1"/>
  <c r="I11"/>
  <c r="J11"/>
  <c r="K11"/>
  <c r="L11"/>
  <c r="N11"/>
  <c r="O11"/>
  <c r="P11"/>
  <c r="R11"/>
  <c r="T11" s="1"/>
  <c r="AM11"/>
  <c r="AN11"/>
  <c r="AY11"/>
  <c r="BA11"/>
  <c r="BF11"/>
  <c r="BG11"/>
  <c r="BH11"/>
  <c r="BI11"/>
  <c r="BJ11"/>
  <c r="CP11"/>
  <c r="CQ11"/>
  <c r="CR11"/>
  <c r="CS11"/>
  <c r="CT11"/>
  <c r="CU11"/>
  <c r="CV11"/>
  <c r="CW11"/>
  <c r="CX11"/>
  <c r="CY11"/>
  <c r="DD11"/>
  <c r="DG11" s="1"/>
  <c r="DH11" s="1"/>
  <c r="DK11"/>
  <c r="BK11" s="1"/>
  <c r="I10"/>
  <c r="J10"/>
  <c r="K10"/>
  <c r="L10"/>
  <c r="N10"/>
  <c r="O10"/>
  <c r="P10"/>
  <c r="R10"/>
  <c r="T10" s="1"/>
  <c r="AM10"/>
  <c r="AN10"/>
  <c r="AY10"/>
  <c r="BA10"/>
  <c r="BF10"/>
  <c r="BG10"/>
  <c r="BH10" s="1"/>
  <c r="BI10"/>
  <c r="CP10"/>
  <c r="CQ10"/>
  <c r="CR10"/>
  <c r="CS10"/>
  <c r="CT10"/>
  <c r="CU10"/>
  <c r="CV10"/>
  <c r="CW10"/>
  <c r="CX10"/>
  <c r="CY10"/>
  <c r="DD10"/>
  <c r="DG10" s="1"/>
  <c r="DH10" s="1"/>
  <c r="DK10"/>
  <c r="BK10" s="1"/>
  <c r="I9"/>
  <c r="J9"/>
  <c r="K9"/>
  <c r="L9"/>
  <c r="N9"/>
  <c r="O9"/>
  <c r="P9"/>
  <c r="R9"/>
  <c r="T9" s="1"/>
  <c r="AM9"/>
  <c r="AN9"/>
  <c r="AY9"/>
  <c r="BA9"/>
  <c r="BF9"/>
  <c r="BG9"/>
  <c r="BH9"/>
  <c r="BI9"/>
  <c r="BJ9"/>
  <c r="CP9"/>
  <c r="CQ9"/>
  <c r="CR9"/>
  <c r="CS9"/>
  <c r="CT9"/>
  <c r="CU9"/>
  <c r="CV9"/>
  <c r="CW9"/>
  <c r="CX9"/>
  <c r="CY9"/>
  <c r="DD9"/>
  <c r="DG9" s="1"/>
  <c r="DH9" s="1"/>
  <c r="DK9"/>
  <c r="BK9" s="1"/>
  <c r="B8"/>
  <c r="B7"/>
  <c r="BK8"/>
  <c r="BK7"/>
  <c r="DK8"/>
  <c r="DK7"/>
  <c r="AZ38" i="95" l="1"/>
  <c r="AZ39" s="1"/>
  <c r="DH38"/>
  <c r="F39"/>
  <c r="F41" s="1"/>
  <c r="BC39"/>
  <c r="AZ48"/>
  <c r="AZ51" s="1"/>
  <c r="D39"/>
  <c r="D39" i="93"/>
  <c r="DE38"/>
  <c r="T38"/>
  <c r="DG38"/>
  <c r="DH38" s="1"/>
  <c r="DH7"/>
  <c r="AZ7" s="1"/>
  <c r="AZ38" s="1"/>
  <c r="AZ39" s="1"/>
  <c r="BC39"/>
  <c r="AY39"/>
  <c r="AX39" s="1"/>
  <c r="AF39"/>
  <c r="U39"/>
  <c r="U41" s="1"/>
  <c r="H39"/>
  <c r="F39"/>
  <c r="F41" s="1"/>
  <c r="AI39"/>
  <c r="M39"/>
  <c r="X39"/>
  <c r="AZ48"/>
  <c r="AZ51" s="1"/>
  <c r="BI38"/>
  <c r="X39" i="92"/>
  <c r="DF38"/>
  <c r="D39"/>
  <c r="BI38"/>
  <c r="BJ7"/>
  <c r="BJ8" s="1"/>
  <c r="BJ15" s="1"/>
  <c r="BJ16" s="1"/>
  <c r="BJ17" s="1"/>
  <c r="BJ18" s="1"/>
  <c r="BJ19" s="1"/>
  <c r="BJ20" s="1"/>
  <c r="BJ21" s="1"/>
  <c r="BJ22" s="1"/>
  <c r="BJ23" s="1"/>
  <c r="BJ24" s="1"/>
  <c r="BJ25" s="1"/>
  <c r="BJ26" s="1"/>
  <c r="BJ27" s="1"/>
  <c r="BJ28" s="1"/>
  <c r="BJ29" s="1"/>
  <c r="BJ30" s="1"/>
  <c r="BJ31" s="1"/>
  <c r="BJ32" s="1"/>
  <c r="BJ33" s="1"/>
  <c r="BJ34" s="1"/>
  <c r="BJ35" s="1"/>
  <c r="BJ36" s="1"/>
  <c r="BJ37" s="1"/>
  <c r="AZ48" s="1"/>
  <c r="AZ51" s="1"/>
  <c r="BC39"/>
  <c r="AY39"/>
  <c r="AX39" s="1"/>
  <c r="AF39"/>
  <c r="U39"/>
  <c r="U41" s="1"/>
  <c r="H39"/>
  <c r="F39"/>
  <c r="F41" s="1"/>
  <c r="AI39"/>
  <c r="M39"/>
  <c r="DG38"/>
  <c r="DH7"/>
  <c r="AZ7" s="1"/>
  <c r="AZ38" s="1"/>
  <c r="AZ39" s="1"/>
  <c r="BB38"/>
  <c r="BD7"/>
  <c r="BD38" s="1"/>
  <c r="BD39" s="1"/>
  <c r="U17" i="91"/>
  <c r="AZ17"/>
  <c r="BC17"/>
  <c r="F17"/>
  <c r="U16"/>
  <c r="AZ16"/>
  <c r="BC16"/>
  <c r="F16"/>
  <c r="BC15"/>
  <c r="AZ15"/>
  <c r="F15"/>
  <c r="U15"/>
  <c r="AZ14"/>
  <c r="BC13"/>
  <c r="CO40"/>
  <c r="U12"/>
  <c r="AZ12"/>
  <c r="BC12"/>
  <c r="F12"/>
  <c r="R38"/>
  <c r="U11"/>
  <c r="AZ11"/>
  <c r="BC11"/>
  <c r="F11"/>
  <c r="U10"/>
  <c r="AZ10"/>
  <c r="BC10"/>
  <c r="F10"/>
  <c r="U9"/>
  <c r="AZ9"/>
  <c r="BC9"/>
  <c r="F9"/>
  <c r="E39"/>
  <c r="C39"/>
  <c r="BC8"/>
  <c r="AZ8"/>
  <c r="F8"/>
  <c r="D38"/>
  <c r="BC7"/>
  <c r="BC37"/>
  <c r="AY38"/>
  <c r="AB39" s="1"/>
  <c r="BF7"/>
  <c r="BF8" s="1"/>
  <c r="BF37" s="1"/>
  <c r="AI7"/>
  <c r="H7"/>
  <c r="BI7"/>
  <c r="BB7"/>
  <c r="AX7"/>
  <c r="AF7"/>
  <c r="M7"/>
  <c r="F7"/>
  <c r="R39"/>
  <c r="R41" s="1"/>
  <c r="T7"/>
  <c r="AN39"/>
  <c r="DD38"/>
  <c r="DF38" s="1"/>
  <c r="DG7"/>
  <c r="U8"/>
  <c r="AF37" i="90"/>
  <c r="M37"/>
  <c r="F37"/>
  <c r="BB37"/>
  <c r="BD37" s="1"/>
  <c r="AX37"/>
  <c r="AI37"/>
  <c r="U37"/>
  <c r="E37"/>
  <c r="BC37" s="1"/>
  <c r="CO36"/>
  <c r="H36" s="1"/>
  <c r="B36"/>
  <c r="BB36"/>
  <c r="BD36" s="1"/>
  <c r="AX36"/>
  <c r="AF36"/>
  <c r="M36"/>
  <c r="AI36"/>
  <c r="U36"/>
  <c r="CO35"/>
  <c r="B35"/>
  <c r="H35"/>
  <c r="BB35"/>
  <c r="BD35" s="1"/>
  <c r="AX35"/>
  <c r="AF35"/>
  <c r="M35"/>
  <c r="BJ35"/>
  <c r="AI35"/>
  <c r="U35"/>
  <c r="CO34"/>
  <c r="B34"/>
  <c r="H34"/>
  <c r="BB34"/>
  <c r="BD34" s="1"/>
  <c r="AX34"/>
  <c r="AF34"/>
  <c r="M34"/>
  <c r="AI34"/>
  <c r="U34"/>
  <c r="CO33"/>
  <c r="B33"/>
  <c r="H33"/>
  <c r="BB33"/>
  <c r="BD33" s="1"/>
  <c r="AX33"/>
  <c r="AF33"/>
  <c r="M33"/>
  <c r="AI33"/>
  <c r="U33"/>
  <c r="CO32"/>
  <c r="H32" s="1"/>
  <c r="B32"/>
  <c r="BB32"/>
  <c r="BD32" s="1"/>
  <c r="AX32"/>
  <c r="AF32"/>
  <c r="M32"/>
  <c r="BJ32"/>
  <c r="AI32"/>
  <c r="U32"/>
  <c r="B31"/>
  <c r="AY31"/>
  <c r="CO30"/>
  <c r="B30"/>
  <c r="H30"/>
  <c r="BB30"/>
  <c r="BD30" s="1"/>
  <c r="AX30"/>
  <c r="AF30"/>
  <c r="M30"/>
  <c r="BJ30"/>
  <c r="AI30"/>
  <c r="U30"/>
  <c r="CO29"/>
  <c r="B29"/>
  <c r="H29"/>
  <c r="BB29"/>
  <c r="BD29" s="1"/>
  <c r="AX29"/>
  <c r="AF29"/>
  <c r="M29"/>
  <c r="BJ29"/>
  <c r="AI29"/>
  <c r="U29"/>
  <c r="CO28"/>
  <c r="B28"/>
  <c r="H28"/>
  <c r="BB28"/>
  <c r="BD28" s="1"/>
  <c r="AX28"/>
  <c r="AF28"/>
  <c r="M28"/>
  <c r="BJ28"/>
  <c r="AI28"/>
  <c r="U28"/>
  <c r="CO27"/>
  <c r="B27"/>
  <c r="H27"/>
  <c r="BB27"/>
  <c r="BD27" s="1"/>
  <c r="AX27"/>
  <c r="AF27"/>
  <c r="M27"/>
  <c r="AI27"/>
  <c r="U27"/>
  <c r="B26"/>
  <c r="CO26"/>
  <c r="H26"/>
  <c r="BJ26"/>
  <c r="AF26"/>
  <c r="M26"/>
  <c r="BB26"/>
  <c r="BD26" s="1"/>
  <c r="AX26"/>
  <c r="AI26"/>
  <c r="U26"/>
  <c r="CO25"/>
  <c r="B25"/>
  <c r="H25"/>
  <c r="BB25"/>
  <c r="BD25" s="1"/>
  <c r="AX25"/>
  <c r="AF25"/>
  <c r="M25"/>
  <c r="AI25"/>
  <c r="U25"/>
  <c r="CO24"/>
  <c r="B24"/>
  <c r="H24"/>
  <c r="BB24"/>
  <c r="BD24" s="1"/>
  <c r="AX24"/>
  <c r="AF24"/>
  <c r="M24"/>
  <c r="BJ24"/>
  <c r="AI24"/>
  <c r="U24"/>
  <c r="CO23"/>
  <c r="B23"/>
  <c r="H23"/>
  <c r="BB23"/>
  <c r="BD23" s="1"/>
  <c r="AX23"/>
  <c r="AF23"/>
  <c r="M23"/>
  <c r="BJ23"/>
  <c r="AI23"/>
  <c r="U23"/>
  <c r="CO22"/>
  <c r="B22"/>
  <c r="H22"/>
  <c r="BB22"/>
  <c r="BD22" s="1"/>
  <c r="AX22"/>
  <c r="AF22"/>
  <c r="M22"/>
  <c r="BJ22"/>
  <c r="AI22"/>
  <c r="U22"/>
  <c r="CO21"/>
  <c r="B21"/>
  <c r="H21"/>
  <c r="BB21"/>
  <c r="BD21" s="1"/>
  <c r="AX21"/>
  <c r="AF21"/>
  <c r="M21"/>
  <c r="BJ21"/>
  <c r="AI21"/>
  <c r="U21"/>
  <c r="CO20"/>
  <c r="B20"/>
  <c r="H20"/>
  <c r="BB20"/>
  <c r="BD20" s="1"/>
  <c r="AX20"/>
  <c r="AF20"/>
  <c r="M20"/>
  <c r="BJ20"/>
  <c r="AI20"/>
  <c r="U20"/>
  <c r="CO19"/>
  <c r="B19"/>
  <c r="H19"/>
  <c r="BB19"/>
  <c r="BD19" s="1"/>
  <c r="AX19"/>
  <c r="AF19"/>
  <c r="M19"/>
  <c r="AI19"/>
  <c r="U19"/>
  <c r="CO18"/>
  <c r="B18"/>
  <c r="H18"/>
  <c r="BB18"/>
  <c r="BD18" s="1"/>
  <c r="AX18"/>
  <c r="AF18"/>
  <c r="M18"/>
  <c r="BJ18"/>
  <c r="AI18"/>
  <c r="U18"/>
  <c r="CO17"/>
  <c r="B17"/>
  <c r="H17"/>
  <c r="BB17"/>
  <c r="BD17" s="1"/>
  <c r="AX17"/>
  <c r="AF17"/>
  <c r="M17"/>
  <c r="AI17"/>
  <c r="U17"/>
  <c r="C16"/>
  <c r="E16"/>
  <c r="D16"/>
  <c r="CO16"/>
  <c r="H16" s="1"/>
  <c r="BJ16"/>
  <c r="AF16"/>
  <c r="M16"/>
  <c r="F16"/>
  <c r="U16"/>
  <c r="CO15"/>
  <c r="B15"/>
  <c r="H15"/>
  <c r="BB15"/>
  <c r="BD15" s="1"/>
  <c r="AX15"/>
  <c r="AF15"/>
  <c r="M15"/>
  <c r="BJ15"/>
  <c r="AI15"/>
  <c r="U15"/>
  <c r="CO14"/>
  <c r="B14"/>
  <c r="H14"/>
  <c r="BB14"/>
  <c r="BD14" s="1"/>
  <c r="AX14"/>
  <c r="AF14"/>
  <c r="M14"/>
  <c r="BJ14"/>
  <c r="AI14"/>
  <c r="U14"/>
  <c r="CO13"/>
  <c r="B13"/>
  <c r="H13"/>
  <c r="BB13"/>
  <c r="BD13" s="1"/>
  <c r="AX13"/>
  <c r="AF13"/>
  <c r="M13"/>
  <c r="BJ13"/>
  <c r="AI13"/>
  <c r="U13"/>
  <c r="CO12"/>
  <c r="H12" s="1"/>
  <c r="B12"/>
  <c r="BB12"/>
  <c r="BD12" s="1"/>
  <c r="AX12"/>
  <c r="AF12"/>
  <c r="M12"/>
  <c r="BJ12"/>
  <c r="AI12"/>
  <c r="U12"/>
  <c r="CO11"/>
  <c r="B11"/>
  <c r="H11"/>
  <c r="BB11"/>
  <c r="BD11" s="1"/>
  <c r="AX11"/>
  <c r="AF11"/>
  <c r="M11"/>
  <c r="AI11"/>
  <c r="U11"/>
  <c r="CO10"/>
  <c r="B10"/>
  <c r="H10"/>
  <c r="BB10"/>
  <c r="BD10" s="1"/>
  <c r="AX10"/>
  <c r="AF10"/>
  <c r="M10"/>
  <c r="BJ10"/>
  <c r="AI10"/>
  <c r="U10"/>
  <c r="CO9"/>
  <c r="B9"/>
  <c r="H9"/>
  <c r="BB9"/>
  <c r="BD9" s="1"/>
  <c r="AX9"/>
  <c r="AF9"/>
  <c r="M9"/>
  <c r="AI9"/>
  <c r="U9"/>
  <c r="DH38" i="92" l="1"/>
  <c r="X39" i="91"/>
  <c r="T38"/>
  <c r="BB38"/>
  <c r="BD7"/>
  <c r="BD38" s="1"/>
  <c r="BD39" s="1"/>
  <c r="D39"/>
  <c r="DE38"/>
  <c r="DG38" s="1"/>
  <c r="DH38" s="1"/>
  <c r="DH7"/>
  <c r="AZ7" s="1"/>
  <c r="AZ38" s="1"/>
  <c r="AZ39" s="1"/>
  <c r="BI38"/>
  <c r="BJ7"/>
  <c r="BJ8" s="1"/>
  <c r="BJ37" s="1"/>
  <c r="AZ48" s="1"/>
  <c r="AZ51" s="1"/>
  <c r="BC39"/>
  <c r="AY39"/>
  <c r="AX39" s="1"/>
  <c r="AF39"/>
  <c r="H39"/>
  <c r="F39"/>
  <c r="F41" s="1"/>
  <c r="AI39"/>
  <c r="M39"/>
  <c r="U7"/>
  <c r="AZ37" i="90"/>
  <c r="C36"/>
  <c r="E36"/>
  <c r="D36"/>
  <c r="C35"/>
  <c r="E35"/>
  <c r="D35"/>
  <c r="C34"/>
  <c r="E34"/>
  <c r="D34"/>
  <c r="C33"/>
  <c r="E33"/>
  <c r="D33"/>
  <c r="C32"/>
  <c r="E32"/>
  <c r="D32"/>
  <c r="H31"/>
  <c r="U31"/>
  <c r="AI31"/>
  <c r="BF31"/>
  <c r="M31"/>
  <c r="AF31"/>
  <c r="AX31"/>
  <c r="BB31"/>
  <c r="BD31" s="1"/>
  <c r="BI31"/>
  <c r="BJ31" s="1"/>
  <c r="C31"/>
  <c r="E31"/>
  <c r="D31"/>
  <c r="F31" s="1"/>
  <c r="C30"/>
  <c r="E30"/>
  <c r="D30"/>
  <c r="C29"/>
  <c r="E29"/>
  <c r="D29"/>
  <c r="C28"/>
  <c r="E28"/>
  <c r="D28"/>
  <c r="C27"/>
  <c r="E27"/>
  <c r="D27"/>
  <c r="C26"/>
  <c r="E26"/>
  <c r="D26"/>
  <c r="C25"/>
  <c r="E25"/>
  <c r="D25"/>
  <c r="C24"/>
  <c r="E24"/>
  <c r="D24"/>
  <c r="C23"/>
  <c r="E23"/>
  <c r="D23"/>
  <c r="C22"/>
  <c r="E22"/>
  <c r="D22"/>
  <c r="C21"/>
  <c r="E21"/>
  <c r="D21"/>
  <c r="C20"/>
  <c r="E20"/>
  <c r="D20"/>
  <c r="C19"/>
  <c r="E19"/>
  <c r="D19"/>
  <c r="C18"/>
  <c r="E18"/>
  <c r="D18"/>
  <c r="C17"/>
  <c r="E17"/>
  <c r="D17"/>
  <c r="AZ16"/>
  <c r="BC16"/>
  <c r="C15"/>
  <c r="E15"/>
  <c r="D15"/>
  <c r="C14"/>
  <c r="E14"/>
  <c r="D14"/>
  <c r="C13"/>
  <c r="E13"/>
  <c r="D13"/>
  <c r="C12"/>
  <c r="E12"/>
  <c r="D12"/>
  <c r="C11"/>
  <c r="E11"/>
  <c r="D11"/>
  <c r="C10"/>
  <c r="E10"/>
  <c r="D10"/>
  <c r="C9"/>
  <c r="E9"/>
  <c r="D9"/>
  <c r="U39" i="91" l="1"/>
  <c r="U41" s="1"/>
  <c r="BC36" i="90"/>
  <c r="AZ36"/>
  <c r="F36"/>
  <c r="BC35"/>
  <c r="AZ35"/>
  <c r="F35"/>
  <c r="BC34"/>
  <c r="AZ34"/>
  <c r="F34"/>
  <c r="BC33"/>
  <c r="AZ33"/>
  <c r="F33"/>
  <c r="BC32"/>
  <c r="AZ32"/>
  <c r="F32"/>
  <c r="BC31"/>
  <c r="AZ31"/>
  <c r="BC30"/>
  <c r="AZ30"/>
  <c r="F30"/>
  <c r="BC29"/>
  <c r="AZ29"/>
  <c r="F29"/>
  <c r="BC28"/>
  <c r="AZ28"/>
  <c r="F28"/>
  <c r="BC27"/>
  <c r="AZ27"/>
  <c r="F27"/>
  <c r="AZ26"/>
  <c r="BC26"/>
  <c r="F26"/>
  <c r="BC25"/>
  <c r="AZ25"/>
  <c r="F25"/>
  <c r="BC24"/>
  <c r="AZ24"/>
  <c r="F24"/>
  <c r="BC23"/>
  <c r="AZ23"/>
  <c r="F23"/>
  <c r="BC22"/>
  <c r="AZ22"/>
  <c r="F22"/>
  <c r="BC21"/>
  <c r="AZ21"/>
  <c r="F21"/>
  <c r="BC20"/>
  <c r="AZ20"/>
  <c r="F20"/>
  <c r="BC19"/>
  <c r="AZ19"/>
  <c r="F19"/>
  <c r="BC18"/>
  <c r="AZ18"/>
  <c r="F18"/>
  <c r="BC17"/>
  <c r="AZ17"/>
  <c r="F17"/>
  <c r="BC15"/>
  <c r="AZ15"/>
  <c r="F15"/>
  <c r="BC14"/>
  <c r="AZ14"/>
  <c r="F14"/>
  <c r="BC13"/>
  <c r="AZ13"/>
  <c r="F13"/>
  <c r="BC12"/>
  <c r="AZ12"/>
  <c r="F12"/>
  <c r="BC11"/>
  <c r="AZ11"/>
  <c r="F11"/>
  <c r="BC10"/>
  <c r="AZ10"/>
  <c r="F10"/>
  <c r="BC9"/>
  <c r="AZ9"/>
  <c r="F9"/>
  <c r="BD59" l="1"/>
  <c r="AT46"/>
  <c r="AT43"/>
  <c r="AS39"/>
  <c r="AQ39"/>
  <c r="AP39"/>
  <c r="AD39"/>
  <c r="AC39"/>
  <c r="Z39"/>
  <c r="Z41" s="1"/>
  <c r="Y39"/>
  <c r="CI38"/>
  <c r="CM39" s="1"/>
  <c r="CH38"/>
  <c r="CL39" s="1"/>
  <c r="CG38"/>
  <c r="CK39" s="1"/>
  <c r="CF38"/>
  <c r="CJ39" s="1"/>
  <c r="BQ38"/>
  <c r="BP38"/>
  <c r="CD39" s="1"/>
  <c r="BO38"/>
  <c r="BN38"/>
  <c r="CB39" s="1"/>
  <c r="BM38"/>
  <c r="BL38"/>
  <c r="BZ39" s="1"/>
  <c r="BK38"/>
  <c r="BG38"/>
  <c r="AW38"/>
  <c r="AW39" s="1"/>
  <c r="AV38"/>
  <c r="AV39" s="1"/>
  <c r="AU38"/>
  <c r="AU39" s="1"/>
  <c r="AT38"/>
  <c r="AT41" s="1"/>
  <c r="AL38"/>
  <c r="AL39" s="1"/>
  <c r="AJ38"/>
  <c r="AJ39" s="1"/>
  <c r="AH38"/>
  <c r="AH39" s="1"/>
  <c r="AG38"/>
  <c r="AG39" s="1"/>
  <c r="AE38"/>
  <c r="AE39" s="1"/>
  <c r="AD38"/>
  <c r="L46" s="1"/>
  <c r="W38"/>
  <c r="W39" s="1"/>
  <c r="V38"/>
  <c r="V39" s="1"/>
  <c r="S38"/>
  <c r="S39" s="1"/>
  <c r="G38"/>
  <c r="G39" s="1"/>
  <c r="G41" s="1"/>
  <c r="CY8"/>
  <c r="CX8"/>
  <c r="CW8"/>
  <c r="CV8"/>
  <c r="CU8"/>
  <c r="CT8"/>
  <c r="CS8"/>
  <c r="CR8"/>
  <c r="CQ8"/>
  <c r="CP8"/>
  <c r="CO8"/>
  <c r="BG8"/>
  <c r="BA8"/>
  <c r="AY8"/>
  <c r="BI8" s="1"/>
  <c r="AN8"/>
  <c r="AM8"/>
  <c r="AI8"/>
  <c r="R8"/>
  <c r="P8"/>
  <c r="O8"/>
  <c r="N8"/>
  <c r="L8"/>
  <c r="K8"/>
  <c r="J8"/>
  <c r="DD8" s="1"/>
  <c r="DG8" s="1"/>
  <c r="DH8" s="1"/>
  <c r="I8"/>
  <c r="H8"/>
  <c r="E8"/>
  <c r="C8"/>
  <c r="CY7"/>
  <c r="CY38" s="1"/>
  <c r="CX7"/>
  <c r="CX38" s="1"/>
  <c r="CW7"/>
  <c r="CW38" s="1"/>
  <c r="CV7"/>
  <c r="CU7"/>
  <c r="CU38" s="1"/>
  <c r="CT7"/>
  <c r="CT38" s="1"/>
  <c r="CS7"/>
  <c r="CS38" s="1"/>
  <c r="CR7"/>
  <c r="CR38" s="1"/>
  <c r="CQ7"/>
  <c r="CQ38" s="1"/>
  <c r="CP7"/>
  <c r="CP38" s="1"/>
  <c r="CO7"/>
  <c r="CO38" s="1"/>
  <c r="BH7"/>
  <c r="BH8" s="1"/>
  <c r="BG7"/>
  <c r="BA7"/>
  <c r="BA38" s="1"/>
  <c r="AY7"/>
  <c r="AN7"/>
  <c r="AM7"/>
  <c r="AM38" s="1"/>
  <c r="AI7"/>
  <c r="R7"/>
  <c r="T7" s="1"/>
  <c r="P7"/>
  <c r="P38" s="1"/>
  <c r="P39" s="1"/>
  <c r="O7"/>
  <c r="N7"/>
  <c r="L7"/>
  <c r="K7"/>
  <c r="J7"/>
  <c r="I7"/>
  <c r="E7"/>
  <c r="C7"/>
  <c r="B38"/>
  <c r="B39" s="1"/>
  <c r="B37" i="85"/>
  <c r="C37" s="1"/>
  <c r="D37" s="1"/>
  <c r="I37"/>
  <c r="J37"/>
  <c r="K37"/>
  <c r="L37"/>
  <c r="N37"/>
  <c r="O37"/>
  <c r="P37"/>
  <c r="Q37"/>
  <c r="R37" s="1"/>
  <c r="T37" s="1"/>
  <c r="AN37"/>
  <c r="AY37"/>
  <c r="H37" s="1"/>
  <c r="BA37"/>
  <c r="BF37"/>
  <c r="BG37"/>
  <c r="BH37" s="1"/>
  <c r="BI37"/>
  <c r="BJ37" s="1"/>
  <c r="CO37"/>
  <c r="CP37"/>
  <c r="CQ37"/>
  <c r="CR37"/>
  <c r="CS37"/>
  <c r="CT37"/>
  <c r="CU37"/>
  <c r="CV37"/>
  <c r="CW37"/>
  <c r="CX37"/>
  <c r="CY37"/>
  <c r="DD37"/>
  <c r="DG37" s="1"/>
  <c r="DH37" s="1"/>
  <c r="CY36"/>
  <c r="CX36"/>
  <c r="CW36"/>
  <c r="CV36"/>
  <c r="CU36"/>
  <c r="CT36"/>
  <c r="CS36"/>
  <c r="CR36"/>
  <c r="CQ36"/>
  <c r="CP36"/>
  <c r="CO36"/>
  <c r="BH36"/>
  <c r="BG36"/>
  <c r="BA36"/>
  <c r="AY36"/>
  <c r="BF36" s="1"/>
  <c r="AN36"/>
  <c r="AI36"/>
  <c r="Q36"/>
  <c r="R36" s="1"/>
  <c r="P36"/>
  <c r="O36"/>
  <c r="N36"/>
  <c r="L36"/>
  <c r="K36"/>
  <c r="J36"/>
  <c r="DD36" s="1"/>
  <c r="DG36" s="1"/>
  <c r="DH36" s="1"/>
  <c r="I36"/>
  <c r="H36"/>
  <c r="B36"/>
  <c r="E36" s="1"/>
  <c r="CY35"/>
  <c r="CX35"/>
  <c r="CW35"/>
  <c r="CV35"/>
  <c r="CU35"/>
  <c r="CT35"/>
  <c r="CS35"/>
  <c r="CR35"/>
  <c r="CQ35"/>
  <c r="CP35"/>
  <c r="CO35"/>
  <c r="BG35"/>
  <c r="BA35"/>
  <c r="AY35"/>
  <c r="Q35"/>
  <c r="P35"/>
  <c r="O35"/>
  <c r="N35"/>
  <c r="L35"/>
  <c r="K35"/>
  <c r="J35"/>
  <c r="DD35" s="1"/>
  <c r="DG35" s="1"/>
  <c r="DH35" s="1"/>
  <c r="I35"/>
  <c r="B35"/>
  <c r="B34"/>
  <c r="C34" s="1"/>
  <c r="D34" s="1"/>
  <c r="I34"/>
  <c r="J34"/>
  <c r="K34"/>
  <c r="L34"/>
  <c r="N34"/>
  <c r="O34"/>
  <c r="P34"/>
  <c r="Q34"/>
  <c r="R34" s="1"/>
  <c r="T34" s="1"/>
  <c r="AN34"/>
  <c r="AY34"/>
  <c r="H34" s="1"/>
  <c r="BA34"/>
  <c r="BF34"/>
  <c r="BG34"/>
  <c r="BH34" s="1"/>
  <c r="BI34"/>
  <c r="CO34"/>
  <c r="CP34"/>
  <c r="CQ34"/>
  <c r="CR34"/>
  <c r="CS34"/>
  <c r="CT34"/>
  <c r="CU34"/>
  <c r="CV34"/>
  <c r="CW34"/>
  <c r="CX34"/>
  <c r="CY34"/>
  <c r="DD34"/>
  <c r="DG34" s="1"/>
  <c r="DH34" s="1"/>
  <c r="CY33"/>
  <c r="CX33"/>
  <c r="CW33"/>
  <c r="CV33"/>
  <c r="CU33"/>
  <c r="CT33"/>
  <c r="CS33"/>
  <c r="CR33"/>
  <c r="CQ33"/>
  <c r="CP33"/>
  <c r="CO33"/>
  <c r="BG33"/>
  <c r="BA33"/>
  <c r="AY33"/>
  <c r="Q33"/>
  <c r="P33"/>
  <c r="O33"/>
  <c r="N33"/>
  <c r="L33"/>
  <c r="K33"/>
  <c r="J33"/>
  <c r="DD33" s="1"/>
  <c r="DG33" s="1"/>
  <c r="DH33" s="1"/>
  <c r="I33"/>
  <c r="B33"/>
  <c r="BD59" i="89"/>
  <c r="Q8"/>
  <c r="R8" s="1"/>
  <c r="T8" s="1"/>
  <c r="Q9"/>
  <c r="R9" s="1"/>
  <c r="T9" s="1"/>
  <c r="Q10"/>
  <c r="R10" s="1"/>
  <c r="T10" s="1"/>
  <c r="Q11"/>
  <c r="R11" s="1"/>
  <c r="T11" s="1"/>
  <c r="Q12"/>
  <c r="R12" s="1"/>
  <c r="T12" s="1"/>
  <c r="Q13"/>
  <c r="R13" s="1"/>
  <c r="T13" s="1"/>
  <c r="Q14"/>
  <c r="R14" s="1"/>
  <c r="T14" s="1"/>
  <c r="Q15"/>
  <c r="R15" s="1"/>
  <c r="T15" s="1"/>
  <c r="Q16"/>
  <c r="R16" s="1"/>
  <c r="T16" s="1"/>
  <c r="Q17"/>
  <c r="Q18"/>
  <c r="Q19"/>
  <c r="Q20"/>
  <c r="Q21"/>
  <c r="Q22"/>
  <c r="Q23"/>
  <c r="Q24"/>
  <c r="Q25"/>
  <c r="R25" s="1"/>
  <c r="T25" s="1"/>
  <c r="Q26"/>
  <c r="R26" s="1"/>
  <c r="T26" s="1"/>
  <c r="Q27"/>
  <c r="Q28"/>
  <c r="Q29"/>
  <c r="Q30"/>
  <c r="Q31"/>
  <c r="Q32"/>
  <c r="Q33"/>
  <c r="Q34"/>
  <c r="R34" s="1"/>
  <c r="T34" s="1"/>
  <c r="Q35"/>
  <c r="Q36"/>
  <c r="R36" s="1"/>
  <c r="T36" s="1"/>
  <c r="Q37"/>
  <c r="Q7"/>
  <c r="R7" s="1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7"/>
  <c r="J8"/>
  <c r="DD8" s="1"/>
  <c r="DG8" s="1"/>
  <c r="DH8" s="1"/>
  <c r="J9"/>
  <c r="DD9" s="1"/>
  <c r="DG9" s="1"/>
  <c r="DH9" s="1"/>
  <c r="J10"/>
  <c r="DD10" s="1"/>
  <c r="DG10" s="1"/>
  <c r="DH10" s="1"/>
  <c r="J11"/>
  <c r="DD11" s="1"/>
  <c r="DG11" s="1"/>
  <c r="DH11" s="1"/>
  <c r="J12"/>
  <c r="DD12" s="1"/>
  <c r="DG12" s="1"/>
  <c r="DH12" s="1"/>
  <c r="J13"/>
  <c r="DD13" s="1"/>
  <c r="DG13" s="1"/>
  <c r="DH13" s="1"/>
  <c r="J14"/>
  <c r="DD14" s="1"/>
  <c r="DG14" s="1"/>
  <c r="DH14" s="1"/>
  <c r="J15"/>
  <c r="DD15" s="1"/>
  <c r="DG15" s="1"/>
  <c r="DH15" s="1"/>
  <c r="J16"/>
  <c r="DD16" s="1"/>
  <c r="DG16" s="1"/>
  <c r="DH16" s="1"/>
  <c r="J17"/>
  <c r="DD17" s="1"/>
  <c r="DG17" s="1"/>
  <c r="DH17" s="1"/>
  <c r="J18"/>
  <c r="DD18" s="1"/>
  <c r="DG18" s="1"/>
  <c r="DH18" s="1"/>
  <c r="J19"/>
  <c r="DD19" s="1"/>
  <c r="DG19" s="1"/>
  <c r="DH19" s="1"/>
  <c r="J20"/>
  <c r="DD20" s="1"/>
  <c r="DG20" s="1"/>
  <c r="DH20" s="1"/>
  <c r="J21"/>
  <c r="DD21" s="1"/>
  <c r="DG21" s="1"/>
  <c r="DH21" s="1"/>
  <c r="J22"/>
  <c r="DD22" s="1"/>
  <c r="DG22" s="1"/>
  <c r="DH22" s="1"/>
  <c r="J23"/>
  <c r="DD23" s="1"/>
  <c r="DG23" s="1"/>
  <c r="DH23" s="1"/>
  <c r="J24"/>
  <c r="DD24" s="1"/>
  <c r="DG24" s="1"/>
  <c r="DH24" s="1"/>
  <c r="J25"/>
  <c r="DD25" s="1"/>
  <c r="DG25" s="1"/>
  <c r="DH25" s="1"/>
  <c r="J26"/>
  <c r="DD26" s="1"/>
  <c r="DG26" s="1"/>
  <c r="DH26" s="1"/>
  <c r="J27"/>
  <c r="DD27" s="1"/>
  <c r="DG27" s="1"/>
  <c r="DH27" s="1"/>
  <c r="J28"/>
  <c r="DD28" s="1"/>
  <c r="DG28" s="1"/>
  <c r="DH28" s="1"/>
  <c r="J29"/>
  <c r="DD29" s="1"/>
  <c r="DG29" s="1"/>
  <c r="DH29" s="1"/>
  <c r="J30"/>
  <c r="DD30" s="1"/>
  <c r="DG30" s="1"/>
  <c r="DH30" s="1"/>
  <c r="J31"/>
  <c r="DD31" s="1"/>
  <c r="DG31" s="1"/>
  <c r="DH31" s="1"/>
  <c r="J32"/>
  <c r="DD32" s="1"/>
  <c r="DG32" s="1"/>
  <c r="DH32" s="1"/>
  <c r="J33"/>
  <c r="DD33" s="1"/>
  <c r="DG33" s="1"/>
  <c r="DH33" s="1"/>
  <c r="J34"/>
  <c r="DD34" s="1"/>
  <c r="DG34" s="1"/>
  <c r="DH34" s="1"/>
  <c r="J35"/>
  <c r="DD35" s="1"/>
  <c r="DG35" s="1"/>
  <c r="DH35" s="1"/>
  <c r="J36"/>
  <c r="DD36" s="1"/>
  <c r="DG36" s="1"/>
  <c r="DH36" s="1"/>
  <c r="J37"/>
  <c r="DD37" s="1"/>
  <c r="DG37" s="1"/>
  <c r="J7"/>
  <c r="B8"/>
  <c r="C8" s="1"/>
  <c r="D8" s="1"/>
  <c r="B9"/>
  <c r="E9" s="1"/>
  <c r="B10"/>
  <c r="E10" s="1"/>
  <c r="B11"/>
  <c r="E11" s="1"/>
  <c r="B12"/>
  <c r="C12" s="1"/>
  <c r="D12" s="1"/>
  <c r="B13"/>
  <c r="E13" s="1"/>
  <c r="B14"/>
  <c r="E14" s="1"/>
  <c r="B15"/>
  <c r="C15" s="1"/>
  <c r="D15" s="1"/>
  <c r="B16"/>
  <c r="E16" s="1"/>
  <c r="B17"/>
  <c r="B18"/>
  <c r="B19"/>
  <c r="B20"/>
  <c r="B21"/>
  <c r="B22"/>
  <c r="B23"/>
  <c r="B24"/>
  <c r="E24" s="1"/>
  <c r="B25"/>
  <c r="E25" s="1"/>
  <c r="B26"/>
  <c r="E26" s="1"/>
  <c r="B27"/>
  <c r="B28"/>
  <c r="B29"/>
  <c r="B30"/>
  <c r="B31"/>
  <c r="B32"/>
  <c r="B33"/>
  <c r="B34"/>
  <c r="E34" s="1"/>
  <c r="B35"/>
  <c r="B36"/>
  <c r="E36" s="1"/>
  <c r="B37"/>
  <c r="B7"/>
  <c r="E7" s="1"/>
  <c r="AT46"/>
  <c r="AT43"/>
  <c r="AS39"/>
  <c r="AQ39"/>
  <c r="AP39"/>
  <c r="AD39"/>
  <c r="AC39"/>
  <c r="Z39"/>
  <c r="Z41" s="1"/>
  <c r="Y39"/>
  <c r="CI38"/>
  <c r="CM39" s="1"/>
  <c r="CH38"/>
  <c r="CL39" s="1"/>
  <c r="CG38"/>
  <c r="CK39" s="1"/>
  <c r="CF38"/>
  <c r="CJ39" s="1"/>
  <c r="BQ38"/>
  <c r="BX39" s="1"/>
  <c r="BP38"/>
  <c r="CD39" s="1"/>
  <c r="BO38"/>
  <c r="BV39" s="1"/>
  <c r="BN38"/>
  <c r="CB39" s="1"/>
  <c r="BM38"/>
  <c r="BT39" s="1"/>
  <c r="BL38"/>
  <c r="BZ39" s="1"/>
  <c r="BK38"/>
  <c r="BR39" s="1"/>
  <c r="BG38"/>
  <c r="AW38"/>
  <c r="AW39" s="1"/>
  <c r="AV38"/>
  <c r="AV39" s="1"/>
  <c r="AU38"/>
  <c r="AU39" s="1"/>
  <c r="AT38"/>
  <c r="AT41" s="1"/>
  <c r="AL38"/>
  <c r="AL39" s="1"/>
  <c r="AJ38"/>
  <c r="AJ39" s="1"/>
  <c r="AH38"/>
  <c r="AH39" s="1"/>
  <c r="AG38"/>
  <c r="AG39" s="1"/>
  <c r="AE38"/>
  <c r="AE39" s="1"/>
  <c r="AD38"/>
  <c r="W38"/>
  <c r="W39" s="1"/>
  <c r="V38"/>
  <c r="V39" s="1"/>
  <c r="S38"/>
  <c r="S39" s="1"/>
  <c r="G38"/>
  <c r="G39" s="1"/>
  <c r="G41" s="1"/>
  <c r="DH37"/>
  <c r="AZ37" s="1"/>
  <c r="CY37"/>
  <c r="CX37"/>
  <c r="CW37"/>
  <c r="CV37"/>
  <c r="CU37"/>
  <c r="CT37"/>
  <c r="CS37"/>
  <c r="CR37"/>
  <c r="CQ37"/>
  <c r="CP37"/>
  <c r="CO37"/>
  <c r="BG37"/>
  <c r="BA37"/>
  <c r="AM37"/>
  <c r="AY37" s="1"/>
  <c r="P37"/>
  <c r="K37"/>
  <c r="I37"/>
  <c r="CY36"/>
  <c r="CX36"/>
  <c r="CW36"/>
  <c r="CV36"/>
  <c r="CU36"/>
  <c r="CT36"/>
  <c r="CS36"/>
  <c r="CR36"/>
  <c r="CQ36"/>
  <c r="CP36"/>
  <c r="CO36"/>
  <c r="BG36"/>
  <c r="BA36"/>
  <c r="AY36"/>
  <c r="P36"/>
  <c r="K36"/>
  <c r="I36"/>
  <c r="CY35"/>
  <c r="CX35"/>
  <c r="CW35"/>
  <c r="CV35"/>
  <c r="CU35"/>
  <c r="CT35"/>
  <c r="CS35"/>
  <c r="CR35"/>
  <c r="CQ35"/>
  <c r="CP35"/>
  <c r="CO35"/>
  <c r="BG35"/>
  <c r="BA35"/>
  <c r="AM35"/>
  <c r="AY35" s="1"/>
  <c r="P35"/>
  <c r="K35"/>
  <c r="I35"/>
  <c r="CY34"/>
  <c r="CX34"/>
  <c r="CW34"/>
  <c r="CV34"/>
  <c r="CU34"/>
  <c r="CT34"/>
  <c r="CS34"/>
  <c r="CR34"/>
  <c r="CQ34"/>
  <c r="CP34"/>
  <c r="CO34"/>
  <c r="BG34"/>
  <c r="BA34"/>
  <c r="AM34"/>
  <c r="AY34" s="1"/>
  <c r="P34"/>
  <c r="K34"/>
  <c r="I34"/>
  <c r="CY33"/>
  <c r="CX33"/>
  <c r="CW33"/>
  <c r="CV33"/>
  <c r="CU33"/>
  <c r="CT33"/>
  <c r="CS33"/>
  <c r="CR33"/>
  <c r="CQ33"/>
  <c r="CP33"/>
  <c r="CO33"/>
  <c r="BG33"/>
  <c r="BA33"/>
  <c r="AM33"/>
  <c r="AY33" s="1"/>
  <c r="P33"/>
  <c r="K33"/>
  <c r="I33"/>
  <c r="CY32"/>
  <c r="CX32"/>
  <c r="CW32"/>
  <c r="CV32"/>
  <c r="CU32"/>
  <c r="CT32"/>
  <c r="CS32"/>
  <c r="CR32"/>
  <c r="CQ32"/>
  <c r="CP32"/>
  <c r="CO32"/>
  <c r="BG32"/>
  <c r="BA32"/>
  <c r="AY32"/>
  <c r="P32"/>
  <c r="K32"/>
  <c r="I32"/>
  <c r="CY31"/>
  <c r="CX31"/>
  <c r="CW31"/>
  <c r="CV31"/>
  <c r="CU31"/>
  <c r="CT31"/>
  <c r="CS31"/>
  <c r="CR31"/>
  <c r="CQ31"/>
  <c r="CP31"/>
  <c r="CO31"/>
  <c r="BG31"/>
  <c r="BA31"/>
  <c r="AM31"/>
  <c r="AY31" s="1"/>
  <c r="P31"/>
  <c r="K31"/>
  <c r="I31"/>
  <c r="CY30"/>
  <c r="CX30"/>
  <c r="CW30"/>
  <c r="CV30"/>
  <c r="CU30"/>
  <c r="CT30"/>
  <c r="CS30"/>
  <c r="CR30"/>
  <c r="CQ30"/>
  <c r="CP30"/>
  <c r="CO30"/>
  <c r="BG30"/>
  <c r="BA30"/>
  <c r="AM30"/>
  <c r="AY30" s="1"/>
  <c r="P30"/>
  <c r="K30"/>
  <c r="I30"/>
  <c r="CY29"/>
  <c r="CX29"/>
  <c r="CW29"/>
  <c r="CV29"/>
  <c r="CU29"/>
  <c r="CT29"/>
  <c r="CS29"/>
  <c r="CR29"/>
  <c r="CQ29"/>
  <c r="CP29"/>
  <c r="CO29"/>
  <c r="BG29"/>
  <c r="BA29"/>
  <c r="AM29"/>
  <c r="AY29" s="1"/>
  <c r="P29"/>
  <c r="K29"/>
  <c r="I29"/>
  <c r="CY28"/>
  <c r="CX28"/>
  <c r="CW28"/>
  <c r="CV28"/>
  <c r="CU28"/>
  <c r="CT28"/>
  <c r="CS28"/>
  <c r="CR28"/>
  <c r="CQ28"/>
  <c r="CP28"/>
  <c r="CO28"/>
  <c r="BG28"/>
  <c r="BA28"/>
  <c r="AM28"/>
  <c r="AY28" s="1"/>
  <c r="P28"/>
  <c r="K28"/>
  <c r="I28"/>
  <c r="CY27"/>
  <c r="CX27"/>
  <c r="CW27"/>
  <c r="CV27"/>
  <c r="CU27"/>
  <c r="CT27"/>
  <c r="CS27"/>
  <c r="CR27"/>
  <c r="CQ27"/>
  <c r="CP27"/>
  <c r="CO27"/>
  <c r="BG27"/>
  <c r="BA27"/>
  <c r="AM27"/>
  <c r="AY27" s="1"/>
  <c r="P27"/>
  <c r="K27"/>
  <c r="I27"/>
  <c r="CY26"/>
  <c r="CX26"/>
  <c r="CW26"/>
  <c r="CV26"/>
  <c r="CU26"/>
  <c r="CT26"/>
  <c r="CS26"/>
  <c r="CR26"/>
  <c r="CQ26"/>
  <c r="CP26"/>
  <c r="CO26"/>
  <c r="BG26"/>
  <c r="BA26"/>
  <c r="AY26"/>
  <c r="BI26" s="1"/>
  <c r="AN26"/>
  <c r="AF26"/>
  <c r="P26"/>
  <c r="K26"/>
  <c r="I26"/>
  <c r="H26"/>
  <c r="CY25"/>
  <c r="CX25"/>
  <c r="CW25"/>
  <c r="CV25"/>
  <c r="CU25"/>
  <c r="CT25"/>
  <c r="CS25"/>
  <c r="CR25"/>
  <c r="CQ25"/>
  <c r="CP25"/>
  <c r="CO25"/>
  <c r="BG25"/>
  <c r="BA25"/>
  <c r="AN25"/>
  <c r="AM25"/>
  <c r="AY25" s="1"/>
  <c r="P25"/>
  <c r="K25"/>
  <c r="I25"/>
  <c r="CY24"/>
  <c r="CX24"/>
  <c r="CW24"/>
  <c r="CV24"/>
  <c r="CU24"/>
  <c r="CT24"/>
  <c r="CS24"/>
  <c r="CR24"/>
  <c r="CQ24"/>
  <c r="CP24"/>
  <c r="CO24"/>
  <c r="BG24"/>
  <c r="BA24"/>
  <c r="AM24"/>
  <c r="AN24" s="1"/>
  <c r="P24"/>
  <c r="K24"/>
  <c r="I24"/>
  <c r="CY23"/>
  <c r="CX23"/>
  <c r="CW23"/>
  <c r="CV23"/>
  <c r="CU23"/>
  <c r="CT23"/>
  <c r="CS23"/>
  <c r="CR23"/>
  <c r="CQ23"/>
  <c r="CP23"/>
  <c r="CO23"/>
  <c r="BG23"/>
  <c r="BA23"/>
  <c r="AM23"/>
  <c r="AY23" s="1"/>
  <c r="P23"/>
  <c r="K23"/>
  <c r="I23"/>
  <c r="CY22"/>
  <c r="CX22"/>
  <c r="CW22"/>
  <c r="CV22"/>
  <c r="CU22"/>
  <c r="CT22"/>
  <c r="CS22"/>
  <c r="CR22"/>
  <c r="CQ22"/>
  <c r="CP22"/>
  <c r="CO22"/>
  <c r="BG22"/>
  <c r="BA22"/>
  <c r="AM22"/>
  <c r="AY22" s="1"/>
  <c r="P22"/>
  <c r="K22"/>
  <c r="I22"/>
  <c r="CY21"/>
  <c r="CX21"/>
  <c r="CW21"/>
  <c r="CV21"/>
  <c r="CU21"/>
  <c r="CT21"/>
  <c r="CS21"/>
  <c r="CR21"/>
  <c r="CQ21"/>
  <c r="CP21"/>
  <c r="CO21"/>
  <c r="BG21"/>
  <c r="BA21"/>
  <c r="AM21"/>
  <c r="AY21" s="1"/>
  <c r="P21"/>
  <c r="K21"/>
  <c r="I21"/>
  <c r="CY20"/>
  <c r="CX20"/>
  <c r="CW20"/>
  <c r="CV20"/>
  <c r="CU20"/>
  <c r="CT20"/>
  <c r="CS20"/>
  <c r="CR20"/>
  <c r="CQ20"/>
  <c r="CP20"/>
  <c r="CO20"/>
  <c r="BG20"/>
  <c r="BA20"/>
  <c r="AM20"/>
  <c r="AY20" s="1"/>
  <c r="P20"/>
  <c r="K20"/>
  <c r="I20"/>
  <c r="CY19"/>
  <c r="CX19"/>
  <c r="CW19"/>
  <c r="CV19"/>
  <c r="CU19"/>
  <c r="CT19"/>
  <c r="CS19"/>
  <c r="CR19"/>
  <c r="CQ19"/>
  <c r="CP19"/>
  <c r="CO19"/>
  <c r="BG19"/>
  <c r="BA19"/>
  <c r="AM19"/>
  <c r="AY19" s="1"/>
  <c r="P19"/>
  <c r="K19"/>
  <c r="I19"/>
  <c r="CY18"/>
  <c r="CX18"/>
  <c r="CW18"/>
  <c r="CV18"/>
  <c r="CU18"/>
  <c r="CT18"/>
  <c r="CS18"/>
  <c r="CR18"/>
  <c r="CQ18"/>
  <c r="CP18"/>
  <c r="CO18"/>
  <c r="BG18"/>
  <c r="BA18"/>
  <c r="AM18"/>
  <c r="AY18" s="1"/>
  <c r="P18"/>
  <c r="K18"/>
  <c r="I18"/>
  <c r="CY17"/>
  <c r="CX17"/>
  <c r="CW17"/>
  <c r="CV17"/>
  <c r="CU17"/>
  <c r="CT17"/>
  <c r="CS17"/>
  <c r="CR17"/>
  <c r="CQ17"/>
  <c r="CP17"/>
  <c r="CO17"/>
  <c r="BG17"/>
  <c r="BA17"/>
  <c r="AM17"/>
  <c r="AY17" s="1"/>
  <c r="P17"/>
  <c r="K17"/>
  <c r="I17"/>
  <c r="CY16"/>
  <c r="CX16"/>
  <c r="CW16"/>
  <c r="CV16"/>
  <c r="CU16"/>
  <c r="CT16"/>
  <c r="CS16"/>
  <c r="CR16"/>
  <c r="CQ16"/>
  <c r="CP16"/>
  <c r="CO16"/>
  <c r="BG16"/>
  <c r="BA16"/>
  <c r="AY16"/>
  <c r="BI16" s="1"/>
  <c r="AN16"/>
  <c r="AF16"/>
  <c r="P16"/>
  <c r="K16"/>
  <c r="I16"/>
  <c r="CY15"/>
  <c r="CX15"/>
  <c r="CW15"/>
  <c r="CV15"/>
  <c r="CU15"/>
  <c r="CT15"/>
  <c r="CS15"/>
  <c r="CR15"/>
  <c r="CQ15"/>
  <c r="CP15"/>
  <c r="CO15"/>
  <c r="BG15"/>
  <c r="BA15"/>
  <c r="AN15"/>
  <c r="AM15"/>
  <c r="AY15" s="1"/>
  <c r="P15"/>
  <c r="K15"/>
  <c r="I15"/>
  <c r="CY14"/>
  <c r="CX14"/>
  <c r="CW14"/>
  <c r="CV14"/>
  <c r="CU14"/>
  <c r="CT14"/>
  <c r="CS14"/>
  <c r="CR14"/>
  <c r="CQ14"/>
  <c r="CP14"/>
  <c r="CO14"/>
  <c r="BG14"/>
  <c r="BA14"/>
  <c r="AN14"/>
  <c r="AM14"/>
  <c r="AY14" s="1"/>
  <c r="P14"/>
  <c r="K14"/>
  <c r="I14"/>
  <c r="CY13"/>
  <c r="CX13"/>
  <c r="CW13"/>
  <c r="CV13"/>
  <c r="CU13"/>
  <c r="CT13"/>
  <c r="CS13"/>
  <c r="CR13"/>
  <c r="CQ13"/>
  <c r="CP13"/>
  <c r="CO13"/>
  <c r="BG13"/>
  <c r="BA13"/>
  <c r="AN13"/>
  <c r="AM13"/>
  <c r="AY13" s="1"/>
  <c r="P13"/>
  <c r="K13"/>
  <c r="I13"/>
  <c r="CY12"/>
  <c r="CX12"/>
  <c r="CW12"/>
  <c r="CV12"/>
  <c r="CU12"/>
  <c r="CT12"/>
  <c r="CS12"/>
  <c r="CR12"/>
  <c r="CQ12"/>
  <c r="CP12"/>
  <c r="CO12"/>
  <c r="BG12"/>
  <c r="BA12"/>
  <c r="AN12"/>
  <c r="AM12"/>
  <c r="AY12" s="1"/>
  <c r="P12"/>
  <c r="K12"/>
  <c r="I12"/>
  <c r="CY11"/>
  <c r="CX11"/>
  <c r="CW11"/>
  <c r="CV11"/>
  <c r="CU11"/>
  <c r="CT11"/>
  <c r="CS11"/>
  <c r="CR11"/>
  <c r="CQ11"/>
  <c r="CP11"/>
  <c r="CO11"/>
  <c r="BG11"/>
  <c r="BA11"/>
  <c r="AN11"/>
  <c r="AM11"/>
  <c r="AY11" s="1"/>
  <c r="P11"/>
  <c r="K11"/>
  <c r="I11"/>
  <c r="CY10"/>
  <c r="CX10"/>
  <c r="CW10"/>
  <c r="CV10"/>
  <c r="CU10"/>
  <c r="CT10"/>
  <c r="CS10"/>
  <c r="CR10"/>
  <c r="CQ10"/>
  <c r="CP10"/>
  <c r="CO10"/>
  <c r="BG10"/>
  <c r="BA10"/>
  <c r="AM10"/>
  <c r="AY10" s="1"/>
  <c r="P10"/>
  <c r="K10"/>
  <c r="I10"/>
  <c r="CY9"/>
  <c r="CX9"/>
  <c r="CW9"/>
  <c r="CV9"/>
  <c r="CU9"/>
  <c r="CT9"/>
  <c r="CS9"/>
  <c r="CR9"/>
  <c r="CQ9"/>
  <c r="CP9"/>
  <c r="CO9"/>
  <c r="BG9"/>
  <c r="BA9"/>
  <c r="AM9"/>
  <c r="AY9" s="1"/>
  <c r="P9"/>
  <c r="K9"/>
  <c r="I9"/>
  <c r="CY8"/>
  <c r="CX8"/>
  <c r="CW8"/>
  <c r="CV8"/>
  <c r="CU8"/>
  <c r="CT8"/>
  <c r="CS8"/>
  <c r="CR8"/>
  <c r="CQ8"/>
  <c r="CP8"/>
  <c r="CO8"/>
  <c r="BG8"/>
  <c r="BA8"/>
  <c r="AM8"/>
  <c r="AY8" s="1"/>
  <c r="P8"/>
  <c r="K8"/>
  <c r="I8"/>
  <c r="CY7"/>
  <c r="CX7"/>
  <c r="CX38" s="1"/>
  <c r="CW7"/>
  <c r="CW38" s="1"/>
  <c r="CV7"/>
  <c r="CU7"/>
  <c r="CT7"/>
  <c r="CS7"/>
  <c r="CS38" s="1"/>
  <c r="CR7"/>
  <c r="CQ7"/>
  <c r="CQ38" s="1"/>
  <c r="CP7"/>
  <c r="CO7"/>
  <c r="BH7"/>
  <c r="BH8" s="1"/>
  <c r="BH9" s="1"/>
  <c r="BH10" s="1"/>
  <c r="BH11" s="1"/>
  <c r="BH12" s="1"/>
  <c r="BH13" s="1"/>
  <c r="BH14" s="1"/>
  <c r="BH15" s="1"/>
  <c r="BG7"/>
  <c r="BA7"/>
  <c r="AM7"/>
  <c r="P7"/>
  <c r="K7"/>
  <c r="I7"/>
  <c r="CY32" i="85"/>
  <c r="CX32"/>
  <c r="CW32"/>
  <c r="CV32"/>
  <c r="CU32"/>
  <c r="CT32"/>
  <c r="CS32"/>
  <c r="CR32"/>
  <c r="CQ32"/>
  <c r="CP32"/>
  <c r="CO32"/>
  <c r="BA32"/>
  <c r="AY32"/>
  <c r="Q32"/>
  <c r="P32"/>
  <c r="O32"/>
  <c r="N32"/>
  <c r="L32"/>
  <c r="K32"/>
  <c r="J32"/>
  <c r="DD32" s="1"/>
  <c r="DG32" s="1"/>
  <c r="DH32" s="1"/>
  <c r="I32"/>
  <c r="B32"/>
  <c r="B31"/>
  <c r="C31" s="1"/>
  <c r="D31" s="1"/>
  <c r="I31"/>
  <c r="J31"/>
  <c r="DD31" s="1"/>
  <c r="DG31" s="1"/>
  <c r="DH31" s="1"/>
  <c r="K31"/>
  <c r="L31"/>
  <c r="N31"/>
  <c r="O31"/>
  <c r="P31"/>
  <c r="Q31"/>
  <c r="R31" s="1"/>
  <c r="T31" s="1"/>
  <c r="AN31"/>
  <c r="AY31"/>
  <c r="H31" s="1"/>
  <c r="BA31"/>
  <c r="BF31"/>
  <c r="BI31"/>
  <c r="CO31"/>
  <c r="CP31"/>
  <c r="CQ31"/>
  <c r="CR31"/>
  <c r="CS31"/>
  <c r="CT31"/>
  <c r="CU31"/>
  <c r="CV31"/>
  <c r="CW31"/>
  <c r="CX31"/>
  <c r="CY31"/>
  <c r="B30"/>
  <c r="C30" s="1"/>
  <c r="D30" s="1"/>
  <c r="I30"/>
  <c r="J30"/>
  <c r="DD30" s="1"/>
  <c r="DG30" s="1"/>
  <c r="DH30" s="1"/>
  <c r="K30"/>
  <c r="L30"/>
  <c r="N30"/>
  <c r="O30"/>
  <c r="P30"/>
  <c r="Q30"/>
  <c r="R30" s="1"/>
  <c r="T30" s="1"/>
  <c r="AN30"/>
  <c r="AY30"/>
  <c r="H30" s="1"/>
  <c r="BA30"/>
  <c r="BF30"/>
  <c r="BI30"/>
  <c r="CO30"/>
  <c r="CP30"/>
  <c r="CQ30"/>
  <c r="CR30"/>
  <c r="CS30"/>
  <c r="CT30"/>
  <c r="CU30"/>
  <c r="CV30"/>
  <c r="CW30"/>
  <c r="CX30"/>
  <c r="CY30"/>
  <c r="CY29"/>
  <c r="CX29"/>
  <c r="CW29"/>
  <c r="CV29"/>
  <c r="CU29"/>
  <c r="CT29"/>
  <c r="CS29"/>
  <c r="CR29"/>
  <c r="CQ29"/>
  <c r="CP29"/>
  <c r="CO29"/>
  <c r="BA29"/>
  <c r="AY29"/>
  <c r="Q29"/>
  <c r="P29"/>
  <c r="O29"/>
  <c r="N29"/>
  <c r="L29"/>
  <c r="K29"/>
  <c r="J29"/>
  <c r="DD29" s="1"/>
  <c r="DG29" s="1"/>
  <c r="DH29" s="1"/>
  <c r="I29"/>
  <c r="B29"/>
  <c r="P31" i="87"/>
  <c r="CY28" i="85"/>
  <c r="CX28"/>
  <c r="CW28"/>
  <c r="CV28"/>
  <c r="CU28"/>
  <c r="CT28"/>
  <c r="CS28"/>
  <c r="CR28"/>
  <c r="CQ28"/>
  <c r="CP28"/>
  <c r="CO28"/>
  <c r="BA28"/>
  <c r="AY28"/>
  <c r="Q28"/>
  <c r="P28"/>
  <c r="O28"/>
  <c r="N28"/>
  <c r="L28"/>
  <c r="K28"/>
  <c r="J28"/>
  <c r="DD28" s="1"/>
  <c r="DG28" s="1"/>
  <c r="DH28" s="1"/>
  <c r="I28"/>
  <c r="B28"/>
  <c r="CY27"/>
  <c r="CX27"/>
  <c r="CW27"/>
  <c r="CV27"/>
  <c r="CU27"/>
  <c r="CT27"/>
  <c r="CS27"/>
  <c r="CR27"/>
  <c r="CQ27"/>
  <c r="CP27"/>
  <c r="CO27"/>
  <c r="BA27"/>
  <c r="AY27"/>
  <c r="BI27" s="1"/>
  <c r="AN27"/>
  <c r="AI27"/>
  <c r="Q27"/>
  <c r="P27"/>
  <c r="O27"/>
  <c r="N27"/>
  <c r="L27"/>
  <c r="K27"/>
  <c r="J27"/>
  <c r="DD27" s="1"/>
  <c r="DG27" s="1"/>
  <c r="DH27" s="1"/>
  <c r="I27"/>
  <c r="H27"/>
  <c r="B27"/>
  <c r="C27" s="1"/>
  <c r="CY26"/>
  <c r="CX26"/>
  <c r="CW26"/>
  <c r="CV26"/>
  <c r="CU26"/>
  <c r="CT26"/>
  <c r="CS26"/>
  <c r="CR26"/>
  <c r="CQ26"/>
  <c r="CP26"/>
  <c r="CO26"/>
  <c r="BA26"/>
  <c r="AY26"/>
  <c r="BI26" s="1"/>
  <c r="AN26"/>
  <c r="AF26"/>
  <c r="Q26"/>
  <c r="R26" s="1"/>
  <c r="P26"/>
  <c r="O26"/>
  <c r="N26"/>
  <c r="M26"/>
  <c r="L26"/>
  <c r="K26"/>
  <c r="J26"/>
  <c r="DD26" s="1"/>
  <c r="DG26" s="1"/>
  <c r="DH26" s="1"/>
  <c r="I26"/>
  <c r="B26"/>
  <c r="CY25"/>
  <c r="CX25"/>
  <c r="CW25"/>
  <c r="CV25"/>
  <c r="CU25"/>
  <c r="CT25"/>
  <c r="CS25"/>
  <c r="CR25"/>
  <c r="CQ25"/>
  <c r="CP25"/>
  <c r="CO25"/>
  <c r="BA25"/>
  <c r="AY25"/>
  <c r="Q25"/>
  <c r="P25"/>
  <c r="O25"/>
  <c r="N25"/>
  <c r="L25"/>
  <c r="K25"/>
  <c r="J25"/>
  <c r="DD25" s="1"/>
  <c r="DG25" s="1"/>
  <c r="DH25" s="1"/>
  <c r="I25"/>
  <c r="B25"/>
  <c r="B24"/>
  <c r="C24" s="1"/>
  <c r="D24" s="1"/>
  <c r="I24"/>
  <c r="J24"/>
  <c r="DD24" s="1"/>
  <c r="DG24" s="1"/>
  <c r="DH24" s="1"/>
  <c r="K24"/>
  <c r="L24"/>
  <c r="N24"/>
  <c r="O24"/>
  <c r="P24"/>
  <c r="Q24"/>
  <c r="R24" s="1"/>
  <c r="T24" s="1"/>
  <c r="AN24"/>
  <c r="AY24"/>
  <c r="H24" s="1"/>
  <c r="BA24"/>
  <c r="BF24"/>
  <c r="BI24"/>
  <c r="CO24"/>
  <c r="CP24"/>
  <c r="CQ24"/>
  <c r="CR24"/>
  <c r="CS24"/>
  <c r="CT24"/>
  <c r="CU24"/>
  <c r="CV24"/>
  <c r="CW24"/>
  <c r="CX24"/>
  <c r="CY24"/>
  <c r="B23"/>
  <c r="C23" s="1"/>
  <c r="D23" s="1"/>
  <c r="I23"/>
  <c r="J23"/>
  <c r="DD23" s="1"/>
  <c r="DG23" s="1"/>
  <c r="DH23" s="1"/>
  <c r="K23"/>
  <c r="L23"/>
  <c r="N23"/>
  <c r="O23"/>
  <c r="P23"/>
  <c r="Q23"/>
  <c r="R23" s="1"/>
  <c r="T23" s="1"/>
  <c r="AN23"/>
  <c r="AY23"/>
  <c r="H23" s="1"/>
  <c r="BA23"/>
  <c r="BF23"/>
  <c r="BI23"/>
  <c r="CO23"/>
  <c r="CP23"/>
  <c r="CQ23"/>
  <c r="CR23"/>
  <c r="CS23"/>
  <c r="CT23"/>
  <c r="CU23"/>
  <c r="CV23"/>
  <c r="CW23"/>
  <c r="CX23"/>
  <c r="CY23"/>
  <c r="CY22"/>
  <c r="CX22"/>
  <c r="CW22"/>
  <c r="CV22"/>
  <c r="CU22"/>
  <c r="CT22"/>
  <c r="CS22"/>
  <c r="CR22"/>
  <c r="CQ22"/>
  <c r="CP22"/>
  <c r="CO22"/>
  <c r="BA22"/>
  <c r="AY22"/>
  <c r="Q22"/>
  <c r="P22"/>
  <c r="O22"/>
  <c r="N22"/>
  <c r="L22"/>
  <c r="K22"/>
  <c r="J22"/>
  <c r="DD22" s="1"/>
  <c r="DG22" s="1"/>
  <c r="DH22" s="1"/>
  <c r="I22"/>
  <c r="B22"/>
  <c r="CY21"/>
  <c r="CX21"/>
  <c r="CW21"/>
  <c r="CV21"/>
  <c r="CU21"/>
  <c r="CT21"/>
  <c r="CS21"/>
  <c r="CR21"/>
  <c r="CQ21"/>
  <c r="CP21"/>
  <c r="CO21"/>
  <c r="BA21"/>
  <c r="AY21"/>
  <c r="Q21"/>
  <c r="P21"/>
  <c r="O21"/>
  <c r="N21"/>
  <c r="L21"/>
  <c r="K21"/>
  <c r="J21"/>
  <c r="DD21" s="1"/>
  <c r="DG21" s="1"/>
  <c r="DH21" s="1"/>
  <c r="I21"/>
  <c r="B21"/>
  <c r="CY20"/>
  <c r="CX20"/>
  <c r="CW20"/>
  <c r="CV20"/>
  <c r="CU20"/>
  <c r="CT20"/>
  <c r="CS20"/>
  <c r="CR20"/>
  <c r="CQ20"/>
  <c r="CP20"/>
  <c r="CO20"/>
  <c r="BA20"/>
  <c r="AY20"/>
  <c r="Q20"/>
  <c r="P20"/>
  <c r="O20"/>
  <c r="N20"/>
  <c r="L20"/>
  <c r="K20"/>
  <c r="J20"/>
  <c r="DD20" s="1"/>
  <c r="DG20" s="1"/>
  <c r="DH20" s="1"/>
  <c r="I20"/>
  <c r="B20"/>
  <c r="AM20" i="87"/>
  <c r="AM21"/>
  <c r="AM22"/>
  <c r="AM23"/>
  <c r="AM24"/>
  <c r="AM25"/>
  <c r="AM27"/>
  <c r="AM28"/>
  <c r="AM29"/>
  <c r="AM30"/>
  <c r="AM31"/>
  <c r="AM32"/>
  <c r="AM33"/>
  <c r="AM34"/>
  <c r="AM35"/>
  <c r="AM36"/>
  <c r="CY19" i="85"/>
  <c r="CX19"/>
  <c r="CW19"/>
  <c r="CV19"/>
  <c r="CU19"/>
  <c r="CT19"/>
  <c r="CS19"/>
  <c r="CR19"/>
  <c r="CQ19"/>
  <c r="CP19"/>
  <c r="CO19"/>
  <c r="BA19"/>
  <c r="AY19"/>
  <c r="Q19"/>
  <c r="P19"/>
  <c r="O19"/>
  <c r="N19"/>
  <c r="L19"/>
  <c r="K19"/>
  <c r="J19"/>
  <c r="DD19" s="1"/>
  <c r="DG19" s="1"/>
  <c r="DH19" s="1"/>
  <c r="I19"/>
  <c r="B19"/>
  <c r="AM19" i="87"/>
  <c r="CY18" i="85"/>
  <c r="CX18"/>
  <c r="CW18"/>
  <c r="CV18"/>
  <c r="CU18"/>
  <c r="CT18"/>
  <c r="CS18"/>
  <c r="CR18"/>
  <c r="CQ18"/>
  <c r="CP18"/>
  <c r="CO18"/>
  <c r="BA18"/>
  <c r="AY18"/>
  <c r="Q18"/>
  <c r="P18"/>
  <c r="O18"/>
  <c r="N18"/>
  <c r="L18"/>
  <c r="K18"/>
  <c r="J18"/>
  <c r="DD18" s="1"/>
  <c r="DG18" s="1"/>
  <c r="DH18" s="1"/>
  <c r="I18"/>
  <c r="B18"/>
  <c r="AM18" i="87"/>
  <c r="B17" i="85"/>
  <c r="C17" s="1"/>
  <c r="D17" s="1"/>
  <c r="I17"/>
  <c r="J17"/>
  <c r="DD17" s="1"/>
  <c r="DG17" s="1"/>
  <c r="DH17" s="1"/>
  <c r="K17"/>
  <c r="L17"/>
  <c r="N17"/>
  <c r="O17"/>
  <c r="P17"/>
  <c r="Q17"/>
  <c r="R17" s="1"/>
  <c r="T17" s="1"/>
  <c r="AN17"/>
  <c r="AY17"/>
  <c r="H17" s="1"/>
  <c r="BA17"/>
  <c r="BF17"/>
  <c r="BI17"/>
  <c r="CO17"/>
  <c r="CP17"/>
  <c r="CQ17"/>
  <c r="CR17"/>
  <c r="CS17"/>
  <c r="CT17"/>
  <c r="CU17"/>
  <c r="CV17"/>
  <c r="CW17"/>
  <c r="CX17"/>
  <c r="CY17"/>
  <c r="B16"/>
  <c r="C16" s="1"/>
  <c r="D16" s="1"/>
  <c r="I16"/>
  <c r="J16"/>
  <c r="K16"/>
  <c r="L16"/>
  <c r="N16"/>
  <c r="O16"/>
  <c r="P16"/>
  <c r="Q16"/>
  <c r="R16" s="1"/>
  <c r="T16" s="1"/>
  <c r="AN16"/>
  <c r="AY16"/>
  <c r="H16" s="1"/>
  <c r="BA16"/>
  <c r="BF16"/>
  <c r="CO16"/>
  <c r="CP16"/>
  <c r="CQ16"/>
  <c r="CR16"/>
  <c r="CS16"/>
  <c r="CT16"/>
  <c r="CU16"/>
  <c r="CV16"/>
  <c r="CW16"/>
  <c r="CX16"/>
  <c r="CY16"/>
  <c r="DD16"/>
  <c r="DG16" s="1"/>
  <c r="DH16" s="1"/>
  <c r="B15"/>
  <c r="C15" s="1"/>
  <c r="D15" s="1"/>
  <c r="I15"/>
  <c r="J15"/>
  <c r="DD15" s="1"/>
  <c r="DG15" s="1"/>
  <c r="DH15" s="1"/>
  <c r="K15"/>
  <c r="L15"/>
  <c r="N15"/>
  <c r="O15"/>
  <c r="P15"/>
  <c r="Q15"/>
  <c r="R15" s="1"/>
  <c r="T15" s="1"/>
  <c r="AN15"/>
  <c r="BA15"/>
  <c r="CO15"/>
  <c r="CP15"/>
  <c r="CQ15"/>
  <c r="CR15"/>
  <c r="CS15"/>
  <c r="CT15"/>
  <c r="CU15"/>
  <c r="CV15"/>
  <c r="CW15"/>
  <c r="CX15"/>
  <c r="CY15"/>
  <c r="CY14"/>
  <c r="CX14"/>
  <c r="CW14"/>
  <c r="CV14"/>
  <c r="CU14"/>
  <c r="CT14"/>
  <c r="CS14"/>
  <c r="CR14"/>
  <c r="CQ14"/>
  <c r="CP14"/>
  <c r="CO14"/>
  <c r="BA14"/>
  <c r="AY14"/>
  <c r="Q14"/>
  <c r="R14" s="1"/>
  <c r="P14"/>
  <c r="O14"/>
  <c r="N14"/>
  <c r="L14"/>
  <c r="K14"/>
  <c r="J14"/>
  <c r="DD14" s="1"/>
  <c r="DG14" s="1"/>
  <c r="DH14" s="1"/>
  <c r="I14"/>
  <c r="B14"/>
  <c r="E14" s="1"/>
  <c r="AM17" i="87"/>
  <c r="AM15"/>
  <c r="CY13" i="85"/>
  <c r="CX13"/>
  <c r="CW13"/>
  <c r="CV13"/>
  <c r="CU13"/>
  <c r="CT13"/>
  <c r="CS13"/>
  <c r="CR13"/>
  <c r="CQ13"/>
  <c r="CP13"/>
  <c r="CO13"/>
  <c r="BA13"/>
  <c r="AY13"/>
  <c r="Q13"/>
  <c r="P13"/>
  <c r="O13"/>
  <c r="N13"/>
  <c r="L13"/>
  <c r="K13"/>
  <c r="J13"/>
  <c r="DD13" s="1"/>
  <c r="DG13" s="1"/>
  <c r="DH13" s="1"/>
  <c r="I13"/>
  <c r="B13"/>
  <c r="E13" s="1"/>
  <c r="CY12"/>
  <c r="CX12"/>
  <c r="CW12"/>
  <c r="CV12"/>
  <c r="CU12"/>
  <c r="CT12"/>
  <c r="CS12"/>
  <c r="CR12"/>
  <c r="CQ12"/>
  <c r="CP12"/>
  <c r="CO12"/>
  <c r="BA12"/>
  <c r="AY12"/>
  <c r="Q12"/>
  <c r="P12"/>
  <c r="O12"/>
  <c r="N12"/>
  <c r="L12"/>
  <c r="K12"/>
  <c r="J12"/>
  <c r="DD12" s="1"/>
  <c r="DG12" s="1"/>
  <c r="DH12" s="1"/>
  <c r="I12"/>
  <c r="B12"/>
  <c r="Q36" i="88"/>
  <c r="Q35"/>
  <c r="Q34"/>
  <c r="Q33"/>
  <c r="Q32"/>
  <c r="Q31"/>
  <c r="Q30"/>
  <c r="Q29"/>
  <c r="Q28"/>
  <c r="Q27"/>
  <c r="Q26"/>
  <c r="Q25"/>
  <c r="Q24"/>
  <c r="Q23"/>
  <c r="Q22"/>
  <c r="Q21"/>
  <c r="Q20"/>
  <c r="Q19"/>
  <c r="Q18"/>
  <c r="Q17"/>
  <c r="Q16"/>
  <c r="Q15"/>
  <c r="Q14"/>
  <c r="Q13"/>
  <c r="Q12"/>
  <c r="Q11"/>
  <c r="Q10"/>
  <c r="Q9"/>
  <c r="Q8"/>
  <c r="Q7"/>
  <c r="B11" i="85"/>
  <c r="C11" s="1"/>
  <c r="D11" s="1"/>
  <c r="I11"/>
  <c r="J11"/>
  <c r="DD11" s="1"/>
  <c r="DG11" s="1"/>
  <c r="DH11" s="1"/>
  <c r="K11"/>
  <c r="L11"/>
  <c r="N11"/>
  <c r="O11"/>
  <c r="P11"/>
  <c r="Q11"/>
  <c r="R11" s="1"/>
  <c r="T11" s="1"/>
  <c r="AN11"/>
  <c r="AY11"/>
  <c r="H11" s="1"/>
  <c r="BA11"/>
  <c r="BF11"/>
  <c r="BI11"/>
  <c r="CO11"/>
  <c r="CP11"/>
  <c r="CQ11"/>
  <c r="CR11"/>
  <c r="CS11"/>
  <c r="CT11"/>
  <c r="CU11"/>
  <c r="CV11"/>
  <c r="CW11"/>
  <c r="CX11"/>
  <c r="CY11"/>
  <c r="B10"/>
  <c r="C10" s="1"/>
  <c r="D10" s="1"/>
  <c r="I10"/>
  <c r="J10"/>
  <c r="DD10" s="1"/>
  <c r="DG10" s="1"/>
  <c r="DH10" s="1"/>
  <c r="K10"/>
  <c r="L10"/>
  <c r="N10"/>
  <c r="O10"/>
  <c r="P10"/>
  <c r="Q10"/>
  <c r="R10" s="1"/>
  <c r="T10" s="1"/>
  <c r="AN10"/>
  <c r="AY10"/>
  <c r="H10" s="1"/>
  <c r="BA10"/>
  <c r="BF10"/>
  <c r="BI10"/>
  <c r="CO10"/>
  <c r="CP10"/>
  <c r="CQ10"/>
  <c r="CR10"/>
  <c r="CS10"/>
  <c r="CT10"/>
  <c r="CU10"/>
  <c r="CV10"/>
  <c r="CW10"/>
  <c r="CX10"/>
  <c r="CY10"/>
  <c r="B9"/>
  <c r="C9" s="1"/>
  <c r="D9" s="1"/>
  <c r="I9"/>
  <c r="J9"/>
  <c r="DD9" s="1"/>
  <c r="DG9" s="1"/>
  <c r="DH9" s="1"/>
  <c r="K9"/>
  <c r="L9"/>
  <c r="N9"/>
  <c r="O9"/>
  <c r="P9"/>
  <c r="Q9"/>
  <c r="R9" s="1"/>
  <c r="T9" s="1"/>
  <c r="AN9"/>
  <c r="AY9"/>
  <c r="H9" s="1"/>
  <c r="BA9"/>
  <c r="BF9"/>
  <c r="BI9"/>
  <c r="CO9"/>
  <c r="CP9"/>
  <c r="CQ9"/>
  <c r="CR9"/>
  <c r="CS9"/>
  <c r="CT9"/>
  <c r="CU9"/>
  <c r="CV9"/>
  <c r="CW9"/>
  <c r="CX9"/>
  <c r="CY9"/>
  <c r="CY8"/>
  <c r="CX8"/>
  <c r="CW8"/>
  <c r="CV8"/>
  <c r="CU8"/>
  <c r="CT8"/>
  <c r="CS8"/>
  <c r="CR8"/>
  <c r="CQ8"/>
  <c r="CP8"/>
  <c r="CO8"/>
  <c r="BA8"/>
  <c r="AY8"/>
  <c r="Q8"/>
  <c r="P8"/>
  <c r="O8"/>
  <c r="N8"/>
  <c r="L8"/>
  <c r="K8"/>
  <c r="J8"/>
  <c r="DD8" s="1"/>
  <c r="DG8" s="1"/>
  <c r="DH8" s="1"/>
  <c r="I8"/>
  <c r="B8"/>
  <c r="CY7"/>
  <c r="CX7"/>
  <c r="CW7"/>
  <c r="CV7"/>
  <c r="CU7"/>
  <c r="CT7"/>
  <c r="CS7"/>
  <c r="CR7"/>
  <c r="CQ7"/>
  <c r="CP7"/>
  <c r="CO7"/>
  <c r="BA7"/>
  <c r="AY7"/>
  <c r="Q7"/>
  <c r="P7"/>
  <c r="O7"/>
  <c r="N7"/>
  <c r="L7"/>
  <c r="K7"/>
  <c r="J7"/>
  <c r="DD7" s="1"/>
  <c r="DG7" s="1"/>
  <c r="DH7" s="1"/>
  <c r="I7"/>
  <c r="B7"/>
  <c r="CP38" i="89" l="1"/>
  <c r="R24"/>
  <c r="T24" s="1"/>
  <c r="H16"/>
  <c r="CT38"/>
  <c r="P38"/>
  <c r="P39" s="1"/>
  <c r="CV38"/>
  <c r="CR38"/>
  <c r="AN10"/>
  <c r="BA38"/>
  <c r="AN9"/>
  <c r="CY38"/>
  <c r="CU38"/>
  <c r="C13"/>
  <c r="D13" s="1"/>
  <c r="AZ13" s="1"/>
  <c r="E15"/>
  <c r="BC15" s="1"/>
  <c r="C9"/>
  <c r="D9" s="1"/>
  <c r="AZ9" s="1"/>
  <c r="C11"/>
  <c r="D11" s="1"/>
  <c r="L38"/>
  <c r="L39" s="1"/>
  <c r="O38"/>
  <c r="O39" s="1"/>
  <c r="I38" i="90"/>
  <c r="I39" s="1"/>
  <c r="I41" s="1"/>
  <c r="K38"/>
  <c r="K39" s="1"/>
  <c r="N38"/>
  <c r="N39" s="1"/>
  <c r="E12" i="89"/>
  <c r="BC12" s="1"/>
  <c r="E8"/>
  <c r="BC8" s="1"/>
  <c r="C24"/>
  <c r="D24" s="1"/>
  <c r="C26"/>
  <c r="D26" s="1"/>
  <c r="AZ26" s="1"/>
  <c r="J38" i="90"/>
  <c r="J39" s="1"/>
  <c r="L38"/>
  <c r="L39" s="1"/>
  <c r="O38"/>
  <c r="O39" s="1"/>
  <c r="CV38"/>
  <c r="T8"/>
  <c r="BU39"/>
  <c r="CV39"/>
  <c r="AT39"/>
  <c r="BS39"/>
  <c r="BW39"/>
  <c r="D8"/>
  <c r="H7"/>
  <c r="AM44"/>
  <c r="AM39"/>
  <c r="AN39" s="1"/>
  <c r="U8"/>
  <c r="U7"/>
  <c r="AZ8"/>
  <c r="BC8"/>
  <c r="BR39"/>
  <c r="BY39"/>
  <c r="BT39"/>
  <c r="CA39"/>
  <c r="BV39"/>
  <c r="CC39"/>
  <c r="BX39"/>
  <c r="CE39"/>
  <c r="BF7"/>
  <c r="BF8" s="1"/>
  <c r="DD7"/>
  <c r="Q38"/>
  <c r="D7"/>
  <c r="M7"/>
  <c r="AF7"/>
  <c r="AX7"/>
  <c r="BB7"/>
  <c r="BD7"/>
  <c r="BI7"/>
  <c r="CO39"/>
  <c r="CQ39"/>
  <c r="F8"/>
  <c r="M8"/>
  <c r="AF8"/>
  <c r="AX8"/>
  <c r="BB8"/>
  <c r="BD8" s="1"/>
  <c r="AM38" i="89"/>
  <c r="AM44" s="1"/>
  <c r="AN8"/>
  <c r="C10"/>
  <c r="D10" s="1"/>
  <c r="C14"/>
  <c r="D14" s="1"/>
  <c r="C16"/>
  <c r="D16" s="1"/>
  <c r="C34"/>
  <c r="D34" s="1"/>
  <c r="C36"/>
  <c r="D36" s="1"/>
  <c r="CO38"/>
  <c r="CO39" s="1"/>
  <c r="T36" i="85"/>
  <c r="U36" s="1"/>
  <c r="AF37"/>
  <c r="M37"/>
  <c r="F37"/>
  <c r="BB37"/>
  <c r="BD37" s="1"/>
  <c r="AX37"/>
  <c r="AI37"/>
  <c r="U37"/>
  <c r="E37"/>
  <c r="BC37" s="1"/>
  <c r="M36"/>
  <c r="AF36"/>
  <c r="AX36"/>
  <c r="BB36"/>
  <c r="BD36" s="1"/>
  <c r="BI36"/>
  <c r="BJ36" s="1"/>
  <c r="C36"/>
  <c r="D36" s="1"/>
  <c r="AN7" i="89"/>
  <c r="N38"/>
  <c r="N39" s="1"/>
  <c r="C7"/>
  <c r="D7" s="1"/>
  <c r="J38"/>
  <c r="J39" s="1"/>
  <c r="Q38"/>
  <c r="R38" s="1"/>
  <c r="BI35" i="85"/>
  <c r="BB35"/>
  <c r="BD35" s="1"/>
  <c r="AX35"/>
  <c r="AF35"/>
  <c r="M35"/>
  <c r="BF35"/>
  <c r="AI35"/>
  <c r="H35"/>
  <c r="BJ35"/>
  <c r="C35"/>
  <c r="D35" s="1"/>
  <c r="E35"/>
  <c r="R35"/>
  <c r="T35" s="1"/>
  <c r="AN35"/>
  <c r="BH35"/>
  <c r="C25" i="89"/>
  <c r="D25" s="1"/>
  <c r="K38"/>
  <c r="K39" s="1"/>
  <c r="BJ34" i="85"/>
  <c r="AF34"/>
  <c r="M34"/>
  <c r="F34"/>
  <c r="BB34"/>
  <c r="BD34" s="1"/>
  <c r="AX34"/>
  <c r="AI34"/>
  <c r="U34"/>
  <c r="E34"/>
  <c r="BC34" s="1"/>
  <c r="BI33"/>
  <c r="BB33"/>
  <c r="BD33" s="1"/>
  <c r="AX33"/>
  <c r="AF33"/>
  <c r="M33"/>
  <c r="BF33"/>
  <c r="AI33"/>
  <c r="H33"/>
  <c r="BJ33"/>
  <c r="C33"/>
  <c r="D33" s="1"/>
  <c r="E33"/>
  <c r="R33"/>
  <c r="T33" s="1"/>
  <c r="AN33"/>
  <c r="BH33"/>
  <c r="I38" i="89"/>
  <c r="I39" s="1"/>
  <c r="I41" s="1"/>
  <c r="BI8"/>
  <c r="H8"/>
  <c r="AI8"/>
  <c r="BI10"/>
  <c r="AI10"/>
  <c r="H10"/>
  <c r="BI12"/>
  <c r="AI12"/>
  <c r="H12"/>
  <c r="BI14"/>
  <c r="AI14"/>
  <c r="H14"/>
  <c r="BI25"/>
  <c r="H25"/>
  <c r="BI34"/>
  <c r="U34"/>
  <c r="BI9"/>
  <c r="AI9"/>
  <c r="H9"/>
  <c r="BI11"/>
  <c r="AI11"/>
  <c r="H11"/>
  <c r="BI13"/>
  <c r="AI13"/>
  <c r="H13"/>
  <c r="BI15"/>
  <c r="AI15"/>
  <c r="H15"/>
  <c r="BI36"/>
  <c r="U36"/>
  <c r="AI36"/>
  <c r="H36"/>
  <c r="AY24"/>
  <c r="AY38" s="1"/>
  <c r="AN34"/>
  <c r="AN36"/>
  <c r="AY7"/>
  <c r="AX7" s="1"/>
  <c r="AI26"/>
  <c r="AX26"/>
  <c r="M26"/>
  <c r="AI16"/>
  <c r="AX16"/>
  <c r="M16"/>
  <c r="AI25"/>
  <c r="BB26"/>
  <c r="H34"/>
  <c r="AI34"/>
  <c r="BB16"/>
  <c r="BD26"/>
  <c r="BD16"/>
  <c r="B38"/>
  <c r="B39" s="1"/>
  <c r="U8"/>
  <c r="U9"/>
  <c r="U10"/>
  <c r="U11"/>
  <c r="U12"/>
  <c r="U13"/>
  <c r="U14"/>
  <c r="U15"/>
  <c r="U16"/>
  <c r="BI18"/>
  <c r="BB18"/>
  <c r="BD18" s="1"/>
  <c r="AX18"/>
  <c r="AF18"/>
  <c r="M18"/>
  <c r="AI18"/>
  <c r="H18"/>
  <c r="BI20"/>
  <c r="BB20"/>
  <c r="BD20" s="1"/>
  <c r="AX20"/>
  <c r="AF20"/>
  <c r="M20"/>
  <c r="AI20"/>
  <c r="H20"/>
  <c r="BI22"/>
  <c r="BB22"/>
  <c r="BD22" s="1"/>
  <c r="AX22"/>
  <c r="AF22"/>
  <c r="M22"/>
  <c r="AI22"/>
  <c r="H22"/>
  <c r="AZ10"/>
  <c r="AZ15"/>
  <c r="BI17"/>
  <c r="BB17"/>
  <c r="BD17" s="1"/>
  <c r="AX17"/>
  <c r="AF17"/>
  <c r="M17"/>
  <c r="AI17"/>
  <c r="H17"/>
  <c r="BI19"/>
  <c r="BB19"/>
  <c r="BD19" s="1"/>
  <c r="AX19"/>
  <c r="AF19"/>
  <c r="M19"/>
  <c r="AI19"/>
  <c r="H19"/>
  <c r="BI21"/>
  <c r="BB21"/>
  <c r="BD21" s="1"/>
  <c r="AX21"/>
  <c r="AF21"/>
  <c r="M21"/>
  <c r="AI21"/>
  <c r="H21"/>
  <c r="BI23"/>
  <c r="BB23"/>
  <c r="BD23" s="1"/>
  <c r="AX23"/>
  <c r="AF23"/>
  <c r="M23"/>
  <c r="AI23"/>
  <c r="H23"/>
  <c r="BI27"/>
  <c r="BB27"/>
  <c r="BD27" s="1"/>
  <c r="AX27"/>
  <c r="AF27"/>
  <c r="M27"/>
  <c r="AI27"/>
  <c r="H27"/>
  <c r="BI29"/>
  <c r="BB29"/>
  <c r="BD29" s="1"/>
  <c r="AX29"/>
  <c r="AF29"/>
  <c r="M29"/>
  <c r="AI29"/>
  <c r="H29"/>
  <c r="BI31"/>
  <c r="BB31"/>
  <c r="BD31" s="1"/>
  <c r="AX31"/>
  <c r="AF31"/>
  <c r="M31"/>
  <c r="AI31"/>
  <c r="H31"/>
  <c r="BI33"/>
  <c r="BB33"/>
  <c r="BD33" s="1"/>
  <c r="AX33"/>
  <c r="AF33"/>
  <c r="M33"/>
  <c r="AI33"/>
  <c r="H33"/>
  <c r="BI37"/>
  <c r="BB37"/>
  <c r="BD37" s="1"/>
  <c r="AX37"/>
  <c r="AF37"/>
  <c r="M37"/>
  <c r="F37"/>
  <c r="AI37"/>
  <c r="U37"/>
  <c r="H37"/>
  <c r="M7"/>
  <c r="T7"/>
  <c r="AF7"/>
  <c r="BB7"/>
  <c r="BD7" s="1"/>
  <c r="F8"/>
  <c r="M8"/>
  <c r="AF8"/>
  <c r="AX8"/>
  <c r="BB8"/>
  <c r="BD8" s="1"/>
  <c r="M9"/>
  <c r="AF9"/>
  <c r="AX9"/>
  <c r="BB9"/>
  <c r="BD9" s="1"/>
  <c r="M10"/>
  <c r="AF10"/>
  <c r="AX10"/>
  <c r="BB10"/>
  <c r="BD10" s="1"/>
  <c r="M11"/>
  <c r="AF11"/>
  <c r="AX11"/>
  <c r="BB11"/>
  <c r="BD11" s="1"/>
  <c r="F12"/>
  <c r="M12"/>
  <c r="AF12"/>
  <c r="AX12"/>
  <c r="BB12"/>
  <c r="BD12" s="1"/>
  <c r="M13"/>
  <c r="AF13"/>
  <c r="AX13"/>
  <c r="BB13"/>
  <c r="BD13" s="1"/>
  <c r="M14"/>
  <c r="AF14"/>
  <c r="AX14"/>
  <c r="BB14"/>
  <c r="BD14" s="1"/>
  <c r="F15"/>
  <c r="M15"/>
  <c r="AF15"/>
  <c r="AX15"/>
  <c r="BB15"/>
  <c r="BD15" s="1"/>
  <c r="BH16"/>
  <c r="BH17" s="1"/>
  <c r="BH18" s="1"/>
  <c r="BH19" s="1"/>
  <c r="BH20" s="1"/>
  <c r="BH21" s="1"/>
  <c r="BH22" s="1"/>
  <c r="BH23" s="1"/>
  <c r="BH24" s="1"/>
  <c r="BH25" s="1"/>
  <c r="BH26" s="1"/>
  <c r="BH27" s="1"/>
  <c r="BH28" s="1"/>
  <c r="BH29" s="1"/>
  <c r="BH30" s="1"/>
  <c r="BH31" s="1"/>
  <c r="BH32" s="1"/>
  <c r="BH33" s="1"/>
  <c r="BH34" s="1"/>
  <c r="BH35" s="1"/>
  <c r="BH36" s="1"/>
  <c r="BH37" s="1"/>
  <c r="C17"/>
  <c r="D17" s="1"/>
  <c r="E17"/>
  <c r="R17"/>
  <c r="T17" s="1"/>
  <c r="AN17"/>
  <c r="C18"/>
  <c r="D18" s="1"/>
  <c r="E18"/>
  <c r="R18"/>
  <c r="T18" s="1"/>
  <c r="AN18"/>
  <c r="C19"/>
  <c r="D19" s="1"/>
  <c r="E19"/>
  <c r="R19"/>
  <c r="T19" s="1"/>
  <c r="AN19"/>
  <c r="C20"/>
  <c r="D20" s="1"/>
  <c r="E20"/>
  <c r="R20"/>
  <c r="T20" s="1"/>
  <c r="AN20"/>
  <c r="C21"/>
  <c r="D21" s="1"/>
  <c r="E21"/>
  <c r="R21"/>
  <c r="T21" s="1"/>
  <c r="AN21"/>
  <c r="C22"/>
  <c r="D22" s="1"/>
  <c r="E22"/>
  <c r="R22"/>
  <c r="T22" s="1"/>
  <c r="AN22"/>
  <c r="C23"/>
  <c r="D23" s="1"/>
  <c r="E23"/>
  <c r="R23"/>
  <c r="AN23"/>
  <c r="AX24"/>
  <c r="U25"/>
  <c r="U26"/>
  <c r="BI28"/>
  <c r="BB28"/>
  <c r="BD28" s="1"/>
  <c r="AX28"/>
  <c r="AF28"/>
  <c r="M28"/>
  <c r="AI28"/>
  <c r="H28"/>
  <c r="BI30"/>
  <c r="BB30"/>
  <c r="BD30" s="1"/>
  <c r="AX30"/>
  <c r="AF30"/>
  <c r="M30"/>
  <c r="AI30"/>
  <c r="H30"/>
  <c r="BI32"/>
  <c r="BB32"/>
  <c r="BD32" s="1"/>
  <c r="AX32"/>
  <c r="AF32"/>
  <c r="M32"/>
  <c r="AI32"/>
  <c r="H32"/>
  <c r="BI35"/>
  <c r="BB35"/>
  <c r="BD35" s="1"/>
  <c r="AX35"/>
  <c r="AF35"/>
  <c r="M35"/>
  <c r="AI35"/>
  <c r="H35"/>
  <c r="DD7"/>
  <c r="M25"/>
  <c r="AF25"/>
  <c r="AX25"/>
  <c r="BB25"/>
  <c r="BD25" s="1"/>
  <c r="C27"/>
  <c r="D27" s="1"/>
  <c r="E27"/>
  <c r="R27"/>
  <c r="AN27"/>
  <c r="C28"/>
  <c r="D28" s="1"/>
  <c r="E28"/>
  <c r="R28"/>
  <c r="T28" s="1"/>
  <c r="AN28"/>
  <c r="C29"/>
  <c r="D29" s="1"/>
  <c r="E29"/>
  <c r="R29"/>
  <c r="T29" s="1"/>
  <c r="AN29"/>
  <c r="C30"/>
  <c r="D30" s="1"/>
  <c r="E30"/>
  <c r="R30"/>
  <c r="T30" s="1"/>
  <c r="AN30"/>
  <c r="C31"/>
  <c r="D31" s="1"/>
  <c r="E31"/>
  <c r="R31"/>
  <c r="T31" s="1"/>
  <c r="AN31"/>
  <c r="C32"/>
  <c r="D32" s="1"/>
  <c r="E32"/>
  <c r="R32"/>
  <c r="T32" s="1"/>
  <c r="AN32"/>
  <c r="C33"/>
  <c r="D33" s="1"/>
  <c r="E33"/>
  <c r="R33"/>
  <c r="T33" s="1"/>
  <c r="AN33"/>
  <c r="F34"/>
  <c r="M34"/>
  <c r="AF34"/>
  <c r="AX34"/>
  <c r="BB34"/>
  <c r="BD34" s="1"/>
  <c r="C35"/>
  <c r="D35" s="1"/>
  <c r="E35"/>
  <c r="R35"/>
  <c r="T35" s="1"/>
  <c r="AN35"/>
  <c r="F36"/>
  <c r="M36"/>
  <c r="AF36"/>
  <c r="AX36"/>
  <c r="BB36"/>
  <c r="BD36" s="1"/>
  <c r="C37"/>
  <c r="D37" s="1"/>
  <c r="E37"/>
  <c r="R37"/>
  <c r="T37" s="1"/>
  <c r="AN37"/>
  <c r="AT39"/>
  <c r="BS39"/>
  <c r="BU39"/>
  <c r="BW39"/>
  <c r="BY39"/>
  <c r="CA39"/>
  <c r="CC39"/>
  <c r="CE39"/>
  <c r="L46"/>
  <c r="BI32" i="85"/>
  <c r="BB32"/>
  <c r="BD32" s="1"/>
  <c r="AX32"/>
  <c r="AF32"/>
  <c r="M32"/>
  <c r="BF32"/>
  <c r="AI32"/>
  <c r="H32"/>
  <c r="C32"/>
  <c r="D32" s="1"/>
  <c r="E32"/>
  <c r="R32"/>
  <c r="T32" s="1"/>
  <c r="AN32"/>
  <c r="AF31"/>
  <c r="M31"/>
  <c r="F31"/>
  <c r="BB31"/>
  <c r="BD31" s="1"/>
  <c r="AX31"/>
  <c r="AI31"/>
  <c r="U31"/>
  <c r="E31"/>
  <c r="BC31" s="1"/>
  <c r="AF30"/>
  <c r="M30"/>
  <c r="F30"/>
  <c r="BB30"/>
  <c r="BD30" s="1"/>
  <c r="AX30"/>
  <c r="AI30"/>
  <c r="U30"/>
  <c r="E30"/>
  <c r="AZ30" s="1"/>
  <c r="BI29"/>
  <c r="BB29"/>
  <c r="BD29" s="1"/>
  <c r="AX29"/>
  <c r="AF29"/>
  <c r="M29"/>
  <c r="BF29"/>
  <c r="AI29"/>
  <c r="H29"/>
  <c r="C29"/>
  <c r="D29" s="1"/>
  <c r="E29"/>
  <c r="R29"/>
  <c r="T29" s="1"/>
  <c r="AN29"/>
  <c r="BI28"/>
  <c r="BB28"/>
  <c r="BD28" s="1"/>
  <c r="AX28"/>
  <c r="AF28"/>
  <c r="M28"/>
  <c r="BF28"/>
  <c r="AI28"/>
  <c r="H28"/>
  <c r="C28"/>
  <c r="D28" s="1"/>
  <c r="E28"/>
  <c r="R28"/>
  <c r="T28" s="1"/>
  <c r="AN28"/>
  <c r="D27"/>
  <c r="E27"/>
  <c r="R27"/>
  <c r="T27" s="1"/>
  <c r="BF27"/>
  <c r="M27"/>
  <c r="AF27"/>
  <c r="AX27"/>
  <c r="BB27"/>
  <c r="BD27" s="1"/>
  <c r="E26"/>
  <c r="C26"/>
  <c r="D26" s="1"/>
  <c r="T26"/>
  <c r="BB26"/>
  <c r="BD26" s="1"/>
  <c r="H26"/>
  <c r="AI26"/>
  <c r="AX26"/>
  <c r="BF26"/>
  <c r="BI25"/>
  <c r="BB25"/>
  <c r="BD25" s="1"/>
  <c r="AX25"/>
  <c r="AF25"/>
  <c r="M25"/>
  <c r="BF25"/>
  <c r="AI25"/>
  <c r="H25"/>
  <c r="C25"/>
  <c r="D25" s="1"/>
  <c r="E25"/>
  <c r="R25"/>
  <c r="T25" s="1"/>
  <c r="AN25"/>
  <c r="AF24"/>
  <c r="M24"/>
  <c r="F24"/>
  <c r="BB24"/>
  <c r="BD24" s="1"/>
  <c r="AX24"/>
  <c r="AI24"/>
  <c r="U24"/>
  <c r="E24"/>
  <c r="BC24" s="1"/>
  <c r="AF23"/>
  <c r="M23"/>
  <c r="F23"/>
  <c r="BB23"/>
  <c r="BD23" s="1"/>
  <c r="AX23"/>
  <c r="AI23"/>
  <c r="U23"/>
  <c r="E23"/>
  <c r="AZ23" s="1"/>
  <c r="BI22"/>
  <c r="BB22"/>
  <c r="BD22" s="1"/>
  <c r="AX22"/>
  <c r="AF22"/>
  <c r="M22"/>
  <c r="BF22"/>
  <c r="AI22"/>
  <c r="H22"/>
  <c r="C22"/>
  <c r="D22" s="1"/>
  <c r="E22"/>
  <c r="R22"/>
  <c r="T22" s="1"/>
  <c r="AN22"/>
  <c r="BI21"/>
  <c r="BB21"/>
  <c r="BD21" s="1"/>
  <c r="AX21"/>
  <c r="AF21"/>
  <c r="M21"/>
  <c r="BF21"/>
  <c r="AI21"/>
  <c r="H21"/>
  <c r="C21"/>
  <c r="D21" s="1"/>
  <c r="E21"/>
  <c r="R21"/>
  <c r="T21" s="1"/>
  <c r="AN21"/>
  <c r="BI20"/>
  <c r="BB20"/>
  <c r="BD20" s="1"/>
  <c r="AX20"/>
  <c r="AF20"/>
  <c r="M20"/>
  <c r="BF20"/>
  <c r="AI20"/>
  <c r="H20"/>
  <c r="C20"/>
  <c r="D20" s="1"/>
  <c r="E20"/>
  <c r="R20"/>
  <c r="T20" s="1"/>
  <c r="AN20"/>
  <c r="BI19"/>
  <c r="BB19"/>
  <c r="BD19" s="1"/>
  <c r="AX19"/>
  <c r="AF19"/>
  <c r="M19"/>
  <c r="BF19"/>
  <c r="AI19"/>
  <c r="H19"/>
  <c r="C19"/>
  <c r="D19" s="1"/>
  <c r="E19"/>
  <c r="R19"/>
  <c r="T19" s="1"/>
  <c r="AN19"/>
  <c r="BI18"/>
  <c r="BB18"/>
  <c r="BD18" s="1"/>
  <c r="AX18"/>
  <c r="AF18"/>
  <c r="M18"/>
  <c r="BF18"/>
  <c r="AI18"/>
  <c r="H18"/>
  <c r="C18"/>
  <c r="D18" s="1"/>
  <c r="E18"/>
  <c r="R18"/>
  <c r="T18" s="1"/>
  <c r="AN18"/>
  <c r="AF17"/>
  <c r="M17"/>
  <c r="F17"/>
  <c r="BB17"/>
  <c r="BD17" s="1"/>
  <c r="AX17"/>
  <c r="AI17"/>
  <c r="U17"/>
  <c r="E17"/>
  <c r="BC17" s="1"/>
  <c r="AF16"/>
  <c r="M16"/>
  <c r="F16"/>
  <c r="BI16"/>
  <c r="BB16"/>
  <c r="BD16" s="1"/>
  <c r="AX16"/>
  <c r="AI16"/>
  <c r="U16"/>
  <c r="E16"/>
  <c r="AZ16" s="1"/>
  <c r="AY15"/>
  <c r="E15"/>
  <c r="BF14"/>
  <c r="AI14"/>
  <c r="H14"/>
  <c r="BI14"/>
  <c r="BB14"/>
  <c r="BD14" s="1"/>
  <c r="AX14"/>
  <c r="AF14"/>
  <c r="M14"/>
  <c r="T14"/>
  <c r="C14"/>
  <c r="D14" s="1"/>
  <c r="AN14"/>
  <c r="BI13"/>
  <c r="BB13"/>
  <c r="BD13" s="1"/>
  <c r="BF13"/>
  <c r="AI13"/>
  <c r="H13"/>
  <c r="AX13"/>
  <c r="AF13"/>
  <c r="M13"/>
  <c r="C13"/>
  <c r="D13" s="1"/>
  <c r="R13"/>
  <c r="T13" s="1"/>
  <c r="AN13"/>
  <c r="BI12"/>
  <c r="BB12"/>
  <c r="BD12" s="1"/>
  <c r="AX12"/>
  <c r="AF12"/>
  <c r="M12"/>
  <c r="BF12"/>
  <c r="AI12"/>
  <c r="H12"/>
  <c r="C12"/>
  <c r="D12" s="1"/>
  <c r="E12"/>
  <c r="R12"/>
  <c r="T12" s="1"/>
  <c r="AN12"/>
  <c r="AF11"/>
  <c r="M11"/>
  <c r="F11"/>
  <c r="BB11"/>
  <c r="BD11" s="1"/>
  <c r="AX11"/>
  <c r="AI11"/>
  <c r="U11"/>
  <c r="E11"/>
  <c r="BC11" s="1"/>
  <c r="AF10"/>
  <c r="M10"/>
  <c r="F10"/>
  <c r="BB10"/>
  <c r="BD10" s="1"/>
  <c r="AX10"/>
  <c r="AI10"/>
  <c r="U10"/>
  <c r="E10"/>
  <c r="AZ10" s="1"/>
  <c r="AF9"/>
  <c r="M9"/>
  <c r="F9"/>
  <c r="BB9"/>
  <c r="BD9" s="1"/>
  <c r="AX9"/>
  <c r="AI9"/>
  <c r="U9"/>
  <c r="E9"/>
  <c r="AZ9" s="1"/>
  <c r="BI8"/>
  <c r="BB8"/>
  <c r="BD8" s="1"/>
  <c r="AX8"/>
  <c r="AF8"/>
  <c r="M8"/>
  <c r="AI8"/>
  <c r="H8"/>
  <c r="BI7"/>
  <c r="BB7"/>
  <c r="BD7" s="1"/>
  <c r="AX7"/>
  <c r="AF7"/>
  <c r="M7"/>
  <c r="BF7"/>
  <c r="BF8" s="1"/>
  <c r="AI7"/>
  <c r="H7"/>
  <c r="C7"/>
  <c r="D7" s="1"/>
  <c r="E7"/>
  <c r="R7"/>
  <c r="T7" s="1"/>
  <c r="AN7"/>
  <c r="C8"/>
  <c r="D8" s="1"/>
  <c r="E8"/>
  <c r="R8"/>
  <c r="T8" s="1"/>
  <c r="AN8"/>
  <c r="B36" i="88"/>
  <c r="C36" s="1"/>
  <c r="D36" s="1"/>
  <c r="I36"/>
  <c r="J36"/>
  <c r="K36"/>
  <c r="L36"/>
  <c r="N36"/>
  <c r="O36"/>
  <c r="P36"/>
  <c r="R36"/>
  <c r="T36" s="1"/>
  <c r="AN36"/>
  <c r="AY36"/>
  <c r="H36" s="1"/>
  <c r="BA36"/>
  <c r="BF36"/>
  <c r="BG36"/>
  <c r="BH36"/>
  <c r="BI36"/>
  <c r="BJ36"/>
  <c r="CO36"/>
  <c r="CP36"/>
  <c r="CQ36"/>
  <c r="CR36"/>
  <c r="CS36"/>
  <c r="CT36"/>
  <c r="CU36"/>
  <c r="CV36"/>
  <c r="CW36"/>
  <c r="CX36"/>
  <c r="CY36"/>
  <c r="DD36"/>
  <c r="DG36" s="1"/>
  <c r="DH36" s="1"/>
  <c r="DK36"/>
  <c r="DO36"/>
  <c r="I35"/>
  <c r="J35"/>
  <c r="K35"/>
  <c r="L35"/>
  <c r="N35"/>
  <c r="O35"/>
  <c r="AM35"/>
  <c r="AN35" s="1"/>
  <c r="AY35"/>
  <c r="BA35"/>
  <c r="BB35"/>
  <c r="BD35"/>
  <c r="BF35"/>
  <c r="BG35"/>
  <c r="BH35" s="1"/>
  <c r="BI35"/>
  <c r="CO35"/>
  <c r="CQ35"/>
  <c r="CR35"/>
  <c r="CS35"/>
  <c r="CT35"/>
  <c r="CU35"/>
  <c r="CW35"/>
  <c r="CX35"/>
  <c r="CY35"/>
  <c r="DD35"/>
  <c r="DG35" s="1"/>
  <c r="DH35" s="1"/>
  <c r="DK35"/>
  <c r="BL35" s="1"/>
  <c r="DO35"/>
  <c r="I34"/>
  <c r="J34"/>
  <c r="DD34" s="1"/>
  <c r="DG34" s="1"/>
  <c r="DH34" s="1"/>
  <c r="K34"/>
  <c r="L34"/>
  <c r="N34"/>
  <c r="O34"/>
  <c r="AM34"/>
  <c r="AN34" s="1"/>
  <c r="BA34"/>
  <c r="BG34"/>
  <c r="BH34" s="1"/>
  <c r="CO34"/>
  <c r="CQ34"/>
  <c r="CR34"/>
  <c r="CS34"/>
  <c r="CT34"/>
  <c r="CU34"/>
  <c r="CW34"/>
  <c r="CX34"/>
  <c r="CY34"/>
  <c r="DK34"/>
  <c r="BL34" s="1"/>
  <c r="DM34"/>
  <c r="DO34"/>
  <c r="I33"/>
  <c r="J33"/>
  <c r="DD33" s="1"/>
  <c r="DG33" s="1"/>
  <c r="DH33" s="1"/>
  <c r="K33"/>
  <c r="L33"/>
  <c r="N33"/>
  <c r="O33"/>
  <c r="AM33"/>
  <c r="AN33" s="1"/>
  <c r="BA33"/>
  <c r="BG33"/>
  <c r="BH33" s="1"/>
  <c r="CO33"/>
  <c r="CQ33"/>
  <c r="CR33"/>
  <c r="CS33"/>
  <c r="CT33"/>
  <c r="CU33"/>
  <c r="CW33"/>
  <c r="CX33"/>
  <c r="CY33"/>
  <c r="DK33"/>
  <c r="BL33" s="1"/>
  <c r="DM33"/>
  <c r="DO33"/>
  <c r="I32"/>
  <c r="J32"/>
  <c r="K32"/>
  <c r="L32"/>
  <c r="N32"/>
  <c r="O32"/>
  <c r="AM32"/>
  <c r="AN32" s="1"/>
  <c r="BA32"/>
  <c r="BG32"/>
  <c r="BH32" s="1"/>
  <c r="CO32"/>
  <c r="CQ32"/>
  <c r="CR32"/>
  <c r="CS32"/>
  <c r="CU32"/>
  <c r="CW32"/>
  <c r="CX32"/>
  <c r="CY32"/>
  <c r="DD32"/>
  <c r="DG32" s="1"/>
  <c r="DH32" s="1"/>
  <c r="DK32"/>
  <c r="BL32" s="1"/>
  <c r="DM32"/>
  <c r="BP32" s="1"/>
  <c r="CT32" s="1"/>
  <c r="DO32"/>
  <c r="I31"/>
  <c r="J31"/>
  <c r="DD31" s="1"/>
  <c r="DG31" s="1"/>
  <c r="DH31" s="1"/>
  <c r="K31"/>
  <c r="L31"/>
  <c r="N31"/>
  <c r="O31"/>
  <c r="AM31"/>
  <c r="AN31" s="1"/>
  <c r="AY31"/>
  <c r="BA31"/>
  <c r="BB31"/>
  <c r="BD31"/>
  <c r="BF31"/>
  <c r="BG31"/>
  <c r="BH31" s="1"/>
  <c r="BI31"/>
  <c r="BL31"/>
  <c r="CO31"/>
  <c r="CP31"/>
  <c r="CQ31"/>
  <c r="CR31"/>
  <c r="CS31"/>
  <c r="CU31"/>
  <c r="CW31"/>
  <c r="CX31"/>
  <c r="CY31"/>
  <c r="DK31"/>
  <c r="DM31"/>
  <c r="BP31" s="1"/>
  <c r="CT31" s="1"/>
  <c r="DO31"/>
  <c r="I30"/>
  <c r="J30"/>
  <c r="K30"/>
  <c r="L30"/>
  <c r="N30"/>
  <c r="O30"/>
  <c r="AM30"/>
  <c r="AN30" s="1"/>
  <c r="BA30"/>
  <c r="BG30"/>
  <c r="BH30" s="1"/>
  <c r="CO30"/>
  <c r="CQ30"/>
  <c r="CR30"/>
  <c r="CS30"/>
  <c r="CU30"/>
  <c r="CW30"/>
  <c r="CX30"/>
  <c r="CY30"/>
  <c r="DD30"/>
  <c r="DG30" s="1"/>
  <c r="DH30" s="1"/>
  <c r="DK30"/>
  <c r="BL30" s="1"/>
  <c r="DM30"/>
  <c r="BP30" s="1"/>
  <c r="CT30" s="1"/>
  <c r="DO30"/>
  <c r="I29"/>
  <c r="J29"/>
  <c r="K29"/>
  <c r="L29"/>
  <c r="N29"/>
  <c r="O29"/>
  <c r="AM29"/>
  <c r="AN29" s="1"/>
  <c r="BA29"/>
  <c r="BG29"/>
  <c r="BH29" s="1"/>
  <c r="CO29"/>
  <c r="CQ29"/>
  <c r="CR29"/>
  <c r="CS29"/>
  <c r="CU29"/>
  <c r="CW29"/>
  <c r="CX29"/>
  <c r="CY29"/>
  <c r="DD29"/>
  <c r="DG29" s="1"/>
  <c r="DH29" s="1"/>
  <c r="DK29"/>
  <c r="BL29" s="1"/>
  <c r="DM29"/>
  <c r="BP29" s="1"/>
  <c r="CT29" s="1"/>
  <c r="DO29"/>
  <c r="I28"/>
  <c r="J28"/>
  <c r="K28"/>
  <c r="L28"/>
  <c r="N28"/>
  <c r="O28"/>
  <c r="AM28"/>
  <c r="AN28" s="1"/>
  <c r="BA28"/>
  <c r="BG28"/>
  <c r="BH28" s="1"/>
  <c r="CO28"/>
  <c r="CQ28"/>
  <c r="CR28"/>
  <c r="CS28"/>
  <c r="CU28"/>
  <c r="CW28"/>
  <c r="CX28"/>
  <c r="CY28"/>
  <c r="DD28"/>
  <c r="DG28" s="1"/>
  <c r="DH28" s="1"/>
  <c r="DK28"/>
  <c r="BL28" s="1"/>
  <c r="DM28"/>
  <c r="BP28" s="1"/>
  <c r="CT28" s="1"/>
  <c r="DO28"/>
  <c r="I27"/>
  <c r="J27"/>
  <c r="DD27" s="1"/>
  <c r="DG27" s="1"/>
  <c r="DH27" s="1"/>
  <c r="K27"/>
  <c r="L27"/>
  <c r="N27"/>
  <c r="O27"/>
  <c r="AM27"/>
  <c r="AN27" s="1"/>
  <c r="AY27"/>
  <c r="BA27"/>
  <c r="BB27"/>
  <c r="BD27"/>
  <c r="BF27"/>
  <c r="BG27"/>
  <c r="BH27" s="1"/>
  <c r="BI27"/>
  <c r="BL27"/>
  <c r="CO27"/>
  <c r="CP27"/>
  <c r="CQ27"/>
  <c r="CR27"/>
  <c r="CS27"/>
  <c r="CU27"/>
  <c r="CW27"/>
  <c r="CX27"/>
  <c r="CY27"/>
  <c r="DK27"/>
  <c r="DM27"/>
  <c r="BP27" s="1"/>
  <c r="CT27" s="1"/>
  <c r="DO27"/>
  <c r="I26"/>
  <c r="J26"/>
  <c r="DD26" s="1"/>
  <c r="DG26" s="1"/>
  <c r="DH26" s="1"/>
  <c r="K26"/>
  <c r="L26"/>
  <c r="N26"/>
  <c r="O26"/>
  <c r="AM26"/>
  <c r="AN26" s="1"/>
  <c r="AY26"/>
  <c r="BA26"/>
  <c r="BB26"/>
  <c r="BD26"/>
  <c r="BF26"/>
  <c r="BG26"/>
  <c r="BH26" s="1"/>
  <c r="BI26"/>
  <c r="BL26"/>
  <c r="P26"/>
  <c r="CO26"/>
  <c r="CP26"/>
  <c r="CQ26"/>
  <c r="CR26"/>
  <c r="CS26"/>
  <c r="CU26"/>
  <c r="CV26"/>
  <c r="CW26"/>
  <c r="CX26"/>
  <c r="CY26"/>
  <c r="DK26"/>
  <c r="DM26"/>
  <c r="BP26" s="1"/>
  <c r="CT26" s="1"/>
  <c r="DO26"/>
  <c r="I25"/>
  <c r="J25"/>
  <c r="DD25" s="1"/>
  <c r="DG25" s="1"/>
  <c r="DH25" s="1"/>
  <c r="K25"/>
  <c r="L25"/>
  <c r="N25"/>
  <c r="O25"/>
  <c r="AN25"/>
  <c r="AY25"/>
  <c r="BA25"/>
  <c r="BF25"/>
  <c r="BG25"/>
  <c r="BH25"/>
  <c r="BI25"/>
  <c r="BJ25"/>
  <c r="CO25"/>
  <c r="CQ25"/>
  <c r="CR25"/>
  <c r="CS25"/>
  <c r="CU25"/>
  <c r="CW25"/>
  <c r="CX25"/>
  <c r="CY25"/>
  <c r="DK25"/>
  <c r="BL25" s="1"/>
  <c r="DM25"/>
  <c r="BP25" s="1"/>
  <c r="CT25" s="1"/>
  <c r="DO25"/>
  <c r="I24"/>
  <c r="J24"/>
  <c r="DD24" s="1"/>
  <c r="DG24" s="1"/>
  <c r="DH24" s="1"/>
  <c r="K24"/>
  <c r="L24"/>
  <c r="N24"/>
  <c r="O24"/>
  <c r="AM24"/>
  <c r="AN24" s="1"/>
  <c r="AY24"/>
  <c r="BA24"/>
  <c r="BB24"/>
  <c r="BD24"/>
  <c r="BF24"/>
  <c r="BG24"/>
  <c r="BH24" s="1"/>
  <c r="BI24"/>
  <c r="BL24"/>
  <c r="P24"/>
  <c r="CO24"/>
  <c r="CP24"/>
  <c r="CQ24"/>
  <c r="CR24"/>
  <c r="CS24"/>
  <c r="CU24"/>
  <c r="CV24"/>
  <c r="CW24"/>
  <c r="CX24"/>
  <c r="CY24"/>
  <c r="DK24"/>
  <c r="DM24"/>
  <c r="BP24" s="1"/>
  <c r="CT24" s="1"/>
  <c r="DO24"/>
  <c r="I23"/>
  <c r="J23"/>
  <c r="DD23" s="1"/>
  <c r="DG23" s="1"/>
  <c r="DH23" s="1"/>
  <c r="K23"/>
  <c r="L23"/>
  <c r="N23"/>
  <c r="O23"/>
  <c r="AM23"/>
  <c r="AN23" s="1"/>
  <c r="AY23"/>
  <c r="BA23"/>
  <c r="BB23"/>
  <c r="BD23"/>
  <c r="BF23"/>
  <c r="BG23"/>
  <c r="BH23" s="1"/>
  <c r="BI23"/>
  <c r="CO23"/>
  <c r="CQ23"/>
  <c r="CR23"/>
  <c r="CS23"/>
  <c r="CU23"/>
  <c r="CW23"/>
  <c r="CX23"/>
  <c r="CY23"/>
  <c r="DK23"/>
  <c r="BL23" s="1"/>
  <c r="DM23"/>
  <c r="BP23" s="1"/>
  <c r="CT23" s="1"/>
  <c r="DO23"/>
  <c r="I22"/>
  <c r="J22"/>
  <c r="K22"/>
  <c r="L22"/>
  <c r="N22"/>
  <c r="O22"/>
  <c r="AM22"/>
  <c r="AN22" s="1"/>
  <c r="BA22"/>
  <c r="BG22"/>
  <c r="BH22" s="1"/>
  <c r="CO22"/>
  <c r="CQ22"/>
  <c r="CR22"/>
  <c r="CS22"/>
  <c r="CU22"/>
  <c r="CW22"/>
  <c r="CX22"/>
  <c r="CY22"/>
  <c r="DD22"/>
  <c r="DG22" s="1"/>
  <c r="DH22" s="1"/>
  <c r="DK22"/>
  <c r="BL22" s="1"/>
  <c r="DM22"/>
  <c r="BP22" s="1"/>
  <c r="CT22" s="1"/>
  <c r="DO22"/>
  <c r="I21"/>
  <c r="J21"/>
  <c r="K21"/>
  <c r="L21"/>
  <c r="N21"/>
  <c r="O21"/>
  <c r="AM21"/>
  <c r="AN21" s="1"/>
  <c r="BA21"/>
  <c r="BG21"/>
  <c r="BH21" s="1"/>
  <c r="BL21"/>
  <c r="P21"/>
  <c r="CO21"/>
  <c r="CP21"/>
  <c r="CQ21"/>
  <c r="CR21"/>
  <c r="CS21"/>
  <c r="CU21"/>
  <c r="CV21"/>
  <c r="CW21"/>
  <c r="CX21"/>
  <c r="CY21"/>
  <c r="DD21"/>
  <c r="DG21" s="1"/>
  <c r="DH21" s="1"/>
  <c r="DK21"/>
  <c r="DM21"/>
  <c r="BP21" s="1"/>
  <c r="CT21" s="1"/>
  <c r="DO21"/>
  <c r="I20"/>
  <c r="J20"/>
  <c r="DD20" s="1"/>
  <c r="DG20" s="1"/>
  <c r="DH20" s="1"/>
  <c r="K20"/>
  <c r="L20"/>
  <c r="N20"/>
  <c r="O20"/>
  <c r="AM20"/>
  <c r="AN20" s="1"/>
  <c r="AY20"/>
  <c r="BA20"/>
  <c r="BB20"/>
  <c r="BD20"/>
  <c r="BF20"/>
  <c r="BG20"/>
  <c r="BH20" s="1"/>
  <c r="BI20"/>
  <c r="CO20"/>
  <c r="CQ20"/>
  <c r="CR20"/>
  <c r="CS20"/>
  <c r="CU20"/>
  <c r="CW20"/>
  <c r="CX20"/>
  <c r="CY20"/>
  <c r="DK20"/>
  <c r="BL20" s="1"/>
  <c r="DM20"/>
  <c r="BP20" s="1"/>
  <c r="CT20" s="1"/>
  <c r="DO20"/>
  <c r="I19"/>
  <c r="J19"/>
  <c r="DD19" s="1"/>
  <c r="DG19" s="1"/>
  <c r="DH19" s="1"/>
  <c r="K19"/>
  <c r="L19"/>
  <c r="N19"/>
  <c r="O19"/>
  <c r="AM19"/>
  <c r="AN19" s="1"/>
  <c r="AY19"/>
  <c r="BA19"/>
  <c r="BB19"/>
  <c r="BD19"/>
  <c r="BF19"/>
  <c r="BG19"/>
  <c r="BH19" s="1"/>
  <c r="BI19"/>
  <c r="CO19"/>
  <c r="CQ19"/>
  <c r="CR19"/>
  <c r="CS19"/>
  <c r="CU19"/>
  <c r="CW19"/>
  <c r="CX19"/>
  <c r="CY19"/>
  <c r="DK19"/>
  <c r="BL19" s="1"/>
  <c r="DM19"/>
  <c r="BP19" s="1"/>
  <c r="CT19" s="1"/>
  <c r="DO19"/>
  <c r="I18"/>
  <c r="J18"/>
  <c r="DD18" s="1"/>
  <c r="DG18" s="1"/>
  <c r="DH18" s="1"/>
  <c r="K18"/>
  <c r="L18"/>
  <c r="N18"/>
  <c r="O18"/>
  <c r="AM18"/>
  <c r="AN18" s="1"/>
  <c r="AY18"/>
  <c r="BA18"/>
  <c r="BB18"/>
  <c r="BD18"/>
  <c r="BF18"/>
  <c r="BG18"/>
  <c r="BH18" s="1"/>
  <c r="BI18"/>
  <c r="BL18"/>
  <c r="CO18"/>
  <c r="CP18"/>
  <c r="CQ18"/>
  <c r="CR18"/>
  <c r="CS18"/>
  <c r="CU18"/>
  <c r="CW18"/>
  <c r="CX18"/>
  <c r="CY18"/>
  <c r="DK18"/>
  <c r="DM18"/>
  <c r="BP18" s="1"/>
  <c r="CT18" s="1"/>
  <c r="DO18"/>
  <c r="I17"/>
  <c r="J17"/>
  <c r="K17"/>
  <c r="L17"/>
  <c r="N17"/>
  <c r="O17"/>
  <c r="AM17"/>
  <c r="AN17" s="1"/>
  <c r="BA17"/>
  <c r="BG17"/>
  <c r="BH17" s="1"/>
  <c r="CO17"/>
  <c r="CQ17"/>
  <c r="CR17"/>
  <c r="CS17"/>
  <c r="CU17"/>
  <c r="CW17"/>
  <c r="CX17"/>
  <c r="CY17"/>
  <c r="DD17"/>
  <c r="DG17" s="1"/>
  <c r="DH17" s="1"/>
  <c r="DK17"/>
  <c r="BL17" s="1"/>
  <c r="DM17"/>
  <c r="BP17" s="1"/>
  <c r="CT17" s="1"/>
  <c r="DO17"/>
  <c r="I16"/>
  <c r="J16"/>
  <c r="K16"/>
  <c r="L16"/>
  <c r="N16"/>
  <c r="O16"/>
  <c r="AM16"/>
  <c r="AN16" s="1"/>
  <c r="BA16"/>
  <c r="BG16"/>
  <c r="BH16" s="1"/>
  <c r="BL16"/>
  <c r="P16"/>
  <c r="CO16"/>
  <c r="CP16"/>
  <c r="CQ16"/>
  <c r="CR16"/>
  <c r="CS16"/>
  <c r="CU16"/>
  <c r="CV16"/>
  <c r="CW16"/>
  <c r="CX16"/>
  <c r="CY16"/>
  <c r="DD16"/>
  <c r="DG16" s="1"/>
  <c r="DH16" s="1"/>
  <c r="DK16"/>
  <c r="DM16"/>
  <c r="BP16" s="1"/>
  <c r="CT16" s="1"/>
  <c r="DO16"/>
  <c r="I15"/>
  <c r="J15"/>
  <c r="DD15" s="1"/>
  <c r="DG15" s="1"/>
  <c r="DH15" s="1"/>
  <c r="K15"/>
  <c r="L15"/>
  <c r="N15"/>
  <c r="O15"/>
  <c r="AN15"/>
  <c r="AY15"/>
  <c r="BA15"/>
  <c r="BF15"/>
  <c r="BG15"/>
  <c r="BH15" s="1"/>
  <c r="BI15"/>
  <c r="CO15"/>
  <c r="CQ15"/>
  <c r="CR15"/>
  <c r="CS15"/>
  <c r="CU15"/>
  <c r="CW15"/>
  <c r="CX15"/>
  <c r="CY15"/>
  <c r="DK15"/>
  <c r="BL15" s="1"/>
  <c r="DM15"/>
  <c r="BP15" s="1"/>
  <c r="CT15" s="1"/>
  <c r="DO15"/>
  <c r="I14"/>
  <c r="J14"/>
  <c r="DD14" s="1"/>
  <c r="DG14" s="1"/>
  <c r="DH14" s="1"/>
  <c r="K14"/>
  <c r="L14"/>
  <c r="N14"/>
  <c r="O14"/>
  <c r="AM14"/>
  <c r="AN14" s="1"/>
  <c r="AY14"/>
  <c r="BA14"/>
  <c r="BB14"/>
  <c r="BD14"/>
  <c r="BF14"/>
  <c r="BG14"/>
  <c r="BH14" s="1"/>
  <c r="BI14"/>
  <c r="CO14"/>
  <c r="CQ14"/>
  <c r="CR14"/>
  <c r="CS14"/>
  <c r="CU14"/>
  <c r="CW14"/>
  <c r="CX14"/>
  <c r="CY14"/>
  <c r="DK14"/>
  <c r="BL14" s="1"/>
  <c r="DM14"/>
  <c r="BP14" s="1"/>
  <c r="CT14" s="1"/>
  <c r="DO14"/>
  <c r="I13"/>
  <c r="J13"/>
  <c r="K13"/>
  <c r="L13"/>
  <c r="N13"/>
  <c r="O13"/>
  <c r="AM13"/>
  <c r="AN13" s="1"/>
  <c r="BA13"/>
  <c r="BG13"/>
  <c r="BH13" s="1"/>
  <c r="CO13"/>
  <c r="CQ13"/>
  <c r="CR13"/>
  <c r="CS13"/>
  <c r="CU13"/>
  <c r="CW13"/>
  <c r="CX13"/>
  <c r="CY13"/>
  <c r="DD13"/>
  <c r="DG13" s="1"/>
  <c r="DH13" s="1"/>
  <c r="DK13"/>
  <c r="BL13" s="1"/>
  <c r="DM13"/>
  <c r="BP13" s="1"/>
  <c r="CT13" s="1"/>
  <c r="DO13"/>
  <c r="I12"/>
  <c r="J12"/>
  <c r="DD12" s="1"/>
  <c r="DG12" s="1"/>
  <c r="DH12" s="1"/>
  <c r="K12"/>
  <c r="L12"/>
  <c r="N12"/>
  <c r="O12"/>
  <c r="AM12"/>
  <c r="AN12" s="1"/>
  <c r="AY12"/>
  <c r="BA12"/>
  <c r="BB12"/>
  <c r="BD12"/>
  <c r="BF12"/>
  <c r="BG12"/>
  <c r="BH12" s="1"/>
  <c r="BI12"/>
  <c r="CO12"/>
  <c r="CQ12"/>
  <c r="CR12"/>
  <c r="CS12"/>
  <c r="CU12"/>
  <c r="CW12"/>
  <c r="CX12"/>
  <c r="CY12"/>
  <c r="DK12"/>
  <c r="BL12" s="1"/>
  <c r="DM12"/>
  <c r="BP12" s="1"/>
  <c r="CT12" s="1"/>
  <c r="DO12"/>
  <c r="I11"/>
  <c r="J11"/>
  <c r="K11"/>
  <c r="L11"/>
  <c r="N11"/>
  <c r="O11"/>
  <c r="AM11"/>
  <c r="AN11" s="1"/>
  <c r="BA11"/>
  <c r="BG11"/>
  <c r="BH11" s="1"/>
  <c r="BL11"/>
  <c r="P11"/>
  <c r="CO11"/>
  <c r="CP11"/>
  <c r="CQ11"/>
  <c r="CR11"/>
  <c r="CS11"/>
  <c r="CU11"/>
  <c r="CV11"/>
  <c r="CW11"/>
  <c r="CX11"/>
  <c r="CY11"/>
  <c r="DD11"/>
  <c r="DG11" s="1"/>
  <c r="DH11" s="1"/>
  <c r="DK11"/>
  <c r="DM11"/>
  <c r="BP11" s="1"/>
  <c r="CT11" s="1"/>
  <c r="DO11"/>
  <c r="I10"/>
  <c r="J10"/>
  <c r="K10"/>
  <c r="L10"/>
  <c r="N10"/>
  <c r="O10"/>
  <c r="AM10"/>
  <c r="AN10" s="1"/>
  <c r="BA10"/>
  <c r="BG10"/>
  <c r="BH10" s="1"/>
  <c r="CO10"/>
  <c r="CQ10"/>
  <c r="CR10"/>
  <c r="CS10"/>
  <c r="CU10"/>
  <c r="CW10"/>
  <c r="CX10"/>
  <c r="CY10"/>
  <c r="DD10"/>
  <c r="DG10" s="1"/>
  <c r="DH10" s="1"/>
  <c r="DK10"/>
  <c r="BL10" s="1"/>
  <c r="DM10"/>
  <c r="BP10" s="1"/>
  <c r="CT10" s="1"/>
  <c r="DO10"/>
  <c r="I9"/>
  <c r="J9"/>
  <c r="K9"/>
  <c r="L9"/>
  <c r="N9"/>
  <c r="O9"/>
  <c r="AM9"/>
  <c r="AN9" s="1"/>
  <c r="BA9"/>
  <c r="BG9"/>
  <c r="BH9" s="1"/>
  <c r="BL9"/>
  <c r="P9"/>
  <c r="CO9"/>
  <c r="CP9"/>
  <c r="CQ9"/>
  <c r="CR9"/>
  <c r="CS9"/>
  <c r="CU9"/>
  <c r="CV9"/>
  <c r="CW9"/>
  <c r="CX9"/>
  <c r="CY9"/>
  <c r="DD9"/>
  <c r="DG9" s="1"/>
  <c r="DH9" s="1"/>
  <c r="DK9"/>
  <c r="DM9"/>
  <c r="BP9" s="1"/>
  <c r="CT9" s="1"/>
  <c r="DO9"/>
  <c r="DO8"/>
  <c r="DO7"/>
  <c r="B8"/>
  <c r="B7"/>
  <c r="BP8"/>
  <c r="BP7"/>
  <c r="DM8"/>
  <c r="DM7"/>
  <c r="BL8"/>
  <c r="BL7"/>
  <c r="DK8"/>
  <c r="DK7"/>
  <c r="BD59"/>
  <c r="AT46"/>
  <c r="AT43"/>
  <c r="AS39"/>
  <c r="AQ39"/>
  <c r="AP39"/>
  <c r="AD39"/>
  <c r="AC39"/>
  <c r="Z39"/>
  <c r="Z41" s="1"/>
  <c r="Y39"/>
  <c r="CI38"/>
  <c r="CM39" s="1"/>
  <c r="CH38"/>
  <c r="CL39" s="1"/>
  <c r="CG38"/>
  <c r="CK39" s="1"/>
  <c r="BQ38"/>
  <c r="BX39" s="1"/>
  <c r="BO38"/>
  <c r="BV39" s="1"/>
  <c r="BN38"/>
  <c r="CB39" s="1"/>
  <c r="BM38"/>
  <c r="BT39" s="1"/>
  <c r="BK38"/>
  <c r="BR39" s="1"/>
  <c r="BG38"/>
  <c r="AW38"/>
  <c r="AW39" s="1"/>
  <c r="AV38"/>
  <c r="AV39" s="1"/>
  <c r="AU38"/>
  <c r="AU39" s="1"/>
  <c r="AT38"/>
  <c r="AT41" s="1"/>
  <c r="AL38"/>
  <c r="AL39" s="1"/>
  <c r="AJ38"/>
  <c r="AJ39" s="1"/>
  <c r="AH38"/>
  <c r="AH39" s="1"/>
  <c r="AG38"/>
  <c r="AG39" s="1"/>
  <c r="AE38"/>
  <c r="AE39" s="1"/>
  <c r="AD38"/>
  <c r="W38"/>
  <c r="W39" s="1"/>
  <c r="V38"/>
  <c r="V39" s="1"/>
  <c r="S38"/>
  <c r="S39" s="1"/>
  <c r="G38"/>
  <c r="G39" s="1"/>
  <c r="G41" s="1"/>
  <c r="DH37"/>
  <c r="AZ37" s="1"/>
  <c r="CY37"/>
  <c r="CX37"/>
  <c r="CW37"/>
  <c r="CV37"/>
  <c r="CU37"/>
  <c r="CT37"/>
  <c r="CS37"/>
  <c r="CR37"/>
  <c r="CQ37"/>
  <c r="CP37"/>
  <c r="CO37"/>
  <c r="DJ37" s="1"/>
  <c r="BG37"/>
  <c r="BA37"/>
  <c r="AY37"/>
  <c r="BI37" s="1"/>
  <c r="AN37"/>
  <c r="AM37"/>
  <c r="AI37"/>
  <c r="U37"/>
  <c r="Q37"/>
  <c r="P37"/>
  <c r="O37"/>
  <c r="N37"/>
  <c r="L37"/>
  <c r="K37"/>
  <c r="J37"/>
  <c r="DD37" s="1"/>
  <c r="DG37" s="1"/>
  <c r="I37"/>
  <c r="H37"/>
  <c r="B37"/>
  <c r="C37" s="1"/>
  <c r="CY8"/>
  <c r="CX8"/>
  <c r="CW8"/>
  <c r="CV8"/>
  <c r="CU8"/>
  <c r="CT8"/>
  <c r="CS8"/>
  <c r="CR8"/>
  <c r="CQ8"/>
  <c r="CP8"/>
  <c r="CO8"/>
  <c r="BG8"/>
  <c r="BA8"/>
  <c r="AM8"/>
  <c r="AY8" s="1"/>
  <c r="P8"/>
  <c r="O8"/>
  <c r="N8"/>
  <c r="L8"/>
  <c r="K8"/>
  <c r="J8"/>
  <c r="DD8" s="1"/>
  <c r="DG8" s="1"/>
  <c r="DH8" s="1"/>
  <c r="I8"/>
  <c r="CY7"/>
  <c r="CX7"/>
  <c r="CX38" s="1"/>
  <c r="CW7"/>
  <c r="CU7"/>
  <c r="CU38" s="1"/>
  <c r="CT7"/>
  <c r="CS7"/>
  <c r="CS38" s="1"/>
  <c r="CR7"/>
  <c r="CR38" s="1"/>
  <c r="CQ7"/>
  <c r="CQ38" s="1"/>
  <c r="CO7"/>
  <c r="CO38" s="1"/>
  <c r="BG7"/>
  <c r="BA7"/>
  <c r="BA38" s="1"/>
  <c r="AM7"/>
  <c r="O7"/>
  <c r="N7"/>
  <c r="L7"/>
  <c r="K7"/>
  <c r="J7"/>
  <c r="I7"/>
  <c r="AZ36" i="89" l="1"/>
  <c r="AZ35"/>
  <c r="U35"/>
  <c r="F35"/>
  <c r="AZ34"/>
  <c r="F25"/>
  <c r="F26"/>
  <c r="M24"/>
  <c r="BI24"/>
  <c r="U24"/>
  <c r="F24"/>
  <c r="AF24"/>
  <c r="BB24"/>
  <c r="BD24" s="1"/>
  <c r="T23"/>
  <c r="F16"/>
  <c r="AZ16"/>
  <c r="F13"/>
  <c r="AZ14"/>
  <c r="F14"/>
  <c r="CQ39"/>
  <c r="AZ12"/>
  <c r="CV39"/>
  <c r="AZ11"/>
  <c r="F11"/>
  <c r="F10"/>
  <c r="AM39"/>
  <c r="AN39" s="1"/>
  <c r="F9"/>
  <c r="BC11"/>
  <c r="BC13"/>
  <c r="BC9"/>
  <c r="AZ8"/>
  <c r="BC36"/>
  <c r="BC26"/>
  <c r="BC16"/>
  <c r="C39" i="90"/>
  <c r="E39"/>
  <c r="CO40"/>
  <c r="D38"/>
  <c r="BC7"/>
  <c r="R38"/>
  <c r="Q39"/>
  <c r="DD38"/>
  <c r="DE38" s="1"/>
  <c r="DG7"/>
  <c r="DF38"/>
  <c r="BD38"/>
  <c r="BD39" s="1"/>
  <c r="R39"/>
  <c r="R41" s="1"/>
  <c r="BI38"/>
  <c r="BJ7"/>
  <c r="BJ8" s="1"/>
  <c r="BB38"/>
  <c r="F7"/>
  <c r="AY38"/>
  <c r="T38"/>
  <c r="BC34" i="89"/>
  <c r="BC14"/>
  <c r="BC10"/>
  <c r="AZ37" i="85"/>
  <c r="BC36"/>
  <c r="AZ36"/>
  <c r="F36"/>
  <c r="BF7" i="89"/>
  <c r="BF8" s="1"/>
  <c r="BF9" s="1"/>
  <c r="BF10" s="1"/>
  <c r="BF11" s="1"/>
  <c r="BF12" s="1"/>
  <c r="BF13" s="1"/>
  <c r="BF14" s="1"/>
  <c r="BF15" s="1"/>
  <c r="BF16" s="1"/>
  <c r="BF17" s="1"/>
  <c r="BF18" s="1"/>
  <c r="BF19" s="1"/>
  <c r="BF20" s="1"/>
  <c r="BF21" s="1"/>
  <c r="BF22" s="1"/>
  <c r="BF23" s="1"/>
  <c r="BF24" s="1"/>
  <c r="BF25" s="1"/>
  <c r="BF26" s="1"/>
  <c r="BF27" s="1"/>
  <c r="BF28" s="1"/>
  <c r="BF29" s="1"/>
  <c r="BF30" s="1"/>
  <c r="BF31" s="1"/>
  <c r="BF32" s="1"/>
  <c r="BF33" s="1"/>
  <c r="BF34" s="1"/>
  <c r="BF35" s="1"/>
  <c r="BF36" s="1"/>
  <c r="BF37" s="1"/>
  <c r="X39"/>
  <c r="AB39"/>
  <c r="Q39"/>
  <c r="U35" i="85"/>
  <c r="AZ35"/>
  <c r="BC35"/>
  <c r="F35"/>
  <c r="AZ34"/>
  <c r="U33"/>
  <c r="AZ33"/>
  <c r="BC33"/>
  <c r="F33"/>
  <c r="F7" i="89"/>
  <c r="CO40"/>
  <c r="E39"/>
  <c r="BI7"/>
  <c r="BJ7" s="1"/>
  <c r="BJ8" s="1"/>
  <c r="BJ9" s="1"/>
  <c r="BJ10" s="1"/>
  <c r="BJ11" s="1"/>
  <c r="BJ12" s="1"/>
  <c r="BJ13" s="1"/>
  <c r="BJ14" s="1"/>
  <c r="BJ15" s="1"/>
  <c r="BJ16" s="1"/>
  <c r="BJ17" s="1"/>
  <c r="BJ18" s="1"/>
  <c r="BJ19" s="1"/>
  <c r="BJ20" s="1"/>
  <c r="BJ21" s="1"/>
  <c r="BJ22" s="1"/>
  <c r="BJ23" s="1"/>
  <c r="BJ24" s="1"/>
  <c r="BJ25" s="1"/>
  <c r="BJ26" s="1"/>
  <c r="BJ27" s="1"/>
  <c r="BJ28" s="1"/>
  <c r="BJ29" s="1"/>
  <c r="BJ30" s="1"/>
  <c r="BJ31" s="1"/>
  <c r="BJ32" s="1"/>
  <c r="BJ33" s="1"/>
  <c r="BJ34" s="1"/>
  <c r="BJ35" s="1"/>
  <c r="BJ36" s="1"/>
  <c r="BJ37" s="1"/>
  <c r="AZ48" s="1"/>
  <c r="AZ51" s="1"/>
  <c r="AI7"/>
  <c r="H7"/>
  <c r="AI24"/>
  <c r="H24"/>
  <c r="R39"/>
  <c r="R41" s="1"/>
  <c r="C39"/>
  <c r="BC35"/>
  <c r="AZ27"/>
  <c r="BC27"/>
  <c r="F27"/>
  <c r="AZ23"/>
  <c r="BC23"/>
  <c r="F23"/>
  <c r="U21"/>
  <c r="AZ21"/>
  <c r="BC21"/>
  <c r="F21"/>
  <c r="U19"/>
  <c r="AZ19"/>
  <c r="BC19"/>
  <c r="F19"/>
  <c r="U17"/>
  <c r="AZ17"/>
  <c r="BC17"/>
  <c r="F17"/>
  <c r="BD38"/>
  <c r="BD39" s="1"/>
  <c r="BC37"/>
  <c r="U33"/>
  <c r="AZ33"/>
  <c r="BC33"/>
  <c r="F33"/>
  <c r="U32"/>
  <c r="AZ32"/>
  <c r="BC32"/>
  <c r="F32"/>
  <c r="U31"/>
  <c r="AZ31"/>
  <c r="BC31"/>
  <c r="F31"/>
  <c r="U30"/>
  <c r="AZ30"/>
  <c r="BC30"/>
  <c r="F30"/>
  <c r="U29"/>
  <c r="AZ29"/>
  <c r="BC29"/>
  <c r="F29"/>
  <c r="U28"/>
  <c r="AZ28"/>
  <c r="BC28"/>
  <c r="F28"/>
  <c r="U22"/>
  <c r="AZ22"/>
  <c r="BC22"/>
  <c r="F22"/>
  <c r="U20"/>
  <c r="AZ20"/>
  <c r="BC20"/>
  <c r="F20"/>
  <c r="U18"/>
  <c r="AZ18"/>
  <c r="BC18"/>
  <c r="F18"/>
  <c r="DD38"/>
  <c r="DE38" s="1"/>
  <c r="DG7"/>
  <c r="AY39"/>
  <c r="AX39" s="1"/>
  <c r="AF39"/>
  <c r="H39"/>
  <c r="AI39"/>
  <c r="M39"/>
  <c r="U7"/>
  <c r="T27"/>
  <c r="BC25"/>
  <c r="AZ25"/>
  <c r="AZ24"/>
  <c r="BC24"/>
  <c r="D38"/>
  <c r="BC7"/>
  <c r="U32" i="85"/>
  <c r="AZ32"/>
  <c r="BC32"/>
  <c r="F32"/>
  <c r="AZ31"/>
  <c r="BC30"/>
  <c r="U29"/>
  <c r="AZ29"/>
  <c r="BC29"/>
  <c r="F29"/>
  <c r="AZ27"/>
  <c r="F27"/>
  <c r="BC27"/>
  <c r="U28"/>
  <c r="AZ28"/>
  <c r="BC28"/>
  <c r="F28"/>
  <c r="U27"/>
  <c r="U26"/>
  <c r="F26"/>
  <c r="AZ26"/>
  <c r="BC26"/>
  <c r="U25"/>
  <c r="AZ25"/>
  <c r="BC25"/>
  <c r="F25"/>
  <c r="AZ24"/>
  <c r="BC23"/>
  <c r="U22"/>
  <c r="AZ22"/>
  <c r="BC22"/>
  <c r="F22"/>
  <c r="U21"/>
  <c r="AZ21"/>
  <c r="BC21"/>
  <c r="F21"/>
  <c r="U20"/>
  <c r="AZ20"/>
  <c r="BC20"/>
  <c r="F20"/>
  <c r="U19"/>
  <c r="AZ19"/>
  <c r="BC19"/>
  <c r="F19"/>
  <c r="U18"/>
  <c r="AZ18"/>
  <c r="BC18"/>
  <c r="F18"/>
  <c r="AZ17"/>
  <c r="BC16"/>
  <c r="BC15"/>
  <c r="AZ15"/>
  <c r="H15"/>
  <c r="U15"/>
  <c r="AI15"/>
  <c r="BF15"/>
  <c r="F15"/>
  <c r="M15"/>
  <c r="AF15"/>
  <c r="AX15"/>
  <c r="BB15"/>
  <c r="BD15" s="1"/>
  <c r="BI15"/>
  <c r="BC14"/>
  <c r="AZ14"/>
  <c r="F14"/>
  <c r="U14"/>
  <c r="U13"/>
  <c r="AZ13"/>
  <c r="BC13"/>
  <c r="F13"/>
  <c r="U12"/>
  <c r="AZ12"/>
  <c r="BC12"/>
  <c r="F12"/>
  <c r="CW38" i="88"/>
  <c r="CY38"/>
  <c r="I38"/>
  <c r="I39" s="1"/>
  <c r="I41" s="1"/>
  <c r="K38"/>
  <c r="K39" s="1"/>
  <c r="N38"/>
  <c r="N39" s="1"/>
  <c r="AZ11" i="85"/>
  <c r="BC10"/>
  <c r="BC9"/>
  <c r="U8"/>
  <c r="AZ8"/>
  <c r="BC8"/>
  <c r="F8"/>
  <c r="U7"/>
  <c r="AZ7"/>
  <c r="BC7"/>
  <c r="F7"/>
  <c r="J38" i="88"/>
  <c r="J39" s="1"/>
  <c r="L38"/>
  <c r="L39" s="1"/>
  <c r="O38"/>
  <c r="O39" s="1"/>
  <c r="AF36"/>
  <c r="M36"/>
  <c r="F36"/>
  <c r="BB36"/>
  <c r="BD36" s="1"/>
  <c r="AX36"/>
  <c r="AI36"/>
  <c r="U36"/>
  <c r="E36"/>
  <c r="BC36" s="1"/>
  <c r="P35"/>
  <c r="CV35"/>
  <c r="CP35"/>
  <c r="B35"/>
  <c r="H35"/>
  <c r="AX35"/>
  <c r="AF35"/>
  <c r="M35"/>
  <c r="BJ35"/>
  <c r="AI35"/>
  <c r="P34"/>
  <c r="CV34"/>
  <c r="CP34"/>
  <c r="B34"/>
  <c r="AY34"/>
  <c r="P33"/>
  <c r="CV33"/>
  <c r="CP33"/>
  <c r="B33"/>
  <c r="AY33"/>
  <c r="P32"/>
  <c r="CV32"/>
  <c r="B32"/>
  <c r="CP32"/>
  <c r="AY32"/>
  <c r="B31"/>
  <c r="P31"/>
  <c r="CV31"/>
  <c r="BH37"/>
  <c r="H31"/>
  <c r="AX31"/>
  <c r="AF31"/>
  <c r="M31"/>
  <c r="BJ31"/>
  <c r="AI31"/>
  <c r="P30"/>
  <c r="CV30"/>
  <c r="B30"/>
  <c r="CP30"/>
  <c r="AY30"/>
  <c r="P29"/>
  <c r="CV29"/>
  <c r="B29"/>
  <c r="CP29"/>
  <c r="AY29"/>
  <c r="P28"/>
  <c r="CV28"/>
  <c r="B28"/>
  <c r="CP28"/>
  <c r="AY28"/>
  <c r="B27"/>
  <c r="P27"/>
  <c r="CV27"/>
  <c r="H27"/>
  <c r="AX27"/>
  <c r="AF27"/>
  <c r="M27"/>
  <c r="BJ27"/>
  <c r="AI27"/>
  <c r="B26"/>
  <c r="H26"/>
  <c r="AX26"/>
  <c r="AF26"/>
  <c r="M26"/>
  <c r="BJ26"/>
  <c r="AI26"/>
  <c r="P25"/>
  <c r="CV25"/>
  <c r="CP25"/>
  <c r="B25"/>
  <c r="H25"/>
  <c r="AF25"/>
  <c r="M25"/>
  <c r="BB25"/>
  <c r="BD25" s="1"/>
  <c r="AX25"/>
  <c r="AI25"/>
  <c r="B24"/>
  <c r="H24"/>
  <c r="AX24"/>
  <c r="AF24"/>
  <c r="M24"/>
  <c r="BJ24"/>
  <c r="AI24"/>
  <c r="P23"/>
  <c r="CV23"/>
  <c r="B23"/>
  <c r="CP23"/>
  <c r="H23"/>
  <c r="AX23"/>
  <c r="AF23"/>
  <c r="M23"/>
  <c r="BJ23"/>
  <c r="AI23"/>
  <c r="P22"/>
  <c r="CV22"/>
  <c r="B22"/>
  <c r="CP22"/>
  <c r="AY22"/>
  <c r="B21"/>
  <c r="AY21"/>
  <c r="P20"/>
  <c r="CV20"/>
  <c r="B20"/>
  <c r="CP20"/>
  <c r="H20"/>
  <c r="AX20"/>
  <c r="AF20"/>
  <c r="M20"/>
  <c r="BJ20"/>
  <c r="AI20"/>
  <c r="P19"/>
  <c r="CV19"/>
  <c r="B19"/>
  <c r="CP19"/>
  <c r="H19"/>
  <c r="AX19"/>
  <c r="AF19"/>
  <c r="M19"/>
  <c r="BJ19"/>
  <c r="AI19"/>
  <c r="B18"/>
  <c r="P18"/>
  <c r="CV18"/>
  <c r="H18"/>
  <c r="AX18"/>
  <c r="AF18"/>
  <c r="M18"/>
  <c r="BJ18"/>
  <c r="AI18"/>
  <c r="P17"/>
  <c r="CV17"/>
  <c r="B17"/>
  <c r="CP17"/>
  <c r="AY17"/>
  <c r="B16"/>
  <c r="AY16"/>
  <c r="P15"/>
  <c r="CV15"/>
  <c r="CP15"/>
  <c r="B15"/>
  <c r="H15"/>
  <c r="BJ15"/>
  <c r="AF15"/>
  <c r="M15"/>
  <c r="BB15"/>
  <c r="BD15" s="1"/>
  <c r="AX15"/>
  <c r="AI15"/>
  <c r="P14"/>
  <c r="CV14"/>
  <c r="B14"/>
  <c r="CP14"/>
  <c r="H14"/>
  <c r="AX14"/>
  <c r="AF14"/>
  <c r="M14"/>
  <c r="BJ14"/>
  <c r="AI14"/>
  <c r="P13"/>
  <c r="CV13"/>
  <c r="B13"/>
  <c r="CP13"/>
  <c r="AY13"/>
  <c r="P12"/>
  <c r="CV12"/>
  <c r="B12"/>
  <c r="CP12"/>
  <c r="H12"/>
  <c r="AX12"/>
  <c r="AF12"/>
  <c r="M12"/>
  <c r="BJ12"/>
  <c r="AI12"/>
  <c r="B11"/>
  <c r="AY11"/>
  <c r="BP38"/>
  <c r="CD39" s="1"/>
  <c r="P10"/>
  <c r="CV10"/>
  <c r="B10"/>
  <c r="CP10"/>
  <c r="CT38"/>
  <c r="CQ39" s="1"/>
  <c r="AY10"/>
  <c r="BL38"/>
  <c r="BZ39" s="1"/>
  <c r="B9"/>
  <c r="AY9"/>
  <c r="D37"/>
  <c r="E37"/>
  <c r="R37"/>
  <c r="T37" s="1"/>
  <c r="CV7"/>
  <c r="P7"/>
  <c r="CF38"/>
  <c r="CJ39" s="1"/>
  <c r="P38"/>
  <c r="P39" s="1"/>
  <c r="CV38"/>
  <c r="CV39" s="1"/>
  <c r="CP7"/>
  <c r="CP38" s="1"/>
  <c r="CO39" s="1"/>
  <c r="AM38"/>
  <c r="AY7"/>
  <c r="AN7"/>
  <c r="BH7"/>
  <c r="Q38"/>
  <c r="R7"/>
  <c r="E8"/>
  <c r="C8"/>
  <c r="D8" s="1"/>
  <c r="B38"/>
  <c r="B39" s="1"/>
  <c r="E7"/>
  <c r="C7"/>
  <c r="D7" s="1"/>
  <c r="AX8"/>
  <c r="AF8"/>
  <c r="AI8"/>
  <c r="H8"/>
  <c r="BI8"/>
  <c r="BB8"/>
  <c r="BD8" s="1"/>
  <c r="M8"/>
  <c r="DD7"/>
  <c r="R8"/>
  <c r="T8" s="1"/>
  <c r="AN8"/>
  <c r="BH8"/>
  <c r="AT39"/>
  <c r="BS39"/>
  <c r="BU39"/>
  <c r="BW39"/>
  <c r="BY39"/>
  <c r="CA39"/>
  <c r="CC39"/>
  <c r="CE39"/>
  <c r="L46"/>
  <c r="F37"/>
  <c r="M37"/>
  <c r="AF37"/>
  <c r="AX37"/>
  <c r="BB37"/>
  <c r="BD37" s="1"/>
  <c r="BG36" i="84"/>
  <c r="BA36"/>
  <c r="AY36"/>
  <c r="BI36" s="1"/>
  <c r="AN36"/>
  <c r="AF36"/>
  <c r="Q36"/>
  <c r="P36"/>
  <c r="O36"/>
  <c r="N36"/>
  <c r="L36"/>
  <c r="K36"/>
  <c r="J36"/>
  <c r="DD36" s="1"/>
  <c r="DG36" s="1"/>
  <c r="DH36" s="1"/>
  <c r="I36"/>
  <c r="B36"/>
  <c r="E36" s="1"/>
  <c r="BG35"/>
  <c r="BA35"/>
  <c r="AY35"/>
  <c r="Q35"/>
  <c r="P35"/>
  <c r="O35"/>
  <c r="N35"/>
  <c r="L35"/>
  <c r="K35"/>
  <c r="J35"/>
  <c r="DD35" s="1"/>
  <c r="DG35" s="1"/>
  <c r="DH35" s="1"/>
  <c r="I35"/>
  <c r="B35"/>
  <c r="BG34"/>
  <c r="BA34"/>
  <c r="AY34"/>
  <c r="Q34"/>
  <c r="P34"/>
  <c r="O34"/>
  <c r="N34"/>
  <c r="L34"/>
  <c r="K34"/>
  <c r="J34"/>
  <c r="DD34" s="1"/>
  <c r="DG34" s="1"/>
  <c r="DH34" s="1"/>
  <c r="I34"/>
  <c r="B34"/>
  <c r="B33"/>
  <c r="C33" s="1"/>
  <c r="D33" s="1"/>
  <c r="I33"/>
  <c r="J33"/>
  <c r="DD33" s="1"/>
  <c r="DG33" s="1"/>
  <c r="DH33" s="1"/>
  <c r="K33"/>
  <c r="L33"/>
  <c r="N33"/>
  <c r="O33"/>
  <c r="P33"/>
  <c r="Q33"/>
  <c r="R33" s="1"/>
  <c r="T33" s="1"/>
  <c r="AN33"/>
  <c r="AY33"/>
  <c r="H33" s="1"/>
  <c r="BA33"/>
  <c r="BG33"/>
  <c r="BH33" s="1"/>
  <c r="BI33"/>
  <c r="B32"/>
  <c r="C32" s="1"/>
  <c r="D32" s="1"/>
  <c r="I32"/>
  <c r="J32"/>
  <c r="DD32" s="1"/>
  <c r="DG32" s="1"/>
  <c r="DH32" s="1"/>
  <c r="K32"/>
  <c r="L32"/>
  <c r="N32"/>
  <c r="O32"/>
  <c r="P32"/>
  <c r="Q32"/>
  <c r="R32" s="1"/>
  <c r="T32" s="1"/>
  <c r="AN32"/>
  <c r="AY32"/>
  <c r="H32" s="1"/>
  <c r="BA32"/>
  <c r="BG32"/>
  <c r="BH32" s="1"/>
  <c r="BI32"/>
  <c r="B31"/>
  <c r="C31" s="1"/>
  <c r="D31" s="1"/>
  <c r="I31"/>
  <c r="J31"/>
  <c r="DD31" s="1"/>
  <c r="DG31" s="1"/>
  <c r="DH31" s="1"/>
  <c r="K31"/>
  <c r="L31"/>
  <c r="N31"/>
  <c r="O31"/>
  <c r="P31"/>
  <c r="Q31"/>
  <c r="R31" s="1"/>
  <c r="T31" s="1"/>
  <c r="AN31"/>
  <c r="AY31"/>
  <c r="H31" s="1"/>
  <c r="BA31"/>
  <c r="BG31"/>
  <c r="BH31" s="1"/>
  <c r="BI31"/>
  <c r="BA30"/>
  <c r="AY30"/>
  <c r="BB30" s="1"/>
  <c r="AN30"/>
  <c r="AI30"/>
  <c r="Q30"/>
  <c r="P30"/>
  <c r="O30"/>
  <c r="N30"/>
  <c r="L30"/>
  <c r="K30"/>
  <c r="J30"/>
  <c r="DD30" s="1"/>
  <c r="DG30" s="1"/>
  <c r="DH30" s="1"/>
  <c r="I30"/>
  <c r="H30"/>
  <c r="B30"/>
  <c r="C30" s="1"/>
  <c r="B29"/>
  <c r="C29" s="1"/>
  <c r="D29" s="1"/>
  <c r="I29"/>
  <c r="J29"/>
  <c r="DD29" s="1"/>
  <c r="DG29" s="1"/>
  <c r="DH29" s="1"/>
  <c r="K29"/>
  <c r="L29"/>
  <c r="N29"/>
  <c r="O29"/>
  <c r="P29"/>
  <c r="Q29"/>
  <c r="R29" s="1"/>
  <c r="T29" s="1"/>
  <c r="AN29"/>
  <c r="AY29"/>
  <c r="H29" s="1"/>
  <c r="BA29"/>
  <c r="BF29"/>
  <c r="BG29"/>
  <c r="BH29"/>
  <c r="B28"/>
  <c r="C28" s="1"/>
  <c r="D28" s="1"/>
  <c r="I28"/>
  <c r="J28"/>
  <c r="DD28" s="1"/>
  <c r="DG28" s="1"/>
  <c r="DH28" s="1"/>
  <c r="K28"/>
  <c r="L28"/>
  <c r="N28"/>
  <c r="O28"/>
  <c r="P28"/>
  <c r="Q28"/>
  <c r="R28" s="1"/>
  <c r="T28" s="1"/>
  <c r="AN28"/>
  <c r="AY28"/>
  <c r="H28" s="1"/>
  <c r="BA28"/>
  <c r="BF28"/>
  <c r="BG28"/>
  <c r="BH28" s="1"/>
  <c r="BI28"/>
  <c r="B27"/>
  <c r="C27" s="1"/>
  <c r="D27" s="1"/>
  <c r="I27"/>
  <c r="J27"/>
  <c r="DD27" s="1"/>
  <c r="DG27" s="1"/>
  <c r="DH27" s="1"/>
  <c r="K27"/>
  <c r="L27"/>
  <c r="N27"/>
  <c r="O27"/>
  <c r="P27"/>
  <c r="Q27"/>
  <c r="R27" s="1"/>
  <c r="T27" s="1"/>
  <c r="AN27"/>
  <c r="AY27"/>
  <c r="H27" s="1"/>
  <c r="BA27"/>
  <c r="BF27"/>
  <c r="BG27"/>
  <c r="BH27" s="1"/>
  <c r="BI27"/>
  <c r="B26"/>
  <c r="C26" s="1"/>
  <c r="D26" s="1"/>
  <c r="I26"/>
  <c r="J26"/>
  <c r="DD26" s="1"/>
  <c r="DG26" s="1"/>
  <c r="DH26" s="1"/>
  <c r="K26"/>
  <c r="L26"/>
  <c r="N26"/>
  <c r="O26"/>
  <c r="P26"/>
  <c r="Q26"/>
  <c r="R26" s="1"/>
  <c r="T26" s="1"/>
  <c r="AN26"/>
  <c r="AY26"/>
  <c r="H26" s="1"/>
  <c r="BA26"/>
  <c r="BF26"/>
  <c r="BG26"/>
  <c r="BH26" s="1"/>
  <c r="BI26"/>
  <c r="B25"/>
  <c r="C25" s="1"/>
  <c r="D25" s="1"/>
  <c r="I25"/>
  <c r="J25"/>
  <c r="DD25" s="1"/>
  <c r="DG25" s="1"/>
  <c r="DH25" s="1"/>
  <c r="K25"/>
  <c r="L25"/>
  <c r="N25"/>
  <c r="O25"/>
  <c r="P25"/>
  <c r="Q25"/>
  <c r="R25" s="1"/>
  <c r="T25" s="1"/>
  <c r="AN25"/>
  <c r="AY25"/>
  <c r="H25" s="1"/>
  <c r="BA25"/>
  <c r="BF25"/>
  <c r="BG25"/>
  <c r="BH25" s="1"/>
  <c r="BI25"/>
  <c r="B24"/>
  <c r="C24" s="1"/>
  <c r="D24" s="1"/>
  <c r="I24"/>
  <c r="J24"/>
  <c r="DD24" s="1"/>
  <c r="DG24" s="1"/>
  <c r="DH24" s="1"/>
  <c r="K24"/>
  <c r="L24"/>
  <c r="N24"/>
  <c r="O24"/>
  <c r="P24"/>
  <c r="Q24"/>
  <c r="R24" s="1"/>
  <c r="T24" s="1"/>
  <c r="AN24"/>
  <c r="AY24"/>
  <c r="H24" s="1"/>
  <c r="BA24"/>
  <c r="BB24"/>
  <c r="BD24"/>
  <c r="BF24"/>
  <c r="BG24"/>
  <c r="BH24" s="1"/>
  <c r="BI24"/>
  <c r="AT46" i="87"/>
  <c r="AT43"/>
  <c r="BG36" s="1"/>
  <c r="AS39"/>
  <c r="AQ39"/>
  <c r="AP39"/>
  <c r="AD39"/>
  <c r="AC39"/>
  <c r="Z39"/>
  <c r="Z41" s="1"/>
  <c r="Y39"/>
  <c r="CI38"/>
  <c r="CM39" s="1"/>
  <c r="CH38"/>
  <c r="CL39" s="1"/>
  <c r="CG38"/>
  <c r="CK39" s="1"/>
  <c r="CF38"/>
  <c r="CJ39" s="1"/>
  <c r="BQ38"/>
  <c r="BX39" s="1"/>
  <c r="BP38"/>
  <c r="CD39" s="1"/>
  <c r="BO38"/>
  <c r="BV39" s="1"/>
  <c r="BN38"/>
  <c r="CB39" s="1"/>
  <c r="BM38"/>
  <c r="BT39" s="1"/>
  <c r="BL38"/>
  <c r="BZ39" s="1"/>
  <c r="BK38"/>
  <c r="BR39" s="1"/>
  <c r="BG38"/>
  <c r="AW38"/>
  <c r="AW39" s="1"/>
  <c r="AV38"/>
  <c r="AV39" s="1"/>
  <c r="AU38"/>
  <c r="AU39" s="1"/>
  <c r="AT38"/>
  <c r="AT41" s="1"/>
  <c r="AL38"/>
  <c r="AL39" s="1"/>
  <c r="AJ38"/>
  <c r="AJ39" s="1"/>
  <c r="AH38"/>
  <c r="AH39" s="1"/>
  <c r="AG38"/>
  <c r="AG39" s="1"/>
  <c r="AE38"/>
  <c r="AE39" s="1"/>
  <c r="AD38"/>
  <c r="W38"/>
  <c r="W39" s="1"/>
  <c r="V38"/>
  <c r="V39" s="1"/>
  <c r="S38"/>
  <c r="S39" s="1"/>
  <c r="G38"/>
  <c r="G39" s="1"/>
  <c r="G41" s="1"/>
  <c r="CY37"/>
  <c r="CX37"/>
  <c r="CW37"/>
  <c r="CV37"/>
  <c r="CU37"/>
  <c r="CT37"/>
  <c r="CS37"/>
  <c r="CR37"/>
  <c r="CQ37"/>
  <c r="CP37"/>
  <c r="CO37"/>
  <c r="BG37"/>
  <c r="BA37"/>
  <c r="AY37"/>
  <c r="Q37"/>
  <c r="P37"/>
  <c r="O37"/>
  <c r="N37"/>
  <c r="L37"/>
  <c r="K37"/>
  <c r="J37"/>
  <c r="DD37" s="1"/>
  <c r="DG37" s="1"/>
  <c r="DH37" s="1"/>
  <c r="I37"/>
  <c r="B37"/>
  <c r="CY36"/>
  <c r="CX36"/>
  <c r="CW36"/>
  <c r="CV36"/>
  <c r="CU36"/>
  <c r="CT36"/>
  <c r="CS36"/>
  <c r="CR36"/>
  <c r="CQ36"/>
  <c r="CP36"/>
  <c r="CO36"/>
  <c r="BA36"/>
  <c r="AY36"/>
  <c r="Q36"/>
  <c r="R36" s="1"/>
  <c r="P36"/>
  <c r="O36"/>
  <c r="N36"/>
  <c r="L36"/>
  <c r="K36"/>
  <c r="J36"/>
  <c r="DD36" s="1"/>
  <c r="DG36" s="1"/>
  <c r="DH36" s="1"/>
  <c r="I36"/>
  <c r="B36"/>
  <c r="E36" s="1"/>
  <c r="CY35"/>
  <c r="CX35"/>
  <c r="CW35"/>
  <c r="CV35"/>
  <c r="CU35"/>
  <c r="CT35"/>
  <c r="CS35"/>
  <c r="CR35"/>
  <c r="CQ35"/>
  <c r="CP35"/>
  <c r="CO35"/>
  <c r="BG35"/>
  <c r="BA35"/>
  <c r="AY35"/>
  <c r="BI35" s="1"/>
  <c r="AN35"/>
  <c r="AI35"/>
  <c r="Q35"/>
  <c r="R35" s="1"/>
  <c r="P35"/>
  <c r="O35"/>
  <c r="N35"/>
  <c r="L35"/>
  <c r="K35"/>
  <c r="J35"/>
  <c r="DD35" s="1"/>
  <c r="DG35" s="1"/>
  <c r="DH35" s="1"/>
  <c r="I35"/>
  <c r="B35"/>
  <c r="C35" s="1"/>
  <c r="CY34"/>
  <c r="CX34"/>
  <c r="CW34"/>
  <c r="CV34"/>
  <c r="CU34"/>
  <c r="CT34"/>
  <c r="CS34"/>
  <c r="CR34"/>
  <c r="CQ34"/>
  <c r="CP34"/>
  <c r="CO34"/>
  <c r="BA34"/>
  <c r="AY34"/>
  <c r="Q34"/>
  <c r="R34" s="1"/>
  <c r="P34"/>
  <c r="O34"/>
  <c r="N34"/>
  <c r="L34"/>
  <c r="K34"/>
  <c r="J34"/>
  <c r="DD34" s="1"/>
  <c r="DG34" s="1"/>
  <c r="DH34" s="1"/>
  <c r="I34"/>
  <c r="B34"/>
  <c r="E34" s="1"/>
  <c r="CY33"/>
  <c r="CX33"/>
  <c r="CW33"/>
  <c r="CV33"/>
  <c r="CU33"/>
  <c r="CT33"/>
  <c r="CS33"/>
  <c r="CR33"/>
  <c r="CQ33"/>
  <c r="CP33"/>
  <c r="CO33"/>
  <c r="BG33"/>
  <c r="BA33"/>
  <c r="AY33"/>
  <c r="BI33" s="1"/>
  <c r="AN33"/>
  <c r="AI33"/>
  <c r="Q33"/>
  <c r="R33" s="1"/>
  <c r="P33"/>
  <c r="O33"/>
  <c r="N33"/>
  <c r="L33"/>
  <c r="K33"/>
  <c r="J33"/>
  <c r="DD33" s="1"/>
  <c r="DG33" s="1"/>
  <c r="DH33" s="1"/>
  <c r="I33"/>
  <c r="B33"/>
  <c r="C33" s="1"/>
  <c r="CY32"/>
  <c r="CX32"/>
  <c r="CW32"/>
  <c r="CV32"/>
  <c r="CU32"/>
  <c r="CT32"/>
  <c r="CS32"/>
  <c r="CR32"/>
  <c r="CQ32"/>
  <c r="CP32"/>
  <c r="CO32"/>
  <c r="BA32"/>
  <c r="AY32"/>
  <c r="BI32" s="1"/>
  <c r="AN32"/>
  <c r="AI32"/>
  <c r="Q32"/>
  <c r="R32" s="1"/>
  <c r="P32"/>
  <c r="O32"/>
  <c r="N32"/>
  <c r="L32"/>
  <c r="K32"/>
  <c r="J32"/>
  <c r="DD32" s="1"/>
  <c r="DG32" s="1"/>
  <c r="DH32" s="1"/>
  <c r="I32"/>
  <c r="B32"/>
  <c r="C32" s="1"/>
  <c r="CY31"/>
  <c r="CX31"/>
  <c r="CW31"/>
  <c r="CV31"/>
  <c r="CU31"/>
  <c r="CT31"/>
  <c r="CS31"/>
  <c r="CR31"/>
  <c r="CQ31"/>
  <c r="CP31"/>
  <c r="CO31"/>
  <c r="BG31"/>
  <c r="BA31"/>
  <c r="AY31"/>
  <c r="BI31" s="1"/>
  <c r="AN31"/>
  <c r="AI31"/>
  <c r="Q31"/>
  <c r="R31" s="1"/>
  <c r="O31"/>
  <c r="N31"/>
  <c r="L31"/>
  <c r="K31"/>
  <c r="J31"/>
  <c r="DD31" s="1"/>
  <c r="DG31" s="1"/>
  <c r="DH31" s="1"/>
  <c r="I31"/>
  <c r="H31"/>
  <c r="B31"/>
  <c r="C31" s="1"/>
  <c r="CY30"/>
  <c r="CX30"/>
  <c r="CW30"/>
  <c r="CV30"/>
  <c r="CU30"/>
  <c r="CT30"/>
  <c r="CS30"/>
  <c r="CR30"/>
  <c r="CQ30"/>
  <c r="CP30"/>
  <c r="CO30"/>
  <c r="BA30"/>
  <c r="AY30"/>
  <c r="BI30" s="1"/>
  <c r="AN30"/>
  <c r="AI30"/>
  <c r="Q30"/>
  <c r="P30"/>
  <c r="O30"/>
  <c r="N30"/>
  <c r="L30"/>
  <c r="K30"/>
  <c r="J30"/>
  <c r="DD30" s="1"/>
  <c r="DG30" s="1"/>
  <c r="DH30" s="1"/>
  <c r="I30"/>
  <c r="H30"/>
  <c r="B30"/>
  <c r="C30" s="1"/>
  <c r="CY29"/>
  <c r="CX29"/>
  <c r="CW29"/>
  <c r="CV29"/>
  <c r="CU29"/>
  <c r="CT29"/>
  <c r="CS29"/>
  <c r="CR29"/>
  <c r="CQ29"/>
  <c r="CP29"/>
  <c r="CO29"/>
  <c r="BG29"/>
  <c r="BA29"/>
  <c r="AY29"/>
  <c r="BI29" s="1"/>
  <c r="AN29"/>
  <c r="AI29"/>
  <c r="Q29"/>
  <c r="P29"/>
  <c r="O29"/>
  <c r="N29"/>
  <c r="L29"/>
  <c r="K29"/>
  <c r="J29"/>
  <c r="DD29" s="1"/>
  <c r="DG29" s="1"/>
  <c r="DH29" s="1"/>
  <c r="I29"/>
  <c r="B29"/>
  <c r="C29" s="1"/>
  <c r="CY28"/>
  <c r="CX28"/>
  <c r="CW28"/>
  <c r="CV28"/>
  <c r="CU28"/>
  <c r="CT28"/>
  <c r="CS28"/>
  <c r="CR28"/>
  <c r="CQ28"/>
  <c r="CP28"/>
  <c r="CO28"/>
  <c r="BA28"/>
  <c r="AY28"/>
  <c r="BI28" s="1"/>
  <c r="AN28"/>
  <c r="AI28"/>
  <c r="Q28"/>
  <c r="P28"/>
  <c r="O28"/>
  <c r="N28"/>
  <c r="L28"/>
  <c r="K28"/>
  <c r="J28"/>
  <c r="DD28" s="1"/>
  <c r="DG28" s="1"/>
  <c r="DH28" s="1"/>
  <c r="I28"/>
  <c r="B28"/>
  <c r="C28" s="1"/>
  <c r="CY27"/>
  <c r="CX27"/>
  <c r="CW27"/>
  <c r="CV27"/>
  <c r="CU27"/>
  <c r="CT27"/>
  <c r="CS27"/>
  <c r="CR27"/>
  <c r="CQ27"/>
  <c r="CP27"/>
  <c r="CO27"/>
  <c r="BG27"/>
  <c r="BA27"/>
  <c r="AY27"/>
  <c r="BI27" s="1"/>
  <c r="AN27"/>
  <c r="AI27"/>
  <c r="Q27"/>
  <c r="P27"/>
  <c r="O27"/>
  <c r="N27"/>
  <c r="L27"/>
  <c r="K27"/>
  <c r="J27"/>
  <c r="DD27" s="1"/>
  <c r="DG27" s="1"/>
  <c r="DH27" s="1"/>
  <c r="I27"/>
  <c r="B27"/>
  <c r="C27" s="1"/>
  <c r="CY26"/>
  <c r="CX26"/>
  <c r="CW26"/>
  <c r="CV26"/>
  <c r="CU26"/>
  <c r="CT26"/>
  <c r="CS26"/>
  <c r="CR26"/>
  <c r="CQ26"/>
  <c r="CP26"/>
  <c r="CO26"/>
  <c r="BA26"/>
  <c r="AY26"/>
  <c r="BI26" s="1"/>
  <c r="AN26"/>
  <c r="AF26"/>
  <c r="Q26"/>
  <c r="R26" s="1"/>
  <c r="P26"/>
  <c r="O26"/>
  <c r="N26"/>
  <c r="L26"/>
  <c r="K26"/>
  <c r="J26"/>
  <c r="DD26" s="1"/>
  <c r="DG26" s="1"/>
  <c r="DH26" s="1"/>
  <c r="I26"/>
  <c r="B26"/>
  <c r="E26" s="1"/>
  <c r="CY25"/>
  <c r="CX25"/>
  <c r="CW25"/>
  <c r="CV25"/>
  <c r="CU25"/>
  <c r="CT25"/>
  <c r="CS25"/>
  <c r="CR25"/>
  <c r="CQ25"/>
  <c r="CP25"/>
  <c r="CO25"/>
  <c r="BG25"/>
  <c r="BA25"/>
  <c r="AY25"/>
  <c r="BI25" s="1"/>
  <c r="AN25"/>
  <c r="AF25"/>
  <c r="Q25"/>
  <c r="R25" s="1"/>
  <c r="P25"/>
  <c r="O25"/>
  <c r="N25"/>
  <c r="L25"/>
  <c r="K25"/>
  <c r="J25"/>
  <c r="DD25" s="1"/>
  <c r="DG25" s="1"/>
  <c r="DH25" s="1"/>
  <c r="I25"/>
  <c r="B25"/>
  <c r="CY24"/>
  <c r="CX24"/>
  <c r="CW24"/>
  <c r="CV24"/>
  <c r="CU24"/>
  <c r="CT24"/>
  <c r="CS24"/>
  <c r="CR24"/>
  <c r="CQ24"/>
  <c r="CP24"/>
  <c r="CO24"/>
  <c r="BG24"/>
  <c r="BA24"/>
  <c r="AY24"/>
  <c r="BI24" s="1"/>
  <c r="AN24"/>
  <c r="AF24"/>
  <c r="Q24"/>
  <c r="R24" s="1"/>
  <c r="P24"/>
  <c r="O24"/>
  <c r="N24"/>
  <c r="L24"/>
  <c r="K24"/>
  <c r="J24"/>
  <c r="DD24" s="1"/>
  <c r="DG24" s="1"/>
  <c r="DH24" s="1"/>
  <c r="I24"/>
  <c r="B24"/>
  <c r="E24" s="1"/>
  <c r="CY23"/>
  <c r="CX23"/>
  <c r="CW23"/>
  <c r="CV23"/>
  <c r="CU23"/>
  <c r="CT23"/>
  <c r="CS23"/>
  <c r="CR23"/>
  <c r="CQ23"/>
  <c r="CP23"/>
  <c r="CO23"/>
  <c r="BA23"/>
  <c r="AY23"/>
  <c r="BB23" s="1"/>
  <c r="AN23"/>
  <c r="AF23"/>
  <c r="Q23"/>
  <c r="P23"/>
  <c r="O23"/>
  <c r="N23"/>
  <c r="M23"/>
  <c r="L23"/>
  <c r="K23"/>
  <c r="J23"/>
  <c r="DD23" s="1"/>
  <c r="DG23" s="1"/>
  <c r="DH23" s="1"/>
  <c r="I23"/>
  <c r="B23"/>
  <c r="CY22"/>
  <c r="CX22"/>
  <c r="CW22"/>
  <c r="CV22"/>
  <c r="CU22"/>
  <c r="CT22"/>
  <c r="CS22"/>
  <c r="CR22"/>
  <c r="CQ22"/>
  <c r="CP22"/>
  <c r="CO22"/>
  <c r="BG22"/>
  <c r="BA22"/>
  <c r="AY22"/>
  <c r="AN22"/>
  <c r="AF22"/>
  <c r="Q22"/>
  <c r="R22" s="1"/>
  <c r="P22"/>
  <c r="O22"/>
  <c r="N22"/>
  <c r="L22"/>
  <c r="K22"/>
  <c r="J22"/>
  <c r="DD22" s="1"/>
  <c r="DG22" s="1"/>
  <c r="DH22" s="1"/>
  <c r="I22"/>
  <c r="B22"/>
  <c r="CY21"/>
  <c r="CX21"/>
  <c r="CW21"/>
  <c r="CV21"/>
  <c r="CU21"/>
  <c r="CT21"/>
  <c r="CS21"/>
  <c r="CR21"/>
  <c r="CQ21"/>
  <c r="CP21"/>
  <c r="CO21"/>
  <c r="BG21"/>
  <c r="BA21"/>
  <c r="AY21"/>
  <c r="BI21" s="1"/>
  <c r="AN21"/>
  <c r="AF21"/>
  <c r="Q21"/>
  <c r="P21"/>
  <c r="O21"/>
  <c r="N21"/>
  <c r="L21"/>
  <c r="K21"/>
  <c r="J21"/>
  <c r="DD21" s="1"/>
  <c r="DG21" s="1"/>
  <c r="DH21" s="1"/>
  <c r="I21"/>
  <c r="B21"/>
  <c r="CY20"/>
  <c r="CX20"/>
  <c r="CW20"/>
  <c r="CV20"/>
  <c r="CU20"/>
  <c r="CT20"/>
  <c r="CS20"/>
  <c r="CR20"/>
  <c r="CQ20"/>
  <c r="CP20"/>
  <c r="CO20"/>
  <c r="BA20"/>
  <c r="AY20"/>
  <c r="BB20" s="1"/>
  <c r="AN20"/>
  <c r="AF20"/>
  <c r="Q20"/>
  <c r="R20" s="1"/>
  <c r="P20"/>
  <c r="O20"/>
  <c r="N20"/>
  <c r="M20"/>
  <c r="L20"/>
  <c r="K20"/>
  <c r="J20"/>
  <c r="DD20" s="1"/>
  <c r="DG20" s="1"/>
  <c r="DH20" s="1"/>
  <c r="I20"/>
  <c r="B20"/>
  <c r="CY19"/>
  <c r="CX19"/>
  <c r="CW19"/>
  <c r="CV19"/>
  <c r="CU19"/>
  <c r="CT19"/>
  <c r="CS19"/>
  <c r="CR19"/>
  <c r="CQ19"/>
  <c r="CP19"/>
  <c r="CO19"/>
  <c r="BA19"/>
  <c r="AY19"/>
  <c r="M19" s="1"/>
  <c r="AN19"/>
  <c r="AF19"/>
  <c r="Q19"/>
  <c r="R19" s="1"/>
  <c r="T19" s="1"/>
  <c r="P19"/>
  <c r="O19"/>
  <c r="N19"/>
  <c r="L19"/>
  <c r="K19"/>
  <c r="J19"/>
  <c r="DD19" s="1"/>
  <c r="DG19" s="1"/>
  <c r="DH19" s="1"/>
  <c r="I19"/>
  <c r="B19"/>
  <c r="CY18"/>
  <c r="CX18"/>
  <c r="CW18"/>
  <c r="CV18"/>
  <c r="CU18"/>
  <c r="CT18"/>
  <c r="CS18"/>
  <c r="CR18"/>
  <c r="CQ18"/>
  <c r="CP18"/>
  <c r="CO18"/>
  <c r="BA18"/>
  <c r="AY18"/>
  <c r="BI18" s="1"/>
  <c r="AN18"/>
  <c r="AF18"/>
  <c r="Q18"/>
  <c r="R18" s="1"/>
  <c r="P18"/>
  <c r="O18"/>
  <c r="N18"/>
  <c r="L18"/>
  <c r="K18"/>
  <c r="J18"/>
  <c r="DD18" s="1"/>
  <c r="DG18" s="1"/>
  <c r="DH18" s="1"/>
  <c r="I18"/>
  <c r="B18"/>
  <c r="CY17"/>
  <c r="CX17"/>
  <c r="CW17"/>
  <c r="CV17"/>
  <c r="CU17"/>
  <c r="CT17"/>
  <c r="CS17"/>
  <c r="CR17"/>
  <c r="CQ17"/>
  <c r="CP17"/>
  <c r="CO17"/>
  <c r="BG17"/>
  <c r="BA17"/>
  <c r="AY17"/>
  <c r="BI17" s="1"/>
  <c r="AN17"/>
  <c r="AF17"/>
  <c r="Q17"/>
  <c r="P17"/>
  <c r="O17"/>
  <c r="N17"/>
  <c r="M17"/>
  <c r="L17"/>
  <c r="K17"/>
  <c r="J17"/>
  <c r="DD17" s="1"/>
  <c r="DG17" s="1"/>
  <c r="DH17" s="1"/>
  <c r="I17"/>
  <c r="B17"/>
  <c r="CY16"/>
  <c r="CX16"/>
  <c r="CW16"/>
  <c r="CV16"/>
  <c r="CU16"/>
  <c r="CT16"/>
  <c r="CS16"/>
  <c r="CR16"/>
  <c r="CQ16"/>
  <c r="CP16"/>
  <c r="CO16"/>
  <c r="BG16"/>
  <c r="BA16"/>
  <c r="AY16"/>
  <c r="BI16" s="1"/>
  <c r="AN16"/>
  <c r="AF16"/>
  <c r="Q16"/>
  <c r="P16"/>
  <c r="O16"/>
  <c r="N16"/>
  <c r="L16"/>
  <c r="K16"/>
  <c r="J16"/>
  <c r="DD16" s="1"/>
  <c r="DG16" s="1"/>
  <c r="DH16" s="1"/>
  <c r="I16"/>
  <c r="B16"/>
  <c r="C16" s="1"/>
  <c r="CY15"/>
  <c r="CX15"/>
  <c r="CW15"/>
  <c r="CV15"/>
  <c r="CU15"/>
  <c r="CT15"/>
  <c r="CS15"/>
  <c r="CR15"/>
  <c r="CQ15"/>
  <c r="CP15"/>
  <c r="CO15"/>
  <c r="BG15"/>
  <c r="BA15"/>
  <c r="AY15"/>
  <c r="BI15" s="1"/>
  <c r="AN15"/>
  <c r="AF15"/>
  <c r="Q15"/>
  <c r="P15"/>
  <c r="O15"/>
  <c r="N15"/>
  <c r="M15"/>
  <c r="L15"/>
  <c r="K15"/>
  <c r="J15"/>
  <c r="DD15" s="1"/>
  <c r="DG15" s="1"/>
  <c r="DH15" s="1"/>
  <c r="I15"/>
  <c r="B15"/>
  <c r="CY14"/>
  <c r="CX14"/>
  <c r="CW14"/>
  <c r="CV14"/>
  <c r="CU14"/>
  <c r="CT14"/>
  <c r="CS14"/>
  <c r="CR14"/>
  <c r="CQ14"/>
  <c r="CP14"/>
  <c r="CO14"/>
  <c r="BA14"/>
  <c r="AM14"/>
  <c r="AY14" s="1"/>
  <c r="Q14"/>
  <c r="P14"/>
  <c r="O14"/>
  <c r="N14"/>
  <c r="L14"/>
  <c r="K14"/>
  <c r="J14"/>
  <c r="DD14" s="1"/>
  <c r="DG14" s="1"/>
  <c r="DH14" s="1"/>
  <c r="I14"/>
  <c r="B14"/>
  <c r="CY13"/>
  <c r="CX13"/>
  <c r="CW13"/>
  <c r="CV13"/>
  <c r="CU13"/>
  <c r="CT13"/>
  <c r="CS13"/>
  <c r="CR13"/>
  <c r="CQ13"/>
  <c r="CP13"/>
  <c r="CO13"/>
  <c r="BG13"/>
  <c r="BA13"/>
  <c r="AM13"/>
  <c r="AY13" s="1"/>
  <c r="Q13"/>
  <c r="P13"/>
  <c r="O13"/>
  <c r="N13"/>
  <c r="L13"/>
  <c r="K13"/>
  <c r="J13"/>
  <c r="DD13" s="1"/>
  <c r="DG13" s="1"/>
  <c r="DH13" s="1"/>
  <c r="I13"/>
  <c r="B13"/>
  <c r="CY12"/>
  <c r="CX12"/>
  <c r="CW12"/>
  <c r="CV12"/>
  <c r="CU12"/>
  <c r="CT12"/>
  <c r="CS12"/>
  <c r="CR12"/>
  <c r="CQ12"/>
  <c r="CP12"/>
  <c r="CO12"/>
  <c r="BA12"/>
  <c r="AM12"/>
  <c r="AY12" s="1"/>
  <c r="Q12"/>
  <c r="P12"/>
  <c r="O12"/>
  <c r="N12"/>
  <c r="L12"/>
  <c r="K12"/>
  <c r="J12"/>
  <c r="DD12" s="1"/>
  <c r="DG12" s="1"/>
  <c r="DH12" s="1"/>
  <c r="I12"/>
  <c r="B12"/>
  <c r="CY11"/>
  <c r="CX11"/>
  <c r="CW11"/>
  <c r="CV11"/>
  <c r="CU11"/>
  <c r="CT11"/>
  <c r="CS11"/>
  <c r="CR11"/>
  <c r="CQ11"/>
  <c r="CP11"/>
  <c r="CO11"/>
  <c r="BG11"/>
  <c r="BA11"/>
  <c r="AM11"/>
  <c r="AY11" s="1"/>
  <c r="Q11"/>
  <c r="P11"/>
  <c r="O11"/>
  <c r="N11"/>
  <c r="L11"/>
  <c r="K11"/>
  <c r="J11"/>
  <c r="DD11" s="1"/>
  <c r="DG11" s="1"/>
  <c r="DH11" s="1"/>
  <c r="I11"/>
  <c r="B11"/>
  <c r="CY10"/>
  <c r="CX10"/>
  <c r="CW10"/>
  <c r="CV10"/>
  <c r="CU10"/>
  <c r="CT10"/>
  <c r="CS10"/>
  <c r="CR10"/>
  <c r="CQ10"/>
  <c r="CP10"/>
  <c r="CO10"/>
  <c r="BA10"/>
  <c r="AM10"/>
  <c r="AY10" s="1"/>
  <c r="Q10"/>
  <c r="P10"/>
  <c r="O10"/>
  <c r="N10"/>
  <c r="L10"/>
  <c r="K10"/>
  <c r="J10"/>
  <c r="DD10" s="1"/>
  <c r="DG10" s="1"/>
  <c r="DH10" s="1"/>
  <c r="I10"/>
  <c r="B10"/>
  <c r="CY9"/>
  <c r="CX9"/>
  <c r="CW9"/>
  <c r="CV9"/>
  <c r="CU9"/>
  <c r="CT9"/>
  <c r="CS9"/>
  <c r="CR9"/>
  <c r="CQ9"/>
  <c r="CP9"/>
  <c r="CO9"/>
  <c r="BG9"/>
  <c r="BA9"/>
  <c r="AM9"/>
  <c r="AY9" s="1"/>
  <c r="Q9"/>
  <c r="P9"/>
  <c r="O9"/>
  <c r="N9"/>
  <c r="L9"/>
  <c r="K9"/>
  <c r="J9"/>
  <c r="DD9" s="1"/>
  <c r="DG9" s="1"/>
  <c r="DH9" s="1"/>
  <c r="I9"/>
  <c r="B9"/>
  <c r="CY8"/>
  <c r="CX8"/>
  <c r="CW8"/>
  <c r="CV8"/>
  <c r="CU8"/>
  <c r="CT8"/>
  <c r="CS8"/>
  <c r="CR8"/>
  <c r="CQ8"/>
  <c r="CP8"/>
  <c r="CO8"/>
  <c r="BA8"/>
  <c r="AM8"/>
  <c r="AY8" s="1"/>
  <c r="Q8"/>
  <c r="P8"/>
  <c r="O8"/>
  <c r="N8"/>
  <c r="L8"/>
  <c r="K8"/>
  <c r="J8"/>
  <c r="DD8" s="1"/>
  <c r="DG8" s="1"/>
  <c r="DH8" s="1"/>
  <c r="I8"/>
  <c r="B8"/>
  <c r="CY7"/>
  <c r="CX7"/>
  <c r="CW7"/>
  <c r="CV7"/>
  <c r="CU7"/>
  <c r="CT7"/>
  <c r="CS7"/>
  <c r="CS38" s="1"/>
  <c r="CR7"/>
  <c r="CQ7"/>
  <c r="CQ38" s="1"/>
  <c r="CP7"/>
  <c r="CO7"/>
  <c r="BG7"/>
  <c r="BA7"/>
  <c r="AM7"/>
  <c r="Q7"/>
  <c r="P7"/>
  <c r="O7"/>
  <c r="N7"/>
  <c r="L7"/>
  <c r="K7"/>
  <c r="J7"/>
  <c r="I7"/>
  <c r="B7"/>
  <c r="AT46" i="85"/>
  <c r="AT43"/>
  <c r="AS39"/>
  <c r="AQ39"/>
  <c r="AP39"/>
  <c r="AD39"/>
  <c r="AC39"/>
  <c r="Z39"/>
  <c r="Z41" s="1"/>
  <c r="Y39"/>
  <c r="CI38"/>
  <c r="CM39" s="1"/>
  <c r="CH38"/>
  <c r="CL39" s="1"/>
  <c r="CG38"/>
  <c r="CK39" s="1"/>
  <c r="CF38"/>
  <c r="CJ39" s="1"/>
  <c r="BQ38"/>
  <c r="BX39" s="1"/>
  <c r="BP38"/>
  <c r="CD39" s="1"/>
  <c r="BO38"/>
  <c r="BV39" s="1"/>
  <c r="BN38"/>
  <c r="CB39" s="1"/>
  <c r="BM38"/>
  <c r="BT39" s="1"/>
  <c r="BL38"/>
  <c r="BZ39" s="1"/>
  <c r="BK38"/>
  <c r="BR39" s="1"/>
  <c r="BG38"/>
  <c r="AW38"/>
  <c r="AW39" s="1"/>
  <c r="AV38"/>
  <c r="AV39" s="1"/>
  <c r="AU38"/>
  <c r="AU39" s="1"/>
  <c r="AT38"/>
  <c r="AT41" s="1"/>
  <c r="AL38"/>
  <c r="AL39" s="1"/>
  <c r="AJ38"/>
  <c r="AJ39" s="1"/>
  <c r="AH38"/>
  <c r="AH39" s="1"/>
  <c r="AG38"/>
  <c r="AG39" s="1"/>
  <c r="AE38"/>
  <c r="AE39" s="1"/>
  <c r="AD38"/>
  <c r="W38"/>
  <c r="W39" s="1"/>
  <c r="V38"/>
  <c r="V39" s="1"/>
  <c r="S38"/>
  <c r="S39" s="1"/>
  <c r="G38"/>
  <c r="G39" s="1"/>
  <c r="G41" s="1"/>
  <c r="CY38"/>
  <c r="CX38"/>
  <c r="CU38"/>
  <c r="CS38"/>
  <c r="CQ38"/>
  <c r="CO38"/>
  <c r="AM38"/>
  <c r="P38"/>
  <c r="P39" s="1"/>
  <c r="CY23" i="84"/>
  <c r="CX23"/>
  <c r="CW23"/>
  <c r="CV23"/>
  <c r="CU23"/>
  <c r="CT23"/>
  <c r="CS23"/>
  <c r="CR23"/>
  <c r="CQ23"/>
  <c r="CP23"/>
  <c r="CO23"/>
  <c r="BG23"/>
  <c r="BA23"/>
  <c r="AY23"/>
  <c r="Q23"/>
  <c r="P23"/>
  <c r="O23"/>
  <c r="N23"/>
  <c r="L23"/>
  <c r="K23"/>
  <c r="J23"/>
  <c r="DD23" s="1"/>
  <c r="DG23" s="1"/>
  <c r="DH23" s="1"/>
  <c r="I23"/>
  <c r="B23"/>
  <c r="CY22"/>
  <c r="CX22"/>
  <c r="CW22"/>
  <c r="CV22"/>
  <c r="CU22"/>
  <c r="CT22"/>
  <c r="CS22"/>
  <c r="CR22"/>
  <c r="CQ22"/>
  <c r="CP22"/>
  <c r="CO22"/>
  <c r="BG22"/>
  <c r="BA22"/>
  <c r="AY22"/>
  <c r="Q22"/>
  <c r="P22"/>
  <c r="O22"/>
  <c r="N22"/>
  <c r="L22"/>
  <c r="K22"/>
  <c r="J22"/>
  <c r="DD22" s="1"/>
  <c r="DG22" s="1"/>
  <c r="DH22" s="1"/>
  <c r="I22"/>
  <c r="B22"/>
  <c r="CY21"/>
  <c r="CX21"/>
  <c r="CW21"/>
  <c r="CV21"/>
  <c r="CU21"/>
  <c r="CT21"/>
  <c r="CS21"/>
  <c r="CR21"/>
  <c r="CQ21"/>
  <c r="CP21"/>
  <c r="CO21"/>
  <c r="BG21"/>
  <c r="BA21"/>
  <c r="AY21"/>
  <c r="Q21"/>
  <c r="P21"/>
  <c r="O21"/>
  <c r="N21"/>
  <c r="L21"/>
  <c r="K21"/>
  <c r="J21"/>
  <c r="DD21" s="1"/>
  <c r="DG21" s="1"/>
  <c r="DH21" s="1"/>
  <c r="I21"/>
  <c r="B21"/>
  <c r="CY20"/>
  <c r="CX20"/>
  <c r="CW20"/>
  <c r="CV20"/>
  <c r="CU20"/>
  <c r="CT20"/>
  <c r="CS20"/>
  <c r="CR20"/>
  <c r="CQ20"/>
  <c r="CP20"/>
  <c r="CO20"/>
  <c r="BG20"/>
  <c r="BA20"/>
  <c r="AY20"/>
  <c r="Q20"/>
  <c r="P20"/>
  <c r="O20"/>
  <c r="N20"/>
  <c r="L20"/>
  <c r="K20"/>
  <c r="J20"/>
  <c r="DD20" s="1"/>
  <c r="DG20" s="1"/>
  <c r="DH20" s="1"/>
  <c r="I20"/>
  <c r="B20"/>
  <c r="B19"/>
  <c r="C19" s="1"/>
  <c r="D19" s="1"/>
  <c r="I19"/>
  <c r="J19"/>
  <c r="DD19" s="1"/>
  <c r="DG19" s="1"/>
  <c r="DH19" s="1"/>
  <c r="K19"/>
  <c r="L19"/>
  <c r="N19"/>
  <c r="O19"/>
  <c r="P19"/>
  <c r="Q19"/>
  <c r="R19" s="1"/>
  <c r="T19" s="1"/>
  <c r="AN19"/>
  <c r="AY19"/>
  <c r="H19" s="1"/>
  <c r="BA19"/>
  <c r="BF19"/>
  <c r="BG19"/>
  <c r="BH19" s="1"/>
  <c r="BI19"/>
  <c r="BJ19" s="1"/>
  <c r="CO19"/>
  <c r="CP19"/>
  <c r="CQ19"/>
  <c r="CR19"/>
  <c r="CS19"/>
  <c r="CT19"/>
  <c r="CU19"/>
  <c r="CV19"/>
  <c r="CW19"/>
  <c r="CX19"/>
  <c r="CY19"/>
  <c r="B18"/>
  <c r="C18" s="1"/>
  <c r="D18" s="1"/>
  <c r="I18"/>
  <c r="J18"/>
  <c r="K18"/>
  <c r="L18"/>
  <c r="N18"/>
  <c r="O18"/>
  <c r="P18"/>
  <c r="Q18"/>
  <c r="R18" s="1"/>
  <c r="T18" s="1"/>
  <c r="AN18"/>
  <c r="AY18"/>
  <c r="H18" s="1"/>
  <c r="BA18"/>
  <c r="BF18"/>
  <c r="BG18"/>
  <c r="BH18" s="1"/>
  <c r="BI18"/>
  <c r="CO18"/>
  <c r="CP18"/>
  <c r="CQ18"/>
  <c r="CR18"/>
  <c r="CS18"/>
  <c r="CT18"/>
  <c r="CU18"/>
  <c r="CV18"/>
  <c r="CW18"/>
  <c r="CX18"/>
  <c r="CY18"/>
  <c r="DD18"/>
  <c r="DG18" s="1"/>
  <c r="DH18" s="1"/>
  <c r="CY17"/>
  <c r="CX17"/>
  <c r="CW17"/>
  <c r="CV17"/>
  <c r="CU17"/>
  <c r="CT17"/>
  <c r="CS17"/>
  <c r="CR17"/>
  <c r="CQ17"/>
  <c r="CP17"/>
  <c r="CO17"/>
  <c r="BG17"/>
  <c r="BA17"/>
  <c r="AY17"/>
  <c r="Q17"/>
  <c r="P17"/>
  <c r="O17"/>
  <c r="N17"/>
  <c r="L17"/>
  <c r="K17"/>
  <c r="J17"/>
  <c r="DD17" s="1"/>
  <c r="DG17" s="1"/>
  <c r="DH17" s="1"/>
  <c r="I17"/>
  <c r="B17"/>
  <c r="CY16"/>
  <c r="CX16"/>
  <c r="CW16"/>
  <c r="CV16"/>
  <c r="CU16"/>
  <c r="CT16"/>
  <c r="CS16"/>
  <c r="CR16"/>
  <c r="CQ16"/>
  <c r="CP16"/>
  <c r="CO16"/>
  <c r="BH16"/>
  <c r="BG16"/>
  <c r="BA16"/>
  <c r="AY16"/>
  <c r="BI16" s="1"/>
  <c r="BJ16" s="1"/>
  <c r="AN16"/>
  <c r="AI16"/>
  <c r="Q16"/>
  <c r="P16"/>
  <c r="O16"/>
  <c r="N16"/>
  <c r="L16"/>
  <c r="K16"/>
  <c r="J16"/>
  <c r="DD16" s="1"/>
  <c r="DG16" s="1"/>
  <c r="DH16" s="1"/>
  <c r="I16"/>
  <c r="H16"/>
  <c r="B16"/>
  <c r="C16" s="1"/>
  <c r="CY15"/>
  <c r="CX15"/>
  <c r="CW15"/>
  <c r="CV15"/>
  <c r="CU15"/>
  <c r="CT15"/>
  <c r="CS15"/>
  <c r="CR15"/>
  <c r="CQ15"/>
  <c r="CP15"/>
  <c r="CO15"/>
  <c r="BG15"/>
  <c r="BA15"/>
  <c r="AY15"/>
  <c r="BI15" s="1"/>
  <c r="AN15"/>
  <c r="AF15"/>
  <c r="Q15"/>
  <c r="R15" s="1"/>
  <c r="P15"/>
  <c r="O15"/>
  <c r="N15"/>
  <c r="M15"/>
  <c r="L15"/>
  <c r="K15"/>
  <c r="J15"/>
  <c r="DD15" s="1"/>
  <c r="DG15" s="1"/>
  <c r="DH15" s="1"/>
  <c r="I15"/>
  <c r="B15"/>
  <c r="CY14"/>
  <c r="CX14"/>
  <c r="CW14"/>
  <c r="CV14"/>
  <c r="CU14"/>
  <c r="CT14"/>
  <c r="CS14"/>
  <c r="CR14"/>
  <c r="CQ14"/>
  <c r="CP14"/>
  <c r="CO14"/>
  <c r="BG14"/>
  <c r="BA14"/>
  <c r="AY14"/>
  <c r="Q14"/>
  <c r="P14"/>
  <c r="O14"/>
  <c r="N14"/>
  <c r="L14"/>
  <c r="K14"/>
  <c r="J14"/>
  <c r="DD14" s="1"/>
  <c r="DG14" s="1"/>
  <c r="DH14" s="1"/>
  <c r="I14"/>
  <c r="B14"/>
  <c r="CY13"/>
  <c r="CX13"/>
  <c r="CW13"/>
  <c r="CV13"/>
  <c r="CU13"/>
  <c r="CT13"/>
  <c r="CS13"/>
  <c r="CR13"/>
  <c r="CQ13"/>
  <c r="CP13"/>
  <c r="CO13"/>
  <c r="BG13"/>
  <c r="BA13"/>
  <c r="AY13"/>
  <c r="Q13"/>
  <c r="P13"/>
  <c r="O13"/>
  <c r="N13"/>
  <c r="L13"/>
  <c r="K13"/>
  <c r="J13"/>
  <c r="DD13" s="1"/>
  <c r="DG13" s="1"/>
  <c r="DH13" s="1"/>
  <c r="I13"/>
  <c r="B13"/>
  <c r="B12"/>
  <c r="C12" s="1"/>
  <c r="D12" s="1"/>
  <c r="I12"/>
  <c r="J12"/>
  <c r="K12"/>
  <c r="L12"/>
  <c r="N12"/>
  <c r="O12"/>
  <c r="P12"/>
  <c r="Q12"/>
  <c r="R12" s="1"/>
  <c r="T12" s="1"/>
  <c r="AN12"/>
  <c r="AY12"/>
  <c r="H12" s="1"/>
  <c r="BA12"/>
  <c r="BF12"/>
  <c r="BG12"/>
  <c r="BH12" s="1"/>
  <c r="BI12"/>
  <c r="CO12"/>
  <c r="CP12"/>
  <c r="CQ12"/>
  <c r="CR12"/>
  <c r="CS12"/>
  <c r="CT12"/>
  <c r="CU12"/>
  <c r="CV12"/>
  <c r="CW12"/>
  <c r="CX12"/>
  <c r="CY12"/>
  <c r="DD12"/>
  <c r="DG12" s="1"/>
  <c r="DH12" s="1"/>
  <c r="B11"/>
  <c r="C11" s="1"/>
  <c r="D11" s="1"/>
  <c r="I11"/>
  <c r="J11"/>
  <c r="K11"/>
  <c r="L11"/>
  <c r="N11"/>
  <c r="O11"/>
  <c r="P11"/>
  <c r="Q11"/>
  <c r="R11" s="1"/>
  <c r="T11" s="1"/>
  <c r="AN11"/>
  <c r="AY11"/>
  <c r="H11" s="1"/>
  <c r="BA11"/>
  <c r="BF11"/>
  <c r="BG11"/>
  <c r="BH11" s="1"/>
  <c r="BI11"/>
  <c r="CO11"/>
  <c r="CP11"/>
  <c r="CQ11"/>
  <c r="CR11"/>
  <c r="CS11"/>
  <c r="CT11"/>
  <c r="CU11"/>
  <c r="CV11"/>
  <c r="CW11"/>
  <c r="CX11"/>
  <c r="CY11"/>
  <c r="DD11"/>
  <c r="DG11" s="1"/>
  <c r="DH11" s="1"/>
  <c r="CY10"/>
  <c r="CX10"/>
  <c r="CW10"/>
  <c r="CV10"/>
  <c r="CU10"/>
  <c r="CT10"/>
  <c r="CS10"/>
  <c r="CR10"/>
  <c r="CQ10"/>
  <c r="CP10"/>
  <c r="CO10"/>
  <c r="BG10"/>
  <c r="BA10"/>
  <c r="AY10"/>
  <c r="Q10"/>
  <c r="P10"/>
  <c r="O10"/>
  <c r="N10"/>
  <c r="L10"/>
  <c r="K10"/>
  <c r="J10"/>
  <c r="DD10" s="1"/>
  <c r="DG10" s="1"/>
  <c r="DH10" s="1"/>
  <c r="I10"/>
  <c r="B10"/>
  <c r="B9"/>
  <c r="C9" s="1"/>
  <c r="D9" s="1"/>
  <c r="I9"/>
  <c r="J9"/>
  <c r="K9"/>
  <c r="L9"/>
  <c r="N9"/>
  <c r="O9"/>
  <c r="P9"/>
  <c r="Q9"/>
  <c r="R9" s="1"/>
  <c r="T9" s="1"/>
  <c r="AN9"/>
  <c r="AY9"/>
  <c r="H9" s="1"/>
  <c r="BA9"/>
  <c r="BF9"/>
  <c r="BG9"/>
  <c r="BH9"/>
  <c r="BI9"/>
  <c r="BJ9"/>
  <c r="CO9"/>
  <c r="CP9"/>
  <c r="CQ9"/>
  <c r="CR9"/>
  <c r="CS9"/>
  <c r="CT9"/>
  <c r="CU9"/>
  <c r="CV9"/>
  <c r="CW9"/>
  <c r="CX9"/>
  <c r="CY9"/>
  <c r="DD9"/>
  <c r="DG9" s="1"/>
  <c r="DH9" s="1"/>
  <c r="BD59"/>
  <c r="AT46"/>
  <c r="AT43"/>
  <c r="AS39"/>
  <c r="AQ39"/>
  <c r="AP39"/>
  <c r="AD39"/>
  <c r="AC39"/>
  <c r="Z39"/>
  <c r="Z41" s="1"/>
  <c r="Y39"/>
  <c r="CI38"/>
  <c r="CM39" s="1"/>
  <c r="CH38"/>
  <c r="CL39" s="1"/>
  <c r="CG38"/>
  <c r="CK39" s="1"/>
  <c r="CF38"/>
  <c r="CJ39" s="1"/>
  <c r="BQ38"/>
  <c r="BX39" s="1"/>
  <c r="BP38"/>
  <c r="CD39" s="1"/>
  <c r="BO38"/>
  <c r="BV39" s="1"/>
  <c r="BN38"/>
  <c r="CB39" s="1"/>
  <c r="BM38"/>
  <c r="BT39" s="1"/>
  <c r="BL38"/>
  <c r="BZ39" s="1"/>
  <c r="BK38"/>
  <c r="BR39" s="1"/>
  <c r="BG38"/>
  <c r="AW38"/>
  <c r="AW39" s="1"/>
  <c r="AV38"/>
  <c r="AV39" s="1"/>
  <c r="AU38"/>
  <c r="AU39" s="1"/>
  <c r="AT38"/>
  <c r="AT41" s="1"/>
  <c r="AL38"/>
  <c r="AL39" s="1"/>
  <c r="AJ38"/>
  <c r="AJ39" s="1"/>
  <c r="AH38"/>
  <c r="AH39" s="1"/>
  <c r="AG38"/>
  <c r="AG39" s="1"/>
  <c r="AE38"/>
  <c r="AE39" s="1"/>
  <c r="AD38"/>
  <c r="W38"/>
  <c r="W39" s="1"/>
  <c r="V38"/>
  <c r="V39" s="1"/>
  <c r="S38"/>
  <c r="S39" s="1"/>
  <c r="G38"/>
  <c r="G39" s="1"/>
  <c r="G41" s="1"/>
  <c r="DH37"/>
  <c r="AZ37" s="1"/>
  <c r="CY37"/>
  <c r="CX37"/>
  <c r="CW37"/>
  <c r="CV37"/>
  <c r="CU37"/>
  <c r="CT37"/>
  <c r="CS37"/>
  <c r="CR37"/>
  <c r="CQ37"/>
  <c r="CP37"/>
  <c r="CO37"/>
  <c r="DJ37" s="1"/>
  <c r="BG37"/>
  <c r="BA37"/>
  <c r="AM37"/>
  <c r="AY37" s="1"/>
  <c r="Q37"/>
  <c r="P37"/>
  <c r="O37"/>
  <c r="N37"/>
  <c r="L37"/>
  <c r="K37"/>
  <c r="J37"/>
  <c r="DD37" s="1"/>
  <c r="DG37" s="1"/>
  <c r="I37"/>
  <c r="B37"/>
  <c r="CY36"/>
  <c r="CX36"/>
  <c r="CW36"/>
  <c r="CV36"/>
  <c r="CU36"/>
  <c r="CT36"/>
  <c r="CS36"/>
  <c r="CR36"/>
  <c r="M36" s="1"/>
  <c r="CQ36"/>
  <c r="CP36"/>
  <c r="H36" s="1"/>
  <c r="CO36"/>
  <c r="CY35"/>
  <c r="CX35"/>
  <c r="CW35"/>
  <c r="CV35"/>
  <c r="CU35"/>
  <c r="CT35"/>
  <c r="CS35"/>
  <c r="CR35"/>
  <c r="CQ35"/>
  <c r="CP35"/>
  <c r="CO35"/>
  <c r="CY34"/>
  <c r="CX34"/>
  <c r="CW34"/>
  <c r="CV34"/>
  <c r="CU34"/>
  <c r="CT34"/>
  <c r="CS34"/>
  <c r="CR34"/>
  <c r="CQ34"/>
  <c r="CP34"/>
  <c r="CO34"/>
  <c r="CY33"/>
  <c r="CX33"/>
  <c r="CW33"/>
  <c r="CV33"/>
  <c r="CU33"/>
  <c r="CT33"/>
  <c r="CS33"/>
  <c r="CR33"/>
  <c r="CQ33"/>
  <c r="CP33"/>
  <c r="CO33"/>
  <c r="CY32"/>
  <c r="CX32"/>
  <c r="CW32"/>
  <c r="CV32"/>
  <c r="CU32"/>
  <c r="CT32"/>
  <c r="CS32"/>
  <c r="CR32"/>
  <c r="CQ32"/>
  <c r="CP32"/>
  <c r="CO32"/>
  <c r="CY31"/>
  <c r="CX31"/>
  <c r="CW31"/>
  <c r="CV31"/>
  <c r="CU31"/>
  <c r="CT31"/>
  <c r="CS31"/>
  <c r="CR31"/>
  <c r="CQ31"/>
  <c r="CP31"/>
  <c r="CO31"/>
  <c r="CY30"/>
  <c r="CX30"/>
  <c r="CW30"/>
  <c r="CV30"/>
  <c r="CU30"/>
  <c r="CT30"/>
  <c r="CS30"/>
  <c r="CR30"/>
  <c r="CQ30"/>
  <c r="CP30"/>
  <c r="CO30"/>
  <c r="BG30"/>
  <c r="CY29"/>
  <c r="CX29"/>
  <c r="CW29"/>
  <c r="CV29"/>
  <c r="CU29"/>
  <c r="CT29"/>
  <c r="CS29"/>
  <c r="CR29"/>
  <c r="CQ29"/>
  <c r="CP29"/>
  <c r="CO29"/>
  <c r="CY28"/>
  <c r="CX28"/>
  <c r="CW28"/>
  <c r="CV28"/>
  <c r="CU28"/>
  <c r="CT28"/>
  <c r="CS28"/>
  <c r="CR28"/>
  <c r="CQ28"/>
  <c r="CP28"/>
  <c r="CO28"/>
  <c r="CY27"/>
  <c r="CX27"/>
  <c r="CW27"/>
  <c r="CV27"/>
  <c r="CU27"/>
  <c r="CT27"/>
  <c r="CS27"/>
  <c r="CR27"/>
  <c r="CQ27"/>
  <c r="CP27"/>
  <c r="CO27"/>
  <c r="CY26"/>
  <c r="CX26"/>
  <c r="CW26"/>
  <c r="CV26"/>
  <c r="CU26"/>
  <c r="CT26"/>
  <c r="CS26"/>
  <c r="CR26"/>
  <c r="CQ26"/>
  <c r="CP26"/>
  <c r="CO26"/>
  <c r="CY25"/>
  <c r="CX25"/>
  <c r="CW25"/>
  <c r="CV25"/>
  <c r="CU25"/>
  <c r="CT25"/>
  <c r="CS25"/>
  <c r="CR25"/>
  <c r="CQ25"/>
  <c r="CP25"/>
  <c r="CO25"/>
  <c r="CY24"/>
  <c r="CX24"/>
  <c r="CW24"/>
  <c r="CV24"/>
  <c r="CU24"/>
  <c r="CT24"/>
  <c r="CS24"/>
  <c r="CR24"/>
  <c r="CQ24"/>
  <c r="CP24"/>
  <c r="CO24"/>
  <c r="CY8"/>
  <c r="CX8"/>
  <c r="CW8"/>
  <c r="CV8"/>
  <c r="CU8"/>
  <c r="CT8"/>
  <c r="CS8"/>
  <c r="CR8"/>
  <c r="CQ8"/>
  <c r="CP8"/>
  <c r="CO8"/>
  <c r="BG8"/>
  <c r="BA8"/>
  <c r="AY8"/>
  <c r="BI8" s="1"/>
  <c r="AN8"/>
  <c r="AI8"/>
  <c r="Q8"/>
  <c r="R8" s="1"/>
  <c r="P8"/>
  <c r="O8"/>
  <c r="N8"/>
  <c r="L8"/>
  <c r="K8"/>
  <c r="J8"/>
  <c r="DD8" s="1"/>
  <c r="DG8" s="1"/>
  <c r="DH8" s="1"/>
  <c r="I8"/>
  <c r="H8"/>
  <c r="B8"/>
  <c r="C8" s="1"/>
  <c r="CY7"/>
  <c r="CX7"/>
  <c r="CW7"/>
  <c r="CV7"/>
  <c r="CU7"/>
  <c r="CT7"/>
  <c r="CS7"/>
  <c r="CR7"/>
  <c r="CQ7"/>
  <c r="CP7"/>
  <c r="CO7"/>
  <c r="BH7"/>
  <c r="BH8" s="1"/>
  <c r="BG7"/>
  <c r="BA7"/>
  <c r="AY7"/>
  <c r="AI7" s="1"/>
  <c r="AN7"/>
  <c r="AM38"/>
  <c r="Q7"/>
  <c r="R7" s="1"/>
  <c r="P7"/>
  <c r="O7"/>
  <c r="N7"/>
  <c r="L7"/>
  <c r="K7"/>
  <c r="J7"/>
  <c r="I7"/>
  <c r="B7"/>
  <c r="C7" s="1"/>
  <c r="I37" i="83"/>
  <c r="J37"/>
  <c r="DD37" s="1"/>
  <c r="DG37" s="1"/>
  <c r="DH37" s="1"/>
  <c r="K37"/>
  <c r="N37"/>
  <c r="O37"/>
  <c r="P37"/>
  <c r="Q37"/>
  <c r="R37"/>
  <c r="T37" s="1"/>
  <c r="AI37"/>
  <c r="AN37"/>
  <c r="AX37"/>
  <c r="AY37"/>
  <c r="H37" s="1"/>
  <c r="BA37"/>
  <c r="BB37"/>
  <c r="BD37"/>
  <c r="BF37"/>
  <c r="BG37"/>
  <c r="BH37" s="1"/>
  <c r="BI37"/>
  <c r="CO37"/>
  <c r="CP37"/>
  <c r="CQ37"/>
  <c r="CS37"/>
  <c r="CT37"/>
  <c r="CU37"/>
  <c r="CV37"/>
  <c r="CW37"/>
  <c r="CX37"/>
  <c r="CY37"/>
  <c r="DK37"/>
  <c r="DN37"/>
  <c r="BN37" s="1"/>
  <c r="I36"/>
  <c r="J36"/>
  <c r="DD36" s="1"/>
  <c r="DG36" s="1"/>
  <c r="DH36" s="1"/>
  <c r="K36"/>
  <c r="N36"/>
  <c r="O36"/>
  <c r="P36"/>
  <c r="Q36"/>
  <c r="R36" s="1"/>
  <c r="T36" s="1"/>
  <c r="AM36"/>
  <c r="AN36" s="1"/>
  <c r="BA36"/>
  <c r="BG36"/>
  <c r="BH36" s="1"/>
  <c r="CO36"/>
  <c r="CP36"/>
  <c r="CQ36"/>
  <c r="CS36"/>
  <c r="CT36"/>
  <c r="CU36"/>
  <c r="CV36"/>
  <c r="CW36"/>
  <c r="CX36"/>
  <c r="CY36"/>
  <c r="DK36"/>
  <c r="DN36"/>
  <c r="BN36" s="1"/>
  <c r="I35"/>
  <c r="J35"/>
  <c r="DD35" s="1"/>
  <c r="DG35" s="1"/>
  <c r="DH35" s="1"/>
  <c r="K35"/>
  <c r="N35"/>
  <c r="O35"/>
  <c r="P35"/>
  <c r="Q35"/>
  <c r="R35" s="1"/>
  <c r="T35" s="1"/>
  <c r="AM35"/>
  <c r="AN35" s="1"/>
  <c r="BA35"/>
  <c r="BG35"/>
  <c r="BH35" s="1"/>
  <c r="CO35"/>
  <c r="CP35"/>
  <c r="CQ35"/>
  <c r="CS35"/>
  <c r="CT35"/>
  <c r="CU35"/>
  <c r="CV35"/>
  <c r="CW35"/>
  <c r="CX35"/>
  <c r="CY35"/>
  <c r="DK35"/>
  <c r="DN35"/>
  <c r="BN35" s="1"/>
  <c r="I34"/>
  <c r="J34"/>
  <c r="K34"/>
  <c r="N34"/>
  <c r="O34"/>
  <c r="P34"/>
  <c r="Q34"/>
  <c r="R34" s="1"/>
  <c r="T34" s="1"/>
  <c r="AM34"/>
  <c r="AN34" s="1"/>
  <c r="AY34"/>
  <c r="H34" s="1"/>
  <c r="BA34"/>
  <c r="BB34"/>
  <c r="BD34"/>
  <c r="BF34"/>
  <c r="BG34"/>
  <c r="BH34" s="1"/>
  <c r="BI34"/>
  <c r="CO34"/>
  <c r="CP34"/>
  <c r="CQ34"/>
  <c r="CS34"/>
  <c r="CT34"/>
  <c r="CU34"/>
  <c r="CV34"/>
  <c r="CW34"/>
  <c r="CX34"/>
  <c r="CY34"/>
  <c r="DD34"/>
  <c r="DG34" s="1"/>
  <c r="DH34" s="1"/>
  <c r="DK34"/>
  <c r="DN34"/>
  <c r="BN34" s="1"/>
  <c r="I33"/>
  <c r="J33"/>
  <c r="K33"/>
  <c r="N33"/>
  <c r="O33"/>
  <c r="P33"/>
  <c r="Q33"/>
  <c r="R33"/>
  <c r="T33" s="1"/>
  <c r="AM33"/>
  <c r="AN33"/>
  <c r="AY33"/>
  <c r="H33" s="1"/>
  <c r="BA33"/>
  <c r="BF33"/>
  <c r="BG33"/>
  <c r="BH33"/>
  <c r="BI33"/>
  <c r="BJ33"/>
  <c r="CO33"/>
  <c r="CP33"/>
  <c r="CQ33"/>
  <c r="CS33"/>
  <c r="CT33"/>
  <c r="CU33"/>
  <c r="CV33"/>
  <c r="CW33"/>
  <c r="CX33"/>
  <c r="CY33"/>
  <c r="DD33"/>
  <c r="DG33" s="1"/>
  <c r="DH33" s="1"/>
  <c r="DK33"/>
  <c r="DN33"/>
  <c r="BN33" s="1"/>
  <c r="I32"/>
  <c r="J32"/>
  <c r="DD32" s="1"/>
  <c r="DG32" s="1"/>
  <c r="DH32" s="1"/>
  <c r="K32"/>
  <c r="N32"/>
  <c r="O32"/>
  <c r="P32"/>
  <c r="Q32"/>
  <c r="R32"/>
  <c r="T32" s="1"/>
  <c r="AM32"/>
  <c r="AN32"/>
  <c r="AY32"/>
  <c r="H32" s="1"/>
  <c r="BA32"/>
  <c r="BF32"/>
  <c r="BG32"/>
  <c r="BH32"/>
  <c r="BI32"/>
  <c r="BJ32" s="1"/>
  <c r="CO32"/>
  <c r="CP32"/>
  <c r="CQ32"/>
  <c r="CS32"/>
  <c r="CT32"/>
  <c r="CU32"/>
  <c r="CV32"/>
  <c r="CW32"/>
  <c r="CX32"/>
  <c r="CY32"/>
  <c r="DK32"/>
  <c r="DN32"/>
  <c r="BN32" s="1"/>
  <c r="I31"/>
  <c r="J31"/>
  <c r="DD31" s="1"/>
  <c r="DG31" s="1"/>
  <c r="DH31" s="1"/>
  <c r="K31"/>
  <c r="N31"/>
  <c r="O31"/>
  <c r="P31"/>
  <c r="Q31"/>
  <c r="R31" s="1"/>
  <c r="T31" s="1"/>
  <c r="AM31"/>
  <c r="AN31" s="1"/>
  <c r="BA31"/>
  <c r="BG31"/>
  <c r="BH31" s="1"/>
  <c r="CO31"/>
  <c r="CP31"/>
  <c r="CQ31"/>
  <c r="CS31"/>
  <c r="CT31"/>
  <c r="CU31"/>
  <c r="CV31"/>
  <c r="CW31"/>
  <c r="CX31"/>
  <c r="CY31"/>
  <c r="DK31"/>
  <c r="DN31"/>
  <c r="BN31" s="1"/>
  <c r="I30"/>
  <c r="J30"/>
  <c r="DD30" s="1"/>
  <c r="DG30" s="1"/>
  <c r="DH30" s="1"/>
  <c r="K30"/>
  <c r="N30"/>
  <c r="O30"/>
  <c r="P30"/>
  <c r="Q30"/>
  <c r="R30" s="1"/>
  <c r="T30" s="1"/>
  <c r="AM30"/>
  <c r="AN30" s="1"/>
  <c r="BA30"/>
  <c r="BG30"/>
  <c r="BH30" s="1"/>
  <c r="CO30"/>
  <c r="CP30"/>
  <c r="CQ30"/>
  <c r="CS30"/>
  <c r="CT30"/>
  <c r="CU30"/>
  <c r="CV30"/>
  <c r="CW30"/>
  <c r="CX30"/>
  <c r="CY30"/>
  <c r="DK30"/>
  <c r="DN30"/>
  <c r="BN30" s="1"/>
  <c r="I29"/>
  <c r="J29"/>
  <c r="K29"/>
  <c r="N29"/>
  <c r="O29"/>
  <c r="P29"/>
  <c r="Q29"/>
  <c r="R29" s="1"/>
  <c r="T29" s="1"/>
  <c r="AM29"/>
  <c r="AN29" s="1"/>
  <c r="AY29"/>
  <c r="H29" s="1"/>
  <c r="BA29"/>
  <c r="BB29"/>
  <c r="BD29"/>
  <c r="BF29"/>
  <c r="BG29"/>
  <c r="BH29" s="1"/>
  <c r="BI29"/>
  <c r="CO29"/>
  <c r="CP29"/>
  <c r="CQ29"/>
  <c r="CS29"/>
  <c r="CT29"/>
  <c r="CU29"/>
  <c r="CV29"/>
  <c r="CW29"/>
  <c r="CX29"/>
  <c r="CY29"/>
  <c r="DD29"/>
  <c r="DG29" s="1"/>
  <c r="DH29" s="1"/>
  <c r="DK29"/>
  <c r="DN29"/>
  <c r="BN29" s="1"/>
  <c r="I28"/>
  <c r="J28"/>
  <c r="K28"/>
  <c r="N28"/>
  <c r="O28"/>
  <c r="P28"/>
  <c r="Q28"/>
  <c r="R28" s="1"/>
  <c r="T28" s="1"/>
  <c r="AM28"/>
  <c r="AN28" s="1"/>
  <c r="AY28"/>
  <c r="H28" s="1"/>
  <c r="BA28"/>
  <c r="BB28"/>
  <c r="BD28"/>
  <c r="BF28"/>
  <c r="BG28"/>
  <c r="BH28" s="1"/>
  <c r="BI28"/>
  <c r="CO28"/>
  <c r="CP28"/>
  <c r="CQ28"/>
  <c r="CS28"/>
  <c r="CT28"/>
  <c r="CU28"/>
  <c r="CV28"/>
  <c r="CW28"/>
  <c r="CX28"/>
  <c r="CY28"/>
  <c r="DD28"/>
  <c r="DG28" s="1"/>
  <c r="DH28" s="1"/>
  <c r="DK28"/>
  <c r="DN28"/>
  <c r="BN28" s="1"/>
  <c r="I27"/>
  <c r="J27"/>
  <c r="K27"/>
  <c r="N27"/>
  <c r="O27"/>
  <c r="P27"/>
  <c r="Q27"/>
  <c r="R27"/>
  <c r="T27" s="1"/>
  <c r="AM27"/>
  <c r="AN27"/>
  <c r="AY27"/>
  <c r="H27" s="1"/>
  <c r="BA27"/>
  <c r="BF27"/>
  <c r="BG27"/>
  <c r="BH27"/>
  <c r="BI27"/>
  <c r="BJ27"/>
  <c r="CO27"/>
  <c r="CP27"/>
  <c r="CQ27"/>
  <c r="CS27"/>
  <c r="CT27"/>
  <c r="CU27"/>
  <c r="CV27"/>
  <c r="CW27"/>
  <c r="CX27"/>
  <c r="CY27"/>
  <c r="DD27"/>
  <c r="DG27" s="1"/>
  <c r="DH27" s="1"/>
  <c r="DK27"/>
  <c r="DN27"/>
  <c r="BN27" s="1"/>
  <c r="I26"/>
  <c r="J26"/>
  <c r="K26"/>
  <c r="N26"/>
  <c r="O26"/>
  <c r="P26"/>
  <c r="Q26"/>
  <c r="R26"/>
  <c r="T26" s="1"/>
  <c r="AM26"/>
  <c r="AN26"/>
  <c r="AY26"/>
  <c r="H26" s="1"/>
  <c r="BA26"/>
  <c r="BF26"/>
  <c r="BG26"/>
  <c r="BH26"/>
  <c r="BI26"/>
  <c r="BJ26"/>
  <c r="CO26"/>
  <c r="CP26"/>
  <c r="CQ26"/>
  <c r="CS26"/>
  <c r="CT26"/>
  <c r="CU26"/>
  <c r="CV26"/>
  <c r="CW26"/>
  <c r="CX26"/>
  <c r="CY26"/>
  <c r="DD26"/>
  <c r="DG26" s="1"/>
  <c r="DH26" s="1"/>
  <c r="DK26"/>
  <c r="DN26"/>
  <c r="BN26" s="1"/>
  <c r="I25"/>
  <c r="J25"/>
  <c r="K25"/>
  <c r="N25"/>
  <c r="O25"/>
  <c r="P25"/>
  <c r="Q25"/>
  <c r="R25"/>
  <c r="T25" s="1"/>
  <c r="AN25"/>
  <c r="AX25"/>
  <c r="AY25"/>
  <c r="H25" s="1"/>
  <c r="BA25"/>
  <c r="BB25"/>
  <c r="BD25"/>
  <c r="BF25"/>
  <c r="BG25"/>
  <c r="BH25" s="1"/>
  <c r="BI25"/>
  <c r="CO25"/>
  <c r="CP25"/>
  <c r="CQ25"/>
  <c r="CS25"/>
  <c r="CT25"/>
  <c r="CU25"/>
  <c r="CV25"/>
  <c r="CW25"/>
  <c r="CX25"/>
  <c r="CY25"/>
  <c r="DD25"/>
  <c r="DG25" s="1"/>
  <c r="DH25" s="1"/>
  <c r="DK25"/>
  <c r="DN25"/>
  <c r="BN25" s="1"/>
  <c r="I24"/>
  <c r="J24"/>
  <c r="K24"/>
  <c r="N24"/>
  <c r="O24"/>
  <c r="P24"/>
  <c r="Q24"/>
  <c r="R24" s="1"/>
  <c r="T24" s="1"/>
  <c r="AM24"/>
  <c r="AN24" s="1"/>
  <c r="AY24"/>
  <c r="H24" s="1"/>
  <c r="BA24"/>
  <c r="BB24"/>
  <c r="BD24"/>
  <c r="BF24"/>
  <c r="BG24"/>
  <c r="BH24" s="1"/>
  <c r="BI24"/>
  <c r="CO24"/>
  <c r="CP24"/>
  <c r="CQ24"/>
  <c r="CS24"/>
  <c r="CT24"/>
  <c r="CU24"/>
  <c r="CV24"/>
  <c r="CW24"/>
  <c r="CX24"/>
  <c r="CY24"/>
  <c r="DD24"/>
  <c r="DG24" s="1"/>
  <c r="DH24" s="1"/>
  <c r="DK24"/>
  <c r="DN24"/>
  <c r="BN24" s="1"/>
  <c r="I23"/>
  <c r="J23"/>
  <c r="DD23" s="1"/>
  <c r="DG23" s="1"/>
  <c r="DH23" s="1"/>
  <c r="K23"/>
  <c r="N23"/>
  <c r="O23"/>
  <c r="P23"/>
  <c r="Q23"/>
  <c r="R23"/>
  <c r="T23" s="1"/>
  <c r="AM23"/>
  <c r="AN23"/>
  <c r="AY23"/>
  <c r="H23" s="1"/>
  <c r="BA23"/>
  <c r="BF23"/>
  <c r="BG23"/>
  <c r="BH23"/>
  <c r="CO23"/>
  <c r="CP23"/>
  <c r="CQ23"/>
  <c r="CS23"/>
  <c r="CT23"/>
  <c r="CU23"/>
  <c r="CV23"/>
  <c r="CW23"/>
  <c r="CX23"/>
  <c r="CY23"/>
  <c r="DK23"/>
  <c r="DN23"/>
  <c r="BN23" s="1"/>
  <c r="I22"/>
  <c r="J22"/>
  <c r="DD22" s="1"/>
  <c r="DG22" s="1"/>
  <c r="DH22" s="1"/>
  <c r="K22"/>
  <c r="N22"/>
  <c r="O22"/>
  <c r="P22"/>
  <c r="Q22"/>
  <c r="R22" s="1"/>
  <c r="T22" s="1"/>
  <c r="AM22"/>
  <c r="AN22" s="1"/>
  <c r="BA22"/>
  <c r="BG22"/>
  <c r="BH22" s="1"/>
  <c r="CO22"/>
  <c r="CP22"/>
  <c r="CQ22"/>
  <c r="CS22"/>
  <c r="CT22"/>
  <c r="CU22"/>
  <c r="CV22"/>
  <c r="CW22"/>
  <c r="CX22"/>
  <c r="CY22"/>
  <c r="DK22"/>
  <c r="DN22"/>
  <c r="BN22" s="1"/>
  <c r="I21"/>
  <c r="J21"/>
  <c r="DD21" s="1"/>
  <c r="DG21" s="1"/>
  <c r="DH21" s="1"/>
  <c r="K21"/>
  <c r="N21"/>
  <c r="O21"/>
  <c r="P21"/>
  <c r="Q21"/>
  <c r="R21" s="1"/>
  <c r="T21" s="1"/>
  <c r="AM21"/>
  <c r="AN21" s="1"/>
  <c r="BA21"/>
  <c r="BG21"/>
  <c r="BH21" s="1"/>
  <c r="CO21"/>
  <c r="CP21"/>
  <c r="CQ21"/>
  <c r="CS21"/>
  <c r="CT21"/>
  <c r="CU21"/>
  <c r="CV21"/>
  <c r="CW21"/>
  <c r="CX21"/>
  <c r="CY21"/>
  <c r="DK21"/>
  <c r="DN21"/>
  <c r="BN21" s="1"/>
  <c r="I20"/>
  <c r="J20"/>
  <c r="DD20" s="1"/>
  <c r="DG20" s="1"/>
  <c r="DH20" s="1"/>
  <c r="K20"/>
  <c r="N20"/>
  <c r="O20"/>
  <c r="P20"/>
  <c r="Q20"/>
  <c r="R20" s="1"/>
  <c r="T20" s="1"/>
  <c r="AM20"/>
  <c r="AN20" s="1"/>
  <c r="BA20"/>
  <c r="BG20"/>
  <c r="BH20" s="1"/>
  <c r="CO20"/>
  <c r="CP20"/>
  <c r="CQ20"/>
  <c r="CS20"/>
  <c r="CT20"/>
  <c r="CU20"/>
  <c r="CV20"/>
  <c r="CW20"/>
  <c r="CX20"/>
  <c r="CY20"/>
  <c r="DK20"/>
  <c r="DN20"/>
  <c r="BN20" s="1"/>
  <c r="I19"/>
  <c r="J19"/>
  <c r="DD19" s="1"/>
  <c r="DG19" s="1"/>
  <c r="DH19" s="1"/>
  <c r="K19"/>
  <c r="N19"/>
  <c r="O19"/>
  <c r="P19"/>
  <c r="Q19"/>
  <c r="R19" s="1"/>
  <c r="T19" s="1"/>
  <c r="AM19"/>
  <c r="AN19" s="1"/>
  <c r="BA19"/>
  <c r="BG19"/>
  <c r="BH19" s="1"/>
  <c r="CO19"/>
  <c r="CP19"/>
  <c r="CQ19"/>
  <c r="CS19"/>
  <c r="CT19"/>
  <c r="CU19"/>
  <c r="CV19"/>
  <c r="CW19"/>
  <c r="CX19"/>
  <c r="CY19"/>
  <c r="DK19"/>
  <c r="DN19"/>
  <c r="BN19" s="1"/>
  <c r="I18"/>
  <c r="J18"/>
  <c r="DD18" s="1"/>
  <c r="DG18" s="1"/>
  <c r="DH18" s="1"/>
  <c r="K18"/>
  <c r="N18"/>
  <c r="O18"/>
  <c r="P18"/>
  <c r="Q18"/>
  <c r="R18" s="1"/>
  <c r="T18" s="1"/>
  <c r="AM18"/>
  <c r="AN18" s="1"/>
  <c r="BA18"/>
  <c r="BG18"/>
  <c r="BH18" s="1"/>
  <c r="CO18"/>
  <c r="CP18"/>
  <c r="CQ18"/>
  <c r="CS18"/>
  <c r="CT18"/>
  <c r="CU18"/>
  <c r="CV18"/>
  <c r="CW18"/>
  <c r="CX18"/>
  <c r="CY18"/>
  <c r="DK18"/>
  <c r="DN18"/>
  <c r="BN18" s="1"/>
  <c r="I17"/>
  <c r="J17"/>
  <c r="DD17" s="1"/>
  <c r="DG17" s="1"/>
  <c r="DH17" s="1"/>
  <c r="K17"/>
  <c r="N17"/>
  <c r="O17"/>
  <c r="P17"/>
  <c r="Q17"/>
  <c r="R17" s="1"/>
  <c r="T17" s="1"/>
  <c r="AM17"/>
  <c r="AN17" s="1"/>
  <c r="BA17"/>
  <c r="BG17"/>
  <c r="BH17" s="1"/>
  <c r="CO17"/>
  <c r="CP17"/>
  <c r="CQ17"/>
  <c r="CS17"/>
  <c r="CT17"/>
  <c r="CU17"/>
  <c r="CV17"/>
  <c r="CW17"/>
  <c r="CX17"/>
  <c r="CY17"/>
  <c r="DK17"/>
  <c r="DN17"/>
  <c r="BN17" s="1"/>
  <c r="I16"/>
  <c r="J16"/>
  <c r="K16"/>
  <c r="N16"/>
  <c r="O16"/>
  <c r="P16"/>
  <c r="Q16"/>
  <c r="R16"/>
  <c r="T16" s="1"/>
  <c r="AM16"/>
  <c r="AN16"/>
  <c r="AY16"/>
  <c r="H16" s="1"/>
  <c r="BA16"/>
  <c r="BF16"/>
  <c r="BG16"/>
  <c r="BH16"/>
  <c r="BI16"/>
  <c r="BJ16"/>
  <c r="CO16"/>
  <c r="CP16"/>
  <c r="CQ16"/>
  <c r="CS16"/>
  <c r="CT16"/>
  <c r="CU16"/>
  <c r="CV16"/>
  <c r="CW16"/>
  <c r="CX16"/>
  <c r="CY16"/>
  <c r="DD16"/>
  <c r="DG16" s="1"/>
  <c r="DH16" s="1"/>
  <c r="DK16"/>
  <c r="DN16"/>
  <c r="BN16" s="1"/>
  <c r="I15"/>
  <c r="J15"/>
  <c r="K15"/>
  <c r="N15"/>
  <c r="O15"/>
  <c r="P15"/>
  <c r="Q15"/>
  <c r="R15"/>
  <c r="T15" s="1"/>
  <c r="AM15"/>
  <c r="AN15"/>
  <c r="AY15"/>
  <c r="H15" s="1"/>
  <c r="BA15"/>
  <c r="BF15"/>
  <c r="BG15"/>
  <c r="BH15"/>
  <c r="BI15"/>
  <c r="BJ15"/>
  <c r="CO15"/>
  <c r="CP15"/>
  <c r="CQ15"/>
  <c r="CS15"/>
  <c r="CT15"/>
  <c r="CU15"/>
  <c r="CV15"/>
  <c r="CW15"/>
  <c r="CX15"/>
  <c r="CY15"/>
  <c r="DD15"/>
  <c r="DG15" s="1"/>
  <c r="DH15" s="1"/>
  <c r="DK15"/>
  <c r="DN15"/>
  <c r="BN15" s="1"/>
  <c r="I14"/>
  <c r="J14"/>
  <c r="DD14" s="1"/>
  <c r="DG14" s="1"/>
  <c r="DH14" s="1"/>
  <c r="K14"/>
  <c r="N14"/>
  <c r="O14"/>
  <c r="P14"/>
  <c r="Q14"/>
  <c r="R14" s="1"/>
  <c r="T14" s="1"/>
  <c r="AM14"/>
  <c r="AN14" s="1"/>
  <c r="BA14"/>
  <c r="BG14"/>
  <c r="BH14" s="1"/>
  <c r="CO14"/>
  <c r="CP14"/>
  <c r="CQ14"/>
  <c r="CS14"/>
  <c r="CT14"/>
  <c r="CU14"/>
  <c r="CV14"/>
  <c r="CW14"/>
  <c r="CX14"/>
  <c r="CY14"/>
  <c r="DK14"/>
  <c r="DN14"/>
  <c r="BN14" s="1"/>
  <c r="I13"/>
  <c r="J13"/>
  <c r="DD13" s="1"/>
  <c r="DG13" s="1"/>
  <c r="DH13" s="1"/>
  <c r="K13"/>
  <c r="N13"/>
  <c r="O13"/>
  <c r="P13"/>
  <c r="Q13"/>
  <c r="R13" s="1"/>
  <c r="T13" s="1"/>
  <c r="AM13"/>
  <c r="AN13" s="1"/>
  <c r="BA13"/>
  <c r="BG13"/>
  <c r="BH13" s="1"/>
  <c r="CO13"/>
  <c r="CP13"/>
  <c r="CQ13"/>
  <c r="CS13"/>
  <c r="CT13"/>
  <c r="CU13"/>
  <c r="CV13"/>
  <c r="CW13"/>
  <c r="CX13"/>
  <c r="CY13"/>
  <c r="DK13"/>
  <c r="DN13"/>
  <c r="BN13" s="1"/>
  <c r="I12"/>
  <c r="J12"/>
  <c r="DD12" s="1"/>
  <c r="DG12" s="1"/>
  <c r="DH12" s="1"/>
  <c r="K12"/>
  <c r="N12"/>
  <c r="O12"/>
  <c r="P12"/>
  <c r="Q12"/>
  <c r="R12" s="1"/>
  <c r="T12" s="1"/>
  <c r="AM12"/>
  <c r="AN12" s="1"/>
  <c r="BA12"/>
  <c r="BG12"/>
  <c r="BH12" s="1"/>
  <c r="CO12"/>
  <c r="CP12"/>
  <c r="CQ12"/>
  <c r="CS12"/>
  <c r="CT12"/>
  <c r="CU12"/>
  <c r="CV12"/>
  <c r="CW12"/>
  <c r="CX12"/>
  <c r="CY12"/>
  <c r="DK12"/>
  <c r="DN12"/>
  <c r="BN12" s="1"/>
  <c r="I11"/>
  <c r="J11"/>
  <c r="DD11" s="1"/>
  <c r="DG11" s="1"/>
  <c r="DH11" s="1"/>
  <c r="K11"/>
  <c r="N11"/>
  <c r="O11"/>
  <c r="P11"/>
  <c r="Q11"/>
  <c r="R11" s="1"/>
  <c r="T11" s="1"/>
  <c r="AM11"/>
  <c r="BA11"/>
  <c r="BG11"/>
  <c r="CO11"/>
  <c r="CP11"/>
  <c r="CQ11"/>
  <c r="CS11"/>
  <c r="CT11"/>
  <c r="CU11"/>
  <c r="CV11"/>
  <c r="CW11"/>
  <c r="CX11"/>
  <c r="CY11"/>
  <c r="DK11"/>
  <c r="DN11"/>
  <c r="BN11" s="1"/>
  <c r="I10"/>
  <c r="J10"/>
  <c r="DD10" s="1"/>
  <c r="DG10" s="1"/>
  <c r="DH10" s="1"/>
  <c r="K10"/>
  <c r="N10"/>
  <c r="O10"/>
  <c r="P10"/>
  <c r="Q10"/>
  <c r="R10" s="1"/>
  <c r="T10" s="1"/>
  <c r="AM10"/>
  <c r="AN10" s="1"/>
  <c r="BA10"/>
  <c r="BG10"/>
  <c r="BH10" s="1"/>
  <c r="CO10"/>
  <c r="CP10"/>
  <c r="CQ10"/>
  <c r="CS10"/>
  <c r="CT10"/>
  <c r="CU10"/>
  <c r="CV10"/>
  <c r="CW10"/>
  <c r="CX10"/>
  <c r="CY10"/>
  <c r="DK10"/>
  <c r="DN10"/>
  <c r="BN10" s="1"/>
  <c r="I9"/>
  <c r="J9"/>
  <c r="K9"/>
  <c r="N9"/>
  <c r="O9"/>
  <c r="P9"/>
  <c r="Q9"/>
  <c r="R9"/>
  <c r="T9" s="1"/>
  <c r="AM9"/>
  <c r="AN9"/>
  <c r="AY9"/>
  <c r="H9" s="1"/>
  <c r="BA9"/>
  <c r="BF9"/>
  <c r="BG9"/>
  <c r="BH9" s="1"/>
  <c r="BI9"/>
  <c r="CO9"/>
  <c r="CP9"/>
  <c r="CQ9"/>
  <c r="CS9"/>
  <c r="CT9"/>
  <c r="CU9"/>
  <c r="CV9"/>
  <c r="CW9"/>
  <c r="CX9"/>
  <c r="CY9"/>
  <c r="DD9"/>
  <c r="DG9" s="1"/>
  <c r="DH9" s="1"/>
  <c r="DK9"/>
  <c r="DN9"/>
  <c r="BN9" s="1"/>
  <c r="L8"/>
  <c r="L7"/>
  <c r="B8"/>
  <c r="B7"/>
  <c r="BN8"/>
  <c r="BN7"/>
  <c r="CR7" s="1"/>
  <c r="DN8"/>
  <c r="DN7"/>
  <c r="Q8"/>
  <c r="Q7"/>
  <c r="DK8"/>
  <c r="DK7"/>
  <c r="BD59"/>
  <c r="AT46"/>
  <c r="AT43"/>
  <c r="AS39"/>
  <c r="AQ39"/>
  <c r="AP39"/>
  <c r="AD39"/>
  <c r="AC39"/>
  <c r="Z39"/>
  <c r="Z41" s="1"/>
  <c r="Y39"/>
  <c r="CI38"/>
  <c r="CM39" s="1"/>
  <c r="CH38"/>
  <c r="CL39" s="1"/>
  <c r="CG38"/>
  <c r="CK39" s="1"/>
  <c r="CF38"/>
  <c r="CJ39" s="1"/>
  <c r="BQ38"/>
  <c r="BX39" s="1"/>
  <c r="BP38"/>
  <c r="CD39" s="1"/>
  <c r="BO38"/>
  <c r="BV39" s="1"/>
  <c r="BM38"/>
  <c r="BT39" s="1"/>
  <c r="BL38"/>
  <c r="BZ39" s="1"/>
  <c r="BK38"/>
  <c r="BR39" s="1"/>
  <c r="BG38"/>
  <c r="AW38"/>
  <c r="AW39" s="1"/>
  <c r="AV38"/>
  <c r="AV39" s="1"/>
  <c r="AU38"/>
  <c r="AU39" s="1"/>
  <c r="AT38"/>
  <c r="AT41" s="1"/>
  <c r="AL38"/>
  <c r="AL39" s="1"/>
  <c r="AJ38"/>
  <c r="AJ39" s="1"/>
  <c r="AH38"/>
  <c r="AH39" s="1"/>
  <c r="AG38"/>
  <c r="AG39" s="1"/>
  <c r="AE38"/>
  <c r="AE39" s="1"/>
  <c r="AD38"/>
  <c r="W38"/>
  <c r="W39" s="1"/>
  <c r="V38"/>
  <c r="V39" s="1"/>
  <c r="S38"/>
  <c r="S39" s="1"/>
  <c r="G38"/>
  <c r="G39" s="1"/>
  <c r="G41" s="1"/>
  <c r="CY8"/>
  <c r="CX8"/>
  <c r="CW8"/>
  <c r="CV8"/>
  <c r="CU8"/>
  <c r="CT8"/>
  <c r="CS8"/>
  <c r="CR8"/>
  <c r="CQ8"/>
  <c r="CP8"/>
  <c r="CO8"/>
  <c r="BG8"/>
  <c r="BA8"/>
  <c r="AY8"/>
  <c r="BI8" s="1"/>
  <c r="AN8"/>
  <c r="AM8"/>
  <c r="AI8"/>
  <c r="R8"/>
  <c r="P8"/>
  <c r="O8"/>
  <c r="N8"/>
  <c r="K8"/>
  <c r="J8"/>
  <c r="DD8" s="1"/>
  <c r="DG8" s="1"/>
  <c r="DH8" s="1"/>
  <c r="I8"/>
  <c r="H8"/>
  <c r="C8"/>
  <c r="CY7"/>
  <c r="CY38" s="1"/>
  <c r="CX7"/>
  <c r="CX38" s="1"/>
  <c r="CW7"/>
  <c r="CW38" s="1"/>
  <c r="CV7"/>
  <c r="CU7"/>
  <c r="CU38" s="1"/>
  <c r="CT7"/>
  <c r="CT38" s="1"/>
  <c r="CS7"/>
  <c r="CS38" s="1"/>
  <c r="CQ7"/>
  <c r="CQ38" s="1"/>
  <c r="CP7"/>
  <c r="CP38" s="1"/>
  <c r="CO7"/>
  <c r="CO38" s="1"/>
  <c r="BH7"/>
  <c r="BH8" s="1"/>
  <c r="BG7"/>
  <c r="BA7"/>
  <c r="BA38" s="1"/>
  <c r="AY7"/>
  <c r="AN7"/>
  <c r="AM7"/>
  <c r="AM38" s="1"/>
  <c r="AI7"/>
  <c r="R7"/>
  <c r="P7"/>
  <c r="O7"/>
  <c r="N7"/>
  <c r="K7"/>
  <c r="J7"/>
  <c r="I7"/>
  <c r="H7"/>
  <c r="CY37" i="81"/>
  <c r="CX37"/>
  <c r="CW37"/>
  <c r="CV37"/>
  <c r="CU37"/>
  <c r="CT37"/>
  <c r="CS37"/>
  <c r="CR37"/>
  <c r="CQ37"/>
  <c r="CP37"/>
  <c r="CO37"/>
  <c r="BG37"/>
  <c r="BA37"/>
  <c r="AY37"/>
  <c r="BI37" s="1"/>
  <c r="AN37"/>
  <c r="AF37"/>
  <c r="Q37"/>
  <c r="R37" s="1"/>
  <c r="P37"/>
  <c r="O37"/>
  <c r="N37"/>
  <c r="M37"/>
  <c r="L37"/>
  <c r="K37"/>
  <c r="J37"/>
  <c r="DD37" s="1"/>
  <c r="DG37" s="1"/>
  <c r="DH37" s="1"/>
  <c r="I37"/>
  <c r="B37"/>
  <c r="B36"/>
  <c r="C36" s="1"/>
  <c r="D36" s="1"/>
  <c r="I36"/>
  <c r="J36"/>
  <c r="DD36" s="1"/>
  <c r="DG36" s="1"/>
  <c r="DH36" s="1"/>
  <c r="K36"/>
  <c r="L36"/>
  <c r="N36"/>
  <c r="O36"/>
  <c r="P36"/>
  <c r="Q36"/>
  <c r="R36" s="1"/>
  <c r="T36" s="1"/>
  <c r="AN36"/>
  <c r="AY36"/>
  <c r="H36" s="1"/>
  <c r="BA36"/>
  <c r="BG36"/>
  <c r="BH36" s="1"/>
  <c r="CO36"/>
  <c r="CP36"/>
  <c r="CQ36"/>
  <c r="CR36"/>
  <c r="CS36"/>
  <c r="CT36"/>
  <c r="CU36"/>
  <c r="CV36"/>
  <c r="CW36"/>
  <c r="CX36"/>
  <c r="CY36"/>
  <c r="DJ36"/>
  <c r="B35"/>
  <c r="C35" s="1"/>
  <c r="D35" s="1"/>
  <c r="I35"/>
  <c r="J35"/>
  <c r="K35"/>
  <c r="L35"/>
  <c r="N35"/>
  <c r="O35"/>
  <c r="P35"/>
  <c r="Q35"/>
  <c r="R35" s="1"/>
  <c r="T35" s="1"/>
  <c r="AN35"/>
  <c r="AY35"/>
  <c r="H35" s="1"/>
  <c r="BA35"/>
  <c r="BF35"/>
  <c r="BF36" s="1"/>
  <c r="BG35"/>
  <c r="BH35" s="1"/>
  <c r="BI35"/>
  <c r="CO35"/>
  <c r="CP35"/>
  <c r="CQ35"/>
  <c r="CR35"/>
  <c r="CS35"/>
  <c r="CT35"/>
  <c r="CU35"/>
  <c r="CV35"/>
  <c r="CW35"/>
  <c r="CX35"/>
  <c r="CY35"/>
  <c r="DD35"/>
  <c r="DG35" s="1"/>
  <c r="DH35" s="1"/>
  <c r="DJ35"/>
  <c r="CY34"/>
  <c r="CX34"/>
  <c r="CW34"/>
  <c r="CV34"/>
  <c r="CU34"/>
  <c r="CT34"/>
  <c r="CS34"/>
  <c r="CR34"/>
  <c r="CQ34"/>
  <c r="CP34"/>
  <c r="CO34"/>
  <c r="BG34"/>
  <c r="BA34"/>
  <c r="AY34"/>
  <c r="Q34"/>
  <c r="P34"/>
  <c r="O34"/>
  <c r="N34"/>
  <c r="L34"/>
  <c r="K34"/>
  <c r="J34"/>
  <c r="DD34" s="1"/>
  <c r="DG34" s="1"/>
  <c r="DH34" s="1"/>
  <c r="I34"/>
  <c r="B34"/>
  <c r="E34" s="1"/>
  <c r="CY33"/>
  <c r="CX33"/>
  <c r="CW33"/>
  <c r="CV33"/>
  <c r="CU33"/>
  <c r="CT33"/>
  <c r="CS33"/>
  <c r="CR33"/>
  <c r="CQ33"/>
  <c r="CP33"/>
  <c r="CO33"/>
  <c r="BG33"/>
  <c r="BA33"/>
  <c r="AY33"/>
  <c r="Q33"/>
  <c r="P33"/>
  <c r="O33"/>
  <c r="N33"/>
  <c r="L33"/>
  <c r="K33"/>
  <c r="J33"/>
  <c r="DD33" s="1"/>
  <c r="DG33" s="1"/>
  <c r="DH33" s="1"/>
  <c r="I33"/>
  <c r="B33"/>
  <c r="BB38" i="89" l="1"/>
  <c r="U23"/>
  <c r="AY39" i="90"/>
  <c r="AX39" s="1"/>
  <c r="AF39"/>
  <c r="U39"/>
  <c r="U41" s="1"/>
  <c r="H39"/>
  <c r="F39"/>
  <c r="F41" s="1"/>
  <c r="AI39"/>
  <c r="M39"/>
  <c r="X39"/>
  <c r="DG38"/>
  <c r="DH7"/>
  <c r="AZ7" s="1"/>
  <c r="AZ38" s="1"/>
  <c r="AZ39" s="1"/>
  <c r="D39"/>
  <c r="AB39"/>
  <c r="BC39" s="1"/>
  <c r="AZ48"/>
  <c r="AZ51" s="1"/>
  <c r="BI38" i="89"/>
  <c r="H35" i="87"/>
  <c r="D39" i="89"/>
  <c r="U27"/>
  <c r="DG38"/>
  <c r="DH7"/>
  <c r="AZ7" s="1"/>
  <c r="AZ38" s="1"/>
  <c r="AZ39" s="1"/>
  <c r="F39"/>
  <c r="F41" s="1"/>
  <c r="DF38"/>
  <c r="T38"/>
  <c r="BC39"/>
  <c r="CX38" i="87"/>
  <c r="CR38"/>
  <c r="H33"/>
  <c r="BG32" i="85"/>
  <c r="BG30"/>
  <c r="BG24"/>
  <c r="BG22"/>
  <c r="BG20"/>
  <c r="BG19"/>
  <c r="BG18"/>
  <c r="BG17"/>
  <c r="BG15"/>
  <c r="BG13"/>
  <c r="BG11"/>
  <c r="BG9"/>
  <c r="BG7"/>
  <c r="BG31"/>
  <c r="BG29"/>
  <c r="BG28"/>
  <c r="BG27"/>
  <c r="BG26"/>
  <c r="BG25"/>
  <c r="BG23"/>
  <c r="BG21"/>
  <c r="BG16"/>
  <c r="BG14"/>
  <c r="BG12"/>
  <c r="BG10"/>
  <c r="BG8"/>
  <c r="H32" i="87"/>
  <c r="H29"/>
  <c r="H28"/>
  <c r="H27"/>
  <c r="M26"/>
  <c r="M25"/>
  <c r="BD23"/>
  <c r="BI23"/>
  <c r="H23"/>
  <c r="AI23"/>
  <c r="AX23"/>
  <c r="BI22"/>
  <c r="M22"/>
  <c r="BD20"/>
  <c r="BI20"/>
  <c r="H20"/>
  <c r="AI20"/>
  <c r="AX20"/>
  <c r="M21"/>
  <c r="H22"/>
  <c r="AI22"/>
  <c r="AX22"/>
  <c r="BB22"/>
  <c r="BD22" s="1"/>
  <c r="M24"/>
  <c r="H25"/>
  <c r="AI25"/>
  <c r="AX25"/>
  <c r="BB25"/>
  <c r="BD25" s="1"/>
  <c r="CT38"/>
  <c r="M18"/>
  <c r="H18"/>
  <c r="AI18"/>
  <c r="AX18"/>
  <c r="BB18"/>
  <c r="BD18" s="1"/>
  <c r="M16"/>
  <c r="H16"/>
  <c r="AI16"/>
  <c r="AX16"/>
  <c r="BB16"/>
  <c r="BD16" s="1"/>
  <c r="CV38"/>
  <c r="CP38"/>
  <c r="BA38"/>
  <c r="BC37" i="88"/>
  <c r="AZ36"/>
  <c r="C35"/>
  <c r="E35"/>
  <c r="D35"/>
  <c r="R35"/>
  <c r="T35" s="1"/>
  <c r="H34"/>
  <c r="AI34"/>
  <c r="BF34"/>
  <c r="M34"/>
  <c r="AF34"/>
  <c r="AX34"/>
  <c r="BB34"/>
  <c r="BD34" s="1"/>
  <c r="BI34"/>
  <c r="BJ34" s="1"/>
  <c r="C34"/>
  <c r="E34"/>
  <c r="D34"/>
  <c r="R34"/>
  <c r="T34" s="1"/>
  <c r="C33"/>
  <c r="E33"/>
  <c r="D33"/>
  <c r="R33"/>
  <c r="T33" s="1"/>
  <c r="H33"/>
  <c r="AI33"/>
  <c r="BF33"/>
  <c r="F33"/>
  <c r="M33"/>
  <c r="AF33"/>
  <c r="AX33"/>
  <c r="BB33"/>
  <c r="BD33" s="1"/>
  <c r="BI33"/>
  <c r="BJ33" s="1"/>
  <c r="H32"/>
  <c r="AI32"/>
  <c r="BF32"/>
  <c r="M32"/>
  <c r="AF32"/>
  <c r="AX32"/>
  <c r="BB32"/>
  <c r="BD32" s="1"/>
  <c r="BI32"/>
  <c r="BJ32" s="1"/>
  <c r="C32"/>
  <c r="E32"/>
  <c r="D32"/>
  <c r="F32" s="1"/>
  <c r="R32"/>
  <c r="T32" s="1"/>
  <c r="C31"/>
  <c r="E31"/>
  <c r="D31"/>
  <c r="R31"/>
  <c r="T31" s="1"/>
  <c r="H30"/>
  <c r="AI30"/>
  <c r="BF30"/>
  <c r="M30"/>
  <c r="AF30"/>
  <c r="AX30"/>
  <c r="BB30"/>
  <c r="BD30" s="1"/>
  <c r="BI30"/>
  <c r="BJ30" s="1"/>
  <c r="C30"/>
  <c r="E30"/>
  <c r="D30"/>
  <c r="R30"/>
  <c r="T30" s="1"/>
  <c r="H29"/>
  <c r="AI29"/>
  <c r="BF29"/>
  <c r="M29"/>
  <c r="AF29"/>
  <c r="AX29"/>
  <c r="BB29"/>
  <c r="BD29" s="1"/>
  <c r="BI29"/>
  <c r="BJ29" s="1"/>
  <c r="C29"/>
  <c r="E29"/>
  <c r="D29"/>
  <c r="R29"/>
  <c r="T29" s="1"/>
  <c r="H28"/>
  <c r="AI28"/>
  <c r="BF28"/>
  <c r="M28"/>
  <c r="AF28"/>
  <c r="AX28"/>
  <c r="BB28"/>
  <c r="BD28" s="1"/>
  <c r="BI28"/>
  <c r="BJ28" s="1"/>
  <c r="C28"/>
  <c r="E28"/>
  <c r="D28"/>
  <c r="R28"/>
  <c r="T28" s="1"/>
  <c r="R27"/>
  <c r="T27" s="1"/>
  <c r="C27"/>
  <c r="E27"/>
  <c r="D27"/>
  <c r="C26"/>
  <c r="E26"/>
  <c r="D26"/>
  <c r="R26"/>
  <c r="T26" s="1"/>
  <c r="C25"/>
  <c r="E25"/>
  <c r="D25"/>
  <c r="R25"/>
  <c r="T25" s="1"/>
  <c r="R24"/>
  <c r="T24" s="1"/>
  <c r="C24"/>
  <c r="E24"/>
  <c r="D24"/>
  <c r="C23"/>
  <c r="E23"/>
  <c r="D23"/>
  <c r="R23"/>
  <c r="T23" s="1"/>
  <c r="H22"/>
  <c r="AI22"/>
  <c r="BF22"/>
  <c r="M22"/>
  <c r="AF22"/>
  <c r="AX22"/>
  <c r="BB22"/>
  <c r="BD22" s="1"/>
  <c r="BI22"/>
  <c r="BJ22" s="1"/>
  <c r="C22"/>
  <c r="E22"/>
  <c r="D22"/>
  <c r="F22" s="1"/>
  <c r="R22"/>
  <c r="T22" s="1"/>
  <c r="R21"/>
  <c r="T21" s="1"/>
  <c r="C21"/>
  <c r="E21"/>
  <c r="D21"/>
  <c r="H21"/>
  <c r="AI21"/>
  <c r="BF21"/>
  <c r="F21"/>
  <c r="M21"/>
  <c r="AF21"/>
  <c r="AX21"/>
  <c r="BB21"/>
  <c r="BD21" s="1"/>
  <c r="BI21"/>
  <c r="BJ21" s="1"/>
  <c r="C20"/>
  <c r="E20"/>
  <c r="D20"/>
  <c r="R20"/>
  <c r="T20" s="1"/>
  <c r="C19"/>
  <c r="E19"/>
  <c r="D19"/>
  <c r="R19"/>
  <c r="T19" s="1"/>
  <c r="C18"/>
  <c r="E18"/>
  <c r="D18"/>
  <c r="R18"/>
  <c r="T18" s="1"/>
  <c r="H17"/>
  <c r="AI17"/>
  <c r="BF17"/>
  <c r="M17"/>
  <c r="AF17"/>
  <c r="AX17"/>
  <c r="BB17"/>
  <c r="BD17" s="1"/>
  <c r="BI17"/>
  <c r="BJ17" s="1"/>
  <c r="C17"/>
  <c r="E17"/>
  <c r="D17"/>
  <c r="R17"/>
  <c r="T17" s="1"/>
  <c r="H16"/>
  <c r="AI16"/>
  <c r="BF16"/>
  <c r="M16"/>
  <c r="AF16"/>
  <c r="AX16"/>
  <c r="BB16"/>
  <c r="BD16" s="1"/>
  <c r="BI16"/>
  <c r="BJ16" s="1"/>
  <c r="R16"/>
  <c r="T16" s="1"/>
  <c r="C16"/>
  <c r="E16"/>
  <c r="D16"/>
  <c r="F16" s="1"/>
  <c r="C15"/>
  <c r="E15"/>
  <c r="D15"/>
  <c r="R15"/>
  <c r="T15" s="1"/>
  <c r="C14"/>
  <c r="E14"/>
  <c r="D14"/>
  <c r="R14"/>
  <c r="T14" s="1"/>
  <c r="H13"/>
  <c r="AI13"/>
  <c r="BF13"/>
  <c r="M13"/>
  <c r="AF13"/>
  <c r="AX13"/>
  <c r="BB13"/>
  <c r="BD13" s="1"/>
  <c r="BI13"/>
  <c r="BJ13" s="1"/>
  <c r="C13"/>
  <c r="E13"/>
  <c r="D13"/>
  <c r="F13" s="1"/>
  <c r="R13"/>
  <c r="T13" s="1"/>
  <c r="C12"/>
  <c r="E12"/>
  <c r="D12"/>
  <c r="R12"/>
  <c r="T12" s="1"/>
  <c r="H11"/>
  <c r="AI11"/>
  <c r="BF11"/>
  <c r="M11"/>
  <c r="AF11"/>
  <c r="AX11"/>
  <c r="BB11"/>
  <c r="BD11" s="1"/>
  <c r="BI11"/>
  <c r="BJ11" s="1"/>
  <c r="C11"/>
  <c r="E11"/>
  <c r="D11"/>
  <c r="F11" s="1"/>
  <c r="R11"/>
  <c r="T11" s="1"/>
  <c r="CO40"/>
  <c r="C10"/>
  <c r="E10"/>
  <c r="D10"/>
  <c r="R10"/>
  <c r="T10" s="1"/>
  <c r="H10"/>
  <c r="AI10"/>
  <c r="BF10"/>
  <c r="F10"/>
  <c r="M10"/>
  <c r="AF10"/>
  <c r="AX10"/>
  <c r="BB10"/>
  <c r="BD10" s="1"/>
  <c r="BI10"/>
  <c r="BJ10" s="1"/>
  <c r="H9"/>
  <c r="AI9"/>
  <c r="BF9"/>
  <c r="M9"/>
  <c r="AF9"/>
  <c r="AX9"/>
  <c r="BB9"/>
  <c r="BD9" s="1"/>
  <c r="BI9"/>
  <c r="BJ9" s="1"/>
  <c r="C9"/>
  <c r="E9"/>
  <c r="D9"/>
  <c r="F9" s="1"/>
  <c r="R9"/>
  <c r="T9" s="1"/>
  <c r="E39"/>
  <c r="C39"/>
  <c r="U8"/>
  <c r="BC7"/>
  <c r="BC8"/>
  <c r="AZ8"/>
  <c r="F8"/>
  <c r="DD38"/>
  <c r="DF38" s="1"/>
  <c r="DG7"/>
  <c r="R38"/>
  <c r="Q39"/>
  <c r="AB39"/>
  <c r="AY38"/>
  <c r="X39"/>
  <c r="BF7"/>
  <c r="BF8" s="1"/>
  <c r="BF37" s="1"/>
  <c r="AI7"/>
  <c r="H7"/>
  <c r="BB7"/>
  <c r="BI7"/>
  <c r="AX7"/>
  <c r="AF7"/>
  <c r="M7"/>
  <c r="F7"/>
  <c r="T7"/>
  <c r="AM44"/>
  <c r="AM39"/>
  <c r="AN39" s="1"/>
  <c r="CY38" i="87"/>
  <c r="CU38"/>
  <c r="CO38"/>
  <c r="AM38"/>
  <c r="AM39" s="1"/>
  <c r="P38"/>
  <c r="P39" s="1"/>
  <c r="CV38" i="85"/>
  <c r="BG8" i="87"/>
  <c r="BG10"/>
  <c r="BG12"/>
  <c r="BG14"/>
  <c r="BG18"/>
  <c r="BG19"/>
  <c r="BG20"/>
  <c r="BG23"/>
  <c r="BG26"/>
  <c r="BG28"/>
  <c r="BG30"/>
  <c r="BG32"/>
  <c r="BG34"/>
  <c r="R36" i="84"/>
  <c r="T36" s="1"/>
  <c r="U36" s="1"/>
  <c r="BI29"/>
  <c r="BJ29" s="1"/>
  <c r="AI36"/>
  <c r="AX36"/>
  <c r="BB36"/>
  <c r="BD36" s="1"/>
  <c r="BH36"/>
  <c r="C36"/>
  <c r="D36" s="1"/>
  <c r="BI35"/>
  <c r="BB35"/>
  <c r="BD35" s="1"/>
  <c r="AX35"/>
  <c r="AF35"/>
  <c r="M35"/>
  <c r="AI35"/>
  <c r="H35"/>
  <c r="C35"/>
  <c r="D35" s="1"/>
  <c r="E35"/>
  <c r="R35"/>
  <c r="T35" s="1"/>
  <c r="AN35"/>
  <c r="BH35"/>
  <c r="BI34"/>
  <c r="BB34"/>
  <c r="BD34" s="1"/>
  <c r="AX34"/>
  <c r="AF34"/>
  <c r="M34"/>
  <c r="AI34"/>
  <c r="H34"/>
  <c r="C34"/>
  <c r="D34" s="1"/>
  <c r="E34"/>
  <c r="R34"/>
  <c r="T34" s="1"/>
  <c r="AN34"/>
  <c r="BH34"/>
  <c r="D30"/>
  <c r="E30"/>
  <c r="R30"/>
  <c r="T30" s="1"/>
  <c r="U30" s="1"/>
  <c r="AF33"/>
  <c r="M33"/>
  <c r="F33"/>
  <c r="BB33"/>
  <c r="BD33" s="1"/>
  <c r="AX33"/>
  <c r="AI33"/>
  <c r="U33"/>
  <c r="E33"/>
  <c r="BC33" s="1"/>
  <c r="AF32"/>
  <c r="M32"/>
  <c r="F32"/>
  <c r="BB32"/>
  <c r="BD32" s="1"/>
  <c r="AX32"/>
  <c r="AI32"/>
  <c r="U32"/>
  <c r="E32"/>
  <c r="BC32" s="1"/>
  <c r="AF31"/>
  <c r="M31"/>
  <c r="F31"/>
  <c r="BB31"/>
  <c r="BD31" s="1"/>
  <c r="AX31"/>
  <c r="AI31"/>
  <c r="U31"/>
  <c r="E31"/>
  <c r="BC31" s="1"/>
  <c r="BI30"/>
  <c r="BD30"/>
  <c r="M30"/>
  <c r="AF30"/>
  <c r="AX30"/>
  <c r="P38"/>
  <c r="P39" s="1"/>
  <c r="BB29"/>
  <c r="BD29" s="1"/>
  <c r="AX29"/>
  <c r="AF29"/>
  <c r="M29"/>
  <c r="F29"/>
  <c r="AI29"/>
  <c r="U29"/>
  <c r="E29"/>
  <c r="AZ29" s="1"/>
  <c r="BJ28"/>
  <c r="AF28"/>
  <c r="M28"/>
  <c r="F28"/>
  <c r="BB28"/>
  <c r="BD28" s="1"/>
  <c r="AX28"/>
  <c r="AI28"/>
  <c r="U28"/>
  <c r="E28"/>
  <c r="BC28" s="1"/>
  <c r="BJ27"/>
  <c r="AF27"/>
  <c r="M27"/>
  <c r="F27"/>
  <c r="BB27"/>
  <c r="BD27" s="1"/>
  <c r="AX27"/>
  <c r="AI27"/>
  <c r="U27"/>
  <c r="E27"/>
  <c r="BC27" s="1"/>
  <c r="BJ26"/>
  <c r="AF26"/>
  <c r="M26"/>
  <c r="F26"/>
  <c r="BB26"/>
  <c r="BD26" s="1"/>
  <c r="AX26"/>
  <c r="AI26"/>
  <c r="U26"/>
  <c r="E26"/>
  <c r="BC26" s="1"/>
  <c r="BJ25"/>
  <c r="AF25"/>
  <c r="M25"/>
  <c r="F25"/>
  <c r="BB25"/>
  <c r="BD25" s="1"/>
  <c r="AX25"/>
  <c r="AI25"/>
  <c r="U25"/>
  <c r="E25"/>
  <c r="BC25" s="1"/>
  <c r="BJ24"/>
  <c r="AF24"/>
  <c r="M24"/>
  <c r="F24"/>
  <c r="AX24"/>
  <c r="AI24"/>
  <c r="U24"/>
  <c r="E24"/>
  <c r="BC24" s="1"/>
  <c r="L38" i="85"/>
  <c r="L39" s="1"/>
  <c r="N38"/>
  <c r="N39" s="1"/>
  <c r="O38"/>
  <c r="O39" s="1"/>
  <c r="I38" i="87"/>
  <c r="I39" s="1"/>
  <c r="I41" s="1"/>
  <c r="K38"/>
  <c r="K39" s="1"/>
  <c r="N38"/>
  <c r="N39" s="1"/>
  <c r="B38" i="85"/>
  <c r="B39" s="1"/>
  <c r="CO38" i="84"/>
  <c r="CQ38"/>
  <c r="CS38"/>
  <c r="CU38"/>
  <c r="CW38"/>
  <c r="CY38"/>
  <c r="K38" i="85"/>
  <c r="K39" s="1"/>
  <c r="CW38" i="87"/>
  <c r="I38" i="85"/>
  <c r="I39" s="1"/>
  <c r="I41" s="1"/>
  <c r="J38"/>
  <c r="J39" s="1"/>
  <c r="Q38"/>
  <c r="Q39" s="1"/>
  <c r="B38" i="87"/>
  <c r="B39" s="1"/>
  <c r="J38"/>
  <c r="J39" s="1"/>
  <c r="L38"/>
  <c r="L39" s="1"/>
  <c r="O38"/>
  <c r="O39" s="1"/>
  <c r="Q38"/>
  <c r="R38" s="1"/>
  <c r="E18"/>
  <c r="E20"/>
  <c r="E22"/>
  <c r="E25"/>
  <c r="T32"/>
  <c r="T33"/>
  <c r="D35"/>
  <c r="E35"/>
  <c r="D16"/>
  <c r="E16"/>
  <c r="R16"/>
  <c r="T16" s="1"/>
  <c r="C18"/>
  <c r="D18" s="1"/>
  <c r="T18"/>
  <c r="C20"/>
  <c r="D20" s="1"/>
  <c r="AZ20" s="1"/>
  <c r="T20"/>
  <c r="C22"/>
  <c r="D22" s="1"/>
  <c r="T22"/>
  <c r="C25"/>
  <c r="D25" s="1"/>
  <c r="T25"/>
  <c r="D27"/>
  <c r="E27"/>
  <c r="R27"/>
  <c r="T27" s="1"/>
  <c r="D28"/>
  <c r="E28"/>
  <c r="R28"/>
  <c r="T28" s="1"/>
  <c r="D29"/>
  <c r="E29"/>
  <c r="R29"/>
  <c r="T29" s="1"/>
  <c r="D30"/>
  <c r="E30"/>
  <c r="R30"/>
  <c r="T30" s="1"/>
  <c r="D31"/>
  <c r="E31"/>
  <c r="T31"/>
  <c r="D32"/>
  <c r="E32"/>
  <c r="D33"/>
  <c r="E33"/>
  <c r="T35"/>
  <c r="BI8"/>
  <c r="BB8"/>
  <c r="BD8" s="1"/>
  <c r="AX8"/>
  <c r="AF8"/>
  <c r="M8"/>
  <c r="AI8"/>
  <c r="H8"/>
  <c r="BI10"/>
  <c r="BB10"/>
  <c r="BD10" s="1"/>
  <c r="AX10"/>
  <c r="AF10"/>
  <c r="M10"/>
  <c r="AI10"/>
  <c r="H10"/>
  <c r="BI12"/>
  <c r="BB12"/>
  <c r="BD12" s="1"/>
  <c r="AX12"/>
  <c r="AF12"/>
  <c r="M12"/>
  <c r="AI12"/>
  <c r="H12"/>
  <c r="BI14"/>
  <c r="BB14"/>
  <c r="BD14" s="1"/>
  <c r="AX14"/>
  <c r="AF14"/>
  <c r="M14"/>
  <c r="AI14"/>
  <c r="H14"/>
  <c r="BI9"/>
  <c r="BB9"/>
  <c r="BD9" s="1"/>
  <c r="AX9"/>
  <c r="AF9"/>
  <c r="M9"/>
  <c r="AI9"/>
  <c r="H9"/>
  <c r="BI11"/>
  <c r="BB11"/>
  <c r="BD11" s="1"/>
  <c r="AX11"/>
  <c r="AF11"/>
  <c r="M11"/>
  <c r="AI11"/>
  <c r="H11"/>
  <c r="BI13"/>
  <c r="BB13"/>
  <c r="BD13" s="1"/>
  <c r="AX13"/>
  <c r="AF13"/>
  <c r="M13"/>
  <c r="AI13"/>
  <c r="H13"/>
  <c r="BI19"/>
  <c r="BB19"/>
  <c r="AX19"/>
  <c r="AI19"/>
  <c r="U19"/>
  <c r="H19"/>
  <c r="AI34"/>
  <c r="H34"/>
  <c r="BI34"/>
  <c r="BB34"/>
  <c r="BD34" s="1"/>
  <c r="AX34"/>
  <c r="AF34"/>
  <c r="M34"/>
  <c r="BI37"/>
  <c r="BB37"/>
  <c r="BD37" s="1"/>
  <c r="AX37"/>
  <c r="AF37"/>
  <c r="M37"/>
  <c r="AI37"/>
  <c r="H37"/>
  <c r="C7"/>
  <c r="D7" s="1"/>
  <c r="E7"/>
  <c r="R7"/>
  <c r="T7" s="1"/>
  <c r="AN7"/>
  <c r="AY7"/>
  <c r="BH7"/>
  <c r="DD7"/>
  <c r="C8"/>
  <c r="D8" s="1"/>
  <c r="E8"/>
  <c r="R8"/>
  <c r="T8" s="1"/>
  <c r="AN8"/>
  <c r="BH8"/>
  <c r="BH9" s="1"/>
  <c r="BH10" s="1"/>
  <c r="BH11" s="1"/>
  <c r="BH12" s="1"/>
  <c r="BH13" s="1"/>
  <c r="BH14" s="1"/>
  <c r="BH15" s="1"/>
  <c r="BH16" s="1"/>
  <c r="BH17" s="1"/>
  <c r="BH18" s="1"/>
  <c r="BH19" s="1"/>
  <c r="BH20" s="1"/>
  <c r="BH21" s="1"/>
  <c r="BH22" s="1"/>
  <c r="BH23" s="1"/>
  <c r="BH24" s="1"/>
  <c r="BH25" s="1"/>
  <c r="BH26" s="1"/>
  <c r="BH27" s="1"/>
  <c r="BH28" s="1"/>
  <c r="BH29" s="1"/>
  <c r="BH30" s="1"/>
  <c r="BH31" s="1"/>
  <c r="BH32" s="1"/>
  <c r="BH33" s="1"/>
  <c r="BH34" s="1"/>
  <c r="BH35" s="1"/>
  <c r="BH36" s="1"/>
  <c r="BH37" s="1"/>
  <c r="C9"/>
  <c r="D9" s="1"/>
  <c r="E9"/>
  <c r="R9"/>
  <c r="T9" s="1"/>
  <c r="AN9"/>
  <c r="C10"/>
  <c r="D10" s="1"/>
  <c r="E10"/>
  <c r="R10"/>
  <c r="T10" s="1"/>
  <c r="AN10"/>
  <c r="C11"/>
  <c r="D11" s="1"/>
  <c r="E11"/>
  <c r="R11"/>
  <c r="T11" s="1"/>
  <c r="AN11"/>
  <c r="C12"/>
  <c r="D12" s="1"/>
  <c r="E12"/>
  <c r="R12"/>
  <c r="T12" s="1"/>
  <c r="AN12"/>
  <c r="C13"/>
  <c r="D13" s="1"/>
  <c r="E13"/>
  <c r="R13"/>
  <c r="T13" s="1"/>
  <c r="AN13"/>
  <c r="C14"/>
  <c r="D14" s="1"/>
  <c r="E14"/>
  <c r="R14"/>
  <c r="T14" s="1"/>
  <c r="AN14"/>
  <c r="C15"/>
  <c r="D15" s="1"/>
  <c r="E15"/>
  <c r="H15"/>
  <c r="R15"/>
  <c r="T15" s="1"/>
  <c r="AI15"/>
  <c r="AX15"/>
  <c r="BB15"/>
  <c r="BD15" s="1"/>
  <c r="C17"/>
  <c r="D17" s="1"/>
  <c r="E17"/>
  <c r="H17"/>
  <c r="R17"/>
  <c r="T17" s="1"/>
  <c r="AI17"/>
  <c r="AX17"/>
  <c r="BB17"/>
  <c r="BD17" s="1"/>
  <c r="E19"/>
  <c r="C19"/>
  <c r="D19" s="1"/>
  <c r="AI36"/>
  <c r="H36"/>
  <c r="BI36"/>
  <c r="BB36"/>
  <c r="BD36" s="1"/>
  <c r="AX36"/>
  <c r="AF36"/>
  <c r="M36"/>
  <c r="BD19"/>
  <c r="C21"/>
  <c r="D21" s="1"/>
  <c r="E21"/>
  <c r="H21"/>
  <c r="R21"/>
  <c r="T21" s="1"/>
  <c r="AI21"/>
  <c r="AX21"/>
  <c r="BB21"/>
  <c r="BD21" s="1"/>
  <c r="C23"/>
  <c r="D23" s="1"/>
  <c r="E23"/>
  <c r="R23"/>
  <c r="T23" s="1"/>
  <c r="T24"/>
  <c r="T26"/>
  <c r="T34"/>
  <c r="T36"/>
  <c r="C37"/>
  <c r="D37" s="1"/>
  <c r="E37"/>
  <c r="R37"/>
  <c r="T37" s="1"/>
  <c r="AN37"/>
  <c r="AT39"/>
  <c r="BS39"/>
  <c r="BU39"/>
  <c r="BW39"/>
  <c r="BY39"/>
  <c r="CA39"/>
  <c r="CC39"/>
  <c r="CE39"/>
  <c r="L46"/>
  <c r="C24"/>
  <c r="D24" s="1"/>
  <c r="AZ24" s="1"/>
  <c r="H24"/>
  <c r="AI24"/>
  <c r="AX24"/>
  <c r="BB24"/>
  <c r="BD24" s="1"/>
  <c r="C26"/>
  <c r="D26" s="1"/>
  <c r="AZ26" s="1"/>
  <c r="H26"/>
  <c r="AI26"/>
  <c r="AX26"/>
  <c r="BB26"/>
  <c r="BD26" s="1"/>
  <c r="F27"/>
  <c r="M27"/>
  <c r="AF27"/>
  <c r="AX27"/>
  <c r="BB27"/>
  <c r="BD27" s="1"/>
  <c r="M28"/>
  <c r="AF28"/>
  <c r="AX28"/>
  <c r="BB28"/>
  <c r="BD28" s="1"/>
  <c r="M29"/>
  <c r="AF29"/>
  <c r="AX29"/>
  <c r="BB29"/>
  <c r="BD29" s="1"/>
  <c r="M30"/>
  <c r="AF30"/>
  <c r="AX30"/>
  <c r="BB30"/>
  <c r="BD30" s="1"/>
  <c r="M31"/>
  <c r="AF31"/>
  <c r="AX31"/>
  <c r="BB31"/>
  <c r="BD31" s="1"/>
  <c r="M32"/>
  <c r="AF32"/>
  <c r="AX32"/>
  <c r="BB32"/>
  <c r="BD32" s="1"/>
  <c r="M33"/>
  <c r="AF33"/>
  <c r="AX33"/>
  <c r="BB33"/>
  <c r="BD33" s="1"/>
  <c r="C34"/>
  <c r="D34" s="1"/>
  <c r="AN34"/>
  <c r="M35"/>
  <c r="AF35"/>
  <c r="AX35"/>
  <c r="BB35"/>
  <c r="BD35" s="1"/>
  <c r="C36"/>
  <c r="D36" s="1"/>
  <c r="AN36"/>
  <c r="BA38" i="85"/>
  <c r="CW38"/>
  <c r="CP38"/>
  <c r="CO39" s="1"/>
  <c r="CR38"/>
  <c r="CT38"/>
  <c r="AM44"/>
  <c r="AM39"/>
  <c r="AT39"/>
  <c r="BS39"/>
  <c r="BU39"/>
  <c r="BW39"/>
  <c r="BY39"/>
  <c r="CA39"/>
  <c r="CC39"/>
  <c r="CE39"/>
  <c r="L46"/>
  <c r="CP38" i="84"/>
  <c r="CR38"/>
  <c r="CT38"/>
  <c r="CV38"/>
  <c r="CX38"/>
  <c r="BA38"/>
  <c r="BI23"/>
  <c r="BB23"/>
  <c r="BD23" s="1"/>
  <c r="AX23"/>
  <c r="AF23"/>
  <c r="M23"/>
  <c r="BF23"/>
  <c r="AI23"/>
  <c r="H23"/>
  <c r="BJ23"/>
  <c r="C23"/>
  <c r="D23" s="1"/>
  <c r="E23"/>
  <c r="R23"/>
  <c r="T23" s="1"/>
  <c r="AN23"/>
  <c r="BH23"/>
  <c r="BI22"/>
  <c r="BB22"/>
  <c r="BD22" s="1"/>
  <c r="AX22"/>
  <c r="AF22"/>
  <c r="M22"/>
  <c r="BF22"/>
  <c r="AI22"/>
  <c r="H22"/>
  <c r="BJ22"/>
  <c r="C22"/>
  <c r="D22" s="1"/>
  <c r="E22"/>
  <c r="R22"/>
  <c r="T22" s="1"/>
  <c r="AN22"/>
  <c r="BH22"/>
  <c r="BI21"/>
  <c r="BB21"/>
  <c r="BD21" s="1"/>
  <c r="AX21"/>
  <c r="AF21"/>
  <c r="M21"/>
  <c r="BF21"/>
  <c r="AI21"/>
  <c r="H21"/>
  <c r="BJ21"/>
  <c r="C21"/>
  <c r="D21" s="1"/>
  <c r="E21"/>
  <c r="R21"/>
  <c r="T21" s="1"/>
  <c r="AN21"/>
  <c r="BH21"/>
  <c r="BI20"/>
  <c r="BB20"/>
  <c r="BD20" s="1"/>
  <c r="AX20"/>
  <c r="AF20"/>
  <c r="M20"/>
  <c r="BF20"/>
  <c r="AI20"/>
  <c r="H20"/>
  <c r="BJ20"/>
  <c r="C20"/>
  <c r="D20" s="1"/>
  <c r="E20"/>
  <c r="R20"/>
  <c r="T20" s="1"/>
  <c r="AN20"/>
  <c r="BH20"/>
  <c r="AF19"/>
  <c r="M19"/>
  <c r="F19"/>
  <c r="BB19"/>
  <c r="BD19" s="1"/>
  <c r="AX19"/>
  <c r="AI19"/>
  <c r="U19"/>
  <c r="E19"/>
  <c r="BC19" s="1"/>
  <c r="BJ18"/>
  <c r="AF18"/>
  <c r="M18"/>
  <c r="F18"/>
  <c r="BB18"/>
  <c r="BD18" s="1"/>
  <c r="AX18"/>
  <c r="AI18"/>
  <c r="U18"/>
  <c r="E18"/>
  <c r="AZ18" s="1"/>
  <c r="BI17"/>
  <c r="BB17"/>
  <c r="BD17" s="1"/>
  <c r="AX17"/>
  <c r="AF17"/>
  <c r="M17"/>
  <c r="BF17"/>
  <c r="AI17"/>
  <c r="H17"/>
  <c r="BJ17"/>
  <c r="C17"/>
  <c r="D17" s="1"/>
  <c r="E17"/>
  <c r="R17"/>
  <c r="T17" s="1"/>
  <c r="AN17"/>
  <c r="BH17"/>
  <c r="D16"/>
  <c r="E16"/>
  <c r="R16"/>
  <c r="T16" s="1"/>
  <c r="BF16"/>
  <c r="M16"/>
  <c r="AF16"/>
  <c r="AX16"/>
  <c r="BB16"/>
  <c r="BD16" s="1"/>
  <c r="E15"/>
  <c r="C15"/>
  <c r="D15" s="1"/>
  <c r="T15"/>
  <c r="BB15"/>
  <c r="BD15" s="1"/>
  <c r="H15"/>
  <c r="AI15"/>
  <c r="AX15"/>
  <c r="BJ15"/>
  <c r="BF15"/>
  <c r="BH15"/>
  <c r="BI14"/>
  <c r="BB14"/>
  <c r="BD14" s="1"/>
  <c r="AX14"/>
  <c r="AF14"/>
  <c r="M14"/>
  <c r="BF14"/>
  <c r="AI14"/>
  <c r="H14"/>
  <c r="BJ14"/>
  <c r="C14"/>
  <c r="D14" s="1"/>
  <c r="E14"/>
  <c r="R14"/>
  <c r="T14" s="1"/>
  <c r="AN14"/>
  <c r="BH14"/>
  <c r="BI13"/>
  <c r="BB13"/>
  <c r="BD13" s="1"/>
  <c r="AX13"/>
  <c r="AF13"/>
  <c r="M13"/>
  <c r="BF13"/>
  <c r="AI13"/>
  <c r="H13"/>
  <c r="BJ13"/>
  <c r="C13"/>
  <c r="D13" s="1"/>
  <c r="E13"/>
  <c r="R13"/>
  <c r="T13" s="1"/>
  <c r="AN13"/>
  <c r="BH13"/>
  <c r="BJ12"/>
  <c r="AF12"/>
  <c r="M12"/>
  <c r="F12"/>
  <c r="BB12"/>
  <c r="BD12" s="1"/>
  <c r="AX12"/>
  <c r="AI12"/>
  <c r="U12"/>
  <c r="E12"/>
  <c r="BC12" s="1"/>
  <c r="BJ11"/>
  <c r="AF11"/>
  <c r="M11"/>
  <c r="F11"/>
  <c r="BB11"/>
  <c r="BD11" s="1"/>
  <c r="AX11"/>
  <c r="AI11"/>
  <c r="U11"/>
  <c r="E11"/>
  <c r="AZ11" s="1"/>
  <c r="BI10"/>
  <c r="BB10"/>
  <c r="BD10" s="1"/>
  <c r="AX10"/>
  <c r="AF10"/>
  <c r="M10"/>
  <c r="BF10"/>
  <c r="AI10"/>
  <c r="H10"/>
  <c r="BJ10"/>
  <c r="C10"/>
  <c r="D10" s="1"/>
  <c r="E10"/>
  <c r="R10"/>
  <c r="T10" s="1"/>
  <c r="AN10"/>
  <c r="BH10"/>
  <c r="I38"/>
  <c r="I39" s="1"/>
  <c r="I41" s="1"/>
  <c r="K38"/>
  <c r="K39" s="1"/>
  <c r="N38"/>
  <c r="N39" s="1"/>
  <c r="B38"/>
  <c r="B39" s="1"/>
  <c r="E7"/>
  <c r="J38"/>
  <c r="J39" s="1"/>
  <c r="L38"/>
  <c r="L39" s="1"/>
  <c r="O38"/>
  <c r="O39" s="1"/>
  <c r="Q38"/>
  <c r="Q39" s="1"/>
  <c r="T8"/>
  <c r="D8"/>
  <c r="E8"/>
  <c r="AF9"/>
  <c r="M9"/>
  <c r="F9"/>
  <c r="BB9"/>
  <c r="BD9" s="1"/>
  <c r="AX9"/>
  <c r="AI9"/>
  <c r="U9"/>
  <c r="E9"/>
  <c r="BC9" s="1"/>
  <c r="H7"/>
  <c r="AY38"/>
  <c r="AB39" s="1"/>
  <c r="AM44"/>
  <c r="AM39"/>
  <c r="BI37"/>
  <c r="BB37"/>
  <c r="BD37" s="1"/>
  <c r="AX37"/>
  <c r="AF37"/>
  <c r="M37"/>
  <c r="F37"/>
  <c r="AI37"/>
  <c r="U37"/>
  <c r="H37"/>
  <c r="BF7"/>
  <c r="BF8" s="1"/>
  <c r="DD7"/>
  <c r="D7"/>
  <c r="M7"/>
  <c r="T7"/>
  <c r="AF7"/>
  <c r="AX7"/>
  <c r="BB7"/>
  <c r="BI7"/>
  <c r="M8"/>
  <c r="AF8"/>
  <c r="AX8"/>
  <c r="BB8"/>
  <c r="BD8" s="1"/>
  <c r="C37"/>
  <c r="D37" s="1"/>
  <c r="E37"/>
  <c r="R37"/>
  <c r="AN37"/>
  <c r="AT39"/>
  <c r="BS39"/>
  <c r="BU39"/>
  <c r="BW39"/>
  <c r="BY39"/>
  <c r="CA39"/>
  <c r="CC39"/>
  <c r="CE39"/>
  <c r="L46"/>
  <c r="N38" i="83"/>
  <c r="N39" s="1"/>
  <c r="I38"/>
  <c r="I39" s="1"/>
  <c r="I41" s="1"/>
  <c r="K38"/>
  <c r="K39" s="1"/>
  <c r="L37"/>
  <c r="CR37"/>
  <c r="B37"/>
  <c r="BJ37"/>
  <c r="AF37"/>
  <c r="M37"/>
  <c r="U37"/>
  <c r="L36"/>
  <c r="B36"/>
  <c r="CR36"/>
  <c r="AY36"/>
  <c r="L35"/>
  <c r="B35"/>
  <c r="CR35"/>
  <c r="AY35"/>
  <c r="L34"/>
  <c r="B34"/>
  <c r="CR34"/>
  <c r="AX34"/>
  <c r="AF34"/>
  <c r="M34"/>
  <c r="BJ34"/>
  <c r="AI34"/>
  <c r="U34"/>
  <c r="L33"/>
  <c r="B33"/>
  <c r="CR33"/>
  <c r="BB33"/>
  <c r="BD33" s="1"/>
  <c r="AX33"/>
  <c r="AF33"/>
  <c r="M33"/>
  <c r="AI33"/>
  <c r="U33"/>
  <c r="L32"/>
  <c r="B32"/>
  <c r="CR32"/>
  <c r="BB32"/>
  <c r="BD32" s="1"/>
  <c r="AX32"/>
  <c r="AF32"/>
  <c r="M32"/>
  <c r="AI32"/>
  <c r="U32"/>
  <c r="L31"/>
  <c r="B31"/>
  <c r="CR31"/>
  <c r="AY31"/>
  <c r="L30"/>
  <c r="B30"/>
  <c r="CR30"/>
  <c r="AY30"/>
  <c r="L29"/>
  <c r="B29"/>
  <c r="CR29"/>
  <c r="AX29"/>
  <c r="AF29"/>
  <c r="M29"/>
  <c r="BJ29"/>
  <c r="AI29"/>
  <c r="U29"/>
  <c r="L28"/>
  <c r="B28"/>
  <c r="CR28"/>
  <c r="AX28"/>
  <c r="AF28"/>
  <c r="M28"/>
  <c r="BJ28"/>
  <c r="AI28"/>
  <c r="U28"/>
  <c r="L27"/>
  <c r="B27"/>
  <c r="CR27"/>
  <c r="BB27"/>
  <c r="BD27" s="1"/>
  <c r="AX27"/>
  <c r="AF27"/>
  <c r="M27"/>
  <c r="AI27"/>
  <c r="U27"/>
  <c r="L26"/>
  <c r="B26"/>
  <c r="CR26"/>
  <c r="BB26"/>
  <c r="BD26" s="1"/>
  <c r="AX26"/>
  <c r="AF26"/>
  <c r="M26"/>
  <c r="AI26"/>
  <c r="U26"/>
  <c r="L25"/>
  <c r="CR25"/>
  <c r="B25"/>
  <c r="BJ25"/>
  <c r="AF25"/>
  <c r="M25"/>
  <c r="AI25"/>
  <c r="U25"/>
  <c r="L24"/>
  <c r="B24"/>
  <c r="CR24"/>
  <c r="AX24"/>
  <c r="AF24"/>
  <c r="M24"/>
  <c r="BJ24"/>
  <c r="AI24"/>
  <c r="U24"/>
  <c r="L23"/>
  <c r="B23"/>
  <c r="CR23"/>
  <c r="BI23"/>
  <c r="BJ23" s="1"/>
  <c r="BB23"/>
  <c r="BD23" s="1"/>
  <c r="AX23"/>
  <c r="AF23"/>
  <c r="M23"/>
  <c r="AI23"/>
  <c r="U23"/>
  <c r="L22"/>
  <c r="B22"/>
  <c r="CR22"/>
  <c r="AY22"/>
  <c r="L21"/>
  <c r="B21"/>
  <c r="CR21"/>
  <c r="AY21"/>
  <c r="L38"/>
  <c r="L39" s="1"/>
  <c r="L20"/>
  <c r="B20"/>
  <c r="CR20"/>
  <c r="AY20"/>
  <c r="L19"/>
  <c r="B19"/>
  <c r="CR19"/>
  <c r="AY19"/>
  <c r="L18"/>
  <c r="B18"/>
  <c r="CR18"/>
  <c r="AY18"/>
  <c r="L17"/>
  <c r="B17"/>
  <c r="CR17"/>
  <c r="AY17"/>
  <c r="L16"/>
  <c r="B16"/>
  <c r="CR16"/>
  <c r="BB16"/>
  <c r="BD16" s="1"/>
  <c r="AX16"/>
  <c r="AF16"/>
  <c r="M16"/>
  <c r="AI16"/>
  <c r="U16"/>
  <c r="L15"/>
  <c r="B15"/>
  <c r="CR15"/>
  <c r="BB15"/>
  <c r="BD15" s="1"/>
  <c r="AX15"/>
  <c r="AF15"/>
  <c r="M15"/>
  <c r="AI15"/>
  <c r="U15"/>
  <c r="L14"/>
  <c r="B14"/>
  <c r="CR14"/>
  <c r="AY14"/>
  <c r="L13"/>
  <c r="B13"/>
  <c r="CR13"/>
  <c r="AY13"/>
  <c r="L12"/>
  <c r="B12"/>
  <c r="CR12"/>
  <c r="AY12"/>
  <c r="L11"/>
  <c r="CR11"/>
  <c r="B11"/>
  <c r="BH11"/>
  <c r="AN11"/>
  <c r="AY11"/>
  <c r="L10"/>
  <c r="B10"/>
  <c r="CR10"/>
  <c r="AY10"/>
  <c r="BN38"/>
  <c r="CB39" s="1"/>
  <c r="L9"/>
  <c r="B9"/>
  <c r="CR9"/>
  <c r="Q38"/>
  <c r="R39" s="1"/>
  <c r="R41" s="1"/>
  <c r="BB9"/>
  <c r="BD9" s="1"/>
  <c r="AX9"/>
  <c r="AF9"/>
  <c r="M9"/>
  <c r="BJ9"/>
  <c r="AI9"/>
  <c r="U9"/>
  <c r="CR38"/>
  <c r="CQ44" s="1"/>
  <c r="C7"/>
  <c r="J38"/>
  <c r="J39" s="1"/>
  <c r="O38"/>
  <c r="O39" s="1"/>
  <c r="E7"/>
  <c r="D8"/>
  <c r="E8"/>
  <c r="P38"/>
  <c r="P39" s="1"/>
  <c r="T8"/>
  <c r="CV38"/>
  <c r="CV39" s="1"/>
  <c r="U8"/>
  <c r="BC8"/>
  <c r="DD7"/>
  <c r="AM44"/>
  <c r="AM39"/>
  <c r="BF7"/>
  <c r="BF8" s="1"/>
  <c r="D7"/>
  <c r="F7" s="1"/>
  <c r="M7"/>
  <c r="T7"/>
  <c r="AF7"/>
  <c r="AX7"/>
  <c r="BB7"/>
  <c r="BD7"/>
  <c r="BI7"/>
  <c r="CO39"/>
  <c r="F8"/>
  <c r="M8"/>
  <c r="AF8"/>
  <c r="AX8"/>
  <c r="BB8"/>
  <c r="BD8" s="1"/>
  <c r="AT39"/>
  <c r="BS39"/>
  <c r="BU39"/>
  <c r="BW39"/>
  <c r="BY39"/>
  <c r="CA39"/>
  <c r="CC39"/>
  <c r="CE39"/>
  <c r="L46"/>
  <c r="E37" i="81"/>
  <c r="C37"/>
  <c r="D37" s="1"/>
  <c r="T37"/>
  <c r="BB37"/>
  <c r="BD37" s="1"/>
  <c r="H37"/>
  <c r="AI37"/>
  <c r="AX37"/>
  <c r="BJ37"/>
  <c r="BF37"/>
  <c r="BH37"/>
  <c r="BI36"/>
  <c r="AF36"/>
  <c r="M36"/>
  <c r="F36"/>
  <c r="BB36"/>
  <c r="BD36" s="1"/>
  <c r="AX36"/>
  <c r="AI36"/>
  <c r="U36"/>
  <c r="E36"/>
  <c r="BC36" s="1"/>
  <c r="BJ35"/>
  <c r="BJ36" s="1"/>
  <c r="AF35"/>
  <c r="M35"/>
  <c r="F35"/>
  <c r="BB35"/>
  <c r="BD35" s="1"/>
  <c r="AX35"/>
  <c r="AI35"/>
  <c r="U35"/>
  <c r="E35"/>
  <c r="BC35" s="1"/>
  <c r="AX34"/>
  <c r="AF34"/>
  <c r="BF34"/>
  <c r="AI34"/>
  <c r="H34"/>
  <c r="BI34"/>
  <c r="BB34"/>
  <c r="BD34" s="1"/>
  <c r="M34"/>
  <c r="BJ34"/>
  <c r="C34"/>
  <c r="D34" s="1"/>
  <c r="R34"/>
  <c r="T34" s="1"/>
  <c r="AN34"/>
  <c r="BH34"/>
  <c r="BI33"/>
  <c r="BB33"/>
  <c r="BD33" s="1"/>
  <c r="AX33"/>
  <c r="AF33"/>
  <c r="M33"/>
  <c r="BF33"/>
  <c r="AI33"/>
  <c r="H33"/>
  <c r="BJ33"/>
  <c r="C33"/>
  <c r="D33" s="1"/>
  <c r="E33"/>
  <c r="R33"/>
  <c r="T33" s="1"/>
  <c r="AN33"/>
  <c r="BH33"/>
  <c r="BD59" i="82"/>
  <c r="Q8"/>
  <c r="R8" s="1"/>
  <c r="T8" s="1"/>
  <c r="Q9"/>
  <c r="R9" s="1"/>
  <c r="T9" s="1"/>
  <c r="Q10"/>
  <c r="R10" s="1"/>
  <c r="T10" s="1"/>
  <c r="Q11"/>
  <c r="R11" s="1"/>
  <c r="T11" s="1"/>
  <c r="Q12"/>
  <c r="R12" s="1"/>
  <c r="T12" s="1"/>
  <c r="Q13"/>
  <c r="R13" s="1"/>
  <c r="T13" s="1"/>
  <c r="Q14"/>
  <c r="R14" s="1"/>
  <c r="T14" s="1"/>
  <c r="Q15"/>
  <c r="R15" s="1"/>
  <c r="T15" s="1"/>
  <c r="Q16"/>
  <c r="R16" s="1"/>
  <c r="T16" s="1"/>
  <c r="Q17"/>
  <c r="R17" s="1"/>
  <c r="T17" s="1"/>
  <c r="Q18"/>
  <c r="R18" s="1"/>
  <c r="T18" s="1"/>
  <c r="Q19"/>
  <c r="R19" s="1"/>
  <c r="T19" s="1"/>
  <c r="Q20"/>
  <c r="R20" s="1"/>
  <c r="T20" s="1"/>
  <c r="Q21"/>
  <c r="R21" s="1"/>
  <c r="T21" s="1"/>
  <c r="Q22"/>
  <c r="R22" s="1"/>
  <c r="T22" s="1"/>
  <c r="Q23"/>
  <c r="R23" s="1"/>
  <c r="T23" s="1"/>
  <c r="Q24"/>
  <c r="R24" s="1"/>
  <c r="T24" s="1"/>
  <c r="Q25"/>
  <c r="R25" s="1"/>
  <c r="T25" s="1"/>
  <c r="Q26"/>
  <c r="R26" s="1"/>
  <c r="Q27"/>
  <c r="R27" s="1"/>
  <c r="T27" s="1"/>
  <c r="Q28"/>
  <c r="R28" s="1"/>
  <c r="T28" s="1"/>
  <c r="Q29"/>
  <c r="R29" s="1"/>
  <c r="T29" s="1"/>
  <c r="Q30"/>
  <c r="R30" s="1"/>
  <c r="T30" s="1"/>
  <c r="Q31"/>
  <c r="R31" s="1"/>
  <c r="T31" s="1"/>
  <c r="Q32"/>
  <c r="Q33"/>
  <c r="Q34"/>
  <c r="R34" s="1"/>
  <c r="T34" s="1"/>
  <c r="Q35"/>
  <c r="Q36"/>
  <c r="R36" s="1"/>
  <c r="Q37"/>
  <c r="Q7"/>
  <c r="R7" s="1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7"/>
  <c r="J8"/>
  <c r="DD8" s="1"/>
  <c r="DG8" s="1"/>
  <c r="DH8" s="1"/>
  <c r="J9"/>
  <c r="DD9" s="1"/>
  <c r="DG9" s="1"/>
  <c r="DH9" s="1"/>
  <c r="J10"/>
  <c r="DD10" s="1"/>
  <c r="DG10" s="1"/>
  <c r="DH10" s="1"/>
  <c r="J11"/>
  <c r="DD11" s="1"/>
  <c r="DG11" s="1"/>
  <c r="DH11" s="1"/>
  <c r="J12"/>
  <c r="DD12" s="1"/>
  <c r="DG12" s="1"/>
  <c r="DH12" s="1"/>
  <c r="J13"/>
  <c r="DD13" s="1"/>
  <c r="DG13" s="1"/>
  <c r="DH13" s="1"/>
  <c r="J14"/>
  <c r="DD14" s="1"/>
  <c r="DG14" s="1"/>
  <c r="DH14" s="1"/>
  <c r="J15"/>
  <c r="DD15" s="1"/>
  <c r="DG15" s="1"/>
  <c r="DH15" s="1"/>
  <c r="J16"/>
  <c r="DD16" s="1"/>
  <c r="DG16" s="1"/>
  <c r="DH16" s="1"/>
  <c r="J17"/>
  <c r="DD17" s="1"/>
  <c r="DG17" s="1"/>
  <c r="DH17" s="1"/>
  <c r="J18"/>
  <c r="DD18" s="1"/>
  <c r="DG18" s="1"/>
  <c r="DH18" s="1"/>
  <c r="J19"/>
  <c r="DD19" s="1"/>
  <c r="DG19" s="1"/>
  <c r="DH19" s="1"/>
  <c r="J20"/>
  <c r="DD20" s="1"/>
  <c r="DG20" s="1"/>
  <c r="DH20" s="1"/>
  <c r="J21"/>
  <c r="DD21" s="1"/>
  <c r="DG21" s="1"/>
  <c r="DH21" s="1"/>
  <c r="J22"/>
  <c r="DD22" s="1"/>
  <c r="DG22" s="1"/>
  <c r="DH22" s="1"/>
  <c r="J23"/>
  <c r="DD23" s="1"/>
  <c r="DG23" s="1"/>
  <c r="DH23" s="1"/>
  <c r="J24"/>
  <c r="DD24" s="1"/>
  <c r="DG24" s="1"/>
  <c r="DH24" s="1"/>
  <c r="J25"/>
  <c r="DD25" s="1"/>
  <c r="DG25" s="1"/>
  <c r="DH25" s="1"/>
  <c r="J26"/>
  <c r="DD26" s="1"/>
  <c r="DG26" s="1"/>
  <c r="DH26" s="1"/>
  <c r="J27"/>
  <c r="DD27" s="1"/>
  <c r="DG27" s="1"/>
  <c r="DH27" s="1"/>
  <c r="J28"/>
  <c r="DD28" s="1"/>
  <c r="DG28" s="1"/>
  <c r="DH28" s="1"/>
  <c r="J29"/>
  <c r="DD29" s="1"/>
  <c r="DG29" s="1"/>
  <c r="DH29" s="1"/>
  <c r="J30"/>
  <c r="DD30" s="1"/>
  <c r="DG30" s="1"/>
  <c r="DH30" s="1"/>
  <c r="J31"/>
  <c r="DD31" s="1"/>
  <c r="DG31" s="1"/>
  <c r="DH31" s="1"/>
  <c r="J32"/>
  <c r="DD32" s="1"/>
  <c r="DG32" s="1"/>
  <c r="DH32" s="1"/>
  <c r="J33"/>
  <c r="DD33" s="1"/>
  <c r="DG33" s="1"/>
  <c r="DH33" s="1"/>
  <c r="J34"/>
  <c r="DD34" s="1"/>
  <c r="DG34" s="1"/>
  <c r="DH34" s="1"/>
  <c r="J35"/>
  <c r="DD35" s="1"/>
  <c r="DG35" s="1"/>
  <c r="DH35" s="1"/>
  <c r="J36"/>
  <c r="DD36" s="1"/>
  <c r="DG36" s="1"/>
  <c r="DH36" s="1"/>
  <c r="J37"/>
  <c r="DD37" s="1"/>
  <c r="DG37" s="1"/>
  <c r="J7"/>
  <c r="B8"/>
  <c r="E8" s="1"/>
  <c r="B9"/>
  <c r="C9" s="1"/>
  <c r="D9" s="1"/>
  <c r="B10"/>
  <c r="C10" s="1"/>
  <c r="D10" s="1"/>
  <c r="B11"/>
  <c r="E11" s="1"/>
  <c r="B12"/>
  <c r="C12" s="1"/>
  <c r="D12" s="1"/>
  <c r="B13"/>
  <c r="C13" s="1"/>
  <c r="D13" s="1"/>
  <c r="B14"/>
  <c r="C14" s="1"/>
  <c r="D14" s="1"/>
  <c r="B15"/>
  <c r="C15" s="1"/>
  <c r="D15" s="1"/>
  <c r="B16"/>
  <c r="E16" s="1"/>
  <c r="B17"/>
  <c r="C17" s="1"/>
  <c r="D17" s="1"/>
  <c r="B18"/>
  <c r="E18" s="1"/>
  <c r="B19"/>
  <c r="C19" s="1"/>
  <c r="D19" s="1"/>
  <c r="B20"/>
  <c r="E20" s="1"/>
  <c r="B21"/>
  <c r="C21" s="1"/>
  <c r="D21" s="1"/>
  <c r="B22"/>
  <c r="E22" s="1"/>
  <c r="B23"/>
  <c r="B24"/>
  <c r="B25"/>
  <c r="B26"/>
  <c r="C26" s="1"/>
  <c r="D26" s="1"/>
  <c r="B27"/>
  <c r="C27" s="1"/>
  <c r="D27" s="1"/>
  <c r="B28"/>
  <c r="C28" s="1"/>
  <c r="D28" s="1"/>
  <c r="B29"/>
  <c r="E29" s="1"/>
  <c r="B30"/>
  <c r="C30" s="1"/>
  <c r="D30" s="1"/>
  <c r="B31"/>
  <c r="C31" s="1"/>
  <c r="D31" s="1"/>
  <c r="B32"/>
  <c r="B33"/>
  <c r="B34"/>
  <c r="C34" s="1"/>
  <c r="D34" s="1"/>
  <c r="B35"/>
  <c r="B36"/>
  <c r="C36" s="1"/>
  <c r="D36" s="1"/>
  <c r="B37"/>
  <c r="B7"/>
  <c r="E7" s="1"/>
  <c r="AT46"/>
  <c r="AT43"/>
  <c r="AS39"/>
  <c r="AQ39"/>
  <c r="AP39"/>
  <c r="AD39"/>
  <c r="AC39"/>
  <c r="Z39"/>
  <c r="Z41" s="1"/>
  <c r="Y39"/>
  <c r="CI38"/>
  <c r="CM39" s="1"/>
  <c r="CH38"/>
  <c r="CL39" s="1"/>
  <c r="CG38"/>
  <c r="CK39" s="1"/>
  <c r="CF38"/>
  <c r="CJ39" s="1"/>
  <c r="BQ38"/>
  <c r="BX39" s="1"/>
  <c r="BP38"/>
  <c r="CD39" s="1"/>
  <c r="BO38"/>
  <c r="BV39" s="1"/>
  <c r="BN38"/>
  <c r="CB39" s="1"/>
  <c r="BM38"/>
  <c r="BT39" s="1"/>
  <c r="BL38"/>
  <c r="BZ39" s="1"/>
  <c r="BK38"/>
  <c r="BR39" s="1"/>
  <c r="BG38"/>
  <c r="AW38"/>
  <c r="AW39" s="1"/>
  <c r="AV38"/>
  <c r="AV39" s="1"/>
  <c r="AU38"/>
  <c r="AU39" s="1"/>
  <c r="AT38"/>
  <c r="AT41" s="1"/>
  <c r="AL38"/>
  <c r="AL39" s="1"/>
  <c r="AJ38"/>
  <c r="AJ39" s="1"/>
  <c r="AH38"/>
  <c r="AH39" s="1"/>
  <c r="AG38"/>
  <c r="AG39" s="1"/>
  <c r="AE38"/>
  <c r="AE39" s="1"/>
  <c r="AD38"/>
  <c r="W38"/>
  <c r="W39" s="1"/>
  <c r="V38"/>
  <c r="V39" s="1"/>
  <c r="S38"/>
  <c r="S39" s="1"/>
  <c r="G38"/>
  <c r="G39" s="1"/>
  <c r="G41" s="1"/>
  <c r="DH37"/>
  <c r="AZ37" s="1"/>
  <c r="CY37"/>
  <c r="CX37"/>
  <c r="CW37"/>
  <c r="CV37"/>
  <c r="CU37"/>
  <c r="CT37"/>
  <c r="CS37"/>
  <c r="CR37"/>
  <c r="CQ37"/>
  <c r="CP37"/>
  <c r="CO37"/>
  <c r="DJ37" s="1"/>
  <c r="BG37"/>
  <c r="BA37"/>
  <c r="AM37"/>
  <c r="AY37" s="1"/>
  <c r="P37"/>
  <c r="K37"/>
  <c r="I37"/>
  <c r="CY36"/>
  <c r="CX36"/>
  <c r="CW36"/>
  <c r="CV36"/>
  <c r="CU36"/>
  <c r="CT36"/>
  <c r="CS36"/>
  <c r="CR36"/>
  <c r="CQ36"/>
  <c r="CP36"/>
  <c r="CO36"/>
  <c r="BG36"/>
  <c r="BA36"/>
  <c r="AY36"/>
  <c r="BI36" s="1"/>
  <c r="AN36"/>
  <c r="AI36"/>
  <c r="P36"/>
  <c r="K36"/>
  <c r="I36"/>
  <c r="CY35"/>
  <c r="CX35"/>
  <c r="CW35"/>
  <c r="CV35"/>
  <c r="CU35"/>
  <c r="CT35"/>
  <c r="CS35"/>
  <c r="CR35"/>
  <c r="CQ35"/>
  <c r="CP35"/>
  <c r="CO35"/>
  <c r="BG35"/>
  <c r="BA35"/>
  <c r="AM35"/>
  <c r="AY35" s="1"/>
  <c r="P35"/>
  <c r="K35"/>
  <c r="I35"/>
  <c r="CY34"/>
  <c r="CX34"/>
  <c r="CW34"/>
  <c r="CV34"/>
  <c r="CU34"/>
  <c r="CT34"/>
  <c r="CS34"/>
  <c r="CR34"/>
  <c r="CQ34"/>
  <c r="CP34"/>
  <c r="CO34"/>
  <c r="BG34"/>
  <c r="BA34"/>
  <c r="AN34"/>
  <c r="AM34"/>
  <c r="AY34" s="1"/>
  <c r="P34"/>
  <c r="K34"/>
  <c r="I34"/>
  <c r="CY33"/>
  <c r="CX33"/>
  <c r="CW33"/>
  <c r="CV33"/>
  <c r="CU33"/>
  <c r="CT33"/>
  <c r="CS33"/>
  <c r="CR33"/>
  <c r="CQ33"/>
  <c r="CP33"/>
  <c r="CO33"/>
  <c r="BG33"/>
  <c r="BA33"/>
  <c r="AM33"/>
  <c r="AY33" s="1"/>
  <c r="P33"/>
  <c r="K33"/>
  <c r="I33"/>
  <c r="CY32"/>
  <c r="CX32"/>
  <c r="CW32"/>
  <c r="CV32"/>
  <c r="CU32"/>
  <c r="CT32"/>
  <c r="CS32"/>
  <c r="CR32"/>
  <c r="CQ32"/>
  <c r="CP32"/>
  <c r="CO32"/>
  <c r="BG32"/>
  <c r="BA32"/>
  <c r="AM32"/>
  <c r="AY32" s="1"/>
  <c r="P32"/>
  <c r="K32"/>
  <c r="I32"/>
  <c r="CY31"/>
  <c r="CX31"/>
  <c r="CW31"/>
  <c r="CV31"/>
  <c r="CU31"/>
  <c r="CT31"/>
  <c r="CS31"/>
  <c r="CR31"/>
  <c r="CQ31"/>
  <c r="CP31"/>
  <c r="CO31"/>
  <c r="BG31"/>
  <c r="BA31"/>
  <c r="AM31"/>
  <c r="AY31" s="1"/>
  <c r="P31"/>
  <c r="K31"/>
  <c r="I31"/>
  <c r="CY30"/>
  <c r="CX30"/>
  <c r="CW30"/>
  <c r="CV30"/>
  <c r="CU30"/>
  <c r="CT30"/>
  <c r="CS30"/>
  <c r="CR30"/>
  <c r="CQ30"/>
  <c r="CP30"/>
  <c r="CO30"/>
  <c r="BG30"/>
  <c r="BA30"/>
  <c r="AN30"/>
  <c r="AM30"/>
  <c r="AY30" s="1"/>
  <c r="P30"/>
  <c r="K30"/>
  <c r="I30"/>
  <c r="CY29"/>
  <c r="CX29"/>
  <c r="CW29"/>
  <c r="CV29"/>
  <c r="CU29"/>
  <c r="CT29"/>
  <c r="CS29"/>
  <c r="CR29"/>
  <c r="CQ29"/>
  <c r="CP29"/>
  <c r="CO29"/>
  <c r="BG29"/>
  <c r="BA29"/>
  <c r="AM29"/>
  <c r="AN29" s="1"/>
  <c r="P29"/>
  <c r="K29"/>
  <c r="I29"/>
  <c r="CY28"/>
  <c r="CX28"/>
  <c r="CW28"/>
  <c r="CV28"/>
  <c r="CU28"/>
  <c r="CT28"/>
  <c r="CS28"/>
  <c r="CR28"/>
  <c r="CQ28"/>
  <c r="CP28"/>
  <c r="CO28"/>
  <c r="BG28"/>
  <c r="BA28"/>
  <c r="AM28"/>
  <c r="AN28" s="1"/>
  <c r="P28"/>
  <c r="K28"/>
  <c r="I28"/>
  <c r="CY27"/>
  <c r="CX27"/>
  <c r="CW27"/>
  <c r="CV27"/>
  <c r="CU27"/>
  <c r="CT27"/>
  <c r="CS27"/>
  <c r="CR27"/>
  <c r="CQ27"/>
  <c r="CP27"/>
  <c r="CO27"/>
  <c r="BG27"/>
  <c r="BA27"/>
  <c r="AM27"/>
  <c r="AN27" s="1"/>
  <c r="P27"/>
  <c r="K27"/>
  <c r="I27"/>
  <c r="CY26"/>
  <c r="CX26"/>
  <c r="CW26"/>
  <c r="CV26"/>
  <c r="CU26"/>
  <c r="CT26"/>
  <c r="CS26"/>
  <c r="CR26"/>
  <c r="CQ26"/>
  <c r="CP26"/>
  <c r="CO26"/>
  <c r="BG26"/>
  <c r="BA26"/>
  <c r="AM26"/>
  <c r="AN26" s="1"/>
  <c r="P26"/>
  <c r="K26"/>
  <c r="I26"/>
  <c r="CY25"/>
  <c r="CX25"/>
  <c r="CW25"/>
  <c r="CV25"/>
  <c r="CU25"/>
  <c r="CT25"/>
  <c r="CS25"/>
  <c r="CR25"/>
  <c r="CQ25"/>
  <c r="CP25"/>
  <c r="CO25"/>
  <c r="BG25"/>
  <c r="BA25"/>
  <c r="AY25"/>
  <c r="AN25"/>
  <c r="AF25"/>
  <c r="P25"/>
  <c r="M25"/>
  <c r="K25"/>
  <c r="I25"/>
  <c r="CY24"/>
  <c r="CX24"/>
  <c r="CW24"/>
  <c r="CV24"/>
  <c r="CU24"/>
  <c r="CT24"/>
  <c r="CS24"/>
  <c r="CR24"/>
  <c r="CQ24"/>
  <c r="CP24"/>
  <c r="CO24"/>
  <c r="BG24"/>
  <c r="BA24"/>
  <c r="AM24"/>
  <c r="P24"/>
  <c r="K24"/>
  <c r="I24"/>
  <c r="CY23"/>
  <c r="CX23"/>
  <c r="CW23"/>
  <c r="CV23"/>
  <c r="CU23"/>
  <c r="CT23"/>
  <c r="CS23"/>
  <c r="CR23"/>
  <c r="CQ23"/>
  <c r="CP23"/>
  <c r="CO23"/>
  <c r="BG23"/>
  <c r="BA23"/>
  <c r="AM23"/>
  <c r="P23"/>
  <c r="K23"/>
  <c r="I23"/>
  <c r="CY22"/>
  <c r="CX22"/>
  <c r="CW22"/>
  <c r="CV22"/>
  <c r="CU22"/>
  <c r="CT22"/>
  <c r="CS22"/>
  <c r="CR22"/>
  <c r="CQ22"/>
  <c r="CP22"/>
  <c r="CO22"/>
  <c r="BG22"/>
  <c r="BA22"/>
  <c r="AM22"/>
  <c r="AN22" s="1"/>
  <c r="P22"/>
  <c r="K22"/>
  <c r="I22"/>
  <c r="CY21"/>
  <c r="CX21"/>
  <c r="CW21"/>
  <c r="CV21"/>
  <c r="CU21"/>
  <c r="CT21"/>
  <c r="CS21"/>
  <c r="CR21"/>
  <c r="CQ21"/>
  <c r="CP21"/>
  <c r="CO21"/>
  <c r="BG21"/>
  <c r="BA21"/>
  <c r="AN21"/>
  <c r="AM21"/>
  <c r="AY21" s="1"/>
  <c r="P21"/>
  <c r="K21"/>
  <c r="I21"/>
  <c r="CY20"/>
  <c r="CX20"/>
  <c r="CW20"/>
  <c r="CV20"/>
  <c r="CU20"/>
  <c r="CT20"/>
  <c r="CS20"/>
  <c r="CR20"/>
  <c r="CQ20"/>
  <c r="CP20"/>
  <c r="CO20"/>
  <c r="BG20"/>
  <c r="BA20"/>
  <c r="AN20"/>
  <c r="AM20"/>
  <c r="AY20" s="1"/>
  <c r="P20"/>
  <c r="K20"/>
  <c r="I20"/>
  <c r="CY19"/>
  <c r="CX19"/>
  <c r="CW19"/>
  <c r="CV19"/>
  <c r="CU19"/>
  <c r="CT19"/>
  <c r="CS19"/>
  <c r="CR19"/>
  <c r="CQ19"/>
  <c r="CP19"/>
  <c r="CO19"/>
  <c r="BG19"/>
  <c r="BA19"/>
  <c r="AM19"/>
  <c r="AY19" s="1"/>
  <c r="P19"/>
  <c r="K19"/>
  <c r="I19"/>
  <c r="CY18"/>
  <c r="CX18"/>
  <c r="CW18"/>
  <c r="CV18"/>
  <c r="CU18"/>
  <c r="CT18"/>
  <c r="CS18"/>
  <c r="CR18"/>
  <c r="CQ18"/>
  <c r="CP18"/>
  <c r="CO18"/>
  <c r="BG18"/>
  <c r="BA18"/>
  <c r="AN18"/>
  <c r="AM18"/>
  <c r="AY18" s="1"/>
  <c r="P18"/>
  <c r="K18"/>
  <c r="I18"/>
  <c r="CY17"/>
  <c r="CX17"/>
  <c r="CW17"/>
  <c r="CV17"/>
  <c r="CU17"/>
  <c r="CT17"/>
  <c r="CS17"/>
  <c r="CR17"/>
  <c r="CQ17"/>
  <c r="CP17"/>
  <c r="CO17"/>
  <c r="BG17"/>
  <c r="BA17"/>
  <c r="AN17"/>
  <c r="AM17"/>
  <c r="AY17" s="1"/>
  <c r="P17"/>
  <c r="K17"/>
  <c r="I17"/>
  <c r="CY16"/>
  <c r="CX16"/>
  <c r="CW16"/>
  <c r="CV16"/>
  <c r="CU16"/>
  <c r="CT16"/>
  <c r="CS16"/>
  <c r="CR16"/>
  <c r="CQ16"/>
  <c r="CP16"/>
  <c r="CO16"/>
  <c r="BG16"/>
  <c r="BA16"/>
  <c r="AN16"/>
  <c r="AM16"/>
  <c r="AY16" s="1"/>
  <c r="P16"/>
  <c r="K16"/>
  <c r="I16"/>
  <c r="CY15"/>
  <c r="CX15"/>
  <c r="CW15"/>
  <c r="CV15"/>
  <c r="CU15"/>
  <c r="CT15"/>
  <c r="CS15"/>
  <c r="CR15"/>
  <c r="CQ15"/>
  <c r="CP15"/>
  <c r="CO15"/>
  <c r="BG15"/>
  <c r="BA15"/>
  <c r="AN15"/>
  <c r="P15"/>
  <c r="K15"/>
  <c r="I15"/>
  <c r="CY14"/>
  <c r="CX14"/>
  <c r="CW14"/>
  <c r="CV14"/>
  <c r="CU14"/>
  <c r="CT14"/>
  <c r="CS14"/>
  <c r="CR14"/>
  <c r="CQ14"/>
  <c r="CP14"/>
  <c r="CO14"/>
  <c r="BG14"/>
  <c r="BA14"/>
  <c r="AN14"/>
  <c r="AM14"/>
  <c r="AY14" s="1"/>
  <c r="P14"/>
  <c r="K14"/>
  <c r="I14"/>
  <c r="CY13"/>
  <c r="CX13"/>
  <c r="CW13"/>
  <c r="CV13"/>
  <c r="CU13"/>
  <c r="CT13"/>
  <c r="CS13"/>
  <c r="CR13"/>
  <c r="CQ13"/>
  <c r="CP13"/>
  <c r="CO13"/>
  <c r="BG13"/>
  <c r="BA13"/>
  <c r="AM13"/>
  <c r="AN13" s="1"/>
  <c r="P13"/>
  <c r="K13"/>
  <c r="I13"/>
  <c r="CY12"/>
  <c r="CX12"/>
  <c r="CW12"/>
  <c r="CV12"/>
  <c r="CU12"/>
  <c r="CT12"/>
  <c r="CS12"/>
  <c r="CR12"/>
  <c r="CQ12"/>
  <c r="CP12"/>
  <c r="CO12"/>
  <c r="BG12"/>
  <c r="BA12"/>
  <c r="AM12"/>
  <c r="AN12" s="1"/>
  <c r="P12"/>
  <c r="K12"/>
  <c r="I12"/>
  <c r="CY11"/>
  <c r="CX11"/>
  <c r="CW11"/>
  <c r="CV11"/>
  <c r="CU11"/>
  <c r="CT11"/>
  <c r="CS11"/>
  <c r="CR11"/>
  <c r="CQ11"/>
  <c r="CP11"/>
  <c r="CO11"/>
  <c r="BG11"/>
  <c r="BA11"/>
  <c r="AN11"/>
  <c r="AM11"/>
  <c r="AY11" s="1"/>
  <c r="P11"/>
  <c r="K11"/>
  <c r="I11"/>
  <c r="CY10"/>
  <c r="CX10"/>
  <c r="CW10"/>
  <c r="CV10"/>
  <c r="CU10"/>
  <c r="CT10"/>
  <c r="CS10"/>
  <c r="CR10"/>
  <c r="CQ10"/>
  <c r="CP10"/>
  <c r="CO10"/>
  <c r="BG10"/>
  <c r="BA10"/>
  <c r="AM10"/>
  <c r="AN10" s="1"/>
  <c r="P10"/>
  <c r="K10"/>
  <c r="I10"/>
  <c r="CY9"/>
  <c r="CX9"/>
  <c r="CW9"/>
  <c r="CV9"/>
  <c r="CU9"/>
  <c r="CT9"/>
  <c r="CS9"/>
  <c r="CR9"/>
  <c r="CQ9"/>
  <c r="CP9"/>
  <c r="CO9"/>
  <c r="BG9"/>
  <c r="BA9"/>
  <c r="AM9"/>
  <c r="AN9" s="1"/>
  <c r="P9"/>
  <c r="K9"/>
  <c r="I9"/>
  <c r="CY8"/>
  <c r="CX8"/>
  <c r="CW8"/>
  <c r="CV8"/>
  <c r="CU8"/>
  <c r="CT8"/>
  <c r="CS8"/>
  <c r="CR8"/>
  <c r="CQ8"/>
  <c r="CP8"/>
  <c r="CO8"/>
  <c r="BG8"/>
  <c r="BA8"/>
  <c r="AM8"/>
  <c r="AY8" s="1"/>
  <c r="P8"/>
  <c r="K8"/>
  <c r="I8"/>
  <c r="CY7"/>
  <c r="CX7"/>
  <c r="CX38" s="1"/>
  <c r="CW7"/>
  <c r="CV7"/>
  <c r="CU7"/>
  <c r="CT7"/>
  <c r="CS7"/>
  <c r="CR7"/>
  <c r="CQ7"/>
  <c r="CP7"/>
  <c r="CO7"/>
  <c r="BH7"/>
  <c r="BH8" s="1"/>
  <c r="BH9" s="1"/>
  <c r="BH10" s="1"/>
  <c r="BH11" s="1"/>
  <c r="BH12" s="1"/>
  <c r="BH13" s="1"/>
  <c r="BH14" s="1"/>
  <c r="BH15" s="1"/>
  <c r="BH16" s="1"/>
  <c r="BH17" s="1"/>
  <c r="BH18" s="1"/>
  <c r="BH19" s="1"/>
  <c r="BH20" s="1"/>
  <c r="BH21" s="1"/>
  <c r="BH22" s="1"/>
  <c r="BG7"/>
  <c r="BA7"/>
  <c r="AM7"/>
  <c r="P7"/>
  <c r="K7"/>
  <c r="I7"/>
  <c r="AY32" i="81"/>
  <c r="CY32"/>
  <c r="CX32"/>
  <c r="CW32"/>
  <c r="CV32"/>
  <c r="CU32"/>
  <c r="CT32"/>
  <c r="CS32"/>
  <c r="CR32"/>
  <c r="CQ32"/>
  <c r="CP32"/>
  <c r="CO32"/>
  <c r="BG32"/>
  <c r="BA32"/>
  <c r="Q32"/>
  <c r="R32" s="1"/>
  <c r="P32"/>
  <c r="O32"/>
  <c r="N32"/>
  <c r="L32"/>
  <c r="K32"/>
  <c r="J32"/>
  <c r="DD32" s="1"/>
  <c r="DG32" s="1"/>
  <c r="DH32" s="1"/>
  <c r="I32"/>
  <c r="B32"/>
  <c r="E32" s="1"/>
  <c r="CY31"/>
  <c r="CX31"/>
  <c r="CW31"/>
  <c r="CV31"/>
  <c r="CU31"/>
  <c r="CT31"/>
  <c r="CS31"/>
  <c r="CR31"/>
  <c r="CQ31"/>
  <c r="CP31"/>
  <c r="CO31"/>
  <c r="BG31"/>
  <c r="BA31"/>
  <c r="AY31"/>
  <c r="Q31"/>
  <c r="T31" s="1"/>
  <c r="P31"/>
  <c r="O31"/>
  <c r="N31"/>
  <c r="L31"/>
  <c r="K31"/>
  <c r="J31"/>
  <c r="DD31" s="1"/>
  <c r="DG31" s="1"/>
  <c r="DH31" s="1"/>
  <c r="I31"/>
  <c r="B31"/>
  <c r="E31" s="1"/>
  <c r="U39" i="89" l="1"/>
  <c r="U41" s="1"/>
  <c r="DH38" i="90"/>
  <c r="AZ37" i="87"/>
  <c r="F31"/>
  <c r="U37"/>
  <c r="F37"/>
  <c r="AZ36"/>
  <c r="F29"/>
  <c r="F32"/>
  <c r="F30"/>
  <c r="F28"/>
  <c r="F36"/>
  <c r="U36"/>
  <c r="U35"/>
  <c r="F35"/>
  <c r="AZ35"/>
  <c r="AZ34"/>
  <c r="U34"/>
  <c r="F34"/>
  <c r="CQ39"/>
  <c r="AZ33"/>
  <c r="DH38" i="89"/>
  <c r="F33" i="87"/>
  <c r="U33"/>
  <c r="BH7" i="85"/>
  <c r="BH8" s="1"/>
  <c r="BH9" s="1"/>
  <c r="BH10" s="1"/>
  <c r="BH11" s="1"/>
  <c r="BH12" s="1"/>
  <c r="BH13" s="1"/>
  <c r="BH14" s="1"/>
  <c r="BH15" s="1"/>
  <c r="BH16" s="1"/>
  <c r="BH17" s="1"/>
  <c r="BH18" s="1"/>
  <c r="BH19" s="1"/>
  <c r="BH20" s="1"/>
  <c r="BH21" s="1"/>
  <c r="BH22" s="1"/>
  <c r="BH23" s="1"/>
  <c r="BH24" s="1"/>
  <c r="BH25" s="1"/>
  <c r="BH26" s="1"/>
  <c r="BH27" s="1"/>
  <c r="BH28" s="1"/>
  <c r="BH29" s="1"/>
  <c r="BH30" s="1"/>
  <c r="BH31" s="1"/>
  <c r="BH32" s="1"/>
  <c r="BJ7"/>
  <c r="BJ8" s="1"/>
  <c r="BJ9"/>
  <c r="BJ10" s="1"/>
  <c r="BJ11" s="1"/>
  <c r="BJ12" s="1"/>
  <c r="BJ13" s="1"/>
  <c r="BJ14" s="1"/>
  <c r="BJ15" s="1"/>
  <c r="BJ16" s="1"/>
  <c r="BJ17" s="1"/>
  <c r="BJ18" s="1"/>
  <c r="BJ19" s="1"/>
  <c r="BJ20" s="1"/>
  <c r="BJ21" s="1"/>
  <c r="BJ22" s="1"/>
  <c r="BJ23" s="1"/>
  <c r="BJ24" s="1"/>
  <c r="BJ25" s="1"/>
  <c r="BJ26" s="1"/>
  <c r="BJ27" s="1"/>
  <c r="BJ28" s="1"/>
  <c r="BJ29" s="1"/>
  <c r="BJ30" s="1"/>
  <c r="BJ31" s="1"/>
  <c r="BJ32" s="1"/>
  <c r="AZ32" i="87"/>
  <c r="U32"/>
  <c r="U31"/>
  <c r="AZ31"/>
  <c r="AZ30"/>
  <c r="U30"/>
  <c r="AZ29"/>
  <c r="U29"/>
  <c r="AZ28"/>
  <c r="U28"/>
  <c r="AZ27"/>
  <c r="U27"/>
  <c r="F26"/>
  <c r="U26"/>
  <c r="AZ25"/>
  <c r="U25"/>
  <c r="F25"/>
  <c r="U24"/>
  <c r="F24"/>
  <c r="AZ22"/>
  <c r="U23"/>
  <c r="F23"/>
  <c r="AZ23"/>
  <c r="F22"/>
  <c r="U22"/>
  <c r="AZ21"/>
  <c r="U21"/>
  <c r="F21"/>
  <c r="F20"/>
  <c r="U20"/>
  <c r="CO39"/>
  <c r="CO40" s="1"/>
  <c r="F19"/>
  <c r="AZ19"/>
  <c r="AZ18"/>
  <c r="F18"/>
  <c r="U18"/>
  <c r="AZ17"/>
  <c r="U17"/>
  <c r="F17"/>
  <c r="AZ16"/>
  <c r="CV39"/>
  <c r="F16"/>
  <c r="U16"/>
  <c r="AM44"/>
  <c r="U15"/>
  <c r="F15"/>
  <c r="AZ15"/>
  <c r="AZ14"/>
  <c r="U14"/>
  <c r="F14"/>
  <c r="AZ13"/>
  <c r="AZ12"/>
  <c r="U13"/>
  <c r="F13"/>
  <c r="U10" i="88"/>
  <c r="U21"/>
  <c r="R39"/>
  <c r="R41" s="1"/>
  <c r="U12" i="87"/>
  <c r="F12"/>
  <c r="CQ39" i="85"/>
  <c r="AZ11" i="87"/>
  <c r="F11"/>
  <c r="U11"/>
  <c r="U35" i="88"/>
  <c r="BC35"/>
  <c r="AZ35"/>
  <c r="F35"/>
  <c r="U34"/>
  <c r="BC34"/>
  <c r="AZ34"/>
  <c r="F34"/>
  <c r="U33"/>
  <c r="BC33"/>
  <c r="AZ33"/>
  <c r="U32"/>
  <c r="BC32"/>
  <c r="AZ32"/>
  <c r="U31"/>
  <c r="BC31"/>
  <c r="AZ31"/>
  <c r="F31"/>
  <c r="U30"/>
  <c r="BC30"/>
  <c r="AZ30"/>
  <c r="F30"/>
  <c r="U29"/>
  <c r="BC29"/>
  <c r="AZ29"/>
  <c r="F29"/>
  <c r="BC28"/>
  <c r="AZ28"/>
  <c r="F28"/>
  <c r="U28"/>
  <c r="U27"/>
  <c r="BC27"/>
  <c r="AZ27"/>
  <c r="F27"/>
  <c r="U26"/>
  <c r="BC26"/>
  <c r="AZ26"/>
  <c r="F26"/>
  <c r="U25"/>
  <c r="AZ25"/>
  <c r="BC25"/>
  <c r="F25"/>
  <c r="U24"/>
  <c r="BC24"/>
  <c r="AZ24"/>
  <c r="F24"/>
  <c r="U23"/>
  <c r="BC23"/>
  <c r="AZ23"/>
  <c r="F23"/>
  <c r="BC22"/>
  <c r="AZ22"/>
  <c r="U22"/>
  <c r="BC21"/>
  <c r="AZ21"/>
  <c r="U20"/>
  <c r="BC20"/>
  <c r="AZ20"/>
  <c r="F20"/>
  <c r="U19"/>
  <c r="BC19"/>
  <c r="AZ19"/>
  <c r="F19"/>
  <c r="U18"/>
  <c r="BC18"/>
  <c r="AZ18"/>
  <c r="F18"/>
  <c r="BC17"/>
  <c r="AZ17"/>
  <c r="U17"/>
  <c r="F17"/>
  <c r="U16"/>
  <c r="BC16"/>
  <c r="AZ16"/>
  <c r="U15"/>
  <c r="AZ15"/>
  <c r="BC15"/>
  <c r="F15"/>
  <c r="U14"/>
  <c r="BC14"/>
  <c r="AZ14"/>
  <c r="F14"/>
  <c r="BC13"/>
  <c r="AZ13"/>
  <c r="U13"/>
  <c r="U12"/>
  <c r="BC12"/>
  <c r="AZ12"/>
  <c r="F12"/>
  <c r="U11"/>
  <c r="BC11"/>
  <c r="AZ11"/>
  <c r="BC10"/>
  <c r="AZ10"/>
  <c r="D38"/>
  <c r="D39" s="1"/>
  <c r="BC9"/>
  <c r="AZ9"/>
  <c r="U9"/>
  <c r="T38"/>
  <c r="BI38"/>
  <c r="BJ7"/>
  <c r="BJ8" s="1"/>
  <c r="DE38"/>
  <c r="DG38" s="1"/>
  <c r="DH38" s="1"/>
  <c r="BB38"/>
  <c r="BD7"/>
  <c r="BD38" s="1"/>
  <c r="BD39" s="1"/>
  <c r="AY39"/>
  <c r="AX39" s="1"/>
  <c r="AF39"/>
  <c r="H39"/>
  <c r="AI39"/>
  <c r="M39"/>
  <c r="DH7"/>
  <c r="AZ7" s="1"/>
  <c r="U7"/>
  <c r="AZ10" i="87"/>
  <c r="U10"/>
  <c r="F10"/>
  <c r="AZ9"/>
  <c r="U9"/>
  <c r="F9"/>
  <c r="AZ8"/>
  <c r="U8"/>
  <c r="F8"/>
  <c r="CV39" i="85"/>
  <c r="AN39" i="87"/>
  <c r="AZ36" i="84"/>
  <c r="BC36"/>
  <c r="F36"/>
  <c r="H36" i="82"/>
  <c r="AZ30" i="84"/>
  <c r="F30"/>
  <c r="BC30"/>
  <c r="U35"/>
  <c r="AZ35"/>
  <c r="BC35"/>
  <c r="F35"/>
  <c r="U34"/>
  <c r="AZ34"/>
  <c r="BC34"/>
  <c r="F34"/>
  <c r="BI34" i="82"/>
  <c r="U34"/>
  <c r="H34"/>
  <c r="AI34"/>
  <c r="AZ33" i="84"/>
  <c r="AZ32"/>
  <c r="AZ31"/>
  <c r="BC29"/>
  <c r="AZ28"/>
  <c r="AZ27"/>
  <c r="AZ26"/>
  <c r="AZ25"/>
  <c r="AZ24"/>
  <c r="CO39"/>
  <c r="BF30"/>
  <c r="CQ39"/>
  <c r="BC28" i="87"/>
  <c r="Q39"/>
  <c r="E39"/>
  <c r="C39"/>
  <c r="BC31"/>
  <c r="BC29"/>
  <c r="BC27"/>
  <c r="BC33"/>
  <c r="BC30"/>
  <c r="BC16"/>
  <c r="R38" i="85"/>
  <c r="BC32" i="87"/>
  <c r="BC35"/>
  <c r="BC25"/>
  <c r="BC22"/>
  <c r="BC20"/>
  <c r="BC18"/>
  <c r="BC34"/>
  <c r="BC37"/>
  <c r="BC19"/>
  <c r="BC17"/>
  <c r="BC15"/>
  <c r="BC14"/>
  <c r="BC13"/>
  <c r="BC12"/>
  <c r="BC11"/>
  <c r="BC10"/>
  <c r="BC8"/>
  <c r="BC36"/>
  <c r="BC26"/>
  <c r="BC24"/>
  <c r="BC23"/>
  <c r="BC21"/>
  <c r="BC9"/>
  <c r="T38"/>
  <c r="DD38"/>
  <c r="DF38" s="1"/>
  <c r="DG7"/>
  <c r="DH7" s="1"/>
  <c r="AZ7" s="1"/>
  <c r="AY38"/>
  <c r="AB39" s="1"/>
  <c r="BI7"/>
  <c r="BB7"/>
  <c r="AX7"/>
  <c r="AF7"/>
  <c r="M7"/>
  <c r="F7"/>
  <c r="BF7"/>
  <c r="BF8" s="1"/>
  <c r="BF9" s="1"/>
  <c r="BF10" s="1"/>
  <c r="BF11" s="1"/>
  <c r="BF12" s="1"/>
  <c r="BF13" s="1"/>
  <c r="BF14" s="1"/>
  <c r="BF15" s="1"/>
  <c r="BF16" s="1"/>
  <c r="BF17" s="1"/>
  <c r="BF18" s="1"/>
  <c r="BF19" s="1"/>
  <c r="BF20" s="1"/>
  <c r="BF21" s="1"/>
  <c r="BF22" s="1"/>
  <c r="BF23" s="1"/>
  <c r="BF24" s="1"/>
  <c r="BF25" s="1"/>
  <c r="BF26" s="1"/>
  <c r="BF27" s="1"/>
  <c r="BF28" s="1"/>
  <c r="BF29" s="1"/>
  <c r="BF30" s="1"/>
  <c r="BF31" s="1"/>
  <c r="BF32" s="1"/>
  <c r="BF33" s="1"/>
  <c r="BF34" s="1"/>
  <c r="BF35" s="1"/>
  <c r="BF36" s="1"/>
  <c r="BF37" s="1"/>
  <c r="AI7"/>
  <c r="U7"/>
  <c r="H7"/>
  <c r="R39"/>
  <c r="R41" s="1"/>
  <c r="D38"/>
  <c r="BC7"/>
  <c r="CO40" i="85"/>
  <c r="E39"/>
  <c r="C39"/>
  <c r="D38"/>
  <c r="DD38"/>
  <c r="DF38" s="1"/>
  <c r="AN39"/>
  <c r="T38"/>
  <c r="AY38"/>
  <c r="R39"/>
  <c r="R41" s="1"/>
  <c r="CV39" i="84"/>
  <c r="U23"/>
  <c r="AZ23"/>
  <c r="BC23"/>
  <c r="F23"/>
  <c r="U22"/>
  <c r="AZ22"/>
  <c r="BC22"/>
  <c r="F22"/>
  <c r="U21"/>
  <c r="AZ21"/>
  <c r="BC21"/>
  <c r="F21"/>
  <c r="U20"/>
  <c r="AZ20"/>
  <c r="BC20"/>
  <c r="F20"/>
  <c r="BH30"/>
  <c r="BH37" s="1"/>
  <c r="AZ16"/>
  <c r="AZ19"/>
  <c r="BC18"/>
  <c r="U17"/>
  <c r="AZ17"/>
  <c r="BC17"/>
  <c r="F17"/>
  <c r="AN19" i="82"/>
  <c r="F16" i="84"/>
  <c r="BC16"/>
  <c r="U16"/>
  <c r="U15"/>
  <c r="AZ15"/>
  <c r="BC15"/>
  <c r="F15"/>
  <c r="U14"/>
  <c r="AZ14"/>
  <c r="BC14"/>
  <c r="F14"/>
  <c r="U13"/>
  <c r="AZ13"/>
  <c r="BC13"/>
  <c r="F13"/>
  <c r="CR38" i="82"/>
  <c r="CP38"/>
  <c r="CT38"/>
  <c r="AZ12" i="84"/>
  <c r="BC11"/>
  <c r="U10"/>
  <c r="AZ10"/>
  <c r="BC10"/>
  <c r="F10"/>
  <c r="U8"/>
  <c r="CV38" i="82"/>
  <c r="AZ8" i="84"/>
  <c r="R38"/>
  <c r="F8"/>
  <c r="C39"/>
  <c r="BC8"/>
  <c r="R39"/>
  <c r="R41" s="1"/>
  <c r="AZ9"/>
  <c r="E39"/>
  <c r="X39"/>
  <c r="BC37"/>
  <c r="BJ7"/>
  <c r="BJ8" s="1"/>
  <c r="D38"/>
  <c r="BC7"/>
  <c r="AN39"/>
  <c r="U7"/>
  <c r="DD38"/>
  <c r="DF38" s="1"/>
  <c r="DG7"/>
  <c r="AY39"/>
  <c r="AX39" s="1"/>
  <c r="AF39"/>
  <c r="H39"/>
  <c r="AI39"/>
  <c r="M39"/>
  <c r="T37"/>
  <c r="BD7"/>
  <c r="F7"/>
  <c r="AM38" i="82"/>
  <c r="AM39" s="1"/>
  <c r="AN8"/>
  <c r="C37" i="83"/>
  <c r="E37"/>
  <c r="D37"/>
  <c r="C36"/>
  <c r="E36"/>
  <c r="D36"/>
  <c r="H36"/>
  <c r="U36"/>
  <c r="AI36"/>
  <c r="BF36"/>
  <c r="F36"/>
  <c r="M36"/>
  <c r="AF36"/>
  <c r="AX36"/>
  <c r="BB36"/>
  <c r="BD36" s="1"/>
  <c r="BI36"/>
  <c r="BJ36" s="1"/>
  <c r="H35"/>
  <c r="U35"/>
  <c r="AI35"/>
  <c r="BF35"/>
  <c r="M35"/>
  <c r="AF35"/>
  <c r="AX35"/>
  <c r="BB35"/>
  <c r="BD35" s="1"/>
  <c r="BI35"/>
  <c r="BJ35" s="1"/>
  <c r="C35"/>
  <c r="E35"/>
  <c r="D35"/>
  <c r="F35" s="1"/>
  <c r="C34"/>
  <c r="E34"/>
  <c r="D34"/>
  <c r="C33"/>
  <c r="E33"/>
  <c r="D33"/>
  <c r="C32"/>
  <c r="E32"/>
  <c r="D32"/>
  <c r="H31"/>
  <c r="U31"/>
  <c r="AI31"/>
  <c r="BF31"/>
  <c r="M31"/>
  <c r="AF31"/>
  <c r="AX31"/>
  <c r="BB31"/>
  <c r="BD31" s="1"/>
  <c r="BI31"/>
  <c r="BJ31" s="1"/>
  <c r="C31"/>
  <c r="E31"/>
  <c r="D31"/>
  <c r="F31" s="1"/>
  <c r="H30"/>
  <c r="U30"/>
  <c r="AI30"/>
  <c r="BF30"/>
  <c r="M30"/>
  <c r="AF30"/>
  <c r="AX30"/>
  <c r="BB30"/>
  <c r="BD30" s="1"/>
  <c r="BI30"/>
  <c r="BJ30" s="1"/>
  <c r="C30"/>
  <c r="E30"/>
  <c r="D30"/>
  <c r="C29"/>
  <c r="E29"/>
  <c r="D29"/>
  <c r="C28"/>
  <c r="E28"/>
  <c r="D28"/>
  <c r="C27"/>
  <c r="E27"/>
  <c r="D27"/>
  <c r="C26"/>
  <c r="E26"/>
  <c r="D26"/>
  <c r="C25"/>
  <c r="E25"/>
  <c r="D25"/>
  <c r="C24"/>
  <c r="E24"/>
  <c r="D24"/>
  <c r="C23"/>
  <c r="E23"/>
  <c r="D23"/>
  <c r="H22"/>
  <c r="U22"/>
  <c r="AI22"/>
  <c r="BF22"/>
  <c r="M22"/>
  <c r="AF22"/>
  <c r="AX22"/>
  <c r="BB22"/>
  <c r="BD22" s="1"/>
  <c r="BI22"/>
  <c r="BJ22" s="1"/>
  <c r="C22"/>
  <c r="E22"/>
  <c r="D22"/>
  <c r="F22" s="1"/>
  <c r="H21"/>
  <c r="U21"/>
  <c r="AI21"/>
  <c r="BF21"/>
  <c r="M21"/>
  <c r="AF21"/>
  <c r="AX21"/>
  <c r="BB21"/>
  <c r="BD21" s="1"/>
  <c r="BI21"/>
  <c r="BJ21" s="1"/>
  <c r="C21"/>
  <c r="E21"/>
  <c r="D21"/>
  <c r="R38"/>
  <c r="C20"/>
  <c r="E20"/>
  <c r="D20"/>
  <c r="H20"/>
  <c r="U20"/>
  <c r="AI20"/>
  <c r="BF20"/>
  <c r="F20"/>
  <c r="M20"/>
  <c r="AF20"/>
  <c r="AX20"/>
  <c r="BB20"/>
  <c r="BD20" s="1"/>
  <c r="BI20"/>
  <c r="BJ20" s="1"/>
  <c r="H19"/>
  <c r="U19"/>
  <c r="AI19"/>
  <c r="BF19"/>
  <c r="M19"/>
  <c r="AF19"/>
  <c r="AX19"/>
  <c r="BB19"/>
  <c r="BD19" s="1"/>
  <c r="BI19"/>
  <c r="BJ19" s="1"/>
  <c r="C19"/>
  <c r="E19"/>
  <c r="D19"/>
  <c r="C18"/>
  <c r="E18"/>
  <c r="D18"/>
  <c r="H18"/>
  <c r="U18"/>
  <c r="AI18"/>
  <c r="BF18"/>
  <c r="F18"/>
  <c r="M18"/>
  <c r="AF18"/>
  <c r="AX18"/>
  <c r="BB18"/>
  <c r="BD18" s="1"/>
  <c r="BI18"/>
  <c r="BJ18" s="1"/>
  <c r="H17"/>
  <c r="U17"/>
  <c r="AI17"/>
  <c r="BF17"/>
  <c r="M17"/>
  <c r="AF17"/>
  <c r="AX17"/>
  <c r="BB17"/>
  <c r="BD17" s="1"/>
  <c r="BI17"/>
  <c r="BJ17" s="1"/>
  <c r="C17"/>
  <c r="E17"/>
  <c r="D17"/>
  <c r="F17" s="1"/>
  <c r="C16"/>
  <c r="E16"/>
  <c r="D16"/>
  <c r="C15"/>
  <c r="E15"/>
  <c r="D15"/>
  <c r="C14"/>
  <c r="E14"/>
  <c r="D14"/>
  <c r="H14"/>
  <c r="U14"/>
  <c r="AI14"/>
  <c r="BF14"/>
  <c r="F14"/>
  <c r="M14"/>
  <c r="AF14"/>
  <c r="AX14"/>
  <c r="BB14"/>
  <c r="BD14" s="1"/>
  <c r="BI14"/>
  <c r="BJ14" s="1"/>
  <c r="H13"/>
  <c r="U13"/>
  <c r="AI13"/>
  <c r="BF13"/>
  <c r="M13"/>
  <c r="AF13"/>
  <c r="AX13"/>
  <c r="BB13"/>
  <c r="BD13" s="1"/>
  <c r="BI13"/>
  <c r="BJ13" s="1"/>
  <c r="C13"/>
  <c r="E13"/>
  <c r="D13"/>
  <c r="F13" s="1"/>
  <c r="C12"/>
  <c r="E12"/>
  <c r="D12"/>
  <c r="H12"/>
  <c r="U12"/>
  <c r="AI12"/>
  <c r="BF12"/>
  <c r="F12"/>
  <c r="M12"/>
  <c r="AF12"/>
  <c r="AX12"/>
  <c r="BB12"/>
  <c r="BD12" s="1"/>
  <c r="BI12"/>
  <c r="BJ12" s="1"/>
  <c r="H11"/>
  <c r="U11"/>
  <c r="AI11"/>
  <c r="BF11"/>
  <c r="BB11"/>
  <c r="BD11" s="1"/>
  <c r="M11"/>
  <c r="AF11"/>
  <c r="AX11"/>
  <c r="BI11"/>
  <c r="BJ11" s="1"/>
  <c r="C11"/>
  <c r="E11"/>
  <c r="D11"/>
  <c r="CQ39"/>
  <c r="CO40" s="1"/>
  <c r="H10"/>
  <c r="U10"/>
  <c r="AI10"/>
  <c r="BF10"/>
  <c r="M10"/>
  <c r="AF10"/>
  <c r="AX10"/>
  <c r="BB10"/>
  <c r="BD10" s="1"/>
  <c r="BI10"/>
  <c r="BJ10" s="1"/>
  <c r="C10"/>
  <c r="E10"/>
  <c r="D10"/>
  <c r="Q39"/>
  <c r="C9"/>
  <c r="E9"/>
  <c r="D9"/>
  <c r="B38"/>
  <c r="B39" s="1"/>
  <c r="AZ8"/>
  <c r="T38"/>
  <c r="U7"/>
  <c r="BJ7"/>
  <c r="BJ8" s="1"/>
  <c r="BC7"/>
  <c r="DD38"/>
  <c r="DE38" s="1"/>
  <c r="DG7"/>
  <c r="BD38"/>
  <c r="BD39" s="1"/>
  <c r="BB38"/>
  <c r="AN39"/>
  <c r="AY38"/>
  <c r="U37" i="81"/>
  <c r="F37"/>
  <c r="BC37"/>
  <c r="AZ37"/>
  <c r="E9" i="82"/>
  <c r="AZ9" s="1"/>
  <c r="E15"/>
  <c r="AZ15" s="1"/>
  <c r="C11"/>
  <c r="D11" s="1"/>
  <c r="E31"/>
  <c r="BC31" s="1"/>
  <c r="E13"/>
  <c r="BC13" s="1"/>
  <c r="E17"/>
  <c r="BC17" s="1"/>
  <c r="E19"/>
  <c r="BC19" s="1"/>
  <c r="E21"/>
  <c r="BC21" s="1"/>
  <c r="E27"/>
  <c r="AZ27" s="1"/>
  <c r="C29"/>
  <c r="D29" s="1"/>
  <c r="AZ29" s="1"/>
  <c r="O38"/>
  <c r="O39" s="1"/>
  <c r="AZ36" i="81"/>
  <c r="AZ35"/>
  <c r="U34"/>
  <c r="BC34"/>
  <c r="AZ34"/>
  <c r="F34"/>
  <c r="C8" i="82"/>
  <c r="D8" s="1"/>
  <c r="E14"/>
  <c r="BC14" s="1"/>
  <c r="C7"/>
  <c r="D7" s="1"/>
  <c r="E12"/>
  <c r="AZ12" s="1"/>
  <c r="E36"/>
  <c r="BC36" s="1"/>
  <c r="J38"/>
  <c r="J39" s="1"/>
  <c r="L38"/>
  <c r="L39" s="1"/>
  <c r="T36"/>
  <c r="N38"/>
  <c r="N39" s="1"/>
  <c r="E10"/>
  <c r="BC10" s="1"/>
  <c r="C16"/>
  <c r="D16" s="1"/>
  <c r="C18"/>
  <c r="D18" s="1"/>
  <c r="C20"/>
  <c r="D20" s="1"/>
  <c r="C22"/>
  <c r="D22" s="1"/>
  <c r="AZ22" s="1"/>
  <c r="E26"/>
  <c r="AZ26" s="1"/>
  <c r="E28"/>
  <c r="AZ28" s="1"/>
  <c r="E30"/>
  <c r="BC30" s="1"/>
  <c r="U33" i="81"/>
  <c r="AZ33"/>
  <c r="BC33"/>
  <c r="F33"/>
  <c r="E34" i="82"/>
  <c r="BC34" s="1"/>
  <c r="I38"/>
  <c r="I39" s="1"/>
  <c r="I41" s="1"/>
  <c r="K38"/>
  <c r="K39" s="1"/>
  <c r="P38"/>
  <c r="P39" s="1"/>
  <c r="CO38"/>
  <c r="CQ38"/>
  <c r="CS38"/>
  <c r="CU38"/>
  <c r="CW38"/>
  <c r="CY38"/>
  <c r="BI11"/>
  <c r="H11"/>
  <c r="BI17"/>
  <c r="AI17"/>
  <c r="H17"/>
  <c r="BI19"/>
  <c r="AI19"/>
  <c r="H19"/>
  <c r="BI30"/>
  <c r="AI30"/>
  <c r="H30"/>
  <c r="BI8"/>
  <c r="AI8"/>
  <c r="H8"/>
  <c r="BI14"/>
  <c r="H14"/>
  <c r="AI14"/>
  <c r="BI16"/>
  <c r="H16"/>
  <c r="AI16"/>
  <c r="BI18"/>
  <c r="AI18"/>
  <c r="H18"/>
  <c r="BI20"/>
  <c r="AI20"/>
  <c r="H20"/>
  <c r="BI21"/>
  <c r="H21"/>
  <c r="AY7"/>
  <c r="BF7" s="1"/>
  <c r="BF8" s="1"/>
  <c r="AY9"/>
  <c r="BI9" s="1"/>
  <c r="AY10"/>
  <c r="AY12"/>
  <c r="AY13"/>
  <c r="AY15"/>
  <c r="AY22"/>
  <c r="AI22" s="1"/>
  <c r="AY26"/>
  <c r="F26" s="1"/>
  <c r="AY27"/>
  <c r="AY28"/>
  <c r="AY29"/>
  <c r="BI29" s="1"/>
  <c r="AN7"/>
  <c r="BA38"/>
  <c r="H9"/>
  <c r="AI11"/>
  <c r="AI15"/>
  <c r="AI21"/>
  <c r="AI28"/>
  <c r="H29"/>
  <c r="B38"/>
  <c r="B39" s="1"/>
  <c r="U8"/>
  <c r="U10"/>
  <c r="U11"/>
  <c r="U12"/>
  <c r="U14"/>
  <c r="U16"/>
  <c r="U17"/>
  <c r="U18"/>
  <c r="U19"/>
  <c r="U20"/>
  <c r="U21"/>
  <c r="U22"/>
  <c r="E23"/>
  <c r="C23"/>
  <c r="D23" s="1"/>
  <c r="AY23"/>
  <c r="AN23"/>
  <c r="BH23"/>
  <c r="BH24" s="1"/>
  <c r="BH25" s="1"/>
  <c r="BH26" s="1"/>
  <c r="BH27" s="1"/>
  <c r="BH28" s="1"/>
  <c r="BH29" s="1"/>
  <c r="BH30" s="1"/>
  <c r="BH31" s="1"/>
  <c r="BH32" s="1"/>
  <c r="BH33" s="1"/>
  <c r="BH34" s="1"/>
  <c r="BH35" s="1"/>
  <c r="BH36" s="1"/>
  <c r="BH37" s="1"/>
  <c r="E25"/>
  <c r="C25"/>
  <c r="D25" s="1"/>
  <c r="AZ30"/>
  <c r="BI31"/>
  <c r="BB31"/>
  <c r="BD31" s="1"/>
  <c r="AX31"/>
  <c r="AF31"/>
  <c r="H31"/>
  <c r="AI31"/>
  <c r="U31"/>
  <c r="M31"/>
  <c r="F31"/>
  <c r="BI33"/>
  <c r="BB33"/>
  <c r="BD33" s="1"/>
  <c r="AX33"/>
  <c r="AF33"/>
  <c r="M33"/>
  <c r="AI33"/>
  <c r="H33"/>
  <c r="BI37"/>
  <c r="BB37"/>
  <c r="BD37" s="1"/>
  <c r="AX37"/>
  <c r="AF37"/>
  <c r="M37"/>
  <c r="F37"/>
  <c r="AI37"/>
  <c r="U37"/>
  <c r="H37"/>
  <c r="DD7"/>
  <c r="Q38"/>
  <c r="E24"/>
  <c r="C24"/>
  <c r="D24" s="1"/>
  <c r="AY24"/>
  <c r="AN24"/>
  <c r="BI25"/>
  <c r="BB25"/>
  <c r="BD25" s="1"/>
  <c r="AX25"/>
  <c r="AI25"/>
  <c r="U25"/>
  <c r="H25"/>
  <c r="U27"/>
  <c r="U28"/>
  <c r="U30"/>
  <c r="BI32"/>
  <c r="BB32"/>
  <c r="BD32" s="1"/>
  <c r="AX32"/>
  <c r="AF32"/>
  <c r="M32"/>
  <c r="AI32"/>
  <c r="H32"/>
  <c r="BI35"/>
  <c r="BB35"/>
  <c r="BD35" s="1"/>
  <c r="AX35"/>
  <c r="AF35"/>
  <c r="M35"/>
  <c r="AI35"/>
  <c r="H35"/>
  <c r="T7"/>
  <c r="AX7"/>
  <c r="BI7"/>
  <c r="M8"/>
  <c r="AF8"/>
  <c r="AX8"/>
  <c r="BB8"/>
  <c r="BD8" s="1"/>
  <c r="F9"/>
  <c r="AF9"/>
  <c r="BB9"/>
  <c r="BD9" s="1"/>
  <c r="M11"/>
  <c r="AF11"/>
  <c r="AX11"/>
  <c r="BB11"/>
  <c r="BD11" s="1"/>
  <c r="M12"/>
  <c r="AX12"/>
  <c r="F13"/>
  <c r="AF13"/>
  <c r="BB13"/>
  <c r="BD13" s="1"/>
  <c r="F14"/>
  <c r="M14"/>
  <c r="AF14"/>
  <c r="AX14"/>
  <c r="BB14"/>
  <c r="BD14" s="1"/>
  <c r="AF15"/>
  <c r="M16"/>
  <c r="AF16"/>
  <c r="AX16"/>
  <c r="BB16"/>
  <c r="BD16" s="1"/>
  <c r="F17"/>
  <c r="M17"/>
  <c r="AF17"/>
  <c r="AX17"/>
  <c r="BB17"/>
  <c r="BD17" s="1"/>
  <c r="M18"/>
  <c r="AF18"/>
  <c r="AX18"/>
  <c r="BB18"/>
  <c r="BD18" s="1"/>
  <c r="F19"/>
  <c r="M19"/>
  <c r="AF19"/>
  <c r="AX19"/>
  <c r="BB19"/>
  <c r="BD19" s="1"/>
  <c r="M20"/>
  <c r="AF20"/>
  <c r="AX20"/>
  <c r="BB20"/>
  <c r="BD20" s="1"/>
  <c r="F21"/>
  <c r="M21"/>
  <c r="AF21"/>
  <c r="AX21"/>
  <c r="BB21"/>
  <c r="BD21" s="1"/>
  <c r="M22"/>
  <c r="AX22"/>
  <c r="T26"/>
  <c r="M26"/>
  <c r="AX26"/>
  <c r="AX27"/>
  <c r="M28"/>
  <c r="AX28"/>
  <c r="M29"/>
  <c r="AX29"/>
  <c r="F30"/>
  <c r="M30"/>
  <c r="AF30"/>
  <c r="AX30"/>
  <c r="BB30"/>
  <c r="BD30" s="1"/>
  <c r="AN31"/>
  <c r="C32"/>
  <c r="D32" s="1"/>
  <c r="E32"/>
  <c r="R32"/>
  <c r="T32" s="1"/>
  <c r="AN32"/>
  <c r="C33"/>
  <c r="D33" s="1"/>
  <c r="E33"/>
  <c r="R33"/>
  <c r="T33" s="1"/>
  <c r="AN33"/>
  <c r="F34"/>
  <c r="M34"/>
  <c r="AF34"/>
  <c r="AX34"/>
  <c r="BB34"/>
  <c r="BD34" s="1"/>
  <c r="C35"/>
  <c r="D35" s="1"/>
  <c r="E35"/>
  <c r="R35"/>
  <c r="T35" s="1"/>
  <c r="AN35"/>
  <c r="F36"/>
  <c r="M36"/>
  <c r="AF36"/>
  <c r="AX36"/>
  <c r="BB36"/>
  <c r="BD36" s="1"/>
  <c r="C37"/>
  <c r="D37" s="1"/>
  <c r="E37"/>
  <c r="R37"/>
  <c r="T37" s="1"/>
  <c r="AN37"/>
  <c r="AT39"/>
  <c r="BS39"/>
  <c r="BU39"/>
  <c r="BW39"/>
  <c r="BY39"/>
  <c r="CA39"/>
  <c r="CC39"/>
  <c r="CE39"/>
  <c r="L46"/>
  <c r="BI32" i="81"/>
  <c r="BF32"/>
  <c r="AI32"/>
  <c r="H32"/>
  <c r="BB32"/>
  <c r="BD32" s="1"/>
  <c r="AX32"/>
  <c r="AF32"/>
  <c r="M32"/>
  <c r="BJ32"/>
  <c r="T32"/>
  <c r="C32"/>
  <c r="D32" s="1"/>
  <c r="AN32"/>
  <c r="BH32"/>
  <c r="BI31"/>
  <c r="BB31"/>
  <c r="BD31" s="1"/>
  <c r="AX31"/>
  <c r="AF31"/>
  <c r="H31"/>
  <c r="BF31"/>
  <c r="AI31"/>
  <c r="U31"/>
  <c r="M31"/>
  <c r="BJ31"/>
  <c r="AN31"/>
  <c r="BH31"/>
  <c r="C31"/>
  <c r="D31" s="1"/>
  <c r="F31" s="1"/>
  <c r="CY30"/>
  <c r="CX30"/>
  <c r="CW30"/>
  <c r="CV30"/>
  <c r="CU30"/>
  <c r="CT30"/>
  <c r="CS30"/>
  <c r="CR30"/>
  <c r="CQ30"/>
  <c r="CP30"/>
  <c r="CO30"/>
  <c r="BG30"/>
  <c r="BA30"/>
  <c r="AY30"/>
  <c r="Q30"/>
  <c r="P30"/>
  <c r="O30"/>
  <c r="N30"/>
  <c r="L30"/>
  <c r="K30"/>
  <c r="J30"/>
  <c r="DD30" s="1"/>
  <c r="DG30" s="1"/>
  <c r="DH30" s="1"/>
  <c r="I30"/>
  <c r="B30"/>
  <c r="AZ38" i="88" l="1"/>
  <c r="AZ39" s="1"/>
  <c r="F39"/>
  <c r="F41" s="1"/>
  <c r="U39"/>
  <c r="U41" s="1"/>
  <c r="BC39"/>
  <c r="BJ37"/>
  <c r="AZ48" s="1"/>
  <c r="AZ51" s="1"/>
  <c r="AZ38" i="87"/>
  <c r="AZ39" s="1"/>
  <c r="X39"/>
  <c r="BF31" i="84"/>
  <c r="BF32" s="1"/>
  <c r="BF33" s="1"/>
  <c r="BF34" s="1"/>
  <c r="BF35" s="1"/>
  <c r="BF36" s="1"/>
  <c r="BF37" s="1"/>
  <c r="AZ36" i="82"/>
  <c r="U36"/>
  <c r="AZ35"/>
  <c r="U35"/>
  <c r="F35"/>
  <c r="AZ34"/>
  <c r="AZ33"/>
  <c r="U33"/>
  <c r="F33"/>
  <c r="AZ31"/>
  <c r="CO39"/>
  <c r="CO40" i="84"/>
  <c r="BD38"/>
  <c r="BD39" s="1"/>
  <c r="BB38"/>
  <c r="BB29" i="82"/>
  <c r="BD29" s="1"/>
  <c r="AF29"/>
  <c r="F29"/>
  <c r="U29"/>
  <c r="AI29"/>
  <c r="BJ30" i="84"/>
  <c r="BI38"/>
  <c r="BB28" i="82"/>
  <c r="BD28" s="1"/>
  <c r="AF28"/>
  <c r="F28"/>
  <c r="BC28"/>
  <c r="BB38" i="87"/>
  <c r="BD7"/>
  <c r="BD38" s="1"/>
  <c r="BD39" s="1"/>
  <c r="DE38"/>
  <c r="DG38" s="1"/>
  <c r="DH38" s="1"/>
  <c r="D39"/>
  <c r="BI38"/>
  <c r="BJ7"/>
  <c r="BJ8" s="1"/>
  <c r="BJ9" s="1"/>
  <c r="BJ10" s="1"/>
  <c r="BJ11" s="1"/>
  <c r="BJ12" s="1"/>
  <c r="BJ13" s="1"/>
  <c r="BJ14" s="1"/>
  <c r="BJ15" s="1"/>
  <c r="BJ16" s="1"/>
  <c r="BJ17" s="1"/>
  <c r="BJ18" s="1"/>
  <c r="BJ19" s="1"/>
  <c r="BJ20" s="1"/>
  <c r="BJ21" s="1"/>
  <c r="BJ22" s="1"/>
  <c r="BJ23" s="1"/>
  <c r="BJ24" s="1"/>
  <c r="BJ25" s="1"/>
  <c r="BJ26" s="1"/>
  <c r="BJ27" s="1"/>
  <c r="BJ28" s="1"/>
  <c r="BJ29" s="1"/>
  <c r="BJ30" s="1"/>
  <c r="BJ31" s="1"/>
  <c r="BJ32" s="1"/>
  <c r="BJ33" s="1"/>
  <c r="BJ34" s="1"/>
  <c r="BJ35" s="1"/>
  <c r="BJ36" s="1"/>
  <c r="BJ37" s="1"/>
  <c r="AZ48" s="1"/>
  <c r="AZ51" s="1"/>
  <c r="BC39"/>
  <c r="AX39"/>
  <c r="AF39"/>
  <c r="U39"/>
  <c r="U41" s="1"/>
  <c r="H39"/>
  <c r="F39"/>
  <c r="F41" s="1"/>
  <c r="AI39"/>
  <c r="M39"/>
  <c r="BI38" i="85"/>
  <c r="AZ48"/>
  <c r="AZ51" s="1"/>
  <c r="AY39"/>
  <c r="AX39" s="1"/>
  <c r="AF39"/>
  <c r="U39"/>
  <c r="U41" s="1"/>
  <c r="H39"/>
  <c r="F39"/>
  <c r="F41" s="1"/>
  <c r="AI39"/>
  <c r="M39"/>
  <c r="D39"/>
  <c r="DE38"/>
  <c r="DG38" s="1"/>
  <c r="BB38"/>
  <c r="BD38"/>
  <c r="BD39" s="1"/>
  <c r="X39"/>
  <c r="AB39"/>
  <c r="BC39" s="1"/>
  <c r="BC27" i="82"/>
  <c r="M27"/>
  <c r="BB27"/>
  <c r="BD27" s="1"/>
  <c r="AF27"/>
  <c r="F27"/>
  <c r="BC39" i="84"/>
  <c r="BC26" i="82"/>
  <c r="BB26"/>
  <c r="BD26" s="1"/>
  <c r="AF26"/>
  <c r="AZ18"/>
  <c r="AZ20"/>
  <c r="BB22"/>
  <c r="BD22" s="1"/>
  <c r="AF22"/>
  <c r="F22"/>
  <c r="AZ21"/>
  <c r="CQ39"/>
  <c r="CO40" s="1"/>
  <c r="F20"/>
  <c r="F18"/>
  <c r="AZ19"/>
  <c r="AZ17"/>
  <c r="F16"/>
  <c r="AZ16"/>
  <c r="BB15"/>
  <c r="BD15" s="1"/>
  <c r="F15"/>
  <c r="BC15"/>
  <c r="AX15"/>
  <c r="M15"/>
  <c r="U15"/>
  <c r="AZ14"/>
  <c r="AZ13"/>
  <c r="AX13"/>
  <c r="M13"/>
  <c r="U13"/>
  <c r="CV39"/>
  <c r="BB12"/>
  <c r="BD12" s="1"/>
  <c r="AF12"/>
  <c r="F12"/>
  <c r="AM44"/>
  <c r="BC12"/>
  <c r="AZ11"/>
  <c r="F11"/>
  <c r="AZ10"/>
  <c r="AF10"/>
  <c r="BB10"/>
  <c r="BD10" s="1"/>
  <c r="F10"/>
  <c r="AX10"/>
  <c r="M10"/>
  <c r="AI10"/>
  <c r="F39" i="84"/>
  <c r="F41" s="1"/>
  <c r="D39"/>
  <c r="DE38"/>
  <c r="DG38" s="1"/>
  <c r="DH38" s="1"/>
  <c r="DH7"/>
  <c r="AZ7" s="1"/>
  <c r="AZ38" s="1"/>
  <c r="AZ39" s="1"/>
  <c r="T38"/>
  <c r="BC29" i="82"/>
  <c r="F8"/>
  <c r="AZ8"/>
  <c r="AX9"/>
  <c r="M9"/>
  <c r="U9"/>
  <c r="AI9"/>
  <c r="BF9"/>
  <c r="BF10" s="1"/>
  <c r="BF11" s="1"/>
  <c r="BF12" s="1"/>
  <c r="BF13" s="1"/>
  <c r="BF14" s="1"/>
  <c r="BF15" s="1"/>
  <c r="BF16" s="1"/>
  <c r="BF17" s="1"/>
  <c r="BF18" s="1"/>
  <c r="BF19" s="1"/>
  <c r="BF20" s="1"/>
  <c r="BF21" s="1"/>
  <c r="BF22" s="1"/>
  <c r="BF23" s="1"/>
  <c r="BF24" s="1"/>
  <c r="BF25" s="1"/>
  <c r="BF26" s="1"/>
  <c r="BF27" s="1"/>
  <c r="BF28" s="1"/>
  <c r="BF29" s="1"/>
  <c r="BF30" s="1"/>
  <c r="BF31" s="1"/>
  <c r="BF32" s="1"/>
  <c r="BF33" s="1"/>
  <c r="BF34" s="1"/>
  <c r="BF35" s="1"/>
  <c r="BF36" s="1"/>
  <c r="BF37" s="1"/>
  <c r="BC9"/>
  <c r="AZ37" i="83"/>
  <c r="BC37"/>
  <c r="F37"/>
  <c r="BC36"/>
  <c r="AZ36"/>
  <c r="BC35"/>
  <c r="AZ35"/>
  <c r="BC34"/>
  <c r="AZ34"/>
  <c r="F34"/>
  <c r="BC33"/>
  <c r="AZ33"/>
  <c r="F33"/>
  <c r="BC32"/>
  <c r="AZ32"/>
  <c r="F32"/>
  <c r="BC31"/>
  <c r="AZ31"/>
  <c r="BC30"/>
  <c r="AZ30"/>
  <c r="F30"/>
  <c r="BC29"/>
  <c r="AZ29"/>
  <c r="F29"/>
  <c r="BC28"/>
  <c r="AZ28"/>
  <c r="F28"/>
  <c r="AZ48"/>
  <c r="AZ51" s="1"/>
  <c r="BC27"/>
  <c r="AZ27"/>
  <c r="F27"/>
  <c r="BC26"/>
  <c r="AZ26"/>
  <c r="F26"/>
  <c r="AZ25"/>
  <c r="BC25"/>
  <c r="F25"/>
  <c r="BC24"/>
  <c r="AZ24"/>
  <c r="F24"/>
  <c r="BC23"/>
  <c r="AZ23"/>
  <c r="F23"/>
  <c r="BC22"/>
  <c r="AZ22"/>
  <c r="BC21"/>
  <c r="AZ21"/>
  <c r="F21"/>
  <c r="BC20"/>
  <c r="AZ20"/>
  <c r="BC19"/>
  <c r="AZ19"/>
  <c r="F19"/>
  <c r="BC18"/>
  <c r="AZ18"/>
  <c r="BC17"/>
  <c r="AZ17"/>
  <c r="BC16"/>
  <c r="AZ16"/>
  <c r="F16"/>
  <c r="BC15"/>
  <c r="AZ15"/>
  <c r="F15"/>
  <c r="BC14"/>
  <c r="AZ14"/>
  <c r="BC13"/>
  <c r="AZ13"/>
  <c r="BC12"/>
  <c r="AZ12"/>
  <c r="BC11"/>
  <c r="AZ11"/>
  <c r="F11"/>
  <c r="BC10"/>
  <c r="AZ10"/>
  <c r="F10"/>
  <c r="E39"/>
  <c r="DF38"/>
  <c r="D38"/>
  <c r="BC9"/>
  <c r="AZ9"/>
  <c r="F9"/>
  <c r="C39"/>
  <c r="AY39"/>
  <c r="AX39" s="1"/>
  <c r="AF39"/>
  <c r="U39"/>
  <c r="U41" s="1"/>
  <c r="H39"/>
  <c r="F39"/>
  <c r="F41" s="1"/>
  <c r="AI39"/>
  <c r="M39"/>
  <c r="D39"/>
  <c r="BI38"/>
  <c r="AB39"/>
  <c r="BC39" s="1"/>
  <c r="DG38"/>
  <c r="DH7"/>
  <c r="AZ7" s="1"/>
  <c r="X39"/>
  <c r="BB7" i="82"/>
  <c r="BD7" s="1"/>
  <c r="AF7"/>
  <c r="M7"/>
  <c r="BC8"/>
  <c r="BC11"/>
  <c r="BC22"/>
  <c r="BC18"/>
  <c r="BC20"/>
  <c r="BC16"/>
  <c r="F7"/>
  <c r="BI27"/>
  <c r="AI27"/>
  <c r="H27"/>
  <c r="BI22"/>
  <c r="H22"/>
  <c r="BI13"/>
  <c r="AI13"/>
  <c r="H13"/>
  <c r="BI10"/>
  <c r="H10"/>
  <c r="AI7"/>
  <c r="H7"/>
  <c r="BI28"/>
  <c r="H28"/>
  <c r="BI26"/>
  <c r="AI26"/>
  <c r="H26"/>
  <c r="BI15"/>
  <c r="H15"/>
  <c r="BI12"/>
  <c r="AI12"/>
  <c r="H12"/>
  <c r="E39"/>
  <c r="C39"/>
  <c r="BC33"/>
  <c r="BC35"/>
  <c r="U32"/>
  <c r="AZ32"/>
  <c r="BC32"/>
  <c r="F32"/>
  <c r="U26"/>
  <c r="BC23"/>
  <c r="AZ23"/>
  <c r="BJ7"/>
  <c r="BJ8" s="1"/>
  <c r="BJ9" s="1"/>
  <c r="BJ10" s="1"/>
  <c r="BJ11" s="1"/>
  <c r="D38"/>
  <c r="BC7"/>
  <c r="AI24"/>
  <c r="U24"/>
  <c r="H24"/>
  <c r="BB24"/>
  <c r="BD24" s="1"/>
  <c r="F24"/>
  <c r="BI24"/>
  <c r="AX24"/>
  <c r="AF24"/>
  <c r="M24"/>
  <c r="DD38"/>
  <c r="DE38" s="1"/>
  <c r="DG7"/>
  <c r="AI23"/>
  <c r="U23"/>
  <c r="H23"/>
  <c r="BI23"/>
  <c r="AX23"/>
  <c r="AF23"/>
  <c r="M23"/>
  <c r="BB23"/>
  <c r="BD23" s="1"/>
  <c r="F23"/>
  <c r="R39"/>
  <c r="R41" s="1"/>
  <c r="AY38"/>
  <c r="AB39" s="1"/>
  <c r="BC37"/>
  <c r="AZ25"/>
  <c r="BC25"/>
  <c r="F25"/>
  <c r="T38"/>
  <c r="U7"/>
  <c r="BC24"/>
  <c r="AZ24"/>
  <c r="R38"/>
  <c r="Q39"/>
  <c r="AN39"/>
  <c r="X39"/>
  <c r="BC32" i="81"/>
  <c r="AZ32"/>
  <c r="F32"/>
  <c r="U32"/>
  <c r="AZ31"/>
  <c r="BC31"/>
  <c r="BI30"/>
  <c r="BB30"/>
  <c r="BD30" s="1"/>
  <c r="AX30"/>
  <c r="AF30"/>
  <c r="M30"/>
  <c r="BF30"/>
  <c r="AI30"/>
  <c r="H30"/>
  <c r="BJ30"/>
  <c r="C30"/>
  <c r="D30" s="1"/>
  <c r="E30"/>
  <c r="R30"/>
  <c r="T30" s="1"/>
  <c r="AN30"/>
  <c r="BH30"/>
  <c r="AZ38" i="85" l="1"/>
  <c r="AZ39" s="1"/>
  <c r="BJ31" i="84"/>
  <c r="BJ32" s="1"/>
  <c r="BJ33" s="1"/>
  <c r="BJ34" s="1"/>
  <c r="BJ35" s="1"/>
  <c r="BJ36" s="1"/>
  <c r="BJ37" s="1"/>
  <c r="AZ48" s="1"/>
  <c r="AZ51" s="1"/>
  <c r="DH38" i="85"/>
  <c r="BB38" i="82"/>
  <c r="BD38"/>
  <c r="BD39" s="1"/>
  <c r="BJ12"/>
  <c r="BJ13" s="1"/>
  <c r="BJ14" s="1"/>
  <c r="BJ15" s="1"/>
  <c r="BJ16" s="1"/>
  <c r="BJ17" s="1"/>
  <c r="BJ18" s="1"/>
  <c r="BJ19" s="1"/>
  <c r="BJ20" s="1"/>
  <c r="BJ21" s="1"/>
  <c r="BJ22" s="1"/>
  <c r="U39" i="84"/>
  <c r="U41" s="1"/>
  <c r="AZ38" i="83"/>
  <c r="AZ39" s="1"/>
  <c r="DH38"/>
  <c r="DF38" i="82"/>
  <c r="BJ23"/>
  <c r="BJ24" s="1"/>
  <c r="BJ25" s="1"/>
  <c r="BJ26" s="1"/>
  <c r="BJ27" s="1"/>
  <c r="BJ28" s="1"/>
  <c r="BJ29" s="1"/>
  <c r="BJ30" s="1"/>
  <c r="BJ31" s="1"/>
  <c r="BJ32" s="1"/>
  <c r="BJ33" s="1"/>
  <c r="BJ34" s="1"/>
  <c r="BJ35" s="1"/>
  <c r="BJ36" s="1"/>
  <c r="BJ37" s="1"/>
  <c r="AZ48" s="1"/>
  <c r="AZ51" s="1"/>
  <c r="DG38"/>
  <c r="DH7"/>
  <c r="AZ7" s="1"/>
  <c r="AZ38" s="1"/>
  <c r="AZ39" s="1"/>
  <c r="D39"/>
  <c r="BI38"/>
  <c r="BC39"/>
  <c r="AY39"/>
  <c r="AX39" s="1"/>
  <c r="AF39"/>
  <c r="U39"/>
  <c r="U41" s="1"/>
  <c r="H39"/>
  <c r="F39"/>
  <c r="F41" s="1"/>
  <c r="AI39"/>
  <c r="M39"/>
  <c r="U30" i="81"/>
  <c r="AZ30"/>
  <c r="BC30"/>
  <c r="F30"/>
  <c r="DH38" i="82" l="1"/>
  <c r="B29" i="81"/>
  <c r="C29" s="1"/>
  <c r="D29" s="1"/>
  <c r="I29"/>
  <c r="J29"/>
  <c r="DD29" s="1"/>
  <c r="DG29" s="1"/>
  <c r="DH29" s="1"/>
  <c r="K29"/>
  <c r="L29"/>
  <c r="N29"/>
  <c r="O29"/>
  <c r="P29"/>
  <c r="Q29"/>
  <c r="R29" s="1"/>
  <c r="T29" s="1"/>
  <c r="AN29"/>
  <c r="AY29"/>
  <c r="H29" s="1"/>
  <c r="BA29"/>
  <c r="BF29"/>
  <c r="BG29"/>
  <c r="BH29" s="1"/>
  <c r="BI29"/>
  <c r="CO29"/>
  <c r="CP29"/>
  <c r="CQ29"/>
  <c r="CR29"/>
  <c r="CS29"/>
  <c r="CT29"/>
  <c r="CU29"/>
  <c r="CV29"/>
  <c r="CW29"/>
  <c r="CX29"/>
  <c r="CY29"/>
  <c r="B28"/>
  <c r="C28" s="1"/>
  <c r="D28" s="1"/>
  <c r="I28"/>
  <c r="J28"/>
  <c r="K28"/>
  <c r="L28"/>
  <c r="N28"/>
  <c r="O28"/>
  <c r="P28"/>
  <c r="Q28"/>
  <c r="R28" s="1"/>
  <c r="T28" s="1"/>
  <c r="AN28"/>
  <c r="AY28"/>
  <c r="H28" s="1"/>
  <c r="BA28"/>
  <c r="BF28"/>
  <c r="BG28"/>
  <c r="BH28" s="1"/>
  <c r="BI28"/>
  <c r="CO28"/>
  <c r="CP28"/>
  <c r="CQ28"/>
  <c r="CR28"/>
  <c r="CS28"/>
  <c r="CT28"/>
  <c r="CU28"/>
  <c r="CV28"/>
  <c r="CW28"/>
  <c r="CX28"/>
  <c r="CY28"/>
  <c r="DD28"/>
  <c r="DG28" s="1"/>
  <c r="DH28" s="1"/>
  <c r="CY27"/>
  <c r="CX27"/>
  <c r="CW27"/>
  <c r="CV27"/>
  <c r="CU27"/>
  <c r="CT27"/>
  <c r="CS27"/>
  <c r="CR27"/>
  <c r="CQ27"/>
  <c r="CP27"/>
  <c r="CO27"/>
  <c r="BG27"/>
  <c r="BA27"/>
  <c r="AY27"/>
  <c r="Q27"/>
  <c r="R27" s="1"/>
  <c r="P27"/>
  <c r="O27"/>
  <c r="N27"/>
  <c r="L27"/>
  <c r="K27"/>
  <c r="J27"/>
  <c r="DD27" s="1"/>
  <c r="DG27" s="1"/>
  <c r="DH27" s="1"/>
  <c r="I27"/>
  <c r="B27"/>
  <c r="CY26"/>
  <c r="CX26"/>
  <c r="CW26"/>
  <c r="CV26"/>
  <c r="CU26"/>
  <c r="CT26"/>
  <c r="CS26"/>
  <c r="CR26"/>
  <c r="CQ26"/>
  <c r="CP26"/>
  <c r="CO26"/>
  <c r="BG26"/>
  <c r="BA26"/>
  <c r="AY26"/>
  <c r="Q26"/>
  <c r="P26"/>
  <c r="O26"/>
  <c r="N26"/>
  <c r="L26"/>
  <c r="K26"/>
  <c r="J26"/>
  <c r="DD26" s="1"/>
  <c r="DG26" s="1"/>
  <c r="DH26" s="1"/>
  <c r="I26"/>
  <c r="B26"/>
  <c r="B25" i="78"/>
  <c r="C25" s="1"/>
  <c r="D25" s="1"/>
  <c r="I25"/>
  <c r="J25"/>
  <c r="K25"/>
  <c r="L25"/>
  <c r="N25"/>
  <c r="O25"/>
  <c r="P25"/>
  <c r="Q25"/>
  <c r="R25" s="1"/>
  <c r="T25" s="1"/>
  <c r="AI25"/>
  <c r="AN25"/>
  <c r="AX25"/>
  <c r="AY25"/>
  <c r="H25" s="1"/>
  <c r="BA25"/>
  <c r="BB25"/>
  <c r="BD25"/>
  <c r="BF25"/>
  <c r="BG25"/>
  <c r="BH25" s="1"/>
  <c r="BI25"/>
  <c r="CO25"/>
  <c r="CP25"/>
  <c r="CQ25"/>
  <c r="CR25"/>
  <c r="CS25"/>
  <c r="CT25"/>
  <c r="CU25"/>
  <c r="CV25"/>
  <c r="CW25"/>
  <c r="CX25"/>
  <c r="CY25"/>
  <c r="DD25"/>
  <c r="DG25" s="1"/>
  <c r="DH25" s="1"/>
  <c r="B25" i="81"/>
  <c r="C25" s="1"/>
  <c r="D25" s="1"/>
  <c r="I25"/>
  <c r="J25"/>
  <c r="DD25" s="1"/>
  <c r="DG25" s="1"/>
  <c r="DH25" s="1"/>
  <c r="K25"/>
  <c r="L25"/>
  <c r="N25"/>
  <c r="O25"/>
  <c r="P25"/>
  <c r="Q25"/>
  <c r="R25" s="1"/>
  <c r="T25" s="1"/>
  <c r="AN25"/>
  <c r="AY25"/>
  <c r="H25" s="1"/>
  <c r="BA25"/>
  <c r="BB25"/>
  <c r="BD25"/>
  <c r="BG25"/>
  <c r="BH25" s="1"/>
  <c r="BI25"/>
  <c r="CO25"/>
  <c r="CP25"/>
  <c r="CQ25"/>
  <c r="CR25"/>
  <c r="CS25"/>
  <c r="CT25"/>
  <c r="CU25"/>
  <c r="CV25"/>
  <c r="CW25"/>
  <c r="CX25"/>
  <c r="CY25"/>
  <c r="B24"/>
  <c r="C24" s="1"/>
  <c r="D24" s="1"/>
  <c r="I24"/>
  <c r="J24"/>
  <c r="DD24" s="1"/>
  <c r="DG24" s="1"/>
  <c r="DH24" s="1"/>
  <c r="K24"/>
  <c r="L24"/>
  <c r="N24"/>
  <c r="O24"/>
  <c r="P24"/>
  <c r="Q24"/>
  <c r="R24" s="1"/>
  <c r="T24" s="1"/>
  <c r="AN24"/>
  <c r="AY24"/>
  <c r="H24" s="1"/>
  <c r="BA24"/>
  <c r="BG24"/>
  <c r="BH24" s="1"/>
  <c r="BI24"/>
  <c r="CO24"/>
  <c r="CP24"/>
  <c r="CQ24"/>
  <c r="CR24"/>
  <c r="CS24"/>
  <c r="CT24"/>
  <c r="CU24"/>
  <c r="CV24"/>
  <c r="CW24"/>
  <c r="CX24"/>
  <c r="CY24"/>
  <c r="B23"/>
  <c r="C23" s="1"/>
  <c r="D23" s="1"/>
  <c r="I23"/>
  <c r="J23"/>
  <c r="DD23" s="1"/>
  <c r="DG23" s="1"/>
  <c r="DH23" s="1"/>
  <c r="K23"/>
  <c r="L23"/>
  <c r="N23"/>
  <c r="O23"/>
  <c r="P23"/>
  <c r="Q23"/>
  <c r="R23" s="1"/>
  <c r="T23" s="1"/>
  <c r="AN23"/>
  <c r="AY23"/>
  <c r="H23" s="1"/>
  <c r="BA23"/>
  <c r="BG23"/>
  <c r="BH23"/>
  <c r="CO23"/>
  <c r="CP23"/>
  <c r="CQ23"/>
  <c r="CR23"/>
  <c r="CS23"/>
  <c r="CT23"/>
  <c r="CU23"/>
  <c r="CV23"/>
  <c r="CW23"/>
  <c r="CX23"/>
  <c r="CY23"/>
  <c r="B22"/>
  <c r="C22" s="1"/>
  <c r="D22" s="1"/>
  <c r="I22"/>
  <c r="J22"/>
  <c r="DD22" s="1"/>
  <c r="DG22" s="1"/>
  <c r="DH22" s="1"/>
  <c r="K22"/>
  <c r="L22"/>
  <c r="N22"/>
  <c r="O22"/>
  <c r="P22"/>
  <c r="Q22"/>
  <c r="R22" s="1"/>
  <c r="T22" s="1"/>
  <c r="AN22"/>
  <c r="AY22"/>
  <c r="H22" s="1"/>
  <c r="BA22"/>
  <c r="BF22"/>
  <c r="BF23" s="1"/>
  <c r="BF24" s="1"/>
  <c r="BF25" s="1"/>
  <c r="BG22"/>
  <c r="BH22" s="1"/>
  <c r="BI22"/>
  <c r="CO22"/>
  <c r="CP22"/>
  <c r="CQ22"/>
  <c r="CR22"/>
  <c r="CS22"/>
  <c r="CT22"/>
  <c r="CU22"/>
  <c r="CV22"/>
  <c r="CW22"/>
  <c r="CX22"/>
  <c r="CY22"/>
  <c r="B21"/>
  <c r="C21" s="1"/>
  <c r="D21" s="1"/>
  <c r="I21"/>
  <c r="J21"/>
  <c r="K21"/>
  <c r="L21"/>
  <c r="N21"/>
  <c r="O21"/>
  <c r="P21"/>
  <c r="Q21"/>
  <c r="R21" s="1"/>
  <c r="T21" s="1"/>
  <c r="AN21"/>
  <c r="AY21"/>
  <c r="H21" s="1"/>
  <c r="BA21"/>
  <c r="BF21"/>
  <c r="BG21"/>
  <c r="BH21" s="1"/>
  <c r="BI21"/>
  <c r="CO21"/>
  <c r="CP21"/>
  <c r="CQ21"/>
  <c r="CR21"/>
  <c r="CS21"/>
  <c r="CT21"/>
  <c r="CU21"/>
  <c r="CV21"/>
  <c r="CW21"/>
  <c r="CX21"/>
  <c r="CY21"/>
  <c r="DD21"/>
  <c r="DG21" s="1"/>
  <c r="DH21" s="1"/>
  <c r="B20"/>
  <c r="C20" s="1"/>
  <c r="D20" s="1"/>
  <c r="I20"/>
  <c r="J20"/>
  <c r="K20"/>
  <c r="L20"/>
  <c r="N20"/>
  <c r="O20"/>
  <c r="P20"/>
  <c r="Q20"/>
  <c r="R20" s="1"/>
  <c r="T20" s="1"/>
  <c r="AN20"/>
  <c r="AY20"/>
  <c r="H20" s="1"/>
  <c r="BA20"/>
  <c r="BF20"/>
  <c r="BG20"/>
  <c r="BH20"/>
  <c r="CO20"/>
  <c r="CP20"/>
  <c r="CQ20"/>
  <c r="CR20"/>
  <c r="CS20"/>
  <c r="CT20"/>
  <c r="CU20"/>
  <c r="CV20"/>
  <c r="CW20"/>
  <c r="CX20"/>
  <c r="CY20"/>
  <c r="DD20"/>
  <c r="DG20" s="1"/>
  <c r="DH20" s="1"/>
  <c r="B19"/>
  <c r="C19" s="1"/>
  <c r="D19" s="1"/>
  <c r="I19"/>
  <c r="J19"/>
  <c r="DD19" s="1"/>
  <c r="DG19" s="1"/>
  <c r="DH19" s="1"/>
  <c r="K19"/>
  <c r="L19"/>
  <c r="N19"/>
  <c r="O19"/>
  <c r="P19"/>
  <c r="Q19"/>
  <c r="R19" s="1"/>
  <c r="T19" s="1"/>
  <c r="AN19"/>
  <c r="AY19"/>
  <c r="H19" s="1"/>
  <c r="BA19"/>
  <c r="BF19"/>
  <c r="BG19"/>
  <c r="BH19" s="1"/>
  <c r="BI19"/>
  <c r="CO19"/>
  <c r="CP19"/>
  <c r="CQ19"/>
  <c r="CR19"/>
  <c r="CS19"/>
  <c r="CT19"/>
  <c r="CU19"/>
  <c r="CV19"/>
  <c r="CW19"/>
  <c r="CX19"/>
  <c r="CY19"/>
  <c r="BJ29" l="1"/>
  <c r="AF29"/>
  <c r="M29"/>
  <c r="F29"/>
  <c r="BB29"/>
  <c r="BD29" s="1"/>
  <c r="AX29"/>
  <c r="AI29"/>
  <c r="U29"/>
  <c r="E29"/>
  <c r="BC29" s="1"/>
  <c r="BJ28"/>
  <c r="AF28"/>
  <c r="M28"/>
  <c r="F28"/>
  <c r="BB28"/>
  <c r="BD28" s="1"/>
  <c r="AX28"/>
  <c r="AI28"/>
  <c r="U28"/>
  <c r="E28"/>
  <c r="AZ28" s="1"/>
  <c r="AX27"/>
  <c r="AF27"/>
  <c r="M27"/>
  <c r="BF27"/>
  <c r="AI27"/>
  <c r="H27"/>
  <c r="BI27"/>
  <c r="BB27"/>
  <c r="BD27" s="1"/>
  <c r="BJ27"/>
  <c r="T27"/>
  <c r="C27"/>
  <c r="D27" s="1"/>
  <c r="E27"/>
  <c r="AN27"/>
  <c r="BH27"/>
  <c r="BI26"/>
  <c r="BB26"/>
  <c r="BD26" s="1"/>
  <c r="AX26"/>
  <c r="AF26"/>
  <c r="M26"/>
  <c r="BF26"/>
  <c r="AI26"/>
  <c r="H26"/>
  <c r="BJ26"/>
  <c r="C26"/>
  <c r="D26" s="1"/>
  <c r="E26"/>
  <c r="R26"/>
  <c r="T26" s="1"/>
  <c r="AN26"/>
  <c r="BH26"/>
  <c r="BJ25" i="78"/>
  <c r="AF25"/>
  <c r="M25"/>
  <c r="F25"/>
  <c r="U25"/>
  <c r="E25"/>
  <c r="BC25" s="1"/>
  <c r="AF25" i="81"/>
  <c r="M25"/>
  <c r="F25"/>
  <c r="AX25"/>
  <c r="AI25"/>
  <c r="U25"/>
  <c r="E25"/>
  <c r="BC25" s="1"/>
  <c r="AF24"/>
  <c r="M24"/>
  <c r="F24"/>
  <c r="BB24"/>
  <c r="BD24" s="1"/>
  <c r="AX24"/>
  <c r="AI24"/>
  <c r="U24"/>
  <c r="E24"/>
  <c r="AZ24" s="1"/>
  <c r="AF23"/>
  <c r="M23"/>
  <c r="F23"/>
  <c r="BI23"/>
  <c r="BJ23" s="1"/>
  <c r="BJ24" s="1"/>
  <c r="BJ25" s="1"/>
  <c r="BB23"/>
  <c r="BD23" s="1"/>
  <c r="AX23"/>
  <c r="AI23"/>
  <c r="U23"/>
  <c r="E23"/>
  <c r="AZ23" s="1"/>
  <c r="BJ22"/>
  <c r="AF22"/>
  <c r="M22"/>
  <c r="F22"/>
  <c r="BB22"/>
  <c r="BD22" s="1"/>
  <c r="AX22"/>
  <c r="AI22"/>
  <c r="U22"/>
  <c r="E22"/>
  <c r="AZ22" s="1"/>
  <c r="BJ21"/>
  <c r="AF21"/>
  <c r="M21"/>
  <c r="F21"/>
  <c r="BB21"/>
  <c r="BD21" s="1"/>
  <c r="AX21"/>
  <c r="AI21"/>
  <c r="U21"/>
  <c r="E21"/>
  <c r="AZ21" s="1"/>
  <c r="AF20"/>
  <c r="M20"/>
  <c r="F20"/>
  <c r="BI20"/>
  <c r="BJ20" s="1"/>
  <c r="BB20"/>
  <c r="BD20" s="1"/>
  <c r="AX20"/>
  <c r="AI20"/>
  <c r="U20"/>
  <c r="E20"/>
  <c r="BC20" s="1"/>
  <c r="BJ19"/>
  <c r="AF19"/>
  <c r="M19"/>
  <c r="F19"/>
  <c r="BB19"/>
  <c r="BD19" s="1"/>
  <c r="AX19"/>
  <c r="AI19"/>
  <c r="U19"/>
  <c r="E19"/>
  <c r="AZ19" s="1"/>
  <c r="AZ29" l="1"/>
  <c r="BC28"/>
  <c r="BC27"/>
  <c r="AZ27"/>
  <c r="F27"/>
  <c r="U27"/>
  <c r="U26"/>
  <c r="AZ26"/>
  <c r="BC26"/>
  <c r="F26"/>
  <c r="AZ25" i="78"/>
  <c r="AZ25" i="81"/>
  <c r="BC24"/>
  <c r="BC23"/>
  <c r="BC22"/>
  <c r="BC21"/>
  <c r="AZ20"/>
  <c r="BC19"/>
  <c r="BD59"/>
  <c r="CY18" l="1"/>
  <c r="CX18"/>
  <c r="CW18"/>
  <c r="CV18"/>
  <c r="CU18"/>
  <c r="CT18"/>
  <c r="CS18"/>
  <c r="CR18"/>
  <c r="CQ18"/>
  <c r="CP18"/>
  <c r="CO18"/>
  <c r="BG18"/>
  <c r="BA18"/>
  <c r="AY18"/>
  <c r="Q18"/>
  <c r="P18"/>
  <c r="O18"/>
  <c r="N18"/>
  <c r="L18"/>
  <c r="K18"/>
  <c r="J18"/>
  <c r="DD18" s="1"/>
  <c r="DG18" s="1"/>
  <c r="DH18" s="1"/>
  <c r="I18"/>
  <c r="B18"/>
  <c r="CY17"/>
  <c r="CX17"/>
  <c r="CW17"/>
  <c r="CV17"/>
  <c r="CU17"/>
  <c r="CT17"/>
  <c r="CS17"/>
  <c r="CR17"/>
  <c r="CQ17"/>
  <c r="CP17"/>
  <c r="CO17"/>
  <c r="BG17"/>
  <c r="BA17"/>
  <c r="AY17"/>
  <c r="Q17"/>
  <c r="P17"/>
  <c r="O17"/>
  <c r="N17"/>
  <c r="L17"/>
  <c r="K17"/>
  <c r="J17"/>
  <c r="DD17" s="1"/>
  <c r="DG17" s="1"/>
  <c r="DH17" s="1"/>
  <c r="I17"/>
  <c r="B17"/>
  <c r="CY16"/>
  <c r="CX16"/>
  <c r="CW16"/>
  <c r="CV16"/>
  <c r="CU16"/>
  <c r="CT16"/>
  <c r="CS16"/>
  <c r="CR16"/>
  <c r="CQ16"/>
  <c r="CP16"/>
  <c r="CO16"/>
  <c r="BG16"/>
  <c r="BA16"/>
  <c r="AY16"/>
  <c r="Q16"/>
  <c r="P16"/>
  <c r="O16"/>
  <c r="N16"/>
  <c r="L16"/>
  <c r="K16"/>
  <c r="J16"/>
  <c r="DD16" s="1"/>
  <c r="DG16" s="1"/>
  <c r="DH16" s="1"/>
  <c r="I16"/>
  <c r="B16"/>
  <c r="B14"/>
  <c r="C14" s="1"/>
  <c r="D14" s="1"/>
  <c r="I14"/>
  <c r="J14"/>
  <c r="K14"/>
  <c r="L14"/>
  <c r="N14"/>
  <c r="O14"/>
  <c r="P14"/>
  <c r="Q14"/>
  <c r="R14" s="1"/>
  <c r="T14" s="1"/>
  <c r="AN14"/>
  <c r="AY14"/>
  <c r="H14" s="1"/>
  <c r="BA14"/>
  <c r="BF14"/>
  <c r="BG14"/>
  <c r="BH14" s="1"/>
  <c r="BI14"/>
  <c r="BJ14" s="1"/>
  <c r="CO14"/>
  <c r="CP14"/>
  <c r="CQ14"/>
  <c r="CR14"/>
  <c r="CS14"/>
  <c r="CT14"/>
  <c r="CU14"/>
  <c r="CV14"/>
  <c r="CW14"/>
  <c r="CX14"/>
  <c r="CY14"/>
  <c r="DD14"/>
  <c r="DG14" s="1"/>
  <c r="DH14" s="1"/>
  <c r="B15"/>
  <c r="C15" s="1"/>
  <c r="D15" s="1"/>
  <c r="I15"/>
  <c r="J15"/>
  <c r="DD15" s="1"/>
  <c r="DG15" s="1"/>
  <c r="DH15" s="1"/>
  <c r="K15"/>
  <c r="L15"/>
  <c r="N15"/>
  <c r="O15"/>
  <c r="P15"/>
  <c r="Q15"/>
  <c r="R15" s="1"/>
  <c r="T15" s="1"/>
  <c r="AN15"/>
  <c r="AY15"/>
  <c r="BA15"/>
  <c r="BB15"/>
  <c r="BD15"/>
  <c r="BF15"/>
  <c r="BG15"/>
  <c r="BH15" s="1"/>
  <c r="BI15"/>
  <c r="CO15"/>
  <c r="CP15"/>
  <c r="CQ15"/>
  <c r="CR15"/>
  <c r="CS15"/>
  <c r="CT15"/>
  <c r="CU15"/>
  <c r="CV15"/>
  <c r="CW15"/>
  <c r="CX15"/>
  <c r="CY15"/>
  <c r="CY13"/>
  <c r="CX13"/>
  <c r="CW13"/>
  <c r="CV13"/>
  <c r="CU13"/>
  <c r="CT13"/>
  <c r="CS13"/>
  <c r="CR13"/>
  <c r="CQ13"/>
  <c r="CP13"/>
  <c r="CO13"/>
  <c r="BG13"/>
  <c r="BA13"/>
  <c r="AY13"/>
  <c r="Q13"/>
  <c r="P13"/>
  <c r="O13"/>
  <c r="N13"/>
  <c r="L13"/>
  <c r="K13"/>
  <c r="J13"/>
  <c r="DD13" s="1"/>
  <c r="DG13" s="1"/>
  <c r="DH13" s="1"/>
  <c r="I13"/>
  <c r="B13"/>
  <c r="CY12"/>
  <c r="CX12"/>
  <c r="CW12"/>
  <c r="CV12"/>
  <c r="CU12"/>
  <c r="CT12"/>
  <c r="CS12"/>
  <c r="CR12"/>
  <c r="CQ12"/>
  <c r="CP12"/>
  <c r="CO12"/>
  <c r="BG12"/>
  <c r="BA12"/>
  <c r="AY12"/>
  <c r="Q12"/>
  <c r="P12"/>
  <c r="O12"/>
  <c r="N12"/>
  <c r="L12"/>
  <c r="K12"/>
  <c r="J12"/>
  <c r="DD12" s="1"/>
  <c r="DG12" s="1"/>
  <c r="DH12" s="1"/>
  <c r="I12"/>
  <c r="B12"/>
  <c r="B11"/>
  <c r="C11" s="1"/>
  <c r="D11" s="1"/>
  <c r="I11"/>
  <c r="J11"/>
  <c r="DD11" s="1"/>
  <c r="DG11" s="1"/>
  <c r="DH11" s="1"/>
  <c r="K11"/>
  <c r="L11"/>
  <c r="N11"/>
  <c r="O11"/>
  <c r="P11"/>
  <c r="Q11"/>
  <c r="R11" s="1"/>
  <c r="T11" s="1"/>
  <c r="AN11"/>
  <c r="BA11"/>
  <c r="BG11"/>
  <c r="BH11" s="1"/>
  <c r="CO11"/>
  <c r="CP11"/>
  <c r="CQ11"/>
  <c r="CR11"/>
  <c r="CS11"/>
  <c r="CT11"/>
  <c r="CU11"/>
  <c r="CV11"/>
  <c r="CW11"/>
  <c r="CX11"/>
  <c r="CY11"/>
  <c r="B10"/>
  <c r="C10" s="1"/>
  <c r="D10" s="1"/>
  <c r="I10"/>
  <c r="J10"/>
  <c r="DD10" s="1"/>
  <c r="DG10" s="1"/>
  <c r="DH10" s="1"/>
  <c r="K10"/>
  <c r="L10"/>
  <c r="N10"/>
  <c r="O10"/>
  <c r="P10"/>
  <c r="Q10"/>
  <c r="R10" s="1"/>
  <c r="T10" s="1"/>
  <c r="AN10"/>
  <c r="BA10"/>
  <c r="BG10"/>
  <c r="BH10" s="1"/>
  <c r="CO10"/>
  <c r="CP10"/>
  <c r="CQ10"/>
  <c r="CR10"/>
  <c r="CS10"/>
  <c r="CT10"/>
  <c r="CU10"/>
  <c r="CV10"/>
  <c r="CW10"/>
  <c r="CX10"/>
  <c r="CY10"/>
  <c r="B9"/>
  <c r="C9" s="1"/>
  <c r="D9" s="1"/>
  <c r="I9"/>
  <c r="J9"/>
  <c r="DD9" s="1"/>
  <c r="DG9" s="1"/>
  <c r="DH9" s="1"/>
  <c r="K9"/>
  <c r="L9"/>
  <c r="N9"/>
  <c r="O9"/>
  <c r="P9"/>
  <c r="Q9"/>
  <c r="R9" s="1"/>
  <c r="T9" s="1"/>
  <c r="AN9"/>
  <c r="AY9"/>
  <c r="H9" s="1"/>
  <c r="BA9"/>
  <c r="BF9"/>
  <c r="BG9"/>
  <c r="BH9"/>
  <c r="CO9"/>
  <c r="CP9"/>
  <c r="CQ9"/>
  <c r="CR9"/>
  <c r="CS9"/>
  <c r="CT9"/>
  <c r="CU9"/>
  <c r="CV9"/>
  <c r="CW9"/>
  <c r="CX9"/>
  <c r="CY9"/>
  <c r="AT46"/>
  <c r="AT43"/>
  <c r="AS39"/>
  <c r="AQ39"/>
  <c r="AP39"/>
  <c r="AD39"/>
  <c r="AC39"/>
  <c r="Z39"/>
  <c r="Z41" s="1"/>
  <c r="Y39"/>
  <c r="CI38"/>
  <c r="CM39" s="1"/>
  <c r="CH38"/>
  <c r="CL39" s="1"/>
  <c r="CG38"/>
  <c r="CK39" s="1"/>
  <c r="CF38"/>
  <c r="CJ39" s="1"/>
  <c r="BQ38"/>
  <c r="BX39" s="1"/>
  <c r="BP38"/>
  <c r="CD39" s="1"/>
  <c r="BO38"/>
  <c r="BV39" s="1"/>
  <c r="BN38"/>
  <c r="CB39" s="1"/>
  <c r="BM38"/>
  <c r="BT39" s="1"/>
  <c r="BL38"/>
  <c r="BZ39" s="1"/>
  <c r="BK38"/>
  <c r="BR39" s="1"/>
  <c r="BG38"/>
  <c r="AW38"/>
  <c r="AW39" s="1"/>
  <c r="AV38"/>
  <c r="AV39" s="1"/>
  <c r="AU38"/>
  <c r="AU39" s="1"/>
  <c r="AT38"/>
  <c r="AT41" s="1"/>
  <c r="AL38"/>
  <c r="AL39" s="1"/>
  <c r="AJ38"/>
  <c r="AJ39" s="1"/>
  <c r="AH38"/>
  <c r="AH39" s="1"/>
  <c r="AG38"/>
  <c r="AG39" s="1"/>
  <c r="AE38"/>
  <c r="AE39" s="1"/>
  <c r="AD38"/>
  <c r="W38"/>
  <c r="W39" s="1"/>
  <c r="V38"/>
  <c r="V39" s="1"/>
  <c r="S38"/>
  <c r="S39" s="1"/>
  <c r="G38"/>
  <c r="G39" s="1"/>
  <c r="G41" s="1"/>
  <c r="DJ37"/>
  <c r="DJ34"/>
  <c r="DJ33"/>
  <c r="CY8"/>
  <c r="CX8"/>
  <c r="CW8"/>
  <c r="CV8"/>
  <c r="CU8"/>
  <c r="CT8"/>
  <c r="CS8"/>
  <c r="CR8"/>
  <c r="CQ8"/>
  <c r="CP8"/>
  <c r="CO8"/>
  <c r="BG8"/>
  <c r="BA8"/>
  <c r="AY8"/>
  <c r="BI8" s="1"/>
  <c r="AN8"/>
  <c r="AI8"/>
  <c r="Q8"/>
  <c r="R8" s="1"/>
  <c r="P8"/>
  <c r="O8"/>
  <c r="N8"/>
  <c r="L8"/>
  <c r="K8"/>
  <c r="J8"/>
  <c r="DD8" s="1"/>
  <c r="DG8" s="1"/>
  <c r="DH8" s="1"/>
  <c r="I8"/>
  <c r="H8"/>
  <c r="B8"/>
  <c r="C8" s="1"/>
  <c r="CY7"/>
  <c r="CY38" s="1"/>
  <c r="CX7"/>
  <c r="CX38" s="1"/>
  <c r="CW7"/>
  <c r="CW38" s="1"/>
  <c r="CV7"/>
  <c r="CV38" s="1"/>
  <c r="CU7"/>
  <c r="CU38" s="1"/>
  <c r="CT7"/>
  <c r="CT38" s="1"/>
  <c r="CS7"/>
  <c r="CS38" s="1"/>
  <c r="CR7"/>
  <c r="CR38" s="1"/>
  <c r="CQ7"/>
  <c r="CQ38" s="1"/>
  <c r="CP7"/>
  <c r="CP38" s="1"/>
  <c r="CO7"/>
  <c r="CO38" s="1"/>
  <c r="BH7"/>
  <c r="BH8" s="1"/>
  <c r="BG7"/>
  <c r="BA7"/>
  <c r="BA38" s="1"/>
  <c r="AY7"/>
  <c r="BI7" s="1"/>
  <c r="AN7"/>
  <c r="AM38"/>
  <c r="Q7"/>
  <c r="R7" s="1"/>
  <c r="P7"/>
  <c r="P38" s="1"/>
  <c r="P39" s="1"/>
  <c r="O7"/>
  <c r="N7"/>
  <c r="L7"/>
  <c r="K7"/>
  <c r="J7"/>
  <c r="I7"/>
  <c r="H7"/>
  <c r="B7"/>
  <c r="Q8" i="80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7"/>
  <c r="CF8"/>
  <c r="CF9"/>
  <c r="CF10"/>
  <c r="CF11"/>
  <c r="CF12"/>
  <c r="CF13"/>
  <c r="CF14"/>
  <c r="CF15"/>
  <c r="CF16"/>
  <c r="CF17"/>
  <c r="CF18"/>
  <c r="CF19"/>
  <c r="CF20"/>
  <c r="CF21"/>
  <c r="CF22"/>
  <c r="CF23"/>
  <c r="CF24"/>
  <c r="CF25"/>
  <c r="CF26"/>
  <c r="CF27"/>
  <c r="CF28"/>
  <c r="CF29"/>
  <c r="CF30"/>
  <c r="CF31"/>
  <c r="CF32"/>
  <c r="CF33"/>
  <c r="CF34"/>
  <c r="CF35"/>
  <c r="CF36"/>
  <c r="CF37"/>
  <c r="CF7"/>
  <c r="DN8"/>
  <c r="DN9"/>
  <c r="DN10"/>
  <c r="DN11"/>
  <c r="DN12"/>
  <c r="DN13"/>
  <c r="DN14"/>
  <c r="DN15"/>
  <c r="DN16"/>
  <c r="DN17"/>
  <c r="DN18"/>
  <c r="DN19"/>
  <c r="DN20"/>
  <c r="DN21"/>
  <c r="DN22"/>
  <c r="DN23"/>
  <c r="DN24"/>
  <c r="DN25"/>
  <c r="DN26"/>
  <c r="DN27"/>
  <c r="DN28"/>
  <c r="DN29"/>
  <c r="DN30"/>
  <c r="DN31"/>
  <c r="DN32"/>
  <c r="DN33"/>
  <c r="DN34"/>
  <c r="DN35"/>
  <c r="DN36"/>
  <c r="DN7"/>
  <c r="BI18" i="81" l="1"/>
  <c r="BB18"/>
  <c r="BD18" s="1"/>
  <c r="AX18"/>
  <c r="AF18"/>
  <c r="M18"/>
  <c r="BF18"/>
  <c r="AI18"/>
  <c r="H18"/>
  <c r="BJ18"/>
  <c r="C18"/>
  <c r="D18" s="1"/>
  <c r="E18"/>
  <c r="R18"/>
  <c r="T18" s="1"/>
  <c r="AN18"/>
  <c r="BH18"/>
  <c r="B38"/>
  <c r="B39" s="1"/>
  <c r="I38"/>
  <c r="I39" s="1"/>
  <c r="I41" s="1"/>
  <c r="K38"/>
  <c r="K39" s="1"/>
  <c r="N38"/>
  <c r="N39" s="1"/>
  <c r="BI17"/>
  <c r="BB17"/>
  <c r="BD17" s="1"/>
  <c r="AX17"/>
  <c r="AF17"/>
  <c r="M17"/>
  <c r="BF17"/>
  <c r="AI17"/>
  <c r="H17"/>
  <c r="BJ17"/>
  <c r="C17"/>
  <c r="D17" s="1"/>
  <c r="E17"/>
  <c r="R17"/>
  <c r="T17" s="1"/>
  <c r="AN17"/>
  <c r="BH17"/>
  <c r="F15"/>
  <c r="E15"/>
  <c r="BC15" s="1"/>
  <c r="BI16"/>
  <c r="BB16"/>
  <c r="BD16" s="1"/>
  <c r="AX16"/>
  <c r="AF16"/>
  <c r="M16"/>
  <c r="BF16"/>
  <c r="AI16"/>
  <c r="H16"/>
  <c r="BJ16"/>
  <c r="C16"/>
  <c r="D16" s="1"/>
  <c r="E16"/>
  <c r="R16"/>
  <c r="T16" s="1"/>
  <c r="AN16"/>
  <c r="BH16"/>
  <c r="AX15"/>
  <c r="AI15"/>
  <c r="U15"/>
  <c r="H15"/>
  <c r="AF14"/>
  <c r="M14"/>
  <c r="F14"/>
  <c r="BJ15"/>
  <c r="AF15"/>
  <c r="M15"/>
  <c r="BB14"/>
  <c r="BD14" s="1"/>
  <c r="AX14"/>
  <c r="AI14"/>
  <c r="U14"/>
  <c r="E14"/>
  <c r="BC14" s="1"/>
  <c r="BI13"/>
  <c r="BB13"/>
  <c r="BD13" s="1"/>
  <c r="AX13"/>
  <c r="AF13"/>
  <c r="M13"/>
  <c r="BF13"/>
  <c r="AI13"/>
  <c r="H13"/>
  <c r="BJ13"/>
  <c r="C13"/>
  <c r="D13" s="1"/>
  <c r="E13"/>
  <c r="R13"/>
  <c r="T13" s="1"/>
  <c r="AN13"/>
  <c r="BH13"/>
  <c r="BI12"/>
  <c r="BB12"/>
  <c r="BD12" s="1"/>
  <c r="AX12"/>
  <c r="AF12"/>
  <c r="M12"/>
  <c r="BF12"/>
  <c r="AI12"/>
  <c r="H12"/>
  <c r="BJ12"/>
  <c r="C12"/>
  <c r="D12" s="1"/>
  <c r="E12"/>
  <c r="R12"/>
  <c r="T12" s="1"/>
  <c r="AN12"/>
  <c r="BH12"/>
  <c r="CV39"/>
  <c r="C7"/>
  <c r="D7" s="1"/>
  <c r="F7" s="1"/>
  <c r="O38"/>
  <c r="O39" s="1"/>
  <c r="Q38"/>
  <c r="R38" s="1"/>
  <c r="T8"/>
  <c r="U8" s="1"/>
  <c r="E7"/>
  <c r="D8"/>
  <c r="E8"/>
  <c r="AY11"/>
  <c r="E11"/>
  <c r="AY10"/>
  <c r="E10"/>
  <c r="BC10" s="1"/>
  <c r="BI9"/>
  <c r="BJ9" s="1"/>
  <c r="J38"/>
  <c r="J39" s="1"/>
  <c r="L38"/>
  <c r="L39" s="1"/>
  <c r="BB9"/>
  <c r="BD9" s="1"/>
  <c r="AX9"/>
  <c r="AF9"/>
  <c r="M9"/>
  <c r="F9"/>
  <c r="AI9"/>
  <c r="U9"/>
  <c r="E9"/>
  <c r="BC9" s="1"/>
  <c r="AI7"/>
  <c r="BJ7"/>
  <c r="BJ8" s="1"/>
  <c r="AM44"/>
  <c r="AM39"/>
  <c r="M7"/>
  <c r="T7"/>
  <c r="AF7"/>
  <c r="AX7"/>
  <c r="BB7"/>
  <c r="BD7"/>
  <c r="CO39"/>
  <c r="CQ39"/>
  <c r="M8"/>
  <c r="AF8"/>
  <c r="AX8"/>
  <c r="BB8"/>
  <c r="BD8" s="1"/>
  <c r="BF7"/>
  <c r="BF8" s="1"/>
  <c r="DD7"/>
  <c r="AT39"/>
  <c r="BS39"/>
  <c r="BU39"/>
  <c r="BW39"/>
  <c r="BY39"/>
  <c r="CA39"/>
  <c r="CC39"/>
  <c r="CE39"/>
  <c r="L46"/>
  <c r="CP44" i="80"/>
  <c r="I37"/>
  <c r="J37"/>
  <c r="DD37" s="1"/>
  <c r="DG37" s="1"/>
  <c r="DH37" s="1"/>
  <c r="K37"/>
  <c r="L37"/>
  <c r="N37"/>
  <c r="O37"/>
  <c r="P37"/>
  <c r="R37"/>
  <c r="T37" s="1"/>
  <c r="AN37"/>
  <c r="AY37"/>
  <c r="BA37"/>
  <c r="BB37"/>
  <c r="BD37"/>
  <c r="BF37"/>
  <c r="BG37"/>
  <c r="BH37" s="1"/>
  <c r="BI37"/>
  <c r="CP37"/>
  <c r="CQ37"/>
  <c r="CR37"/>
  <c r="CS37"/>
  <c r="CT37"/>
  <c r="CU37"/>
  <c r="CV37"/>
  <c r="CW37"/>
  <c r="CX37"/>
  <c r="CY37"/>
  <c r="DK37"/>
  <c r="BK37" s="1"/>
  <c r="I36"/>
  <c r="J36"/>
  <c r="DD36" s="1"/>
  <c r="DG36" s="1"/>
  <c r="DH36" s="1"/>
  <c r="K36"/>
  <c r="L36"/>
  <c r="N36"/>
  <c r="O36"/>
  <c r="P36"/>
  <c r="R36"/>
  <c r="T36" s="1"/>
  <c r="AM36"/>
  <c r="AN36"/>
  <c r="AY36"/>
  <c r="BA36"/>
  <c r="BF36"/>
  <c r="BG36"/>
  <c r="BH36" s="1"/>
  <c r="BI36"/>
  <c r="BJ36"/>
  <c r="CP36"/>
  <c r="CQ36"/>
  <c r="CR36"/>
  <c r="CS36"/>
  <c r="CT36"/>
  <c r="CU36"/>
  <c r="CV36"/>
  <c r="CW36"/>
  <c r="CX36"/>
  <c r="CY36"/>
  <c r="DK36"/>
  <c r="BK36" s="1"/>
  <c r="I35"/>
  <c r="J35"/>
  <c r="DD35" s="1"/>
  <c r="DG35" s="1"/>
  <c r="DH35" s="1"/>
  <c r="K35"/>
  <c r="L35"/>
  <c r="N35"/>
  <c r="O35"/>
  <c r="P35"/>
  <c r="R35"/>
  <c r="T35" s="1"/>
  <c r="AM35"/>
  <c r="AN35"/>
  <c r="AY35"/>
  <c r="BA35"/>
  <c r="BF35"/>
  <c r="BG35"/>
  <c r="BH35"/>
  <c r="BI35"/>
  <c r="BJ35"/>
  <c r="CP35"/>
  <c r="CQ35"/>
  <c r="CR35"/>
  <c r="CS35"/>
  <c r="CT35"/>
  <c r="CU35"/>
  <c r="CV35"/>
  <c r="CW35"/>
  <c r="CX35"/>
  <c r="CY35"/>
  <c r="DK35"/>
  <c r="BK35" s="1"/>
  <c r="I34"/>
  <c r="J34"/>
  <c r="DD34" s="1"/>
  <c r="DG34" s="1"/>
  <c r="DH34" s="1"/>
  <c r="K34"/>
  <c r="L34"/>
  <c r="N34"/>
  <c r="O34"/>
  <c r="P34"/>
  <c r="R34"/>
  <c r="T34" s="1"/>
  <c r="AM34"/>
  <c r="AN34"/>
  <c r="AY34"/>
  <c r="BA34"/>
  <c r="BF34"/>
  <c r="BG34"/>
  <c r="BH34" s="1"/>
  <c r="BI34"/>
  <c r="CP34"/>
  <c r="CQ34"/>
  <c r="CR34"/>
  <c r="CS34"/>
  <c r="CT34"/>
  <c r="CU34"/>
  <c r="CV34"/>
  <c r="CW34"/>
  <c r="CX34"/>
  <c r="CY34"/>
  <c r="DK34"/>
  <c r="BK34" s="1"/>
  <c r="I33"/>
  <c r="J33"/>
  <c r="DD33" s="1"/>
  <c r="DG33" s="1"/>
  <c r="DH33" s="1"/>
  <c r="K33"/>
  <c r="L33"/>
  <c r="N33"/>
  <c r="O33"/>
  <c r="P33"/>
  <c r="R33"/>
  <c r="T33" s="1"/>
  <c r="AM33"/>
  <c r="AN33"/>
  <c r="AY33"/>
  <c r="BA33"/>
  <c r="BF33"/>
  <c r="BG33"/>
  <c r="BH33"/>
  <c r="BI33"/>
  <c r="BJ33"/>
  <c r="CP33"/>
  <c r="CQ33"/>
  <c r="CR33"/>
  <c r="CS33"/>
  <c r="CT33"/>
  <c r="CU33"/>
  <c r="CV33"/>
  <c r="CW33"/>
  <c r="CX33"/>
  <c r="CY33"/>
  <c r="DK33"/>
  <c r="BK33" s="1"/>
  <c r="I32"/>
  <c r="J32"/>
  <c r="DD32" s="1"/>
  <c r="DG32" s="1"/>
  <c r="DH32" s="1"/>
  <c r="K32"/>
  <c r="L32"/>
  <c r="N32"/>
  <c r="O32"/>
  <c r="P32"/>
  <c r="R32"/>
  <c r="T32" s="1"/>
  <c r="AM32"/>
  <c r="AN32"/>
  <c r="AY32"/>
  <c r="BA32"/>
  <c r="BF32"/>
  <c r="BG32"/>
  <c r="BH32" s="1"/>
  <c r="BI32"/>
  <c r="BJ32" s="1"/>
  <c r="CP32"/>
  <c r="CQ32"/>
  <c r="CR32"/>
  <c r="CS32"/>
  <c r="CT32"/>
  <c r="CU32"/>
  <c r="CV32"/>
  <c r="CW32"/>
  <c r="CX32"/>
  <c r="CY32"/>
  <c r="DK32"/>
  <c r="BK32" s="1"/>
  <c r="I31"/>
  <c r="J31"/>
  <c r="DD31" s="1"/>
  <c r="DG31" s="1"/>
  <c r="DH31" s="1"/>
  <c r="K31"/>
  <c r="L31"/>
  <c r="N31"/>
  <c r="O31"/>
  <c r="P31"/>
  <c r="R31"/>
  <c r="T31" s="1"/>
  <c r="AM31"/>
  <c r="AN31"/>
  <c r="AY31"/>
  <c r="BA31"/>
  <c r="BF31"/>
  <c r="BG31"/>
  <c r="BH31"/>
  <c r="BI31"/>
  <c r="BJ31"/>
  <c r="CP31"/>
  <c r="CQ31"/>
  <c r="CR31"/>
  <c r="CS31"/>
  <c r="CT31"/>
  <c r="CU31"/>
  <c r="CV31"/>
  <c r="CW31"/>
  <c r="CX31"/>
  <c r="CY31"/>
  <c r="DK31"/>
  <c r="BK31" s="1"/>
  <c r="I30"/>
  <c r="J30"/>
  <c r="DD30" s="1"/>
  <c r="DG30" s="1"/>
  <c r="DH30" s="1"/>
  <c r="K30"/>
  <c r="L30"/>
  <c r="N30"/>
  <c r="O30"/>
  <c r="P30"/>
  <c r="R30"/>
  <c r="T30" s="1"/>
  <c r="AM30"/>
  <c r="AN30"/>
  <c r="AY30"/>
  <c r="BA30"/>
  <c r="BF30"/>
  <c r="BG30"/>
  <c r="BH30"/>
  <c r="BI30"/>
  <c r="BJ30"/>
  <c r="CP30"/>
  <c r="CQ30"/>
  <c r="CR30"/>
  <c r="CS30"/>
  <c r="CT30"/>
  <c r="CU30"/>
  <c r="CV30"/>
  <c r="CW30"/>
  <c r="CX30"/>
  <c r="CY30"/>
  <c r="DK30"/>
  <c r="BK30" s="1"/>
  <c r="I29"/>
  <c r="J29"/>
  <c r="K29"/>
  <c r="L29"/>
  <c r="N29"/>
  <c r="O29"/>
  <c r="P29"/>
  <c r="R29"/>
  <c r="T29" s="1"/>
  <c r="AM29"/>
  <c r="AN29" s="1"/>
  <c r="BA29"/>
  <c r="BG29"/>
  <c r="BH29" s="1"/>
  <c r="CP29"/>
  <c r="CQ29"/>
  <c r="CR29"/>
  <c r="CS29"/>
  <c r="CT29"/>
  <c r="CU29"/>
  <c r="CV29"/>
  <c r="CW29"/>
  <c r="CX29"/>
  <c r="CY29"/>
  <c r="DD29"/>
  <c r="DG29" s="1"/>
  <c r="DH29" s="1"/>
  <c r="DK29"/>
  <c r="BK29" s="1"/>
  <c r="I28"/>
  <c r="J28"/>
  <c r="DD28" s="1"/>
  <c r="DG28" s="1"/>
  <c r="DH28" s="1"/>
  <c r="K28"/>
  <c r="L28"/>
  <c r="N28"/>
  <c r="O28"/>
  <c r="P28"/>
  <c r="R28"/>
  <c r="T28" s="1"/>
  <c r="AM28"/>
  <c r="AN28"/>
  <c r="AY28"/>
  <c r="BA28"/>
  <c r="BF28"/>
  <c r="BG28"/>
  <c r="BH28" s="1"/>
  <c r="BI28"/>
  <c r="CP28"/>
  <c r="CQ28"/>
  <c r="CR28"/>
  <c r="CS28"/>
  <c r="CT28"/>
  <c r="CU28"/>
  <c r="CV28"/>
  <c r="CW28"/>
  <c r="CX28"/>
  <c r="CY28"/>
  <c r="DK28"/>
  <c r="BK28" s="1"/>
  <c r="I27"/>
  <c r="J27"/>
  <c r="DD27" s="1"/>
  <c r="DG27" s="1"/>
  <c r="DH27" s="1"/>
  <c r="K27"/>
  <c r="L27"/>
  <c r="N27"/>
  <c r="O27"/>
  <c r="P27"/>
  <c r="R27"/>
  <c r="T27" s="1"/>
  <c r="AM27"/>
  <c r="AN27"/>
  <c r="AY27"/>
  <c r="BA27"/>
  <c r="BF27"/>
  <c r="BG27"/>
  <c r="BH27"/>
  <c r="BI27"/>
  <c r="BJ27"/>
  <c r="CP27"/>
  <c r="CQ27"/>
  <c r="CR27"/>
  <c r="CS27"/>
  <c r="CT27"/>
  <c r="CU27"/>
  <c r="CV27"/>
  <c r="CW27"/>
  <c r="CX27"/>
  <c r="CY27"/>
  <c r="DK27"/>
  <c r="BK27" s="1"/>
  <c r="I26"/>
  <c r="J26"/>
  <c r="DD26" s="1"/>
  <c r="DG26" s="1"/>
  <c r="DH26" s="1"/>
  <c r="K26"/>
  <c r="L26"/>
  <c r="N26"/>
  <c r="O26"/>
  <c r="P26"/>
  <c r="R26"/>
  <c r="T26" s="1"/>
  <c r="AM26"/>
  <c r="AN26"/>
  <c r="AY26"/>
  <c r="BA26"/>
  <c r="BF26"/>
  <c r="BG26"/>
  <c r="BH26"/>
  <c r="BI26"/>
  <c r="BJ26"/>
  <c r="CP26"/>
  <c r="CQ26"/>
  <c r="CR26"/>
  <c r="CS26"/>
  <c r="CT26"/>
  <c r="CU26"/>
  <c r="CV26"/>
  <c r="CW26"/>
  <c r="CX26"/>
  <c r="CY26"/>
  <c r="DK26"/>
  <c r="BK26" s="1"/>
  <c r="I25"/>
  <c r="J25"/>
  <c r="DD25" s="1"/>
  <c r="DG25" s="1"/>
  <c r="DH25" s="1"/>
  <c r="K25"/>
  <c r="L25"/>
  <c r="N25"/>
  <c r="O25"/>
  <c r="P25"/>
  <c r="R25"/>
  <c r="T25" s="1"/>
  <c r="AM25"/>
  <c r="AN25"/>
  <c r="AY25"/>
  <c r="BA25"/>
  <c r="BF25"/>
  <c r="BG25"/>
  <c r="BH25"/>
  <c r="BI25"/>
  <c r="BJ25"/>
  <c r="CP25"/>
  <c r="CQ25"/>
  <c r="CR25"/>
  <c r="CS25"/>
  <c r="CT25"/>
  <c r="CU25"/>
  <c r="CV25"/>
  <c r="CW25"/>
  <c r="CX25"/>
  <c r="CY25"/>
  <c r="DK25"/>
  <c r="BK25" s="1"/>
  <c r="I24"/>
  <c r="J24"/>
  <c r="DD24" s="1"/>
  <c r="DG24" s="1"/>
  <c r="DH24" s="1"/>
  <c r="K24"/>
  <c r="L24"/>
  <c r="N24"/>
  <c r="O24"/>
  <c r="P24"/>
  <c r="R24"/>
  <c r="T24" s="1"/>
  <c r="AM24"/>
  <c r="AN24"/>
  <c r="AY24"/>
  <c r="BA24"/>
  <c r="BF24"/>
  <c r="BG24"/>
  <c r="BH24"/>
  <c r="BI24"/>
  <c r="BJ24"/>
  <c r="CP24"/>
  <c r="CQ24"/>
  <c r="CR24"/>
  <c r="CS24"/>
  <c r="CT24"/>
  <c r="CU24"/>
  <c r="CV24"/>
  <c r="CW24"/>
  <c r="CX24"/>
  <c r="CY24"/>
  <c r="DK24"/>
  <c r="BK24" s="1"/>
  <c r="I23"/>
  <c r="J23"/>
  <c r="DD23" s="1"/>
  <c r="DG23" s="1"/>
  <c r="DH23" s="1"/>
  <c r="K23"/>
  <c r="L23"/>
  <c r="N23"/>
  <c r="O23"/>
  <c r="P23"/>
  <c r="R23"/>
  <c r="T23" s="1"/>
  <c r="AM23"/>
  <c r="AN23"/>
  <c r="AY23"/>
  <c r="BA23"/>
  <c r="BF23"/>
  <c r="BG23"/>
  <c r="BH23"/>
  <c r="BI23"/>
  <c r="BJ23"/>
  <c r="CP23"/>
  <c r="CQ23"/>
  <c r="CR23"/>
  <c r="CS23"/>
  <c r="CT23"/>
  <c r="CU23"/>
  <c r="CV23"/>
  <c r="CW23"/>
  <c r="CX23"/>
  <c r="CY23"/>
  <c r="DK23"/>
  <c r="BK23" s="1"/>
  <c r="I22"/>
  <c r="J22"/>
  <c r="DD22" s="1"/>
  <c r="DG22" s="1"/>
  <c r="DH22" s="1"/>
  <c r="K22"/>
  <c r="L22"/>
  <c r="N22"/>
  <c r="O22"/>
  <c r="P22"/>
  <c r="R22"/>
  <c r="T22" s="1"/>
  <c r="AM22"/>
  <c r="AN22"/>
  <c r="AY22"/>
  <c r="BA22"/>
  <c r="BF22"/>
  <c r="BG22"/>
  <c r="BH22"/>
  <c r="BI22"/>
  <c r="BJ22"/>
  <c r="CP22"/>
  <c r="CQ22"/>
  <c r="CR22"/>
  <c r="CS22"/>
  <c r="CT22"/>
  <c r="CU22"/>
  <c r="CV22"/>
  <c r="CW22"/>
  <c r="CX22"/>
  <c r="CY22"/>
  <c r="DK22"/>
  <c r="BK22" s="1"/>
  <c r="I21"/>
  <c r="J21"/>
  <c r="DD21" s="1"/>
  <c r="DG21" s="1"/>
  <c r="DH21" s="1"/>
  <c r="K21"/>
  <c r="L21"/>
  <c r="N21"/>
  <c r="O21"/>
  <c r="P21"/>
  <c r="R21"/>
  <c r="T21" s="1"/>
  <c r="AM21"/>
  <c r="AN21"/>
  <c r="AY21"/>
  <c r="BA21"/>
  <c r="BF21"/>
  <c r="BG21"/>
  <c r="BH21"/>
  <c r="BI21"/>
  <c r="BJ21"/>
  <c r="CP21"/>
  <c r="CQ21"/>
  <c r="CR21"/>
  <c r="CS21"/>
  <c r="CT21"/>
  <c r="CU21"/>
  <c r="CV21"/>
  <c r="CW21"/>
  <c r="CX21"/>
  <c r="CY21"/>
  <c r="DK21"/>
  <c r="BK21" s="1"/>
  <c r="I20"/>
  <c r="J20"/>
  <c r="DD20" s="1"/>
  <c r="DG20" s="1"/>
  <c r="DH20" s="1"/>
  <c r="K20"/>
  <c r="L20"/>
  <c r="N20"/>
  <c r="O20"/>
  <c r="P20"/>
  <c r="R20"/>
  <c r="T20" s="1"/>
  <c r="AM20"/>
  <c r="AN20"/>
  <c r="AY20"/>
  <c r="BA20"/>
  <c r="BF20"/>
  <c r="BG20"/>
  <c r="BH20"/>
  <c r="BI20"/>
  <c r="BJ20"/>
  <c r="CP20"/>
  <c r="CQ20"/>
  <c r="CR20"/>
  <c r="CS20"/>
  <c r="CT20"/>
  <c r="CU20"/>
  <c r="CV20"/>
  <c r="CW20"/>
  <c r="CX20"/>
  <c r="CY20"/>
  <c r="DK20"/>
  <c r="BK20" s="1"/>
  <c r="I19"/>
  <c r="J19"/>
  <c r="DD19" s="1"/>
  <c r="DG19" s="1"/>
  <c r="DH19" s="1"/>
  <c r="K19"/>
  <c r="L19"/>
  <c r="N19"/>
  <c r="O19"/>
  <c r="P19"/>
  <c r="R19"/>
  <c r="T19" s="1"/>
  <c r="AM19"/>
  <c r="AN19"/>
  <c r="AY19"/>
  <c r="BA19"/>
  <c r="BF19"/>
  <c r="BG19"/>
  <c r="BH19"/>
  <c r="BI19"/>
  <c r="BJ19"/>
  <c r="CP19"/>
  <c r="CQ19"/>
  <c r="CR19"/>
  <c r="CS19"/>
  <c r="CT19"/>
  <c r="CU19"/>
  <c r="CV19"/>
  <c r="CW19"/>
  <c r="CX19"/>
  <c r="CY19"/>
  <c r="DK19"/>
  <c r="BK19" s="1"/>
  <c r="I18"/>
  <c r="J18"/>
  <c r="DD18" s="1"/>
  <c r="DG18" s="1"/>
  <c r="DH18" s="1"/>
  <c r="K18"/>
  <c r="L18"/>
  <c r="N18"/>
  <c r="O18"/>
  <c r="P18"/>
  <c r="R18"/>
  <c r="T18" s="1"/>
  <c r="AM18"/>
  <c r="AN18"/>
  <c r="AY18"/>
  <c r="BA18"/>
  <c r="BF18"/>
  <c r="BG18"/>
  <c r="BH18"/>
  <c r="BI18"/>
  <c r="BJ18"/>
  <c r="CP18"/>
  <c r="CQ18"/>
  <c r="CR18"/>
  <c r="CS18"/>
  <c r="CT18"/>
  <c r="CU18"/>
  <c r="CV18"/>
  <c r="CW18"/>
  <c r="CX18"/>
  <c r="CY18"/>
  <c r="DK18"/>
  <c r="BK18" s="1"/>
  <c r="I17"/>
  <c r="J17"/>
  <c r="DD17" s="1"/>
  <c r="DG17" s="1"/>
  <c r="DH17" s="1"/>
  <c r="K17"/>
  <c r="L17"/>
  <c r="N17"/>
  <c r="O17"/>
  <c r="P17"/>
  <c r="R17"/>
  <c r="T17" s="1"/>
  <c r="AM17"/>
  <c r="AN17"/>
  <c r="AY17"/>
  <c r="BA17"/>
  <c r="BF17"/>
  <c r="BG17"/>
  <c r="BH17"/>
  <c r="BI17"/>
  <c r="BJ17"/>
  <c r="CP17"/>
  <c r="CQ17"/>
  <c r="CR17"/>
  <c r="CS17"/>
  <c r="CT17"/>
  <c r="CU17"/>
  <c r="CV17"/>
  <c r="CW17"/>
  <c r="CX17"/>
  <c r="CY17"/>
  <c r="DK17"/>
  <c r="BK17" s="1"/>
  <c r="I16"/>
  <c r="J16"/>
  <c r="DD16" s="1"/>
  <c r="DG16" s="1"/>
  <c r="DH16" s="1"/>
  <c r="K16"/>
  <c r="L16"/>
  <c r="N16"/>
  <c r="O16"/>
  <c r="P16"/>
  <c r="R16"/>
  <c r="T16" s="1"/>
  <c r="AM16"/>
  <c r="AN16"/>
  <c r="AY16"/>
  <c r="BA16"/>
  <c r="BF16"/>
  <c r="BG16"/>
  <c r="BH16" s="1"/>
  <c r="BI16"/>
  <c r="CP16"/>
  <c r="CQ16"/>
  <c r="CR16"/>
  <c r="CS16"/>
  <c r="CT16"/>
  <c r="CU16"/>
  <c r="CV16"/>
  <c r="CW16"/>
  <c r="CX16"/>
  <c r="CY16"/>
  <c r="DK16"/>
  <c r="BK16" s="1"/>
  <c r="I15"/>
  <c r="J15"/>
  <c r="DD15" s="1"/>
  <c r="DG15" s="1"/>
  <c r="DH15" s="1"/>
  <c r="K15"/>
  <c r="L15"/>
  <c r="N15"/>
  <c r="O15"/>
  <c r="P15"/>
  <c r="R15"/>
  <c r="T15" s="1"/>
  <c r="AM15"/>
  <c r="AN15"/>
  <c r="AY15"/>
  <c r="BA15"/>
  <c r="BF15"/>
  <c r="BG15"/>
  <c r="BH15" s="1"/>
  <c r="BI15"/>
  <c r="CP15"/>
  <c r="CQ15"/>
  <c r="CR15"/>
  <c r="CS15"/>
  <c r="CT15"/>
  <c r="CU15"/>
  <c r="CV15"/>
  <c r="CW15"/>
  <c r="CX15"/>
  <c r="CY15"/>
  <c r="DK15"/>
  <c r="BK15" s="1"/>
  <c r="I14"/>
  <c r="J14"/>
  <c r="DD14" s="1"/>
  <c r="DG14" s="1"/>
  <c r="DH14" s="1"/>
  <c r="K14"/>
  <c r="L14"/>
  <c r="N14"/>
  <c r="O14"/>
  <c r="P14"/>
  <c r="R14"/>
  <c r="T14" s="1"/>
  <c r="AM14"/>
  <c r="AN14"/>
  <c r="AY14"/>
  <c r="BA14"/>
  <c r="BF14"/>
  <c r="BG14"/>
  <c r="BH14"/>
  <c r="BI14"/>
  <c r="BJ14"/>
  <c r="CP14"/>
  <c r="CQ14"/>
  <c r="CR14"/>
  <c r="CS14"/>
  <c r="CT14"/>
  <c r="CU14"/>
  <c r="CV14"/>
  <c r="CW14"/>
  <c r="CX14"/>
  <c r="CY14"/>
  <c r="DK14"/>
  <c r="BK14" s="1"/>
  <c r="I13"/>
  <c r="J13"/>
  <c r="DD13" s="1"/>
  <c r="DG13" s="1"/>
  <c r="DH13" s="1"/>
  <c r="K13"/>
  <c r="L13"/>
  <c r="N13"/>
  <c r="O13"/>
  <c r="P13"/>
  <c r="R13"/>
  <c r="T13" s="1"/>
  <c r="AM13"/>
  <c r="AN13" s="1"/>
  <c r="AY13"/>
  <c r="BA13"/>
  <c r="BB13"/>
  <c r="BD13"/>
  <c r="BF13"/>
  <c r="BG13"/>
  <c r="BH13" s="1"/>
  <c r="BI13"/>
  <c r="CP13"/>
  <c r="CQ13"/>
  <c r="CR13"/>
  <c r="CS13"/>
  <c r="CT13"/>
  <c r="CU13"/>
  <c r="CV13"/>
  <c r="CW13"/>
  <c r="CX13"/>
  <c r="CY13"/>
  <c r="DK13"/>
  <c r="BK13" s="1"/>
  <c r="I12"/>
  <c r="J12"/>
  <c r="DD12" s="1"/>
  <c r="DG12" s="1"/>
  <c r="DH12" s="1"/>
  <c r="K12"/>
  <c r="L12"/>
  <c r="N12"/>
  <c r="O12"/>
  <c r="P12"/>
  <c r="R12"/>
  <c r="T12" s="1"/>
  <c r="AM12"/>
  <c r="AN12"/>
  <c r="AY12"/>
  <c r="BA12"/>
  <c r="BF12"/>
  <c r="BG12"/>
  <c r="BH12" s="1"/>
  <c r="BI12"/>
  <c r="CP12"/>
  <c r="CQ12"/>
  <c r="CR12"/>
  <c r="CS12"/>
  <c r="CT12"/>
  <c r="CU12"/>
  <c r="CV12"/>
  <c r="CW12"/>
  <c r="CX12"/>
  <c r="CY12"/>
  <c r="DK12"/>
  <c r="BK12" s="1"/>
  <c r="I11"/>
  <c r="J11"/>
  <c r="DD11" s="1"/>
  <c r="DG11" s="1"/>
  <c r="DH11" s="1"/>
  <c r="K11"/>
  <c r="L11"/>
  <c r="N11"/>
  <c r="O11"/>
  <c r="P11"/>
  <c r="R11"/>
  <c r="T11" s="1"/>
  <c r="AM11"/>
  <c r="AN11"/>
  <c r="AY11"/>
  <c r="BA11"/>
  <c r="BF11"/>
  <c r="BG11"/>
  <c r="BH11"/>
  <c r="BI11"/>
  <c r="BJ11" s="1"/>
  <c r="CP11"/>
  <c r="CQ11"/>
  <c r="CR11"/>
  <c r="CS11"/>
  <c r="CT11"/>
  <c r="CU11"/>
  <c r="CV11"/>
  <c r="CW11"/>
  <c r="CX11"/>
  <c r="CY11"/>
  <c r="DK11"/>
  <c r="BK11" s="1"/>
  <c r="I10"/>
  <c r="J10"/>
  <c r="DD10" s="1"/>
  <c r="DG10" s="1"/>
  <c r="DH10" s="1"/>
  <c r="K10"/>
  <c r="L10"/>
  <c r="N10"/>
  <c r="O10"/>
  <c r="P10"/>
  <c r="R10"/>
  <c r="T10" s="1"/>
  <c r="AM10"/>
  <c r="AN10"/>
  <c r="AY10"/>
  <c r="BA10"/>
  <c r="BF10"/>
  <c r="BG10"/>
  <c r="BH10"/>
  <c r="BI10"/>
  <c r="BJ10"/>
  <c r="CP10"/>
  <c r="CQ10"/>
  <c r="CR10"/>
  <c r="CS10"/>
  <c r="CT10"/>
  <c r="CU10"/>
  <c r="CV10"/>
  <c r="CW10"/>
  <c r="CX10"/>
  <c r="CY10"/>
  <c r="DK10"/>
  <c r="BK10" s="1"/>
  <c r="I9"/>
  <c r="J9"/>
  <c r="DD9" s="1"/>
  <c r="DG9" s="1"/>
  <c r="DH9" s="1"/>
  <c r="K9"/>
  <c r="L9"/>
  <c r="N9"/>
  <c r="O9"/>
  <c r="P9"/>
  <c r="R9"/>
  <c r="T9" s="1"/>
  <c r="AM9"/>
  <c r="AN9"/>
  <c r="AY9"/>
  <c r="BA9"/>
  <c r="BF9"/>
  <c r="BG9"/>
  <c r="BH9" s="1"/>
  <c r="BI9"/>
  <c r="BJ9" s="1"/>
  <c r="CP9"/>
  <c r="CQ9"/>
  <c r="CR9"/>
  <c r="CS9"/>
  <c r="CT9"/>
  <c r="CU9"/>
  <c r="CV9"/>
  <c r="CW9"/>
  <c r="CX9"/>
  <c r="CY9"/>
  <c r="DK9"/>
  <c r="BK9" s="1"/>
  <c r="B8"/>
  <c r="B7"/>
  <c r="BK8"/>
  <c r="BK7"/>
  <c r="DK8"/>
  <c r="DK7"/>
  <c r="AZ15" i="81" l="1"/>
  <c r="U18"/>
  <c r="AZ18"/>
  <c r="BC18"/>
  <c r="F18"/>
  <c r="U17"/>
  <c r="AZ17"/>
  <c r="BC17"/>
  <c r="F17"/>
  <c r="U16"/>
  <c r="AZ16"/>
  <c r="BC16"/>
  <c r="F16"/>
  <c r="AZ14"/>
  <c r="U13"/>
  <c r="AZ13"/>
  <c r="BC13"/>
  <c r="F13"/>
  <c r="U12"/>
  <c r="AZ12"/>
  <c r="BC12"/>
  <c r="F12"/>
  <c r="Q39"/>
  <c r="BC8"/>
  <c r="R39"/>
  <c r="R41" s="1"/>
  <c r="F8"/>
  <c r="AZ8"/>
  <c r="BC11"/>
  <c r="AZ11"/>
  <c r="H11"/>
  <c r="U11"/>
  <c r="AI11"/>
  <c r="BF11"/>
  <c r="F11"/>
  <c r="M11"/>
  <c r="AF11"/>
  <c r="AX11"/>
  <c r="BB11"/>
  <c r="BD11" s="1"/>
  <c r="BI11"/>
  <c r="BJ11" s="1"/>
  <c r="AZ10"/>
  <c r="H10"/>
  <c r="U10"/>
  <c r="AI10"/>
  <c r="BF10"/>
  <c r="F10"/>
  <c r="M10"/>
  <c r="AF10"/>
  <c r="AX10"/>
  <c r="BB10"/>
  <c r="BD10" s="1"/>
  <c r="BI10"/>
  <c r="BJ10" s="1"/>
  <c r="AZ9"/>
  <c r="E39"/>
  <c r="C39"/>
  <c r="DD38"/>
  <c r="DE38" s="1"/>
  <c r="DG7"/>
  <c r="D38"/>
  <c r="BC7"/>
  <c r="AY38"/>
  <c r="CO40"/>
  <c r="BB38"/>
  <c r="AN39"/>
  <c r="U7"/>
  <c r="BD38"/>
  <c r="BD39" s="1"/>
  <c r="B37" i="80"/>
  <c r="CO37"/>
  <c r="H37"/>
  <c r="BJ37"/>
  <c r="AF37"/>
  <c r="M37"/>
  <c r="AX37"/>
  <c r="AI37"/>
  <c r="U37"/>
  <c r="CO36"/>
  <c r="B36"/>
  <c r="H36"/>
  <c r="BB36"/>
  <c r="BD36" s="1"/>
  <c r="AX36"/>
  <c r="AF36"/>
  <c r="M36"/>
  <c r="AI36"/>
  <c r="U36"/>
  <c r="CO35"/>
  <c r="B35"/>
  <c r="H35"/>
  <c r="BB35"/>
  <c r="BD35" s="1"/>
  <c r="AX35"/>
  <c r="AF35"/>
  <c r="M35"/>
  <c r="AI35"/>
  <c r="U35"/>
  <c r="CO34"/>
  <c r="B34"/>
  <c r="H34"/>
  <c r="BB34"/>
  <c r="BD34" s="1"/>
  <c r="AX34"/>
  <c r="AF34"/>
  <c r="M34"/>
  <c r="BJ34"/>
  <c r="AI34"/>
  <c r="U34"/>
  <c r="CO33"/>
  <c r="B33"/>
  <c r="H33"/>
  <c r="BB33"/>
  <c r="BD33" s="1"/>
  <c r="AX33"/>
  <c r="AF33"/>
  <c r="M33"/>
  <c r="AI33"/>
  <c r="U33"/>
  <c r="CO32"/>
  <c r="B32"/>
  <c r="H32"/>
  <c r="BB32"/>
  <c r="BD32" s="1"/>
  <c r="AX32"/>
  <c r="AF32"/>
  <c r="M32"/>
  <c r="AI32"/>
  <c r="U32"/>
  <c r="CO31"/>
  <c r="B31"/>
  <c r="H31"/>
  <c r="BB31"/>
  <c r="BD31" s="1"/>
  <c r="AX31"/>
  <c r="AF31"/>
  <c r="M31"/>
  <c r="AI31"/>
  <c r="U31"/>
  <c r="CO30"/>
  <c r="B30"/>
  <c r="H30"/>
  <c r="BB30"/>
  <c r="BD30" s="1"/>
  <c r="AX30"/>
  <c r="AF30"/>
  <c r="M30"/>
  <c r="AI30"/>
  <c r="U30"/>
  <c r="CO29"/>
  <c r="B29"/>
  <c r="AY29"/>
  <c r="CO28"/>
  <c r="B28"/>
  <c r="H28"/>
  <c r="BB28"/>
  <c r="BD28" s="1"/>
  <c r="AX28"/>
  <c r="AF28"/>
  <c r="M28"/>
  <c r="BJ28"/>
  <c r="AI28"/>
  <c r="U28"/>
  <c r="CO27"/>
  <c r="B27"/>
  <c r="H27"/>
  <c r="BB27"/>
  <c r="BD27" s="1"/>
  <c r="AX27"/>
  <c r="AF27"/>
  <c r="M27"/>
  <c r="AI27"/>
  <c r="U27"/>
  <c r="CO26"/>
  <c r="B26"/>
  <c r="H26"/>
  <c r="BB26"/>
  <c r="BD26" s="1"/>
  <c r="AX26"/>
  <c r="AF26"/>
  <c r="M26"/>
  <c r="AI26"/>
  <c r="U26"/>
  <c r="CO25"/>
  <c r="B25"/>
  <c r="H25"/>
  <c r="BB25"/>
  <c r="BD25" s="1"/>
  <c r="AX25"/>
  <c r="AF25"/>
  <c r="M25"/>
  <c r="AI25"/>
  <c r="U25"/>
  <c r="CO24"/>
  <c r="B24"/>
  <c r="H24"/>
  <c r="BB24"/>
  <c r="BD24" s="1"/>
  <c r="AX24"/>
  <c r="AF24"/>
  <c r="M24"/>
  <c r="AI24"/>
  <c r="U24"/>
  <c r="CO23"/>
  <c r="B23"/>
  <c r="H23"/>
  <c r="BB23"/>
  <c r="BD23" s="1"/>
  <c r="AX23"/>
  <c r="AF23"/>
  <c r="M23"/>
  <c r="AI23"/>
  <c r="U23"/>
  <c r="CO22"/>
  <c r="B22"/>
  <c r="H22"/>
  <c r="BB22"/>
  <c r="BD22" s="1"/>
  <c r="AX22"/>
  <c r="AF22"/>
  <c r="M22"/>
  <c r="AI22"/>
  <c r="U22"/>
  <c r="CO21"/>
  <c r="B21"/>
  <c r="H21"/>
  <c r="BB21"/>
  <c r="BD21" s="1"/>
  <c r="AX21"/>
  <c r="AF21"/>
  <c r="M21"/>
  <c r="AI21"/>
  <c r="U21"/>
  <c r="CO20"/>
  <c r="B20"/>
  <c r="H20"/>
  <c r="BB20"/>
  <c r="BD20" s="1"/>
  <c r="AX20"/>
  <c r="AF20"/>
  <c r="M20"/>
  <c r="AI20"/>
  <c r="U20"/>
  <c r="CO19"/>
  <c r="B19"/>
  <c r="H19"/>
  <c r="BB19"/>
  <c r="BD19" s="1"/>
  <c r="AX19"/>
  <c r="AF19"/>
  <c r="M19"/>
  <c r="AI19"/>
  <c r="U19"/>
  <c r="CO18"/>
  <c r="B18"/>
  <c r="H18"/>
  <c r="BB18"/>
  <c r="BD18" s="1"/>
  <c r="AX18"/>
  <c r="AF18"/>
  <c r="M18"/>
  <c r="AI18"/>
  <c r="U18"/>
  <c r="CO17"/>
  <c r="B17"/>
  <c r="H17"/>
  <c r="BB17"/>
  <c r="BD17" s="1"/>
  <c r="AX17"/>
  <c r="AF17"/>
  <c r="M17"/>
  <c r="AI17"/>
  <c r="U17"/>
  <c r="CO16"/>
  <c r="B16"/>
  <c r="H16"/>
  <c r="BB16"/>
  <c r="BD16" s="1"/>
  <c r="AX16"/>
  <c r="AF16"/>
  <c r="M16"/>
  <c r="BJ16"/>
  <c r="AI16"/>
  <c r="U16"/>
  <c r="CO15"/>
  <c r="B15"/>
  <c r="H15"/>
  <c r="BB15"/>
  <c r="BD15" s="1"/>
  <c r="AX15"/>
  <c r="AF15"/>
  <c r="M15"/>
  <c r="BJ15"/>
  <c r="AI15"/>
  <c r="U15"/>
  <c r="CO14"/>
  <c r="B14"/>
  <c r="H14"/>
  <c r="BB14"/>
  <c r="BD14" s="1"/>
  <c r="AX14"/>
  <c r="AF14"/>
  <c r="M14"/>
  <c r="AI14"/>
  <c r="U14"/>
  <c r="CO13"/>
  <c r="B13"/>
  <c r="H13"/>
  <c r="AX13"/>
  <c r="AF13"/>
  <c r="M13"/>
  <c r="BJ13"/>
  <c r="AI13"/>
  <c r="U13"/>
  <c r="CO12"/>
  <c r="B12"/>
  <c r="H12"/>
  <c r="BB12"/>
  <c r="BD12" s="1"/>
  <c r="AX12"/>
  <c r="AF12"/>
  <c r="M12"/>
  <c r="BJ12"/>
  <c r="AI12"/>
  <c r="U12"/>
  <c r="CO11"/>
  <c r="B11"/>
  <c r="H11"/>
  <c r="BB11"/>
  <c r="BD11" s="1"/>
  <c r="AX11"/>
  <c r="AF11"/>
  <c r="M11"/>
  <c r="AI11"/>
  <c r="U11"/>
  <c r="CO10"/>
  <c r="B10"/>
  <c r="H10"/>
  <c r="BB10"/>
  <c r="BD10" s="1"/>
  <c r="AX10"/>
  <c r="AF10"/>
  <c r="M10"/>
  <c r="AI10"/>
  <c r="U10"/>
  <c r="CO9"/>
  <c r="B9"/>
  <c r="H9"/>
  <c r="BB9"/>
  <c r="BD9" s="1"/>
  <c r="AX9"/>
  <c r="AF9"/>
  <c r="M9"/>
  <c r="AI9"/>
  <c r="U9"/>
  <c r="BD59"/>
  <c r="AT46"/>
  <c r="AT43"/>
  <c r="AS39"/>
  <c r="AQ39"/>
  <c r="AP39"/>
  <c r="AD39"/>
  <c r="AC39"/>
  <c r="Z39"/>
  <c r="Z41" s="1"/>
  <c r="Y39"/>
  <c r="CI38"/>
  <c r="CM39" s="1"/>
  <c r="CH38"/>
  <c r="CL39" s="1"/>
  <c r="CG38"/>
  <c r="CK39" s="1"/>
  <c r="CF38"/>
  <c r="CJ39" s="1"/>
  <c r="BQ38"/>
  <c r="BX39" s="1"/>
  <c r="BP38"/>
  <c r="CD39" s="1"/>
  <c r="BO38"/>
  <c r="BV39" s="1"/>
  <c r="BN38"/>
  <c r="CB39" s="1"/>
  <c r="BM38"/>
  <c r="BT39" s="1"/>
  <c r="BL38"/>
  <c r="BZ39" s="1"/>
  <c r="BK38"/>
  <c r="BR39" s="1"/>
  <c r="BG38"/>
  <c r="AW38"/>
  <c r="AW39" s="1"/>
  <c r="AV38"/>
  <c r="AV39" s="1"/>
  <c r="AU38"/>
  <c r="AU39" s="1"/>
  <c r="AT38"/>
  <c r="AT41" s="1"/>
  <c r="AL38"/>
  <c r="AL39" s="1"/>
  <c r="AJ38"/>
  <c r="AJ39" s="1"/>
  <c r="AH38"/>
  <c r="AH39" s="1"/>
  <c r="AG38"/>
  <c r="AG39" s="1"/>
  <c r="AE38"/>
  <c r="AE39" s="1"/>
  <c r="AD38"/>
  <c r="W38"/>
  <c r="W39" s="1"/>
  <c r="V38"/>
  <c r="V39" s="1"/>
  <c r="S38"/>
  <c r="S39" s="1"/>
  <c r="G38"/>
  <c r="G39" s="1"/>
  <c r="G41" s="1"/>
  <c r="CY8"/>
  <c r="CX8"/>
  <c r="CW8"/>
  <c r="CV8"/>
  <c r="CU8"/>
  <c r="CT8"/>
  <c r="CS8"/>
  <c r="CR8"/>
  <c r="CQ8"/>
  <c r="CP8"/>
  <c r="CO8"/>
  <c r="BG8"/>
  <c r="BA8"/>
  <c r="AM8"/>
  <c r="AY8" s="1"/>
  <c r="R8"/>
  <c r="P8"/>
  <c r="O8"/>
  <c r="N8"/>
  <c r="L8"/>
  <c r="K8"/>
  <c r="J8"/>
  <c r="DD8" s="1"/>
  <c r="DG8" s="1"/>
  <c r="DH8" s="1"/>
  <c r="I8"/>
  <c r="E8"/>
  <c r="CY7"/>
  <c r="CY38" s="1"/>
  <c r="CX7"/>
  <c r="CX38" s="1"/>
  <c r="CW7"/>
  <c r="CW38" s="1"/>
  <c r="CV7"/>
  <c r="CU7"/>
  <c r="CU38" s="1"/>
  <c r="CT7"/>
  <c r="CT38" s="1"/>
  <c r="CS7"/>
  <c r="CS38" s="1"/>
  <c r="CR7"/>
  <c r="CR38" s="1"/>
  <c r="CQ7"/>
  <c r="CQ38" s="1"/>
  <c r="CP7"/>
  <c r="CP38" s="1"/>
  <c r="CO7"/>
  <c r="CO38" s="1"/>
  <c r="BG7"/>
  <c r="BA7"/>
  <c r="BA38" s="1"/>
  <c r="AM7"/>
  <c r="AM38" s="1"/>
  <c r="Q38"/>
  <c r="P7"/>
  <c r="O7"/>
  <c r="N7"/>
  <c r="L7"/>
  <c r="K7"/>
  <c r="J7"/>
  <c r="I7"/>
  <c r="B38"/>
  <c r="B39" s="1"/>
  <c r="T38" i="81" l="1"/>
  <c r="U39" s="1"/>
  <c r="U41" s="1"/>
  <c r="AZ48"/>
  <c r="AZ51" s="1"/>
  <c r="D39"/>
  <c r="BI38"/>
  <c r="DG38"/>
  <c r="DH7"/>
  <c r="AZ7" s="1"/>
  <c r="AZ38" s="1"/>
  <c r="AZ39" s="1"/>
  <c r="DF38"/>
  <c r="AY39"/>
  <c r="AX39" s="1"/>
  <c r="AF39"/>
  <c r="H39"/>
  <c r="F39"/>
  <c r="F41" s="1"/>
  <c r="AI39"/>
  <c r="M39"/>
  <c r="AB39"/>
  <c r="BC39" s="1"/>
  <c r="X39"/>
  <c r="J38" i="80"/>
  <c r="J39" s="1"/>
  <c r="L38"/>
  <c r="L39" s="1"/>
  <c r="O38"/>
  <c r="O39" s="1"/>
  <c r="P38"/>
  <c r="P39" s="1"/>
  <c r="CV38"/>
  <c r="I38"/>
  <c r="I39" s="1"/>
  <c r="I41" s="1"/>
  <c r="K38"/>
  <c r="K39" s="1"/>
  <c r="N38"/>
  <c r="N39" s="1"/>
  <c r="C37"/>
  <c r="E37"/>
  <c r="D37"/>
  <c r="C36"/>
  <c r="E36"/>
  <c r="D36"/>
  <c r="C35"/>
  <c r="E35"/>
  <c r="D35"/>
  <c r="C34"/>
  <c r="E34"/>
  <c r="D34"/>
  <c r="C33"/>
  <c r="E33"/>
  <c r="D33"/>
  <c r="C32"/>
  <c r="E32"/>
  <c r="D32"/>
  <c r="C31"/>
  <c r="E31"/>
  <c r="D31"/>
  <c r="C30"/>
  <c r="E30"/>
  <c r="D30"/>
  <c r="H29"/>
  <c r="U29"/>
  <c r="AI29"/>
  <c r="BF29"/>
  <c r="M29"/>
  <c r="AF29"/>
  <c r="AX29"/>
  <c r="BB29"/>
  <c r="BD29" s="1"/>
  <c r="BI29"/>
  <c r="BJ29" s="1"/>
  <c r="C29"/>
  <c r="E29"/>
  <c r="D29"/>
  <c r="F29" s="1"/>
  <c r="C28"/>
  <c r="E28"/>
  <c r="D28"/>
  <c r="C27"/>
  <c r="E27"/>
  <c r="D27"/>
  <c r="C26"/>
  <c r="E26"/>
  <c r="D26"/>
  <c r="C25"/>
  <c r="E25"/>
  <c r="D25"/>
  <c r="C24"/>
  <c r="E24"/>
  <c r="D24"/>
  <c r="C23"/>
  <c r="E23"/>
  <c r="D23"/>
  <c r="C22"/>
  <c r="E22"/>
  <c r="D22"/>
  <c r="C21"/>
  <c r="E21"/>
  <c r="D21"/>
  <c r="C20"/>
  <c r="E20"/>
  <c r="D20"/>
  <c r="C19"/>
  <c r="E19"/>
  <c r="D19"/>
  <c r="C18"/>
  <c r="E18"/>
  <c r="D18"/>
  <c r="C17"/>
  <c r="E17"/>
  <c r="D17"/>
  <c r="C16"/>
  <c r="E16"/>
  <c r="D16"/>
  <c r="C15"/>
  <c r="E15"/>
  <c r="D15"/>
  <c r="C14"/>
  <c r="E14"/>
  <c r="D14"/>
  <c r="C13"/>
  <c r="E13"/>
  <c r="D13"/>
  <c r="C12"/>
  <c r="E12"/>
  <c r="D12"/>
  <c r="C11"/>
  <c r="E11"/>
  <c r="D11"/>
  <c r="C10"/>
  <c r="E10"/>
  <c r="D10"/>
  <c r="CR44"/>
  <c r="C9"/>
  <c r="E9"/>
  <c r="D9"/>
  <c r="CO39"/>
  <c r="CQ39"/>
  <c r="AI8"/>
  <c r="H8"/>
  <c r="BI8"/>
  <c r="BB8"/>
  <c r="BD8" s="1"/>
  <c r="AX8"/>
  <c r="AF8"/>
  <c r="M8"/>
  <c r="R38"/>
  <c r="Q39"/>
  <c r="AM44"/>
  <c r="AM39"/>
  <c r="T8"/>
  <c r="C7"/>
  <c r="D7" s="1"/>
  <c r="E7"/>
  <c r="R7"/>
  <c r="AN7"/>
  <c r="AY7"/>
  <c r="BH7"/>
  <c r="CV39"/>
  <c r="DD7"/>
  <c r="C8"/>
  <c r="D8" s="1"/>
  <c r="AN8"/>
  <c r="BH8"/>
  <c r="AT39"/>
  <c r="BS39"/>
  <c r="BU39"/>
  <c r="BW39"/>
  <c r="BY39"/>
  <c r="CA39"/>
  <c r="CC39"/>
  <c r="CE39"/>
  <c r="L46"/>
  <c r="DH38" i="81" l="1"/>
  <c r="AZ37" i="80"/>
  <c r="BC37"/>
  <c r="F37"/>
  <c r="BC36"/>
  <c r="AZ36"/>
  <c r="F36"/>
  <c r="BC35"/>
  <c r="AZ35"/>
  <c r="F35"/>
  <c r="BC34"/>
  <c r="AZ34"/>
  <c r="F34"/>
  <c r="BC33"/>
  <c r="AZ33"/>
  <c r="F33"/>
  <c r="BC32"/>
  <c r="AZ32"/>
  <c r="F32"/>
  <c r="BC31"/>
  <c r="AZ31"/>
  <c r="F31"/>
  <c r="BC30"/>
  <c r="AZ30"/>
  <c r="F30"/>
  <c r="BC29"/>
  <c r="AZ29"/>
  <c r="BC28"/>
  <c r="AZ28"/>
  <c r="F28"/>
  <c r="BC27"/>
  <c r="AZ27"/>
  <c r="F27"/>
  <c r="BC26"/>
  <c r="AZ26"/>
  <c r="F26"/>
  <c r="BC25"/>
  <c r="AZ25"/>
  <c r="F25"/>
  <c r="BC24"/>
  <c r="AZ24"/>
  <c r="F24"/>
  <c r="BC23"/>
  <c r="AZ23"/>
  <c r="F23"/>
  <c r="BC22"/>
  <c r="AZ22"/>
  <c r="F22"/>
  <c r="BC21"/>
  <c r="AZ21"/>
  <c r="F21"/>
  <c r="BC20"/>
  <c r="AZ20"/>
  <c r="F20"/>
  <c r="BC19"/>
  <c r="AZ19"/>
  <c r="F19"/>
  <c r="BC18"/>
  <c r="AZ18"/>
  <c r="F18"/>
  <c r="BC17"/>
  <c r="AZ17"/>
  <c r="F17"/>
  <c r="BC16"/>
  <c r="AZ16"/>
  <c r="F16"/>
  <c r="BC15"/>
  <c r="AZ15"/>
  <c r="F15"/>
  <c r="BC14"/>
  <c r="AZ14"/>
  <c r="F14"/>
  <c r="BC13"/>
  <c r="AZ13"/>
  <c r="F13"/>
  <c r="BC12"/>
  <c r="AZ12"/>
  <c r="F12"/>
  <c r="BC11"/>
  <c r="AZ11"/>
  <c r="F11"/>
  <c r="BC10"/>
  <c r="AZ10"/>
  <c r="F10"/>
  <c r="CO40"/>
  <c r="BC9"/>
  <c r="AZ9"/>
  <c r="F9"/>
  <c r="E39"/>
  <c r="C39"/>
  <c r="BC8"/>
  <c r="AZ8"/>
  <c r="F8"/>
  <c r="D38"/>
  <c r="BC7"/>
  <c r="AY38"/>
  <c r="AB39" s="1"/>
  <c r="BF7"/>
  <c r="BF8" s="1"/>
  <c r="AI7"/>
  <c r="H7"/>
  <c r="BI7"/>
  <c r="BB7"/>
  <c r="AX7"/>
  <c r="AF7"/>
  <c r="M7"/>
  <c r="F7"/>
  <c r="R39"/>
  <c r="R41" s="1"/>
  <c r="T7"/>
  <c r="U7" s="1"/>
  <c r="AN39"/>
  <c r="DD38"/>
  <c r="DE38" s="1"/>
  <c r="DG7"/>
  <c r="U8"/>
  <c r="DF38" l="1"/>
  <c r="X39"/>
  <c r="DG38"/>
  <c r="DH7"/>
  <c r="AZ7" s="1"/>
  <c r="AZ38" s="1"/>
  <c r="AZ39" s="1"/>
  <c r="BI38"/>
  <c r="BJ7"/>
  <c r="BJ8" s="1"/>
  <c r="BC39"/>
  <c r="AY39"/>
  <c r="AX39" s="1"/>
  <c r="AF39"/>
  <c r="H39"/>
  <c r="F39"/>
  <c r="F41" s="1"/>
  <c r="AI39"/>
  <c r="M39"/>
  <c r="D39"/>
  <c r="AZ48"/>
  <c r="AZ51" s="1"/>
  <c r="T38"/>
  <c r="BB38"/>
  <c r="BD7"/>
  <c r="BD38" s="1"/>
  <c r="BD39" s="1"/>
  <c r="DH38" l="1"/>
  <c r="U39"/>
  <c r="U41" s="1"/>
  <c r="CY37" i="77" l="1"/>
  <c r="CX37"/>
  <c r="CW37"/>
  <c r="CV37"/>
  <c r="CU37"/>
  <c r="CT37"/>
  <c r="CS37"/>
  <c r="CR37"/>
  <c r="CQ37"/>
  <c r="CP37"/>
  <c r="CO37"/>
  <c r="BG37"/>
  <c r="BA37"/>
  <c r="AY37"/>
  <c r="Q37"/>
  <c r="R37" s="1"/>
  <c r="P37"/>
  <c r="O37"/>
  <c r="N37"/>
  <c r="L37"/>
  <c r="K37"/>
  <c r="J37"/>
  <c r="DD37" s="1"/>
  <c r="DG37" s="1"/>
  <c r="DH37" s="1"/>
  <c r="I37"/>
  <c r="B37"/>
  <c r="BI37" l="1"/>
  <c r="BB37"/>
  <c r="BD37" s="1"/>
  <c r="BF37"/>
  <c r="AI37"/>
  <c r="H37"/>
  <c r="AX37"/>
  <c r="AF37"/>
  <c r="M37"/>
  <c r="BJ37"/>
  <c r="T37"/>
  <c r="C37"/>
  <c r="D37" s="1"/>
  <c r="E37"/>
  <c r="AN37"/>
  <c r="BH37"/>
  <c r="AZ37" l="1"/>
  <c r="BC37"/>
  <c r="F37"/>
  <c r="U37"/>
  <c r="B36" l="1"/>
  <c r="C36" s="1"/>
  <c r="D36" s="1"/>
  <c r="I36"/>
  <c r="J36"/>
  <c r="K36"/>
  <c r="L36"/>
  <c r="N36"/>
  <c r="O36"/>
  <c r="P36"/>
  <c r="Q36"/>
  <c r="R36" s="1"/>
  <c r="T36" s="1"/>
  <c r="AN36"/>
  <c r="AY36"/>
  <c r="H36" s="1"/>
  <c r="BA36"/>
  <c r="BF36"/>
  <c r="BG36"/>
  <c r="BH36" s="1"/>
  <c r="BI36"/>
  <c r="CO36"/>
  <c r="CP36"/>
  <c r="CQ36"/>
  <c r="CR36"/>
  <c r="CS36"/>
  <c r="CT36"/>
  <c r="CU36"/>
  <c r="CV36"/>
  <c r="CW36"/>
  <c r="CX36"/>
  <c r="CY36"/>
  <c r="DD36"/>
  <c r="DG36" s="1"/>
  <c r="DH36" s="1"/>
  <c r="CY35"/>
  <c r="CX35"/>
  <c r="CW35"/>
  <c r="CV35"/>
  <c r="CU35"/>
  <c r="CT35"/>
  <c r="CS35"/>
  <c r="CR35"/>
  <c r="CQ35"/>
  <c r="CP35"/>
  <c r="CO35"/>
  <c r="BG35"/>
  <c r="BA35"/>
  <c r="AY35"/>
  <c r="Q35"/>
  <c r="R35" s="1"/>
  <c r="P35"/>
  <c r="O35"/>
  <c r="N35"/>
  <c r="L35"/>
  <c r="K35"/>
  <c r="J35"/>
  <c r="DD35" s="1"/>
  <c r="DG35" s="1"/>
  <c r="DH35" s="1"/>
  <c r="I35"/>
  <c r="B35"/>
  <c r="E35" s="1"/>
  <c r="CY34"/>
  <c r="CX34"/>
  <c r="CW34"/>
  <c r="CV34"/>
  <c r="CU34"/>
  <c r="CT34"/>
  <c r="CS34"/>
  <c r="CR34"/>
  <c r="CQ34"/>
  <c r="CP34"/>
  <c r="CO34"/>
  <c r="BG34"/>
  <c r="BA34"/>
  <c r="AY34"/>
  <c r="Q34"/>
  <c r="P34"/>
  <c r="O34"/>
  <c r="N34"/>
  <c r="L34"/>
  <c r="K34"/>
  <c r="J34"/>
  <c r="DD34" s="1"/>
  <c r="DG34" s="1"/>
  <c r="DH34" s="1"/>
  <c r="I34"/>
  <c r="B34"/>
  <c r="BJ36" l="1"/>
  <c r="AF36"/>
  <c r="M36"/>
  <c r="F36"/>
  <c r="BB36"/>
  <c r="BD36" s="1"/>
  <c r="AX36"/>
  <c r="AI36"/>
  <c r="U36"/>
  <c r="E36"/>
  <c r="BC36" s="1"/>
  <c r="BI35"/>
  <c r="BF35"/>
  <c r="AI35"/>
  <c r="H35"/>
  <c r="BB35"/>
  <c r="BD35" s="1"/>
  <c r="AX35"/>
  <c r="AF35"/>
  <c r="M35"/>
  <c r="BJ35"/>
  <c r="T35"/>
  <c r="C35"/>
  <c r="D35" s="1"/>
  <c r="AN35"/>
  <c r="BH35"/>
  <c r="BI34"/>
  <c r="BB34"/>
  <c r="BD34" s="1"/>
  <c r="AX34"/>
  <c r="AF34"/>
  <c r="M34"/>
  <c r="BF34"/>
  <c r="AI34"/>
  <c r="H34"/>
  <c r="BJ34"/>
  <c r="C34"/>
  <c r="D34" s="1"/>
  <c r="E34"/>
  <c r="R34"/>
  <c r="T34" s="1"/>
  <c r="AN34"/>
  <c r="BH34"/>
  <c r="AZ36" l="1"/>
  <c r="BC35"/>
  <c r="AZ35"/>
  <c r="F35"/>
  <c r="U35"/>
  <c r="U34"/>
  <c r="AZ34"/>
  <c r="BC34"/>
  <c r="F34"/>
  <c r="CY33" l="1"/>
  <c r="CX33"/>
  <c r="CW33"/>
  <c r="CV33"/>
  <c r="CU33"/>
  <c r="CT33"/>
  <c r="CS33"/>
  <c r="CR33"/>
  <c r="CQ33"/>
  <c r="CP33"/>
  <c r="CO33"/>
  <c r="BG33"/>
  <c r="BA33"/>
  <c r="AY33"/>
  <c r="Q33"/>
  <c r="P33"/>
  <c r="O33"/>
  <c r="N33"/>
  <c r="L33"/>
  <c r="K33"/>
  <c r="J33"/>
  <c r="DD33" s="1"/>
  <c r="DG33" s="1"/>
  <c r="DH33" s="1"/>
  <c r="I33"/>
  <c r="B33"/>
  <c r="BD59" i="78"/>
  <c r="Q8"/>
  <c r="R8" s="1"/>
  <c r="Q9"/>
  <c r="R9" s="1"/>
  <c r="Q10"/>
  <c r="R10" s="1"/>
  <c r="Q11"/>
  <c r="R11" s="1"/>
  <c r="Q12"/>
  <c r="R12" s="1"/>
  <c r="Q13"/>
  <c r="R13" s="1"/>
  <c r="Q14"/>
  <c r="R14" s="1"/>
  <c r="Q15"/>
  <c r="R15" s="1"/>
  <c r="Q16"/>
  <c r="R16" s="1"/>
  <c r="Q17"/>
  <c r="R17" s="1"/>
  <c r="Q18"/>
  <c r="R18" s="1"/>
  <c r="Q19"/>
  <c r="R19" s="1"/>
  <c r="Q20"/>
  <c r="R20" s="1"/>
  <c r="Q21"/>
  <c r="R21" s="1"/>
  <c r="Q22"/>
  <c r="R22" s="1"/>
  <c r="Q23"/>
  <c r="R23" s="1"/>
  <c r="Q24"/>
  <c r="R24" s="1"/>
  <c r="T24" s="1"/>
  <c r="Q26"/>
  <c r="R26" s="1"/>
  <c r="T26" s="1"/>
  <c r="Q27"/>
  <c r="Q28"/>
  <c r="R28" s="1"/>
  <c r="T28" s="1"/>
  <c r="Q29"/>
  <c r="Q30"/>
  <c r="R30" s="1"/>
  <c r="T30" s="1"/>
  <c r="Q31"/>
  <c r="R31" s="1"/>
  <c r="Q32"/>
  <c r="R32" s="1"/>
  <c r="T32" s="1"/>
  <c r="Q33"/>
  <c r="Q34"/>
  <c r="R34" s="1"/>
  <c r="Q35"/>
  <c r="R35" s="1"/>
  <c r="T35" s="1"/>
  <c r="Q36"/>
  <c r="R36" s="1"/>
  <c r="T36" s="1"/>
  <c r="Q37"/>
  <c r="Q7"/>
  <c r="O8"/>
  <c r="O9"/>
  <c r="O10"/>
  <c r="O11"/>
  <c r="O12"/>
  <c r="O13"/>
  <c r="O14"/>
  <c r="O15"/>
  <c r="O16"/>
  <c r="O17"/>
  <c r="O18"/>
  <c r="O19"/>
  <c r="O20"/>
  <c r="O21"/>
  <c r="O22"/>
  <c r="O23"/>
  <c r="O24"/>
  <c r="O26"/>
  <c r="O27"/>
  <c r="O28"/>
  <c r="O29"/>
  <c r="O30"/>
  <c r="O31"/>
  <c r="O32"/>
  <c r="O33"/>
  <c r="O34"/>
  <c r="O35"/>
  <c r="O36"/>
  <c r="O37"/>
  <c r="O7"/>
  <c r="N8"/>
  <c r="N9"/>
  <c r="N10"/>
  <c r="N11"/>
  <c r="N12"/>
  <c r="N13"/>
  <c r="N14"/>
  <c r="N15"/>
  <c r="N16"/>
  <c r="N17"/>
  <c r="N18"/>
  <c r="N19"/>
  <c r="N20"/>
  <c r="N21"/>
  <c r="N22"/>
  <c r="N23"/>
  <c r="N24"/>
  <c r="N26"/>
  <c r="N27"/>
  <c r="N28"/>
  <c r="N29"/>
  <c r="N30"/>
  <c r="N31"/>
  <c r="N32"/>
  <c r="N33"/>
  <c r="N34"/>
  <c r="N35"/>
  <c r="N36"/>
  <c r="N37"/>
  <c r="N7"/>
  <c r="L8"/>
  <c r="L9"/>
  <c r="L10"/>
  <c r="L11"/>
  <c r="L12"/>
  <c r="L13"/>
  <c r="L14"/>
  <c r="L15"/>
  <c r="L16"/>
  <c r="L17"/>
  <c r="L18"/>
  <c r="L19"/>
  <c r="L20"/>
  <c r="L21"/>
  <c r="L22"/>
  <c r="L23"/>
  <c r="L24"/>
  <c r="L26"/>
  <c r="L27"/>
  <c r="L28"/>
  <c r="L29"/>
  <c r="L30"/>
  <c r="L31"/>
  <c r="L32"/>
  <c r="L33"/>
  <c r="L34"/>
  <c r="L35"/>
  <c r="L36"/>
  <c r="L37"/>
  <c r="L7"/>
  <c r="J8"/>
  <c r="DD8" s="1"/>
  <c r="DG8" s="1"/>
  <c r="DH8" s="1"/>
  <c r="J9"/>
  <c r="DD9" s="1"/>
  <c r="DG9" s="1"/>
  <c r="DH9" s="1"/>
  <c r="J10"/>
  <c r="DD10" s="1"/>
  <c r="DG10" s="1"/>
  <c r="DH10" s="1"/>
  <c r="J11"/>
  <c r="DD11" s="1"/>
  <c r="DG11" s="1"/>
  <c r="DH11" s="1"/>
  <c r="J12"/>
  <c r="DD12" s="1"/>
  <c r="DG12" s="1"/>
  <c r="DH12" s="1"/>
  <c r="J13"/>
  <c r="DD13" s="1"/>
  <c r="DG13" s="1"/>
  <c r="DH13" s="1"/>
  <c r="J14"/>
  <c r="DD14" s="1"/>
  <c r="DG14" s="1"/>
  <c r="DH14" s="1"/>
  <c r="J15"/>
  <c r="DD15" s="1"/>
  <c r="DG15" s="1"/>
  <c r="DH15" s="1"/>
  <c r="J16"/>
  <c r="DD16" s="1"/>
  <c r="DG16" s="1"/>
  <c r="DH16" s="1"/>
  <c r="J17"/>
  <c r="DD17" s="1"/>
  <c r="DG17" s="1"/>
  <c r="DH17" s="1"/>
  <c r="J18"/>
  <c r="DD18" s="1"/>
  <c r="DG18" s="1"/>
  <c r="DH18" s="1"/>
  <c r="J19"/>
  <c r="DD19" s="1"/>
  <c r="DG19" s="1"/>
  <c r="DH19" s="1"/>
  <c r="J20"/>
  <c r="DD20" s="1"/>
  <c r="DG20" s="1"/>
  <c r="DH20" s="1"/>
  <c r="J21"/>
  <c r="DD21" s="1"/>
  <c r="DG21" s="1"/>
  <c r="DH21" s="1"/>
  <c r="J22"/>
  <c r="DD22" s="1"/>
  <c r="DG22" s="1"/>
  <c r="DH22" s="1"/>
  <c r="J23"/>
  <c r="DD23" s="1"/>
  <c r="DG23" s="1"/>
  <c r="DH23" s="1"/>
  <c r="J24"/>
  <c r="DD24" s="1"/>
  <c r="DG24" s="1"/>
  <c r="DH24" s="1"/>
  <c r="J26"/>
  <c r="DD26" s="1"/>
  <c r="DG26" s="1"/>
  <c r="DH26" s="1"/>
  <c r="J27"/>
  <c r="DD27" s="1"/>
  <c r="DG27" s="1"/>
  <c r="DH27" s="1"/>
  <c r="J28"/>
  <c r="DD28" s="1"/>
  <c r="DG28" s="1"/>
  <c r="DH28" s="1"/>
  <c r="J29"/>
  <c r="DD29" s="1"/>
  <c r="DG29" s="1"/>
  <c r="DH29" s="1"/>
  <c r="J30"/>
  <c r="DD30" s="1"/>
  <c r="DG30" s="1"/>
  <c r="DH30" s="1"/>
  <c r="J31"/>
  <c r="DD31" s="1"/>
  <c r="DG31" s="1"/>
  <c r="DH31" s="1"/>
  <c r="J32"/>
  <c r="DD32" s="1"/>
  <c r="DG32" s="1"/>
  <c r="DH32" s="1"/>
  <c r="J33"/>
  <c r="DD33" s="1"/>
  <c r="DG33" s="1"/>
  <c r="DH33" s="1"/>
  <c r="J34"/>
  <c r="DD34" s="1"/>
  <c r="DG34" s="1"/>
  <c r="DH34" s="1"/>
  <c r="J35"/>
  <c r="DD35" s="1"/>
  <c r="DG35" s="1"/>
  <c r="DH35" s="1"/>
  <c r="J36"/>
  <c r="DD36" s="1"/>
  <c r="DG36" s="1"/>
  <c r="DH36" s="1"/>
  <c r="J37"/>
  <c r="DD37" s="1"/>
  <c r="DG37" s="1"/>
  <c r="DH37" s="1"/>
  <c r="J7"/>
  <c r="B8"/>
  <c r="E8" s="1"/>
  <c r="B9"/>
  <c r="E9" s="1"/>
  <c r="B10"/>
  <c r="E10" s="1"/>
  <c r="B11"/>
  <c r="E11" s="1"/>
  <c r="B12"/>
  <c r="C12" s="1"/>
  <c r="B13"/>
  <c r="E13" s="1"/>
  <c r="B14"/>
  <c r="C14" s="1"/>
  <c r="B15"/>
  <c r="C15" s="1"/>
  <c r="D15" s="1"/>
  <c r="B16"/>
  <c r="E16" s="1"/>
  <c r="B17"/>
  <c r="E17" s="1"/>
  <c r="B18"/>
  <c r="C18" s="1"/>
  <c r="B19"/>
  <c r="C19" s="1"/>
  <c r="D19" s="1"/>
  <c r="B20"/>
  <c r="E20" s="1"/>
  <c r="B21"/>
  <c r="C21" s="1"/>
  <c r="D21" s="1"/>
  <c r="B22"/>
  <c r="C22" s="1"/>
  <c r="B23"/>
  <c r="E23" s="1"/>
  <c r="B24"/>
  <c r="C24" s="1"/>
  <c r="B26"/>
  <c r="B27"/>
  <c r="B28"/>
  <c r="B29"/>
  <c r="B30"/>
  <c r="B31"/>
  <c r="B32"/>
  <c r="B33"/>
  <c r="B34"/>
  <c r="C34" s="1"/>
  <c r="D34" s="1"/>
  <c r="B35"/>
  <c r="B36"/>
  <c r="E36" s="1"/>
  <c r="B37"/>
  <c r="B7"/>
  <c r="AT46"/>
  <c r="AT43"/>
  <c r="AS39"/>
  <c r="AQ39"/>
  <c r="AP39"/>
  <c r="AD39"/>
  <c r="AC39"/>
  <c r="Z39"/>
  <c r="Z41" s="1"/>
  <c r="Y39"/>
  <c r="CI38"/>
  <c r="CM39" s="1"/>
  <c r="CH38"/>
  <c r="CL39" s="1"/>
  <c r="CG38"/>
  <c r="CK39" s="1"/>
  <c r="CF38"/>
  <c r="CJ39" s="1"/>
  <c r="BQ38"/>
  <c r="CE39" s="1"/>
  <c r="BP38"/>
  <c r="BW39" s="1"/>
  <c r="BO38"/>
  <c r="CC39" s="1"/>
  <c r="BN38"/>
  <c r="BU39" s="1"/>
  <c r="BM38"/>
  <c r="CA39" s="1"/>
  <c r="BL38"/>
  <c r="BS39" s="1"/>
  <c r="BK38"/>
  <c r="BR39" s="1"/>
  <c r="BG38"/>
  <c r="AW38"/>
  <c r="AW39" s="1"/>
  <c r="AV38"/>
  <c r="AV39" s="1"/>
  <c r="AU38"/>
  <c r="AU39" s="1"/>
  <c r="AT38"/>
  <c r="AT39" s="1"/>
  <c r="AL38"/>
  <c r="AL39" s="1"/>
  <c r="AJ38"/>
  <c r="AJ39" s="1"/>
  <c r="AH38"/>
  <c r="AH39" s="1"/>
  <c r="AG38"/>
  <c r="AG39" s="1"/>
  <c r="AE38"/>
  <c r="AE39" s="1"/>
  <c r="AD38"/>
  <c r="L46" s="1"/>
  <c r="W38"/>
  <c r="W39" s="1"/>
  <c r="V38"/>
  <c r="V39" s="1"/>
  <c r="S38"/>
  <c r="S39" s="1"/>
  <c r="G38"/>
  <c r="G39" s="1"/>
  <c r="G41" s="1"/>
  <c r="CY37"/>
  <c r="CX37"/>
  <c r="CW37"/>
  <c r="CV37"/>
  <c r="CU37"/>
  <c r="CT37"/>
  <c r="CS37"/>
  <c r="CR37"/>
  <c r="CQ37"/>
  <c r="CP37"/>
  <c r="CO37"/>
  <c r="BG37"/>
  <c r="BA37"/>
  <c r="P37"/>
  <c r="K37"/>
  <c r="I37"/>
  <c r="CY36"/>
  <c r="CX36"/>
  <c r="CW36"/>
  <c r="CV36"/>
  <c r="CU36"/>
  <c r="CT36"/>
  <c r="CS36"/>
  <c r="CR36"/>
  <c r="CQ36"/>
  <c r="CP36"/>
  <c r="CO36"/>
  <c r="BG36"/>
  <c r="BA36"/>
  <c r="AN36"/>
  <c r="AM36"/>
  <c r="AY36" s="1"/>
  <c r="P36"/>
  <c r="K36"/>
  <c r="I36"/>
  <c r="CY35"/>
  <c r="CX35"/>
  <c r="CW35"/>
  <c r="CV35"/>
  <c r="CU35"/>
  <c r="CT35"/>
  <c r="CS35"/>
  <c r="CR35"/>
  <c r="CQ35"/>
  <c r="CP35"/>
  <c r="CO35"/>
  <c r="BG35"/>
  <c r="BA35"/>
  <c r="AM35"/>
  <c r="P35"/>
  <c r="K35"/>
  <c r="I35"/>
  <c r="CY34"/>
  <c r="CX34"/>
  <c r="CW34"/>
  <c r="CV34"/>
  <c r="CU34"/>
  <c r="CT34"/>
  <c r="CS34"/>
  <c r="CR34"/>
  <c r="CQ34"/>
  <c r="CP34"/>
  <c r="CO34"/>
  <c r="BG34"/>
  <c r="BA34"/>
  <c r="AM34"/>
  <c r="AN34" s="1"/>
  <c r="P34"/>
  <c r="K34"/>
  <c r="I34"/>
  <c r="CY33"/>
  <c r="CX33"/>
  <c r="CW33"/>
  <c r="CV33"/>
  <c r="CU33"/>
  <c r="CT33"/>
  <c r="CS33"/>
  <c r="CR33"/>
  <c r="CQ33"/>
  <c r="CP33"/>
  <c r="CO33"/>
  <c r="BG33"/>
  <c r="BA33"/>
  <c r="AM33"/>
  <c r="P33"/>
  <c r="K33"/>
  <c r="I33"/>
  <c r="CY32"/>
  <c r="CX32"/>
  <c r="CW32"/>
  <c r="CV32"/>
  <c r="CU32"/>
  <c r="CT32"/>
  <c r="CS32"/>
  <c r="CR32"/>
  <c r="CQ32"/>
  <c r="CP32"/>
  <c r="CO32"/>
  <c r="BG32"/>
  <c r="BA32"/>
  <c r="AM32"/>
  <c r="P32"/>
  <c r="K32"/>
  <c r="I32"/>
  <c r="CY31"/>
  <c r="CX31"/>
  <c r="CW31"/>
  <c r="CV31"/>
  <c r="CU31"/>
  <c r="CT31"/>
  <c r="CS31"/>
  <c r="CR31"/>
  <c r="CQ31"/>
  <c r="CP31"/>
  <c r="CO31"/>
  <c r="BG31"/>
  <c r="BA31"/>
  <c r="AM31"/>
  <c r="P31"/>
  <c r="K31"/>
  <c r="I31"/>
  <c r="CY30"/>
  <c r="CX30"/>
  <c r="CW30"/>
  <c r="CV30"/>
  <c r="CU30"/>
  <c r="CT30"/>
  <c r="CS30"/>
  <c r="CR30"/>
  <c r="CQ30"/>
  <c r="CP30"/>
  <c r="CO30"/>
  <c r="BG30"/>
  <c r="BA30"/>
  <c r="AM30"/>
  <c r="P30"/>
  <c r="K30"/>
  <c r="I30"/>
  <c r="CY29"/>
  <c r="CX29"/>
  <c r="CW29"/>
  <c r="CV29"/>
  <c r="CU29"/>
  <c r="CT29"/>
  <c r="CS29"/>
  <c r="CR29"/>
  <c r="CQ29"/>
  <c r="CP29"/>
  <c r="CO29"/>
  <c r="BG29"/>
  <c r="BA29"/>
  <c r="AM29"/>
  <c r="P29"/>
  <c r="K29"/>
  <c r="I29"/>
  <c r="CY28"/>
  <c r="CX28"/>
  <c r="CW28"/>
  <c r="CV28"/>
  <c r="CU28"/>
  <c r="CT28"/>
  <c r="CS28"/>
  <c r="CR28"/>
  <c r="CQ28"/>
  <c r="CP28"/>
  <c r="CO28"/>
  <c r="BG28"/>
  <c r="BA28"/>
  <c r="AM28"/>
  <c r="P28"/>
  <c r="K28"/>
  <c r="I28"/>
  <c r="CY27"/>
  <c r="CX27"/>
  <c r="CW27"/>
  <c r="CV27"/>
  <c r="CU27"/>
  <c r="CT27"/>
  <c r="CS27"/>
  <c r="CR27"/>
  <c r="CQ27"/>
  <c r="CP27"/>
  <c r="CO27"/>
  <c r="BG27"/>
  <c r="BA27"/>
  <c r="AM27"/>
  <c r="P27"/>
  <c r="K27"/>
  <c r="I27"/>
  <c r="CY26"/>
  <c r="CX26"/>
  <c r="CW26"/>
  <c r="CV26"/>
  <c r="CU26"/>
  <c r="CT26"/>
  <c r="CS26"/>
  <c r="CR26"/>
  <c r="CQ26"/>
  <c r="CP26"/>
  <c r="CO26"/>
  <c r="BG26"/>
  <c r="BA26"/>
  <c r="AM26"/>
  <c r="P26"/>
  <c r="K26"/>
  <c r="I26"/>
  <c r="CY24"/>
  <c r="CX24"/>
  <c r="CW24"/>
  <c r="CV24"/>
  <c r="CU24"/>
  <c r="CT24"/>
  <c r="CS24"/>
  <c r="CR24"/>
  <c r="CQ24"/>
  <c r="CP24"/>
  <c r="CO24"/>
  <c r="BG24"/>
  <c r="BA24"/>
  <c r="AM24"/>
  <c r="P24"/>
  <c r="K24"/>
  <c r="I24"/>
  <c r="CY23"/>
  <c r="CX23"/>
  <c r="CW23"/>
  <c r="CV23"/>
  <c r="CU23"/>
  <c r="CT23"/>
  <c r="CS23"/>
  <c r="CR23"/>
  <c r="CQ23"/>
  <c r="CP23"/>
  <c r="CO23"/>
  <c r="BG23"/>
  <c r="BA23"/>
  <c r="AM23"/>
  <c r="AY23" s="1"/>
  <c r="P23"/>
  <c r="K23"/>
  <c r="I23"/>
  <c r="CY22"/>
  <c r="CX22"/>
  <c r="CW22"/>
  <c r="CV22"/>
  <c r="CU22"/>
  <c r="CT22"/>
  <c r="CS22"/>
  <c r="CR22"/>
  <c r="CQ22"/>
  <c r="CP22"/>
  <c r="CO22"/>
  <c r="BG22"/>
  <c r="BA22"/>
  <c r="AM22"/>
  <c r="AY22" s="1"/>
  <c r="P22"/>
  <c r="K22"/>
  <c r="I22"/>
  <c r="CY21"/>
  <c r="CX21"/>
  <c r="CW21"/>
  <c r="CV21"/>
  <c r="CU21"/>
  <c r="CT21"/>
  <c r="CS21"/>
  <c r="CR21"/>
  <c r="CQ21"/>
  <c r="CP21"/>
  <c r="CO21"/>
  <c r="BG21"/>
  <c r="BA21"/>
  <c r="AM21"/>
  <c r="AN21" s="1"/>
  <c r="P21"/>
  <c r="K21"/>
  <c r="I21"/>
  <c r="CY20"/>
  <c r="CX20"/>
  <c r="CW20"/>
  <c r="CV20"/>
  <c r="CU20"/>
  <c r="CT20"/>
  <c r="CS20"/>
  <c r="CR20"/>
  <c r="CQ20"/>
  <c r="CP20"/>
  <c r="CO20"/>
  <c r="BG20"/>
  <c r="BA20"/>
  <c r="AM20"/>
  <c r="AY20" s="1"/>
  <c r="P20"/>
  <c r="K20"/>
  <c r="I20"/>
  <c r="CY19"/>
  <c r="CX19"/>
  <c r="CW19"/>
  <c r="CV19"/>
  <c r="CU19"/>
  <c r="CT19"/>
  <c r="CS19"/>
  <c r="CR19"/>
  <c r="CQ19"/>
  <c r="CP19"/>
  <c r="CO19"/>
  <c r="BG19"/>
  <c r="BA19"/>
  <c r="AN19"/>
  <c r="AM19"/>
  <c r="AY19" s="1"/>
  <c r="AI19" s="1"/>
  <c r="P19"/>
  <c r="K19"/>
  <c r="I19"/>
  <c r="CY18"/>
  <c r="CX18"/>
  <c r="CW18"/>
  <c r="CV18"/>
  <c r="CU18"/>
  <c r="CT18"/>
  <c r="CS18"/>
  <c r="CR18"/>
  <c r="CQ18"/>
  <c r="CP18"/>
  <c r="CO18"/>
  <c r="BG18"/>
  <c r="BA18"/>
  <c r="AM18"/>
  <c r="AN18" s="1"/>
  <c r="P18"/>
  <c r="K18"/>
  <c r="I18"/>
  <c r="CY17"/>
  <c r="CX17"/>
  <c r="CW17"/>
  <c r="CV17"/>
  <c r="CU17"/>
  <c r="CT17"/>
  <c r="CS17"/>
  <c r="CR17"/>
  <c r="CQ17"/>
  <c r="CP17"/>
  <c r="CO17"/>
  <c r="BG17"/>
  <c r="BA17"/>
  <c r="AM17"/>
  <c r="AY17" s="1"/>
  <c r="AI17" s="1"/>
  <c r="P17"/>
  <c r="K17"/>
  <c r="I17"/>
  <c r="CY16"/>
  <c r="CX16"/>
  <c r="CW16"/>
  <c r="CV16"/>
  <c r="CU16"/>
  <c r="CT16"/>
  <c r="CS16"/>
  <c r="CR16"/>
  <c r="CQ16"/>
  <c r="CP16"/>
  <c r="CO16"/>
  <c r="BG16"/>
  <c r="BA16"/>
  <c r="AM16"/>
  <c r="AY16" s="1"/>
  <c r="P16"/>
  <c r="K16"/>
  <c r="I16"/>
  <c r="CY15"/>
  <c r="CX15"/>
  <c r="CW15"/>
  <c r="CV15"/>
  <c r="CU15"/>
  <c r="CT15"/>
  <c r="CS15"/>
  <c r="CR15"/>
  <c r="CQ15"/>
  <c r="CP15"/>
  <c r="CO15"/>
  <c r="BG15"/>
  <c r="BA15"/>
  <c r="AN15"/>
  <c r="AM15"/>
  <c r="AY15" s="1"/>
  <c r="AI15" s="1"/>
  <c r="P15"/>
  <c r="K15"/>
  <c r="I15"/>
  <c r="CY14"/>
  <c r="CX14"/>
  <c r="CW14"/>
  <c r="CV14"/>
  <c r="CU14"/>
  <c r="CT14"/>
  <c r="CS14"/>
  <c r="CR14"/>
  <c r="CQ14"/>
  <c r="CP14"/>
  <c r="CO14"/>
  <c r="BG14"/>
  <c r="BA14"/>
  <c r="AM14"/>
  <c r="AN14" s="1"/>
  <c r="P14"/>
  <c r="K14"/>
  <c r="I14"/>
  <c r="CY13"/>
  <c r="CX13"/>
  <c r="CW13"/>
  <c r="CV13"/>
  <c r="CU13"/>
  <c r="CT13"/>
  <c r="CS13"/>
  <c r="CR13"/>
  <c r="CQ13"/>
  <c r="CP13"/>
  <c r="CO13"/>
  <c r="BG13"/>
  <c r="BA13"/>
  <c r="AM13"/>
  <c r="AN13" s="1"/>
  <c r="P13"/>
  <c r="K13"/>
  <c r="I13"/>
  <c r="CY12"/>
  <c r="CX12"/>
  <c r="CW12"/>
  <c r="CV12"/>
  <c r="CU12"/>
  <c r="CT12"/>
  <c r="CS12"/>
  <c r="CR12"/>
  <c r="CQ12"/>
  <c r="CP12"/>
  <c r="CO12"/>
  <c r="BG12"/>
  <c r="BA12"/>
  <c r="AM12"/>
  <c r="AY12" s="1"/>
  <c r="P12"/>
  <c r="K12"/>
  <c r="I12"/>
  <c r="CY11"/>
  <c r="CX11"/>
  <c r="CW11"/>
  <c r="CV11"/>
  <c r="CU11"/>
  <c r="CT11"/>
  <c r="CS11"/>
  <c r="CR11"/>
  <c r="CQ11"/>
  <c r="CP11"/>
  <c r="CO11"/>
  <c r="BG11"/>
  <c r="BA11"/>
  <c r="AM11"/>
  <c r="AY11" s="1"/>
  <c r="P11"/>
  <c r="K11"/>
  <c r="I11"/>
  <c r="CY10"/>
  <c r="CX10"/>
  <c r="CW10"/>
  <c r="CV10"/>
  <c r="CU10"/>
  <c r="CT10"/>
  <c r="CS10"/>
  <c r="CR10"/>
  <c r="CQ10"/>
  <c r="CP10"/>
  <c r="CO10"/>
  <c r="BG10"/>
  <c r="BA10"/>
  <c r="AM10"/>
  <c r="AY10" s="1"/>
  <c r="P10"/>
  <c r="K10"/>
  <c r="I10"/>
  <c r="CY9"/>
  <c r="CX9"/>
  <c r="CW9"/>
  <c r="CV9"/>
  <c r="CU9"/>
  <c r="CT9"/>
  <c r="CS9"/>
  <c r="CR9"/>
  <c r="CQ9"/>
  <c r="CP9"/>
  <c r="CO9"/>
  <c r="BG9"/>
  <c r="BA9"/>
  <c r="AM9"/>
  <c r="AY9" s="1"/>
  <c r="P9"/>
  <c r="K9"/>
  <c r="I9"/>
  <c r="CY8"/>
  <c r="CX8"/>
  <c r="CW8"/>
  <c r="CV8"/>
  <c r="CU8"/>
  <c r="CT8"/>
  <c r="CS8"/>
  <c r="CR8"/>
  <c r="CQ8"/>
  <c r="CP8"/>
  <c r="CO8"/>
  <c r="BG8"/>
  <c r="BA8"/>
  <c r="AM8"/>
  <c r="AY8" s="1"/>
  <c r="P8"/>
  <c r="K8"/>
  <c r="I8"/>
  <c r="CY7"/>
  <c r="CY38" s="1"/>
  <c r="CX7"/>
  <c r="CW7"/>
  <c r="CW38" s="1"/>
  <c r="CV7"/>
  <c r="CU7"/>
  <c r="CT7"/>
  <c r="CS7"/>
  <c r="CR7"/>
  <c r="CQ7"/>
  <c r="CQ38" s="1"/>
  <c r="CP7"/>
  <c r="CO7"/>
  <c r="BG7"/>
  <c r="BA7"/>
  <c r="AM7"/>
  <c r="P7"/>
  <c r="K7"/>
  <c r="I7"/>
  <c r="B32" i="77"/>
  <c r="C32" s="1"/>
  <c r="D32" s="1"/>
  <c r="I32"/>
  <c r="J32"/>
  <c r="K32"/>
  <c r="L32"/>
  <c r="N32"/>
  <c r="O32"/>
  <c r="P32"/>
  <c r="Q32"/>
  <c r="R32" s="1"/>
  <c r="T32" s="1"/>
  <c r="AN32"/>
  <c r="AY32"/>
  <c r="H32" s="1"/>
  <c r="BA32"/>
  <c r="BF32"/>
  <c r="BG32"/>
  <c r="BH32" s="1"/>
  <c r="BI32"/>
  <c r="CO32"/>
  <c r="CP32"/>
  <c r="CQ32"/>
  <c r="CR32"/>
  <c r="CS32"/>
  <c r="CT32"/>
  <c r="CU32"/>
  <c r="CV32"/>
  <c r="CW32"/>
  <c r="CX32"/>
  <c r="CY32"/>
  <c r="DD32"/>
  <c r="DG32" s="1"/>
  <c r="DH32" s="1"/>
  <c r="B31"/>
  <c r="C31" s="1"/>
  <c r="D31" s="1"/>
  <c r="I31"/>
  <c r="J31"/>
  <c r="DD31" s="1"/>
  <c r="DG31" s="1"/>
  <c r="DH31" s="1"/>
  <c r="K31"/>
  <c r="L31"/>
  <c r="N31"/>
  <c r="O31"/>
  <c r="P31"/>
  <c r="Q31"/>
  <c r="R31" s="1"/>
  <c r="T31" s="1"/>
  <c r="AN31"/>
  <c r="AY31"/>
  <c r="H31" s="1"/>
  <c r="BA31"/>
  <c r="BB31"/>
  <c r="BD31"/>
  <c r="BF31"/>
  <c r="BG31"/>
  <c r="BH31" s="1"/>
  <c r="BI31"/>
  <c r="CO31"/>
  <c r="CP31"/>
  <c r="CQ31"/>
  <c r="CR31"/>
  <c r="CS31"/>
  <c r="CT31"/>
  <c r="CU31"/>
  <c r="CV31"/>
  <c r="CW31"/>
  <c r="CX31"/>
  <c r="CY31"/>
  <c r="AN22" i="78" l="1"/>
  <c r="AN20"/>
  <c r="AN17"/>
  <c r="CS38"/>
  <c r="BA38"/>
  <c r="CO38"/>
  <c r="CU38"/>
  <c r="AM38"/>
  <c r="AM44" s="1"/>
  <c r="C17"/>
  <c r="D17" s="1"/>
  <c r="AZ17" s="1"/>
  <c r="E21"/>
  <c r="BC21" s="1"/>
  <c r="C23"/>
  <c r="D23" s="1"/>
  <c r="F23" s="1"/>
  <c r="C13"/>
  <c r="D13" s="1"/>
  <c r="AZ13" s="1"/>
  <c r="E15"/>
  <c r="BC15" s="1"/>
  <c r="E19"/>
  <c r="BC19" s="1"/>
  <c r="B38"/>
  <c r="B39" s="1"/>
  <c r="L38"/>
  <c r="L39" s="1"/>
  <c r="E22"/>
  <c r="C36"/>
  <c r="D36" s="1"/>
  <c r="AZ36" s="1"/>
  <c r="N38"/>
  <c r="N39" s="1"/>
  <c r="J38"/>
  <c r="J39" s="1"/>
  <c r="E12"/>
  <c r="E14"/>
  <c r="C16"/>
  <c r="D16" s="1"/>
  <c r="F16" s="1"/>
  <c r="E18"/>
  <c r="C20"/>
  <c r="E24"/>
  <c r="E34"/>
  <c r="AZ34" s="1"/>
  <c r="I38"/>
  <c r="I39" s="1"/>
  <c r="I41" s="1"/>
  <c r="K38"/>
  <c r="K39" s="1"/>
  <c r="Q38"/>
  <c r="Q39" s="1"/>
  <c r="BI33" i="77"/>
  <c r="BB33"/>
  <c r="BD33" s="1"/>
  <c r="AX33"/>
  <c r="AF33"/>
  <c r="M33"/>
  <c r="BF33"/>
  <c r="AI33"/>
  <c r="H33"/>
  <c r="BJ33"/>
  <c r="C33"/>
  <c r="D33" s="1"/>
  <c r="E33"/>
  <c r="R33"/>
  <c r="T33" s="1"/>
  <c r="AN33"/>
  <c r="BH33"/>
  <c r="AI16" i="78"/>
  <c r="H16"/>
  <c r="AI20"/>
  <c r="H20"/>
  <c r="H22"/>
  <c r="AI22"/>
  <c r="AI12"/>
  <c r="H12"/>
  <c r="H23"/>
  <c r="AI23"/>
  <c r="AN12"/>
  <c r="AY13"/>
  <c r="AI13" s="1"/>
  <c r="AY14"/>
  <c r="AN16"/>
  <c r="AY18"/>
  <c r="AY21"/>
  <c r="AN23"/>
  <c r="AY34"/>
  <c r="H15"/>
  <c r="H17"/>
  <c r="H19"/>
  <c r="O38"/>
  <c r="O39" s="1"/>
  <c r="BX39"/>
  <c r="D12"/>
  <c r="F12" s="1"/>
  <c r="D14"/>
  <c r="F14" s="1"/>
  <c r="D18"/>
  <c r="AZ18" s="1"/>
  <c r="D20"/>
  <c r="F20" s="1"/>
  <c r="D22"/>
  <c r="F22" s="1"/>
  <c r="BV39"/>
  <c r="CB39"/>
  <c r="BT39"/>
  <c r="AI9"/>
  <c r="H9"/>
  <c r="BI9"/>
  <c r="BB9"/>
  <c r="BD9" s="1"/>
  <c r="AX9"/>
  <c r="AF9"/>
  <c r="M9"/>
  <c r="AI11"/>
  <c r="H11"/>
  <c r="BI11"/>
  <c r="BB11"/>
  <c r="BD11" s="1"/>
  <c r="AX11"/>
  <c r="AF11"/>
  <c r="M11"/>
  <c r="AI8"/>
  <c r="H8"/>
  <c r="BI8"/>
  <c r="BB8"/>
  <c r="BD8" s="1"/>
  <c r="AX8"/>
  <c r="AF8"/>
  <c r="M8"/>
  <c r="AI10"/>
  <c r="H10"/>
  <c r="BI10"/>
  <c r="BB10"/>
  <c r="BD10" s="1"/>
  <c r="AX10"/>
  <c r="AF10"/>
  <c r="M10"/>
  <c r="AY24"/>
  <c r="AN24"/>
  <c r="AY26"/>
  <c r="AN26"/>
  <c r="AY28"/>
  <c r="AN28"/>
  <c r="AY30"/>
  <c r="AN30"/>
  <c r="AY32"/>
  <c r="AN32"/>
  <c r="E35"/>
  <c r="C35"/>
  <c r="D35" s="1"/>
  <c r="BI36"/>
  <c r="BB36"/>
  <c r="BD36" s="1"/>
  <c r="AX36"/>
  <c r="AF36"/>
  <c r="M36"/>
  <c r="AI36"/>
  <c r="R37"/>
  <c r="T37" s="1"/>
  <c r="BI12"/>
  <c r="BB12"/>
  <c r="BD12" s="1"/>
  <c r="AX12"/>
  <c r="AF12"/>
  <c r="M12"/>
  <c r="BI14"/>
  <c r="BB14"/>
  <c r="AX14"/>
  <c r="AF14"/>
  <c r="M14"/>
  <c r="BI15"/>
  <c r="BB15"/>
  <c r="BD15" s="1"/>
  <c r="AX15"/>
  <c r="AF15"/>
  <c r="M15"/>
  <c r="F15"/>
  <c r="BI16"/>
  <c r="BB16"/>
  <c r="AX16"/>
  <c r="AF16"/>
  <c r="M16"/>
  <c r="BI17"/>
  <c r="BB17"/>
  <c r="AX17"/>
  <c r="AF17"/>
  <c r="M17"/>
  <c r="BI18"/>
  <c r="BB18"/>
  <c r="AX18"/>
  <c r="AF18"/>
  <c r="M18"/>
  <c r="BI19"/>
  <c r="BB19"/>
  <c r="BD19" s="1"/>
  <c r="AX19"/>
  <c r="AF19"/>
  <c r="M19"/>
  <c r="F19"/>
  <c r="BI20"/>
  <c r="BB20"/>
  <c r="AX20"/>
  <c r="AF20"/>
  <c r="M20"/>
  <c r="BI21"/>
  <c r="AX21"/>
  <c r="M21"/>
  <c r="BI22"/>
  <c r="BB22"/>
  <c r="AX22"/>
  <c r="AF22"/>
  <c r="M22"/>
  <c r="BI23"/>
  <c r="BB23"/>
  <c r="AX23"/>
  <c r="AF23"/>
  <c r="M23"/>
  <c r="E26"/>
  <c r="C26"/>
  <c r="D26" s="1"/>
  <c r="R27"/>
  <c r="T27" s="1"/>
  <c r="E28"/>
  <c r="C28"/>
  <c r="D28" s="1"/>
  <c r="R29"/>
  <c r="T29" s="1"/>
  <c r="E30"/>
  <c r="C30"/>
  <c r="D30" s="1"/>
  <c r="T31"/>
  <c r="E32"/>
  <c r="C32"/>
  <c r="D32" s="1"/>
  <c r="R33"/>
  <c r="T33" s="1"/>
  <c r="AY35"/>
  <c r="AN35"/>
  <c r="T8"/>
  <c r="T9"/>
  <c r="T10"/>
  <c r="T11"/>
  <c r="BD14"/>
  <c r="BD16"/>
  <c r="BD17"/>
  <c r="BD18"/>
  <c r="BD20"/>
  <c r="BD22"/>
  <c r="BD23"/>
  <c r="C7"/>
  <c r="D7" s="1"/>
  <c r="E7"/>
  <c r="P38"/>
  <c r="P39" s="1"/>
  <c r="R7"/>
  <c r="T7" s="1"/>
  <c r="AN7"/>
  <c r="AY7"/>
  <c r="BH7"/>
  <c r="BH8" s="1"/>
  <c r="BH9" s="1"/>
  <c r="BH10" s="1"/>
  <c r="BH11" s="1"/>
  <c r="BH12" s="1"/>
  <c r="BH13" s="1"/>
  <c r="BH14" s="1"/>
  <c r="BH15" s="1"/>
  <c r="BH16" s="1"/>
  <c r="BH17" s="1"/>
  <c r="BH18" s="1"/>
  <c r="BH19" s="1"/>
  <c r="BH20" s="1"/>
  <c r="BH21" s="1"/>
  <c r="BH22" s="1"/>
  <c r="BH23" s="1"/>
  <c r="BH24" s="1"/>
  <c r="BH26" s="1"/>
  <c r="BH27" s="1"/>
  <c r="BH28" s="1"/>
  <c r="BH29" s="1"/>
  <c r="BH30" s="1"/>
  <c r="BH31" s="1"/>
  <c r="BH32" s="1"/>
  <c r="BH33" s="1"/>
  <c r="BH34" s="1"/>
  <c r="BH35" s="1"/>
  <c r="BH36" s="1"/>
  <c r="BH37" s="1"/>
  <c r="CP38"/>
  <c r="CR38"/>
  <c r="CT38"/>
  <c r="CV38"/>
  <c r="CV39" s="1"/>
  <c r="CX38"/>
  <c r="DD7"/>
  <c r="C8"/>
  <c r="D8" s="1"/>
  <c r="AN8"/>
  <c r="C9"/>
  <c r="D9" s="1"/>
  <c r="AN9"/>
  <c r="C10"/>
  <c r="D10" s="1"/>
  <c r="AN10"/>
  <c r="C11"/>
  <c r="D11" s="1"/>
  <c r="AN11"/>
  <c r="T12"/>
  <c r="T13"/>
  <c r="T14"/>
  <c r="T15"/>
  <c r="T16"/>
  <c r="T17"/>
  <c r="T18"/>
  <c r="T19"/>
  <c r="T20"/>
  <c r="T21"/>
  <c r="T22"/>
  <c r="T23"/>
  <c r="H36"/>
  <c r="U36"/>
  <c r="E27"/>
  <c r="C27"/>
  <c r="D27" s="1"/>
  <c r="AY27"/>
  <c r="AN27"/>
  <c r="E29"/>
  <c r="C29"/>
  <c r="D29" s="1"/>
  <c r="AY29"/>
  <c r="AN29"/>
  <c r="E31"/>
  <c r="C31"/>
  <c r="D31" s="1"/>
  <c r="AY31"/>
  <c r="AN31"/>
  <c r="E33"/>
  <c r="C33"/>
  <c r="D33" s="1"/>
  <c r="AY33"/>
  <c r="AN33"/>
  <c r="BI34"/>
  <c r="M34"/>
  <c r="E37"/>
  <c r="C37"/>
  <c r="D37" s="1"/>
  <c r="AY37"/>
  <c r="AN37"/>
  <c r="D24"/>
  <c r="T34"/>
  <c r="BZ39"/>
  <c r="CD39"/>
  <c r="AT41"/>
  <c r="BY39"/>
  <c r="BJ32" i="77"/>
  <c r="AF32"/>
  <c r="M32"/>
  <c r="F32"/>
  <c r="BB32"/>
  <c r="BD32" s="1"/>
  <c r="AX32"/>
  <c r="AI32"/>
  <c r="U32"/>
  <c r="E32"/>
  <c r="BC32" s="1"/>
  <c r="BJ31"/>
  <c r="AF31"/>
  <c r="M31"/>
  <c r="F31"/>
  <c r="AX31"/>
  <c r="AI31"/>
  <c r="U31"/>
  <c r="E31"/>
  <c r="BC31" s="1"/>
  <c r="CY30"/>
  <c r="CX30"/>
  <c r="CW30"/>
  <c r="CV30"/>
  <c r="CU30"/>
  <c r="CT30"/>
  <c r="CS30"/>
  <c r="CR30"/>
  <c r="CQ30"/>
  <c r="CP30"/>
  <c r="CO30"/>
  <c r="BG30"/>
  <c r="BA30"/>
  <c r="AY30"/>
  <c r="Q30"/>
  <c r="P30"/>
  <c r="O30"/>
  <c r="N30"/>
  <c r="L30"/>
  <c r="K30"/>
  <c r="J30"/>
  <c r="DD30" s="1"/>
  <c r="DG30" s="1"/>
  <c r="DH30" s="1"/>
  <c r="I30"/>
  <c r="B30"/>
  <c r="CY29"/>
  <c r="CX29"/>
  <c r="CW29"/>
  <c r="CV29"/>
  <c r="CU29"/>
  <c r="CT29"/>
  <c r="CS29"/>
  <c r="CR29"/>
  <c r="CQ29"/>
  <c r="CP29"/>
  <c r="CO29"/>
  <c r="BG29"/>
  <c r="BA29"/>
  <c r="AY29"/>
  <c r="Q29"/>
  <c r="P29"/>
  <c r="O29"/>
  <c r="N29"/>
  <c r="L29"/>
  <c r="K29"/>
  <c r="J29"/>
  <c r="DD29" s="1"/>
  <c r="DG29" s="1"/>
  <c r="DH29" s="1"/>
  <c r="I29"/>
  <c r="B29"/>
  <c r="AY28"/>
  <c r="CY28"/>
  <c r="CX28"/>
  <c r="CW28"/>
  <c r="CV28"/>
  <c r="CU28"/>
  <c r="CT28"/>
  <c r="CS28"/>
  <c r="CR28"/>
  <c r="CQ28"/>
  <c r="CP28"/>
  <c r="CO28"/>
  <c r="BG28"/>
  <c r="BA28"/>
  <c r="Q28"/>
  <c r="R28" s="1"/>
  <c r="P28"/>
  <c r="O28"/>
  <c r="N28"/>
  <c r="L28"/>
  <c r="K28"/>
  <c r="J28"/>
  <c r="DD28" s="1"/>
  <c r="DG28" s="1"/>
  <c r="DH28" s="1"/>
  <c r="I28"/>
  <c r="B28"/>
  <c r="CY27"/>
  <c r="CX27"/>
  <c r="CW27"/>
  <c r="CV27"/>
  <c r="CU27"/>
  <c r="CT27"/>
  <c r="CS27"/>
  <c r="CR27"/>
  <c r="CQ27"/>
  <c r="CP27"/>
  <c r="CO27"/>
  <c r="BG27"/>
  <c r="BA27"/>
  <c r="AY27"/>
  <c r="Q27"/>
  <c r="R27" s="1"/>
  <c r="P27"/>
  <c r="O27"/>
  <c r="N27"/>
  <c r="L27"/>
  <c r="K27"/>
  <c r="J27"/>
  <c r="DD27" s="1"/>
  <c r="DG27" s="1"/>
  <c r="DH27" s="1"/>
  <c r="I27"/>
  <c r="B27"/>
  <c r="E27" s="1"/>
  <c r="AZ37" i="78" l="1"/>
  <c r="F36"/>
  <c r="AZ35"/>
  <c r="AX34"/>
  <c r="BC34"/>
  <c r="F34"/>
  <c r="AF34"/>
  <c r="BB34"/>
  <c r="BD34" s="1"/>
  <c r="AZ33"/>
  <c r="AZ21"/>
  <c r="AZ19"/>
  <c r="AZ22"/>
  <c r="AZ23"/>
  <c r="F21"/>
  <c r="AF21"/>
  <c r="BB21"/>
  <c r="BD21" s="1"/>
  <c r="AZ20"/>
  <c r="F18"/>
  <c r="F17"/>
  <c r="AZ16"/>
  <c r="AM39"/>
  <c r="AN39" s="1"/>
  <c r="AZ12"/>
  <c r="AZ15"/>
  <c r="AZ14"/>
  <c r="AX13"/>
  <c r="M13"/>
  <c r="BI13"/>
  <c r="F13"/>
  <c r="AF13"/>
  <c r="BB13"/>
  <c r="BD13" s="1"/>
  <c r="H13"/>
  <c r="BC23"/>
  <c r="BC17"/>
  <c r="CO39"/>
  <c r="BC13"/>
  <c r="BC16"/>
  <c r="R38"/>
  <c r="U33" i="77"/>
  <c r="AZ33"/>
  <c r="BC33"/>
  <c r="F33"/>
  <c r="BC20" i="78"/>
  <c r="BC12"/>
  <c r="BC22"/>
  <c r="BC18"/>
  <c r="BC14"/>
  <c r="AI18"/>
  <c r="H18"/>
  <c r="AI14"/>
  <c r="H14"/>
  <c r="AI34"/>
  <c r="H34"/>
  <c r="U34"/>
  <c r="AI21"/>
  <c r="H21"/>
  <c r="C39"/>
  <c r="E39"/>
  <c r="CQ39"/>
  <c r="CO40" s="1"/>
  <c r="BC11"/>
  <c r="AZ11"/>
  <c r="F11"/>
  <c r="BC10"/>
  <c r="AZ10"/>
  <c r="F10"/>
  <c r="BC9"/>
  <c r="AZ9"/>
  <c r="F9"/>
  <c r="BC8"/>
  <c r="AZ8"/>
  <c r="F8"/>
  <c r="BC35"/>
  <c r="BC7"/>
  <c r="D38"/>
  <c r="BC30"/>
  <c r="AZ30"/>
  <c r="BC26"/>
  <c r="AZ26"/>
  <c r="BC36"/>
  <c r="BC24"/>
  <c r="AZ24"/>
  <c r="AI37"/>
  <c r="U37"/>
  <c r="H37"/>
  <c r="BB37"/>
  <c r="BD37" s="1"/>
  <c r="F37"/>
  <c r="AX37"/>
  <c r="AF37"/>
  <c r="BI37"/>
  <c r="M37"/>
  <c r="AI33"/>
  <c r="U33"/>
  <c r="H33"/>
  <c r="BB33"/>
  <c r="BD33" s="1"/>
  <c r="F33"/>
  <c r="BI33"/>
  <c r="M33"/>
  <c r="AX33"/>
  <c r="AF33"/>
  <c r="AI31"/>
  <c r="U31"/>
  <c r="H31"/>
  <c r="BB31"/>
  <c r="BD31" s="1"/>
  <c r="F31"/>
  <c r="M31"/>
  <c r="BI31"/>
  <c r="AX31"/>
  <c r="AF31"/>
  <c r="AI29"/>
  <c r="U29"/>
  <c r="H29"/>
  <c r="BB29"/>
  <c r="BD29" s="1"/>
  <c r="F29"/>
  <c r="M29"/>
  <c r="BI29"/>
  <c r="AX29"/>
  <c r="AF29"/>
  <c r="AI27"/>
  <c r="U27"/>
  <c r="H27"/>
  <c r="BB27"/>
  <c r="BD27" s="1"/>
  <c r="F27"/>
  <c r="M27"/>
  <c r="BI27"/>
  <c r="AX27"/>
  <c r="AF27"/>
  <c r="U23"/>
  <c r="U21"/>
  <c r="U19"/>
  <c r="U17"/>
  <c r="U15"/>
  <c r="U13"/>
  <c r="DD38"/>
  <c r="DF38" s="1"/>
  <c r="DG7"/>
  <c r="T38"/>
  <c r="BC32"/>
  <c r="AZ32"/>
  <c r="BC28"/>
  <c r="AZ28"/>
  <c r="BC37"/>
  <c r="BC33"/>
  <c r="BC31"/>
  <c r="AZ31"/>
  <c r="BC29"/>
  <c r="AZ29"/>
  <c r="BC27"/>
  <c r="AZ27"/>
  <c r="U22"/>
  <c r="U20"/>
  <c r="U18"/>
  <c r="U16"/>
  <c r="U14"/>
  <c r="U12"/>
  <c r="AY38"/>
  <c r="AB39" s="1"/>
  <c r="BF7"/>
  <c r="BF8" s="1"/>
  <c r="BF9" s="1"/>
  <c r="BF10" s="1"/>
  <c r="BF11" s="1"/>
  <c r="BF12" s="1"/>
  <c r="BF13" s="1"/>
  <c r="BF14" s="1"/>
  <c r="BF15" s="1"/>
  <c r="BF16" s="1"/>
  <c r="BF17" s="1"/>
  <c r="BF18" s="1"/>
  <c r="BF19" s="1"/>
  <c r="BF20" s="1"/>
  <c r="BF21" s="1"/>
  <c r="BF22" s="1"/>
  <c r="BF23" s="1"/>
  <c r="BF24" s="1"/>
  <c r="BF26" s="1"/>
  <c r="BF27" s="1"/>
  <c r="BF28" s="1"/>
  <c r="BF29" s="1"/>
  <c r="BF30" s="1"/>
  <c r="BF31" s="1"/>
  <c r="BF32" s="1"/>
  <c r="BF33" s="1"/>
  <c r="BF34" s="1"/>
  <c r="BF35" s="1"/>
  <c r="BF36" s="1"/>
  <c r="BF37" s="1"/>
  <c r="AI7"/>
  <c r="U7"/>
  <c r="H7"/>
  <c r="BI7"/>
  <c r="BB7"/>
  <c r="AX7"/>
  <c r="AF7"/>
  <c r="M7"/>
  <c r="F7"/>
  <c r="AI35"/>
  <c r="U35"/>
  <c r="H35"/>
  <c r="BI35"/>
  <c r="AX35"/>
  <c r="AF35"/>
  <c r="M35"/>
  <c r="F35"/>
  <c r="BB35"/>
  <c r="BD35" s="1"/>
  <c r="AI32"/>
  <c r="U32"/>
  <c r="H32"/>
  <c r="BI32"/>
  <c r="AX32"/>
  <c r="AF32"/>
  <c r="M32"/>
  <c r="BB32"/>
  <c r="BD32" s="1"/>
  <c r="F32"/>
  <c r="AI30"/>
  <c r="U30"/>
  <c r="H30"/>
  <c r="BI30"/>
  <c r="AX30"/>
  <c r="AF30"/>
  <c r="M30"/>
  <c r="BB30"/>
  <c r="BD30" s="1"/>
  <c r="F30"/>
  <c r="AI28"/>
  <c r="U28"/>
  <c r="H28"/>
  <c r="BI28"/>
  <c r="AX28"/>
  <c r="AF28"/>
  <c r="M28"/>
  <c r="BB28"/>
  <c r="BD28" s="1"/>
  <c r="F28"/>
  <c r="AI26"/>
  <c r="U26"/>
  <c r="H26"/>
  <c r="BI26"/>
  <c r="AX26"/>
  <c r="AF26"/>
  <c r="M26"/>
  <c r="BB26"/>
  <c r="BD26" s="1"/>
  <c r="F26"/>
  <c r="AI24"/>
  <c r="U24"/>
  <c r="H24"/>
  <c r="BI24"/>
  <c r="AX24"/>
  <c r="AF24"/>
  <c r="M24"/>
  <c r="BB24"/>
  <c r="BD24" s="1"/>
  <c r="F24"/>
  <c r="U10"/>
  <c r="U11"/>
  <c r="R39"/>
  <c r="R41" s="1"/>
  <c r="U8"/>
  <c r="U9"/>
  <c r="AZ32" i="77"/>
  <c r="AZ31"/>
  <c r="BI30"/>
  <c r="BB30"/>
  <c r="BD30" s="1"/>
  <c r="AX30"/>
  <c r="BF30"/>
  <c r="AI30"/>
  <c r="H30"/>
  <c r="AF30"/>
  <c r="M30"/>
  <c r="BJ30"/>
  <c r="C30"/>
  <c r="D30" s="1"/>
  <c r="E30"/>
  <c r="R30"/>
  <c r="T30" s="1"/>
  <c r="AN30"/>
  <c r="BH30"/>
  <c r="BI29"/>
  <c r="BB29"/>
  <c r="BD29" s="1"/>
  <c r="AX29"/>
  <c r="AF29"/>
  <c r="M29"/>
  <c r="BF29"/>
  <c r="AI29"/>
  <c r="H29"/>
  <c r="BJ29"/>
  <c r="C29"/>
  <c r="D29" s="1"/>
  <c r="E29"/>
  <c r="R29"/>
  <c r="T29" s="1"/>
  <c r="AN29"/>
  <c r="BH29"/>
  <c r="BI28"/>
  <c r="BB28"/>
  <c r="BD28" s="1"/>
  <c r="AX28"/>
  <c r="AF28"/>
  <c r="M28"/>
  <c r="BF28"/>
  <c r="AI28"/>
  <c r="H28"/>
  <c r="BJ28"/>
  <c r="T28"/>
  <c r="C28"/>
  <c r="D28" s="1"/>
  <c r="E28"/>
  <c r="AN28"/>
  <c r="BH28"/>
  <c r="BI27"/>
  <c r="BF27"/>
  <c r="AI27"/>
  <c r="H27"/>
  <c r="BB27"/>
  <c r="BD27" s="1"/>
  <c r="AX27"/>
  <c r="AF27"/>
  <c r="M27"/>
  <c r="BJ27"/>
  <c r="T27"/>
  <c r="C27"/>
  <c r="D27" s="1"/>
  <c r="AN27"/>
  <c r="BH27"/>
  <c r="CY26"/>
  <c r="CX26"/>
  <c r="CW26"/>
  <c r="CV26"/>
  <c r="CU26"/>
  <c r="CT26"/>
  <c r="CS26"/>
  <c r="CR26"/>
  <c r="CQ26"/>
  <c r="CP26"/>
  <c r="CO26"/>
  <c r="BG26"/>
  <c r="BA26"/>
  <c r="AY26"/>
  <c r="Q26"/>
  <c r="P26"/>
  <c r="O26"/>
  <c r="N26"/>
  <c r="L26"/>
  <c r="K26"/>
  <c r="J26"/>
  <c r="DD26" s="1"/>
  <c r="DG26" s="1"/>
  <c r="DH26" s="1"/>
  <c r="I26"/>
  <c r="B26"/>
  <c r="E26" s="1"/>
  <c r="BI38" i="78" l="1"/>
  <c r="BJ7"/>
  <c r="BJ8" s="1"/>
  <c r="BJ9" s="1"/>
  <c r="BJ10" s="1"/>
  <c r="BJ11" s="1"/>
  <c r="BJ12" s="1"/>
  <c r="BJ13" s="1"/>
  <c r="BJ14" s="1"/>
  <c r="BJ15" s="1"/>
  <c r="BJ16" s="1"/>
  <c r="BJ17" s="1"/>
  <c r="BJ18" s="1"/>
  <c r="BJ19" s="1"/>
  <c r="BJ20" s="1"/>
  <c r="BJ21" s="1"/>
  <c r="BJ22" s="1"/>
  <c r="BJ23" s="1"/>
  <c r="BJ24" s="1"/>
  <c r="BJ26" s="1"/>
  <c r="BJ27" s="1"/>
  <c r="BJ28" s="1"/>
  <c r="BJ29" s="1"/>
  <c r="BJ30" s="1"/>
  <c r="BJ31" s="1"/>
  <c r="BJ32" s="1"/>
  <c r="BJ33" s="1"/>
  <c r="BJ34" s="1"/>
  <c r="BJ35" s="1"/>
  <c r="BJ36" s="1"/>
  <c r="BJ37" s="1"/>
  <c r="AZ48" s="1"/>
  <c r="AZ51" s="1"/>
  <c r="DH7"/>
  <c r="AZ7" s="1"/>
  <c r="AZ38" s="1"/>
  <c r="AZ39" s="1"/>
  <c r="D39"/>
  <c r="BB38"/>
  <c r="BD7"/>
  <c r="BD38" s="1"/>
  <c r="BD39" s="1"/>
  <c r="AI39"/>
  <c r="M39"/>
  <c r="AY39"/>
  <c r="AX39" s="1"/>
  <c r="U39"/>
  <c r="U41" s="1"/>
  <c r="H39"/>
  <c r="BC39"/>
  <c r="F39"/>
  <c r="F41" s="1"/>
  <c r="AF39"/>
  <c r="X39"/>
  <c r="DE38"/>
  <c r="DG38" s="1"/>
  <c r="DH38" s="1"/>
  <c r="U30" i="77"/>
  <c r="BC30"/>
  <c r="AZ30"/>
  <c r="F30"/>
  <c r="U29"/>
  <c r="AZ29"/>
  <c r="BC29"/>
  <c r="F29"/>
  <c r="AZ28"/>
  <c r="BC28"/>
  <c r="F28"/>
  <c r="U28"/>
  <c r="BC27"/>
  <c r="AZ27"/>
  <c r="F27"/>
  <c r="U27"/>
  <c r="BI26"/>
  <c r="BB26"/>
  <c r="BD26" s="1"/>
  <c r="AF26"/>
  <c r="BF26"/>
  <c r="AI26"/>
  <c r="H26"/>
  <c r="AX26"/>
  <c r="M26"/>
  <c r="BJ26"/>
  <c r="C26"/>
  <c r="D26" s="1"/>
  <c r="R26"/>
  <c r="T26" s="1"/>
  <c r="AN26"/>
  <c r="BH26"/>
  <c r="B25"/>
  <c r="C25" s="1"/>
  <c r="D25" s="1"/>
  <c r="I25"/>
  <c r="J25"/>
  <c r="DD25" s="1"/>
  <c r="DG25" s="1"/>
  <c r="DH25" s="1"/>
  <c r="K25"/>
  <c r="L25"/>
  <c r="N25"/>
  <c r="O25"/>
  <c r="P25"/>
  <c r="Q25"/>
  <c r="R25" s="1"/>
  <c r="T25" s="1"/>
  <c r="AN25"/>
  <c r="BA25"/>
  <c r="BG25"/>
  <c r="BH25" s="1"/>
  <c r="CO25"/>
  <c r="CP25"/>
  <c r="CQ25"/>
  <c r="CR25"/>
  <c r="CS25"/>
  <c r="CT25"/>
  <c r="CU25"/>
  <c r="CV25"/>
  <c r="CW25"/>
  <c r="CX25"/>
  <c r="CY25"/>
  <c r="B24"/>
  <c r="C24" s="1"/>
  <c r="D24" s="1"/>
  <c r="I24"/>
  <c r="J24"/>
  <c r="DD24" s="1"/>
  <c r="DG24" s="1"/>
  <c r="DH24" s="1"/>
  <c r="K24"/>
  <c r="L24"/>
  <c r="N24"/>
  <c r="O24"/>
  <c r="P24"/>
  <c r="Q24"/>
  <c r="R24" s="1"/>
  <c r="T24" s="1"/>
  <c r="AN24"/>
  <c r="BA24"/>
  <c r="BG24"/>
  <c r="BH24" s="1"/>
  <c r="CO24"/>
  <c r="CP24"/>
  <c r="CQ24"/>
  <c r="CR24"/>
  <c r="CS24"/>
  <c r="CT24"/>
  <c r="CU24"/>
  <c r="CV24"/>
  <c r="CW24"/>
  <c r="CX24"/>
  <c r="CY24"/>
  <c r="CY23"/>
  <c r="CX23"/>
  <c r="CW23"/>
  <c r="CV23"/>
  <c r="CU23"/>
  <c r="CT23"/>
  <c r="CS23"/>
  <c r="CR23"/>
  <c r="CQ23"/>
  <c r="CP23"/>
  <c r="CO23"/>
  <c r="BG23"/>
  <c r="BA23"/>
  <c r="AY23"/>
  <c r="Q23"/>
  <c r="P23"/>
  <c r="O23"/>
  <c r="N23"/>
  <c r="L23"/>
  <c r="K23"/>
  <c r="J23"/>
  <c r="DD23" s="1"/>
  <c r="DG23" s="1"/>
  <c r="DH23" s="1"/>
  <c r="I23"/>
  <c r="B23"/>
  <c r="E23" s="1"/>
  <c r="CY22"/>
  <c r="CX22"/>
  <c r="CW22"/>
  <c r="CV22"/>
  <c r="CU22"/>
  <c r="CT22"/>
  <c r="CS22"/>
  <c r="CR22"/>
  <c r="CQ22"/>
  <c r="CP22"/>
  <c r="CO22"/>
  <c r="BG22"/>
  <c r="BA22"/>
  <c r="AY22"/>
  <c r="Q22"/>
  <c r="P22"/>
  <c r="O22"/>
  <c r="N22"/>
  <c r="L22"/>
  <c r="K22"/>
  <c r="J22"/>
  <c r="DD22" s="1"/>
  <c r="DG22" s="1"/>
  <c r="DH22" s="1"/>
  <c r="I22"/>
  <c r="B22"/>
  <c r="BG21"/>
  <c r="BA21"/>
  <c r="AY21"/>
  <c r="Q21"/>
  <c r="R21" s="1"/>
  <c r="P21"/>
  <c r="O21"/>
  <c r="N21"/>
  <c r="L21"/>
  <c r="K21"/>
  <c r="J21"/>
  <c r="DD21" s="1"/>
  <c r="DG21" s="1"/>
  <c r="DH21" s="1"/>
  <c r="I21"/>
  <c r="B21"/>
  <c r="B20"/>
  <c r="C20" s="1"/>
  <c r="D20" s="1"/>
  <c r="I20"/>
  <c r="J20"/>
  <c r="K20"/>
  <c r="L20"/>
  <c r="N20"/>
  <c r="O20"/>
  <c r="P20"/>
  <c r="Q20"/>
  <c r="R20" s="1"/>
  <c r="T20" s="1"/>
  <c r="AN20"/>
  <c r="AY20"/>
  <c r="H20" s="1"/>
  <c r="BA20"/>
  <c r="BF20"/>
  <c r="BG20"/>
  <c r="BH20" s="1"/>
  <c r="BI20"/>
  <c r="CO20"/>
  <c r="CP20"/>
  <c r="CQ20"/>
  <c r="CR20"/>
  <c r="CS20"/>
  <c r="CT20"/>
  <c r="CU20"/>
  <c r="CV20"/>
  <c r="CW20"/>
  <c r="CX20"/>
  <c r="CY20"/>
  <c r="DD20"/>
  <c r="DG20" s="1"/>
  <c r="DH20" s="1"/>
  <c r="B19"/>
  <c r="C19" s="1"/>
  <c r="D19" s="1"/>
  <c r="I19"/>
  <c r="J19"/>
  <c r="K19"/>
  <c r="L19"/>
  <c r="N19"/>
  <c r="O19"/>
  <c r="P19"/>
  <c r="Q19"/>
  <c r="R19" s="1"/>
  <c r="T19" s="1"/>
  <c r="AN19"/>
  <c r="AY19"/>
  <c r="H19" s="1"/>
  <c r="BA19"/>
  <c r="BF19"/>
  <c r="BG19"/>
  <c r="BH19" s="1"/>
  <c r="BI19"/>
  <c r="CO19"/>
  <c r="CP19"/>
  <c r="CQ19"/>
  <c r="CR19"/>
  <c r="CS19"/>
  <c r="CT19"/>
  <c r="CU19"/>
  <c r="CV19"/>
  <c r="CW19"/>
  <c r="CX19"/>
  <c r="CY19"/>
  <c r="DD19"/>
  <c r="DG19" s="1"/>
  <c r="DH19" s="1"/>
  <c r="CO21"/>
  <c r="CP21"/>
  <c r="CQ21"/>
  <c r="CR21"/>
  <c r="CS21"/>
  <c r="CT21"/>
  <c r="CU21"/>
  <c r="CV21"/>
  <c r="CW21"/>
  <c r="CX21"/>
  <c r="CY21"/>
  <c r="B18"/>
  <c r="C18" s="1"/>
  <c r="D18" s="1"/>
  <c r="I18"/>
  <c r="J18"/>
  <c r="DD18" s="1"/>
  <c r="DG18" s="1"/>
  <c r="DH18" s="1"/>
  <c r="K18"/>
  <c r="L18"/>
  <c r="N18"/>
  <c r="O18"/>
  <c r="P18"/>
  <c r="Q18"/>
  <c r="R18" s="1"/>
  <c r="T18" s="1"/>
  <c r="AN18"/>
  <c r="AY18"/>
  <c r="H18" s="1"/>
  <c r="BA18"/>
  <c r="BB18"/>
  <c r="BD18"/>
  <c r="BF18"/>
  <c r="BG18"/>
  <c r="BH18" s="1"/>
  <c r="BI18"/>
  <c r="CO18"/>
  <c r="CP18"/>
  <c r="CQ18"/>
  <c r="CR18"/>
  <c r="CS18"/>
  <c r="CT18"/>
  <c r="CU18"/>
  <c r="CV18"/>
  <c r="CW18"/>
  <c r="CX18"/>
  <c r="CY18"/>
  <c r="B17"/>
  <c r="C17" s="1"/>
  <c r="D17" s="1"/>
  <c r="I17"/>
  <c r="J17"/>
  <c r="K17"/>
  <c r="L17"/>
  <c r="N17"/>
  <c r="O17"/>
  <c r="P17"/>
  <c r="Q17"/>
  <c r="R17" s="1"/>
  <c r="T17" s="1"/>
  <c r="AN17"/>
  <c r="AY17"/>
  <c r="H17" s="1"/>
  <c r="BA17"/>
  <c r="BF17"/>
  <c r="BG17"/>
  <c r="BH17" s="1"/>
  <c r="BI17"/>
  <c r="CO17"/>
  <c r="CP17"/>
  <c r="CQ17"/>
  <c r="CR17"/>
  <c r="CS17"/>
  <c r="CT17"/>
  <c r="CU17"/>
  <c r="CV17"/>
  <c r="CW17"/>
  <c r="CX17"/>
  <c r="CY17"/>
  <c r="DD17"/>
  <c r="DG17" s="1"/>
  <c r="DH17" s="1"/>
  <c r="B16"/>
  <c r="C16" s="1"/>
  <c r="D16" s="1"/>
  <c r="I16"/>
  <c r="J16"/>
  <c r="K16"/>
  <c r="L16"/>
  <c r="N16"/>
  <c r="O16"/>
  <c r="P16"/>
  <c r="Q16"/>
  <c r="R16" s="1"/>
  <c r="T16" s="1"/>
  <c r="AN16"/>
  <c r="AY16"/>
  <c r="H16" s="1"/>
  <c r="BA16"/>
  <c r="BF16"/>
  <c r="BG16"/>
  <c r="BH16" s="1"/>
  <c r="BI16"/>
  <c r="CO16"/>
  <c r="CP16"/>
  <c r="CQ16"/>
  <c r="CR16"/>
  <c r="CS16"/>
  <c r="CT16"/>
  <c r="CU16"/>
  <c r="CV16"/>
  <c r="CW16"/>
  <c r="CX16"/>
  <c r="CY16"/>
  <c r="DD16"/>
  <c r="DG16" s="1"/>
  <c r="DH16" s="1"/>
  <c r="B15"/>
  <c r="C15" s="1"/>
  <c r="D15" s="1"/>
  <c r="I15"/>
  <c r="J15"/>
  <c r="K15"/>
  <c r="L15"/>
  <c r="N15"/>
  <c r="O15"/>
  <c r="P15"/>
  <c r="Q15"/>
  <c r="R15" s="1"/>
  <c r="T15" s="1"/>
  <c r="AN15"/>
  <c r="AY15"/>
  <c r="H15" s="1"/>
  <c r="BA15"/>
  <c r="BF15"/>
  <c r="BG15"/>
  <c r="BH15" s="1"/>
  <c r="BI15"/>
  <c r="CO15"/>
  <c r="CP15"/>
  <c r="CQ15"/>
  <c r="CR15"/>
  <c r="CS15"/>
  <c r="CT15"/>
  <c r="CU15"/>
  <c r="CV15"/>
  <c r="CW15"/>
  <c r="CX15"/>
  <c r="CY15"/>
  <c r="DD15"/>
  <c r="DG15" s="1"/>
  <c r="DH15" s="1"/>
  <c r="U26" l="1"/>
  <c r="AZ26"/>
  <c r="BC26"/>
  <c r="F26"/>
  <c r="AY25"/>
  <c r="E25"/>
  <c r="AY24"/>
  <c r="E24"/>
  <c r="BI23"/>
  <c r="BB23"/>
  <c r="BD23" s="1"/>
  <c r="AX23"/>
  <c r="AF23"/>
  <c r="M23"/>
  <c r="BF23"/>
  <c r="AI23"/>
  <c r="H23"/>
  <c r="BJ23"/>
  <c r="C23"/>
  <c r="D23" s="1"/>
  <c r="R23"/>
  <c r="T23" s="1"/>
  <c r="AN23"/>
  <c r="BH23"/>
  <c r="BI22"/>
  <c r="BB22"/>
  <c r="BD22" s="1"/>
  <c r="AX22"/>
  <c r="AF22"/>
  <c r="M22"/>
  <c r="BF22"/>
  <c r="AI22"/>
  <c r="H22"/>
  <c r="BJ22"/>
  <c r="C22"/>
  <c r="D22" s="1"/>
  <c r="E22"/>
  <c r="R22"/>
  <c r="T22" s="1"/>
  <c r="AN22"/>
  <c r="BH22"/>
  <c r="BI21"/>
  <c r="BB21"/>
  <c r="BD21" s="1"/>
  <c r="AF21"/>
  <c r="M21"/>
  <c r="BF21"/>
  <c r="AI21"/>
  <c r="H21"/>
  <c r="AX21"/>
  <c r="BJ21"/>
  <c r="T21"/>
  <c r="C21"/>
  <c r="D21" s="1"/>
  <c r="E21"/>
  <c r="AN21"/>
  <c r="BH21"/>
  <c r="BJ20"/>
  <c r="AF20"/>
  <c r="M20"/>
  <c r="F20"/>
  <c r="BB20"/>
  <c r="BD20" s="1"/>
  <c r="AX20"/>
  <c r="AI20"/>
  <c r="U20"/>
  <c r="E20"/>
  <c r="BC20" s="1"/>
  <c r="BJ19"/>
  <c r="AF19"/>
  <c r="M19"/>
  <c r="F19"/>
  <c r="BB19"/>
  <c r="BD19" s="1"/>
  <c r="AX19"/>
  <c r="AI19"/>
  <c r="U19"/>
  <c r="E19"/>
  <c r="AZ19" s="1"/>
  <c r="BJ18"/>
  <c r="AF18"/>
  <c r="M18"/>
  <c r="F18"/>
  <c r="AX18"/>
  <c r="AI18"/>
  <c r="U18"/>
  <c r="E18"/>
  <c r="AZ18" s="1"/>
  <c r="BJ17"/>
  <c r="AF17"/>
  <c r="M17"/>
  <c r="F17"/>
  <c r="BB17"/>
  <c r="BD17" s="1"/>
  <c r="AX17"/>
  <c r="AI17"/>
  <c r="U17"/>
  <c r="E17"/>
  <c r="AZ17" s="1"/>
  <c r="BJ16"/>
  <c r="AF16"/>
  <c r="M16"/>
  <c r="F16"/>
  <c r="BB16"/>
  <c r="BD16" s="1"/>
  <c r="AX16"/>
  <c r="AI16"/>
  <c r="U16"/>
  <c r="E16"/>
  <c r="AZ16" s="1"/>
  <c r="BJ15"/>
  <c r="AF15"/>
  <c r="M15"/>
  <c r="F15"/>
  <c r="BB15"/>
  <c r="BD15" s="1"/>
  <c r="AX15"/>
  <c r="AI15"/>
  <c r="U15"/>
  <c r="E15"/>
  <c r="BC15" s="1"/>
  <c r="BD59"/>
  <c r="AT46"/>
  <c r="AT43"/>
  <c r="AS39"/>
  <c r="AQ39"/>
  <c r="AP39"/>
  <c r="AD39"/>
  <c r="AC39"/>
  <c r="Z39"/>
  <c r="Z41" s="1"/>
  <c r="Y39"/>
  <c r="CI38"/>
  <c r="CM39" s="1"/>
  <c r="CH38"/>
  <c r="CL39" s="1"/>
  <c r="CG38"/>
  <c r="CK39" s="1"/>
  <c r="CF38"/>
  <c r="CJ39" s="1"/>
  <c r="BQ38"/>
  <c r="BX39" s="1"/>
  <c r="BP38"/>
  <c r="CD39" s="1"/>
  <c r="BO38"/>
  <c r="BV39" s="1"/>
  <c r="BN38"/>
  <c r="CB39" s="1"/>
  <c r="BM38"/>
  <c r="BT39" s="1"/>
  <c r="BL38"/>
  <c r="BZ39" s="1"/>
  <c r="BK38"/>
  <c r="BR39" s="1"/>
  <c r="BG38"/>
  <c r="AW38"/>
  <c r="AW39" s="1"/>
  <c r="AV38"/>
  <c r="AV39" s="1"/>
  <c r="AU38"/>
  <c r="AU39" s="1"/>
  <c r="AT38"/>
  <c r="AT41" s="1"/>
  <c r="AL38"/>
  <c r="AL39" s="1"/>
  <c r="AJ38"/>
  <c r="AJ39" s="1"/>
  <c r="AH38"/>
  <c r="AH39" s="1"/>
  <c r="AG38"/>
  <c r="AG39" s="1"/>
  <c r="AE38"/>
  <c r="AE39" s="1"/>
  <c r="AD38"/>
  <c r="W38"/>
  <c r="W39" s="1"/>
  <c r="V38"/>
  <c r="V39" s="1"/>
  <c r="S38"/>
  <c r="S39" s="1"/>
  <c r="G38"/>
  <c r="G39" s="1"/>
  <c r="G41" s="1"/>
  <c r="CY14"/>
  <c r="CX14"/>
  <c r="CW14"/>
  <c r="CV14"/>
  <c r="CU14"/>
  <c r="CT14"/>
  <c r="CS14"/>
  <c r="CR14"/>
  <c r="CQ14"/>
  <c r="CP14"/>
  <c r="CO14"/>
  <c r="BG14"/>
  <c r="BA14"/>
  <c r="AY14"/>
  <c r="AN14"/>
  <c r="AI14"/>
  <c r="Q14"/>
  <c r="R14" s="1"/>
  <c r="P14"/>
  <c r="O14"/>
  <c r="N14"/>
  <c r="L14"/>
  <c r="K14"/>
  <c r="J14"/>
  <c r="DD14" s="1"/>
  <c r="DG14" s="1"/>
  <c r="DH14" s="1"/>
  <c r="I14"/>
  <c r="H14"/>
  <c r="B14"/>
  <c r="C14" s="1"/>
  <c r="CY13"/>
  <c r="CX13"/>
  <c r="CW13"/>
  <c r="CV13"/>
  <c r="CU13"/>
  <c r="CT13"/>
  <c r="CS13"/>
  <c r="CR13"/>
  <c r="CQ13"/>
  <c r="CP13"/>
  <c r="CO13"/>
  <c r="BG13"/>
  <c r="BA13"/>
  <c r="AY13"/>
  <c r="AN13"/>
  <c r="AI13"/>
  <c r="Q13"/>
  <c r="R13" s="1"/>
  <c r="P13"/>
  <c r="O13"/>
  <c r="N13"/>
  <c r="L13"/>
  <c r="K13"/>
  <c r="J13"/>
  <c r="DD13" s="1"/>
  <c r="DG13" s="1"/>
  <c r="DH13" s="1"/>
  <c r="I13"/>
  <c r="H13"/>
  <c r="B13"/>
  <c r="C13" s="1"/>
  <c r="CY12"/>
  <c r="CX12"/>
  <c r="CW12"/>
  <c r="CV12"/>
  <c r="CU12"/>
  <c r="CT12"/>
  <c r="CS12"/>
  <c r="CR12"/>
  <c r="CQ12"/>
  <c r="CP12"/>
  <c r="CO12"/>
  <c r="BG12"/>
  <c r="BA12"/>
  <c r="AN12"/>
  <c r="AY12"/>
  <c r="Q12"/>
  <c r="P12"/>
  <c r="O12"/>
  <c r="N12"/>
  <c r="L12"/>
  <c r="K12"/>
  <c r="J12"/>
  <c r="DD12" s="1"/>
  <c r="DG12" s="1"/>
  <c r="DH12" s="1"/>
  <c r="I12"/>
  <c r="B12"/>
  <c r="CY11"/>
  <c r="CX11"/>
  <c r="CW11"/>
  <c r="CV11"/>
  <c r="CU11"/>
  <c r="CT11"/>
  <c r="CS11"/>
  <c r="CR11"/>
  <c r="CQ11"/>
  <c r="CP11"/>
  <c r="CO11"/>
  <c r="BG11"/>
  <c r="BA11"/>
  <c r="AY11"/>
  <c r="BI11" s="1"/>
  <c r="AN11"/>
  <c r="AI11"/>
  <c r="Q11"/>
  <c r="P11"/>
  <c r="O11"/>
  <c r="N11"/>
  <c r="L11"/>
  <c r="K11"/>
  <c r="J11"/>
  <c r="DD11" s="1"/>
  <c r="DG11" s="1"/>
  <c r="DH11" s="1"/>
  <c r="I11"/>
  <c r="H11"/>
  <c r="B11"/>
  <c r="C11" s="1"/>
  <c r="CY10"/>
  <c r="CX10"/>
  <c r="CW10"/>
  <c r="CV10"/>
  <c r="CU10"/>
  <c r="CT10"/>
  <c r="CS10"/>
  <c r="CR10"/>
  <c r="CQ10"/>
  <c r="CP10"/>
  <c r="CO10"/>
  <c r="BG10"/>
  <c r="BA10"/>
  <c r="AY10"/>
  <c r="BI10" s="1"/>
  <c r="AN10"/>
  <c r="AI10"/>
  <c r="Q10"/>
  <c r="R10" s="1"/>
  <c r="P10"/>
  <c r="O10"/>
  <c r="N10"/>
  <c r="L10"/>
  <c r="K10"/>
  <c r="J10"/>
  <c r="DD10" s="1"/>
  <c r="DG10" s="1"/>
  <c r="DH10" s="1"/>
  <c r="I10"/>
  <c r="H10"/>
  <c r="B10"/>
  <c r="CY9"/>
  <c r="CX9"/>
  <c r="CW9"/>
  <c r="CV9"/>
  <c r="CU9"/>
  <c r="CT9"/>
  <c r="CS9"/>
  <c r="CR9"/>
  <c r="CQ9"/>
  <c r="CP9"/>
  <c r="CO9"/>
  <c r="BG9"/>
  <c r="BA9"/>
  <c r="AY9"/>
  <c r="BI9" s="1"/>
  <c r="AN9"/>
  <c r="AI9"/>
  <c r="Q9"/>
  <c r="P9"/>
  <c r="O9"/>
  <c r="N9"/>
  <c r="L9"/>
  <c r="K9"/>
  <c r="J9"/>
  <c r="DD9" s="1"/>
  <c r="DG9" s="1"/>
  <c r="DH9" s="1"/>
  <c r="I9"/>
  <c r="H9"/>
  <c r="B9"/>
  <c r="C9" s="1"/>
  <c r="CY8"/>
  <c r="CX8"/>
  <c r="CW8"/>
  <c r="CV8"/>
  <c r="CU8"/>
  <c r="CT8"/>
  <c r="CS8"/>
  <c r="CR8"/>
  <c r="CQ8"/>
  <c r="CP8"/>
  <c r="CO8"/>
  <c r="BG8"/>
  <c r="BA8"/>
  <c r="AY8"/>
  <c r="BI8" s="1"/>
  <c r="AN8"/>
  <c r="AI8"/>
  <c r="Q8"/>
  <c r="R8" s="1"/>
  <c r="P8"/>
  <c r="O8"/>
  <c r="N8"/>
  <c r="L8"/>
  <c r="K8"/>
  <c r="J8"/>
  <c r="DD8" s="1"/>
  <c r="DG8" s="1"/>
  <c r="DH8" s="1"/>
  <c r="I8"/>
  <c r="H8"/>
  <c r="B8"/>
  <c r="CY7"/>
  <c r="CX7"/>
  <c r="CX38" s="1"/>
  <c r="CW7"/>
  <c r="CV7"/>
  <c r="CV38" s="1"/>
  <c r="CU7"/>
  <c r="CT7"/>
  <c r="CT38" s="1"/>
  <c r="CS7"/>
  <c r="CR7"/>
  <c r="CR38" s="1"/>
  <c r="CQ7"/>
  <c r="CP7"/>
  <c r="CP38" s="1"/>
  <c r="CO7"/>
  <c r="BH7"/>
  <c r="BH8" s="1"/>
  <c r="BH9" s="1"/>
  <c r="BH10" s="1"/>
  <c r="BH11" s="1"/>
  <c r="BH12" s="1"/>
  <c r="BH13" s="1"/>
  <c r="BH14" s="1"/>
  <c r="BG7"/>
  <c r="BA7"/>
  <c r="BA38" s="1"/>
  <c r="AY7"/>
  <c r="AN7"/>
  <c r="AI7"/>
  <c r="Q7"/>
  <c r="R7" s="1"/>
  <c r="P7"/>
  <c r="P38" s="1"/>
  <c r="P39" s="1"/>
  <c r="O7"/>
  <c r="N7"/>
  <c r="L7"/>
  <c r="K7"/>
  <c r="J7"/>
  <c r="I7"/>
  <c r="H7"/>
  <c r="B7"/>
  <c r="BC25" l="1"/>
  <c r="AZ25"/>
  <c r="H25"/>
  <c r="U25"/>
  <c r="AI25"/>
  <c r="BF25"/>
  <c r="F25"/>
  <c r="M25"/>
  <c r="AF25"/>
  <c r="AX25"/>
  <c r="BB25"/>
  <c r="BD25" s="1"/>
  <c r="BI25"/>
  <c r="BJ25" s="1"/>
  <c r="BC24"/>
  <c r="H24"/>
  <c r="U24"/>
  <c r="AI24"/>
  <c r="BF24"/>
  <c r="F24"/>
  <c r="M24"/>
  <c r="AF24"/>
  <c r="AX24"/>
  <c r="BB24"/>
  <c r="BD24" s="1"/>
  <c r="BI24"/>
  <c r="BJ24" s="1"/>
  <c r="AZ24"/>
  <c r="U23"/>
  <c r="AZ23"/>
  <c r="BC23"/>
  <c r="F23"/>
  <c r="U22"/>
  <c r="AZ22"/>
  <c r="BC22"/>
  <c r="F22"/>
  <c r="AZ21"/>
  <c r="BC21"/>
  <c r="F21"/>
  <c r="U21"/>
  <c r="I38"/>
  <c r="I39" s="1"/>
  <c r="I41" s="1"/>
  <c r="K38"/>
  <c r="K39" s="1"/>
  <c r="N38"/>
  <c r="N39" s="1"/>
  <c r="E7"/>
  <c r="E8"/>
  <c r="E10"/>
  <c r="E12"/>
  <c r="C7"/>
  <c r="D7" s="1"/>
  <c r="J38"/>
  <c r="J39" s="1"/>
  <c r="L38"/>
  <c r="L39" s="1"/>
  <c r="O38"/>
  <c r="O39" s="1"/>
  <c r="Q38"/>
  <c r="R38" s="1"/>
  <c r="C8"/>
  <c r="D8" s="1"/>
  <c r="T8"/>
  <c r="D9"/>
  <c r="E9"/>
  <c r="R9"/>
  <c r="T9" s="1"/>
  <c r="C10"/>
  <c r="D10" s="1"/>
  <c r="T10"/>
  <c r="D11"/>
  <c r="E11"/>
  <c r="R11"/>
  <c r="C12"/>
  <c r="D12" s="1"/>
  <c r="R12"/>
  <c r="T12" s="1"/>
  <c r="D13"/>
  <c r="E13"/>
  <c r="D14"/>
  <c r="E14"/>
  <c r="AZ20"/>
  <c r="BC19"/>
  <c r="BC18"/>
  <c r="BC17"/>
  <c r="BC16"/>
  <c r="AZ15"/>
  <c r="BU39"/>
  <c r="BY39"/>
  <c r="L46"/>
  <c r="AT39"/>
  <c r="BS39"/>
  <c r="BW39"/>
  <c r="CC39"/>
  <c r="BI12"/>
  <c r="BB12"/>
  <c r="BD12" s="1"/>
  <c r="AX12"/>
  <c r="AF12"/>
  <c r="M12"/>
  <c r="AI12"/>
  <c r="H12"/>
  <c r="BI13"/>
  <c r="BB13"/>
  <c r="BD13" s="1"/>
  <c r="AX13"/>
  <c r="AF13"/>
  <c r="M13"/>
  <c r="BI14"/>
  <c r="BB14"/>
  <c r="AX14"/>
  <c r="AF14"/>
  <c r="M14"/>
  <c r="BF7"/>
  <c r="BF8" s="1"/>
  <c r="BF9" s="1"/>
  <c r="BF10" s="1"/>
  <c r="BF11" s="1"/>
  <c r="BF12" s="1"/>
  <c r="BF13" s="1"/>
  <c r="BF14" s="1"/>
  <c r="DD7"/>
  <c r="BD14"/>
  <c r="B38"/>
  <c r="B39" s="1"/>
  <c r="M7"/>
  <c r="T7"/>
  <c r="AF7"/>
  <c r="AM38"/>
  <c r="AX7"/>
  <c r="BB7"/>
  <c r="BD7" s="1"/>
  <c r="BI7"/>
  <c r="CO38"/>
  <c r="CO39" s="1"/>
  <c r="CQ38"/>
  <c r="CS38"/>
  <c r="CU38"/>
  <c r="CW38"/>
  <c r="CY38"/>
  <c r="M8"/>
  <c r="AF8"/>
  <c r="AX8"/>
  <c r="BB8"/>
  <c r="BD8" s="1"/>
  <c r="M9"/>
  <c r="AF9"/>
  <c r="AX9"/>
  <c r="BB9"/>
  <c r="BD9" s="1"/>
  <c r="M10"/>
  <c r="AF10"/>
  <c r="AX10"/>
  <c r="BB10"/>
  <c r="BD10" s="1"/>
  <c r="M11"/>
  <c r="AF11"/>
  <c r="AX11"/>
  <c r="BB11"/>
  <c r="BD11" s="1"/>
  <c r="T13"/>
  <c r="T14"/>
  <c r="CA39"/>
  <c r="CE39"/>
  <c r="F14" l="1"/>
  <c r="F13"/>
  <c r="U8"/>
  <c r="U10"/>
  <c r="Q39"/>
  <c r="BC14"/>
  <c r="F9"/>
  <c r="AZ13"/>
  <c r="AZ14"/>
  <c r="BC13"/>
  <c r="R39"/>
  <c r="R41" s="1"/>
  <c r="AZ11"/>
  <c r="AZ9"/>
  <c r="U12"/>
  <c r="AZ10"/>
  <c r="BC10"/>
  <c r="F10"/>
  <c r="BC7"/>
  <c r="F7"/>
  <c r="AZ12"/>
  <c r="BC12"/>
  <c r="F12"/>
  <c r="U9"/>
  <c r="AZ8"/>
  <c r="BC8"/>
  <c r="F8"/>
  <c r="T11"/>
  <c r="F11"/>
  <c r="BC11"/>
  <c r="BC9"/>
  <c r="CV39"/>
  <c r="E39"/>
  <c r="U13"/>
  <c r="DD38"/>
  <c r="DF38" s="1"/>
  <c r="DG7"/>
  <c r="U14"/>
  <c r="BJ7"/>
  <c r="BJ8" s="1"/>
  <c r="BJ9" s="1"/>
  <c r="BJ10" s="1"/>
  <c r="BJ11" s="1"/>
  <c r="BJ12" s="1"/>
  <c r="BJ13" s="1"/>
  <c r="BJ14" s="1"/>
  <c r="AM44"/>
  <c r="AM39"/>
  <c r="AN39" s="1"/>
  <c r="U7"/>
  <c r="BD38"/>
  <c r="BD39" s="1"/>
  <c r="AY38"/>
  <c r="X39" s="1"/>
  <c r="D38"/>
  <c r="C39"/>
  <c r="CQ39"/>
  <c r="CO40" s="1"/>
  <c r="BB38"/>
  <c r="T38" l="1"/>
  <c r="U11"/>
  <c r="AY39"/>
  <c r="AX39" s="1"/>
  <c r="AF39"/>
  <c r="H39"/>
  <c r="F39"/>
  <c r="F41" s="1"/>
  <c r="AI39"/>
  <c r="M39"/>
  <c r="D39"/>
  <c r="DH7"/>
  <c r="AZ7" s="1"/>
  <c r="AZ38" s="1"/>
  <c r="AZ39" s="1"/>
  <c r="DE38"/>
  <c r="DG38" s="1"/>
  <c r="AB39"/>
  <c r="BC39" s="1"/>
  <c r="BI38"/>
  <c r="AZ48"/>
  <c r="AZ51" s="1"/>
  <c r="U39" l="1"/>
  <c r="U41" s="1"/>
  <c r="DH38"/>
  <c r="BD59" i="74" l="1"/>
  <c r="AM8" l="1"/>
  <c r="AM9"/>
  <c r="AM10"/>
  <c r="AM11"/>
  <c r="AM12"/>
  <c r="AM13"/>
  <c r="AM14"/>
  <c r="AM15"/>
  <c r="AM16"/>
  <c r="AM17"/>
  <c r="AM18"/>
  <c r="AM19"/>
  <c r="AM20"/>
  <c r="AM21"/>
  <c r="AM22"/>
  <c r="AM23"/>
  <c r="AM24"/>
  <c r="AM25"/>
  <c r="AM26"/>
  <c r="AM27"/>
  <c r="AM28"/>
  <c r="AM29"/>
  <c r="AM30"/>
  <c r="AM31"/>
  <c r="AM32"/>
  <c r="AM33"/>
  <c r="AM34"/>
  <c r="AM35"/>
  <c r="AM36"/>
  <c r="AM7"/>
  <c r="I36" i="76"/>
  <c r="J36"/>
  <c r="DD36" s="1"/>
  <c r="DG36" s="1"/>
  <c r="DH36" s="1"/>
  <c r="K36"/>
  <c r="N36"/>
  <c r="O36"/>
  <c r="AN36"/>
  <c r="AY36"/>
  <c r="BA36"/>
  <c r="BF36"/>
  <c r="BG36"/>
  <c r="BH36"/>
  <c r="BI36"/>
  <c r="BJ36"/>
  <c r="CP36"/>
  <c r="CQ36"/>
  <c r="CR36"/>
  <c r="CS36"/>
  <c r="CT36"/>
  <c r="CU36"/>
  <c r="CW36"/>
  <c r="CX36"/>
  <c r="CY36"/>
  <c r="DL36"/>
  <c r="BK36" s="1"/>
  <c r="DP36"/>
  <c r="CF36" s="1"/>
  <c r="I35"/>
  <c r="J35"/>
  <c r="DD35" s="1"/>
  <c r="DG35" s="1"/>
  <c r="DH35" s="1"/>
  <c r="K35"/>
  <c r="N35"/>
  <c r="O35"/>
  <c r="AN35"/>
  <c r="AY35"/>
  <c r="BA35"/>
  <c r="BF35"/>
  <c r="BG35"/>
  <c r="BH35" s="1"/>
  <c r="BI35"/>
  <c r="CP35"/>
  <c r="CQ35"/>
  <c r="CR35"/>
  <c r="CS35"/>
  <c r="CT35"/>
  <c r="CU35"/>
  <c r="CW35"/>
  <c r="CX35"/>
  <c r="CY35"/>
  <c r="DL35"/>
  <c r="BK35" s="1"/>
  <c r="DP35"/>
  <c r="CF35" s="1"/>
  <c r="I34"/>
  <c r="J34"/>
  <c r="DD34" s="1"/>
  <c r="DG34" s="1"/>
  <c r="DH34" s="1"/>
  <c r="K34"/>
  <c r="N34"/>
  <c r="O34"/>
  <c r="AN34"/>
  <c r="AY34"/>
  <c r="BA34"/>
  <c r="BF34"/>
  <c r="BG34"/>
  <c r="BH34" s="1"/>
  <c r="BI34"/>
  <c r="BJ34" s="1"/>
  <c r="CP34"/>
  <c r="CQ34"/>
  <c r="CR34"/>
  <c r="CS34"/>
  <c r="CT34"/>
  <c r="CU34"/>
  <c r="CW34"/>
  <c r="CX34"/>
  <c r="CY34"/>
  <c r="DL34"/>
  <c r="BK34" s="1"/>
  <c r="DP34"/>
  <c r="CF34" s="1"/>
  <c r="I33"/>
  <c r="J33"/>
  <c r="DD33" s="1"/>
  <c r="DG33" s="1"/>
  <c r="DH33" s="1"/>
  <c r="K33"/>
  <c r="N33"/>
  <c r="O33"/>
  <c r="AN33"/>
  <c r="AY33"/>
  <c r="BA33"/>
  <c r="BF33"/>
  <c r="BG33"/>
  <c r="BH33" s="1"/>
  <c r="BI33"/>
  <c r="CP33"/>
  <c r="CQ33"/>
  <c r="CR33"/>
  <c r="CS33"/>
  <c r="CT33"/>
  <c r="CU33"/>
  <c r="CW33"/>
  <c r="CX33"/>
  <c r="CY33"/>
  <c r="DL33"/>
  <c r="BK33" s="1"/>
  <c r="DP33"/>
  <c r="CF33" s="1"/>
  <c r="I32"/>
  <c r="J32"/>
  <c r="DD32" s="1"/>
  <c r="DG32" s="1"/>
  <c r="DH32" s="1"/>
  <c r="K32"/>
  <c r="N32"/>
  <c r="O32"/>
  <c r="AN32"/>
  <c r="AY32"/>
  <c r="BA32"/>
  <c r="BF32"/>
  <c r="BG32"/>
  <c r="BH32" s="1"/>
  <c r="BI32"/>
  <c r="BJ32" s="1"/>
  <c r="CP32"/>
  <c r="CQ32"/>
  <c r="CR32"/>
  <c r="CS32"/>
  <c r="CT32"/>
  <c r="CU32"/>
  <c r="CW32"/>
  <c r="CX32"/>
  <c r="CY32"/>
  <c r="DL32"/>
  <c r="BK32" s="1"/>
  <c r="DP32"/>
  <c r="CF32" s="1"/>
  <c r="I31"/>
  <c r="J31"/>
  <c r="DD31" s="1"/>
  <c r="DG31" s="1"/>
  <c r="DH31" s="1"/>
  <c r="K31"/>
  <c r="N31"/>
  <c r="O31"/>
  <c r="AN31"/>
  <c r="AY31"/>
  <c r="BA31"/>
  <c r="BF31"/>
  <c r="BG31"/>
  <c r="BH31"/>
  <c r="BI31"/>
  <c r="BJ31"/>
  <c r="CP31"/>
  <c r="CQ31"/>
  <c r="CR31"/>
  <c r="CS31"/>
  <c r="CT31"/>
  <c r="CU31"/>
  <c r="CW31"/>
  <c r="CX31"/>
  <c r="CY31"/>
  <c r="DL31"/>
  <c r="BK31" s="1"/>
  <c r="DP31"/>
  <c r="CF31" s="1"/>
  <c r="I30"/>
  <c r="J30"/>
  <c r="DD30" s="1"/>
  <c r="DG30" s="1"/>
  <c r="DH30" s="1"/>
  <c r="K30"/>
  <c r="N30"/>
  <c r="O30"/>
  <c r="AN30"/>
  <c r="AY30"/>
  <c r="BA30"/>
  <c r="BF30"/>
  <c r="BG30"/>
  <c r="BH30" s="1"/>
  <c r="BI30"/>
  <c r="CP30"/>
  <c r="CQ30"/>
  <c r="CR30"/>
  <c r="CS30"/>
  <c r="CT30"/>
  <c r="CU30"/>
  <c r="CW30"/>
  <c r="CX30"/>
  <c r="CY30"/>
  <c r="DL30"/>
  <c r="BK30" s="1"/>
  <c r="DP30"/>
  <c r="CF30" s="1"/>
  <c r="I29"/>
  <c r="J29"/>
  <c r="DD29" s="1"/>
  <c r="DG29" s="1"/>
  <c r="DH29" s="1"/>
  <c r="K29"/>
  <c r="N29"/>
  <c r="O29"/>
  <c r="AN29"/>
  <c r="AY29"/>
  <c r="BA29"/>
  <c r="BF29"/>
  <c r="BG29"/>
  <c r="BH29" s="1"/>
  <c r="BI29"/>
  <c r="CP29"/>
  <c r="CQ29"/>
  <c r="CR29"/>
  <c r="CS29"/>
  <c r="CT29"/>
  <c r="CU29"/>
  <c r="CW29"/>
  <c r="CX29"/>
  <c r="CY29"/>
  <c r="DL29"/>
  <c r="BK29" s="1"/>
  <c r="DP29"/>
  <c r="CF29" s="1"/>
  <c r="I28"/>
  <c r="J28"/>
  <c r="DD28" s="1"/>
  <c r="DG28" s="1"/>
  <c r="DH28" s="1"/>
  <c r="K28"/>
  <c r="N28"/>
  <c r="O28"/>
  <c r="AN28"/>
  <c r="AY28"/>
  <c r="BA28"/>
  <c r="BF28"/>
  <c r="BG28"/>
  <c r="BH28" s="1"/>
  <c r="BI28"/>
  <c r="CP28"/>
  <c r="CQ28"/>
  <c r="CR28"/>
  <c r="CS28"/>
  <c r="CT28"/>
  <c r="CU28"/>
  <c r="CW28"/>
  <c r="CX28"/>
  <c r="CY28"/>
  <c r="DL28"/>
  <c r="BK28" s="1"/>
  <c r="DP28"/>
  <c r="CF28" s="1"/>
  <c r="I27"/>
  <c r="J27"/>
  <c r="DD27" s="1"/>
  <c r="DG27" s="1"/>
  <c r="DH27" s="1"/>
  <c r="K27"/>
  <c r="N27"/>
  <c r="O27"/>
  <c r="AN27"/>
  <c r="AY27"/>
  <c r="BA27"/>
  <c r="BF27"/>
  <c r="BG27"/>
  <c r="BH27" s="1"/>
  <c r="BI27"/>
  <c r="CO27"/>
  <c r="CQ27"/>
  <c r="CR27"/>
  <c r="CS27"/>
  <c r="CT27"/>
  <c r="CU27"/>
  <c r="CW27"/>
  <c r="CX27"/>
  <c r="CY27"/>
  <c r="DM27"/>
  <c r="BL27" s="1"/>
  <c r="DP27"/>
  <c r="CF27" s="1"/>
  <c r="I26"/>
  <c r="J26"/>
  <c r="DD26" s="1"/>
  <c r="DG26" s="1"/>
  <c r="DH26" s="1"/>
  <c r="K26"/>
  <c r="N26"/>
  <c r="O26"/>
  <c r="AN26"/>
  <c r="AY26"/>
  <c r="BA26"/>
  <c r="BF26"/>
  <c r="BG26"/>
  <c r="BH26" s="1"/>
  <c r="BI26"/>
  <c r="CO26"/>
  <c r="CQ26"/>
  <c r="CR26"/>
  <c r="CS26"/>
  <c r="CT26"/>
  <c r="CU26"/>
  <c r="CW26"/>
  <c r="CX26"/>
  <c r="CY26"/>
  <c r="DM26"/>
  <c r="BL26" s="1"/>
  <c r="DP26"/>
  <c r="CF26" s="1"/>
  <c r="I25"/>
  <c r="J25"/>
  <c r="DD25" s="1"/>
  <c r="DG25" s="1"/>
  <c r="DH25" s="1"/>
  <c r="K25"/>
  <c r="N25"/>
  <c r="O25"/>
  <c r="AN25"/>
  <c r="AY25"/>
  <c r="BA25"/>
  <c r="BF25"/>
  <c r="BG25"/>
  <c r="BH25"/>
  <c r="BI25"/>
  <c r="BJ25"/>
  <c r="CO25"/>
  <c r="CQ25"/>
  <c r="CR25"/>
  <c r="CS25"/>
  <c r="CT25"/>
  <c r="CU25"/>
  <c r="CW25"/>
  <c r="CX25"/>
  <c r="CY25"/>
  <c r="DM25"/>
  <c r="BL25" s="1"/>
  <c r="DP25"/>
  <c r="CF25" s="1"/>
  <c r="I24"/>
  <c r="J24"/>
  <c r="DD24" s="1"/>
  <c r="DG24" s="1"/>
  <c r="DH24" s="1"/>
  <c r="K24"/>
  <c r="N24"/>
  <c r="O24"/>
  <c r="AN24"/>
  <c r="AY24"/>
  <c r="BA24"/>
  <c r="BF24"/>
  <c r="BG24"/>
  <c r="BH24" s="1"/>
  <c r="BI24"/>
  <c r="CO24"/>
  <c r="CQ24"/>
  <c r="CR24"/>
  <c r="CS24"/>
  <c r="CT24"/>
  <c r="CU24"/>
  <c r="CW24"/>
  <c r="CX24"/>
  <c r="CY24"/>
  <c r="DM24"/>
  <c r="BL24" s="1"/>
  <c r="DP24"/>
  <c r="CF24" s="1"/>
  <c r="B37"/>
  <c r="C37" s="1"/>
  <c r="D37" s="1"/>
  <c r="I37"/>
  <c r="J37"/>
  <c r="DD37" s="1"/>
  <c r="DG37" s="1"/>
  <c r="K37"/>
  <c r="L37"/>
  <c r="N37"/>
  <c r="O37"/>
  <c r="P37"/>
  <c r="Q37"/>
  <c r="R37" s="1"/>
  <c r="T37" s="1"/>
  <c r="AN37"/>
  <c r="AY37"/>
  <c r="H37" s="1"/>
  <c r="BA37"/>
  <c r="BF37"/>
  <c r="BG37"/>
  <c r="BI37"/>
  <c r="CO37"/>
  <c r="CP37"/>
  <c r="CQ37"/>
  <c r="CR37"/>
  <c r="CS37"/>
  <c r="CT37"/>
  <c r="CU37"/>
  <c r="CV37"/>
  <c r="CW37"/>
  <c r="CX37"/>
  <c r="CY37"/>
  <c r="DH37"/>
  <c r="AZ37" s="1"/>
  <c r="I23"/>
  <c r="J23"/>
  <c r="DD23" s="1"/>
  <c r="DG23" s="1"/>
  <c r="DH23" s="1"/>
  <c r="K23"/>
  <c r="N23"/>
  <c r="O23"/>
  <c r="AN23"/>
  <c r="AY23"/>
  <c r="BA23"/>
  <c r="BF23"/>
  <c r="BG23"/>
  <c r="BH23" s="1"/>
  <c r="BI23"/>
  <c r="CO23"/>
  <c r="CQ23"/>
  <c r="CR23"/>
  <c r="CS23"/>
  <c r="CT23"/>
  <c r="CU23"/>
  <c r="CW23"/>
  <c r="CX23"/>
  <c r="CY23"/>
  <c r="DM23"/>
  <c r="BL23" s="1"/>
  <c r="DP23"/>
  <c r="CF23" s="1"/>
  <c r="I22"/>
  <c r="J22"/>
  <c r="DD22" s="1"/>
  <c r="DG22" s="1"/>
  <c r="DH22" s="1"/>
  <c r="K22"/>
  <c r="N22"/>
  <c r="O22"/>
  <c r="AN22"/>
  <c r="AY22"/>
  <c r="BA22"/>
  <c r="BF22"/>
  <c r="BG22"/>
  <c r="BH22" s="1"/>
  <c r="BI22"/>
  <c r="CO22"/>
  <c r="CQ22"/>
  <c r="CR22"/>
  <c r="CS22"/>
  <c r="CT22"/>
  <c r="CU22"/>
  <c r="CW22"/>
  <c r="CX22"/>
  <c r="CY22"/>
  <c r="DM22"/>
  <c r="BL22" s="1"/>
  <c r="DP22"/>
  <c r="CF22" s="1"/>
  <c r="I21"/>
  <c r="J21"/>
  <c r="DD21" s="1"/>
  <c r="DG21" s="1"/>
  <c r="DH21" s="1"/>
  <c r="K21"/>
  <c r="N21"/>
  <c r="O21"/>
  <c r="AN21"/>
  <c r="AY21"/>
  <c r="BA21"/>
  <c r="BF21"/>
  <c r="BG21"/>
  <c r="BH21" s="1"/>
  <c r="BI21"/>
  <c r="CO21"/>
  <c r="CQ21"/>
  <c r="CR21"/>
  <c r="CS21"/>
  <c r="CT21"/>
  <c r="CU21"/>
  <c r="CW21"/>
  <c r="CX21"/>
  <c r="CY21"/>
  <c r="DM21"/>
  <c r="BL21" s="1"/>
  <c r="DP21"/>
  <c r="CF21" s="1"/>
  <c r="I20"/>
  <c r="J20"/>
  <c r="DD20" s="1"/>
  <c r="DG20" s="1"/>
  <c r="DH20" s="1"/>
  <c r="K20"/>
  <c r="N20"/>
  <c r="O20"/>
  <c r="AN20"/>
  <c r="AY20"/>
  <c r="BA20"/>
  <c r="BF20"/>
  <c r="BG20"/>
  <c r="BH20" s="1"/>
  <c r="BI20"/>
  <c r="BJ20" s="1"/>
  <c r="CO20"/>
  <c r="CQ20"/>
  <c r="CR20"/>
  <c r="CS20"/>
  <c r="CT20"/>
  <c r="CU20"/>
  <c r="CW20"/>
  <c r="CX20"/>
  <c r="CY20"/>
  <c r="DM20"/>
  <c r="BL20" s="1"/>
  <c r="DP20"/>
  <c r="CF20" s="1"/>
  <c r="I19"/>
  <c r="J19"/>
  <c r="DD19" s="1"/>
  <c r="DG19" s="1"/>
  <c r="DH19" s="1"/>
  <c r="K19"/>
  <c r="N19"/>
  <c r="O19"/>
  <c r="AN19"/>
  <c r="AY19"/>
  <c r="BA19"/>
  <c r="BF19"/>
  <c r="BG19"/>
  <c r="BH19" s="1"/>
  <c r="BI19"/>
  <c r="CO19"/>
  <c r="CQ19"/>
  <c r="CR19"/>
  <c r="CS19"/>
  <c r="CT19"/>
  <c r="CU19"/>
  <c r="CW19"/>
  <c r="CX19"/>
  <c r="CY19"/>
  <c r="DM19"/>
  <c r="BL19" s="1"/>
  <c r="DP19"/>
  <c r="CF19" s="1"/>
  <c r="I18"/>
  <c r="J18"/>
  <c r="DD18" s="1"/>
  <c r="DG18" s="1"/>
  <c r="DH18" s="1"/>
  <c r="K18"/>
  <c r="N18"/>
  <c r="O18"/>
  <c r="AN18"/>
  <c r="AY18"/>
  <c r="BA18"/>
  <c r="BF18"/>
  <c r="BG18"/>
  <c r="BH18" s="1"/>
  <c r="BI18"/>
  <c r="CO18"/>
  <c r="CQ18"/>
  <c r="CR18"/>
  <c r="CS18"/>
  <c r="CT18"/>
  <c r="CU18"/>
  <c r="CW18"/>
  <c r="CX18"/>
  <c r="CY18"/>
  <c r="DM18"/>
  <c r="BL18" s="1"/>
  <c r="DP18"/>
  <c r="CF18" s="1"/>
  <c r="I17"/>
  <c r="J17"/>
  <c r="DD17" s="1"/>
  <c r="DG17" s="1"/>
  <c r="DH17" s="1"/>
  <c r="K17"/>
  <c r="N17"/>
  <c r="O17"/>
  <c r="AN17"/>
  <c r="AY17"/>
  <c r="BA17"/>
  <c r="BF17"/>
  <c r="BG17"/>
  <c r="BH17" s="1"/>
  <c r="BI17"/>
  <c r="CO17"/>
  <c r="CQ17"/>
  <c r="CR17"/>
  <c r="CS17"/>
  <c r="CT17"/>
  <c r="CU17"/>
  <c r="CW17"/>
  <c r="CX17"/>
  <c r="CY17"/>
  <c r="DM17"/>
  <c r="BL17" s="1"/>
  <c r="DP17"/>
  <c r="CF17" s="1"/>
  <c r="I16"/>
  <c r="J16"/>
  <c r="DD16" s="1"/>
  <c r="DG16" s="1"/>
  <c r="DH16" s="1"/>
  <c r="K16"/>
  <c r="N16"/>
  <c r="O16"/>
  <c r="AN16"/>
  <c r="AY16"/>
  <c r="BA16"/>
  <c r="BF16"/>
  <c r="BG16"/>
  <c r="BH16" s="1"/>
  <c r="BI16"/>
  <c r="CO16"/>
  <c r="CQ16"/>
  <c r="CR16"/>
  <c r="CS16"/>
  <c r="CT16"/>
  <c r="CU16"/>
  <c r="CW16"/>
  <c r="CX16"/>
  <c r="CY16"/>
  <c r="DM16"/>
  <c r="BL16" s="1"/>
  <c r="DP16"/>
  <c r="CF16" s="1"/>
  <c r="I15"/>
  <c r="J15"/>
  <c r="DD15" s="1"/>
  <c r="DG15" s="1"/>
  <c r="DH15" s="1"/>
  <c r="K15"/>
  <c r="N15"/>
  <c r="O15"/>
  <c r="AN15"/>
  <c r="AY15"/>
  <c r="BA15"/>
  <c r="BF15"/>
  <c r="BG15"/>
  <c r="BH15" s="1"/>
  <c r="BI15"/>
  <c r="CO15"/>
  <c r="CQ15"/>
  <c r="CR15"/>
  <c r="CS15"/>
  <c r="CT15"/>
  <c r="CU15"/>
  <c r="CW15"/>
  <c r="CX15"/>
  <c r="CY15"/>
  <c r="DM15"/>
  <c r="BL15" s="1"/>
  <c r="DP15"/>
  <c r="CF15" s="1"/>
  <c r="I14"/>
  <c r="J14"/>
  <c r="DD14" s="1"/>
  <c r="DG14" s="1"/>
  <c r="DH14" s="1"/>
  <c r="K14"/>
  <c r="N14"/>
  <c r="O14"/>
  <c r="AN14"/>
  <c r="AY14"/>
  <c r="BA14"/>
  <c r="BF14"/>
  <c r="BG14"/>
  <c r="BH14" s="1"/>
  <c r="BI14"/>
  <c r="CO14"/>
  <c r="CQ14"/>
  <c r="CR14"/>
  <c r="CS14"/>
  <c r="CT14"/>
  <c r="CU14"/>
  <c r="CW14"/>
  <c r="CX14"/>
  <c r="CY14"/>
  <c r="DM14"/>
  <c r="BL14" s="1"/>
  <c r="DP14"/>
  <c r="CF14" s="1"/>
  <c r="I13"/>
  <c r="J13"/>
  <c r="DD13" s="1"/>
  <c r="DG13" s="1"/>
  <c r="DH13" s="1"/>
  <c r="K13"/>
  <c r="N13"/>
  <c r="O13"/>
  <c r="AN13"/>
  <c r="AY13"/>
  <c r="BA13"/>
  <c r="BF13"/>
  <c r="BG13"/>
  <c r="BH13" s="1"/>
  <c r="BI13"/>
  <c r="CO13"/>
  <c r="CQ13"/>
  <c r="CR13"/>
  <c r="CS13"/>
  <c r="CT13"/>
  <c r="CU13"/>
  <c r="CW13"/>
  <c r="CX13"/>
  <c r="CY13"/>
  <c r="DM13"/>
  <c r="BL13" s="1"/>
  <c r="DP13"/>
  <c r="CF13" s="1"/>
  <c r="I12"/>
  <c r="J12"/>
  <c r="DD12" s="1"/>
  <c r="DG12" s="1"/>
  <c r="DH12" s="1"/>
  <c r="K12"/>
  <c r="N12"/>
  <c r="O12"/>
  <c r="AN12"/>
  <c r="AY12"/>
  <c r="BA12"/>
  <c r="BF12"/>
  <c r="BG12"/>
  <c r="BH12" s="1"/>
  <c r="BI12"/>
  <c r="CO12"/>
  <c r="CQ12"/>
  <c r="CR12"/>
  <c r="CS12"/>
  <c r="CT12"/>
  <c r="CU12"/>
  <c r="CW12"/>
  <c r="CX12"/>
  <c r="CY12"/>
  <c r="DM12"/>
  <c r="BL12" s="1"/>
  <c r="DP12"/>
  <c r="CF12" s="1"/>
  <c r="I11"/>
  <c r="J11"/>
  <c r="DD11" s="1"/>
  <c r="DG11" s="1"/>
  <c r="DH11" s="1"/>
  <c r="K11"/>
  <c r="N11"/>
  <c r="O11"/>
  <c r="AN11"/>
  <c r="AY11"/>
  <c r="BA11"/>
  <c r="BF11"/>
  <c r="BG11"/>
  <c r="BH11" s="1"/>
  <c r="BI11"/>
  <c r="CO11"/>
  <c r="CQ11"/>
  <c r="CR11"/>
  <c r="CS11"/>
  <c r="CT11"/>
  <c r="CU11"/>
  <c r="CW11"/>
  <c r="CX11"/>
  <c r="CY11"/>
  <c r="DM11"/>
  <c r="BL11" s="1"/>
  <c r="DP11"/>
  <c r="CF11" s="1"/>
  <c r="I10"/>
  <c r="J10"/>
  <c r="DD10" s="1"/>
  <c r="DG10" s="1"/>
  <c r="DH10" s="1"/>
  <c r="K10"/>
  <c r="N10"/>
  <c r="O10"/>
  <c r="AN10"/>
  <c r="AY10"/>
  <c r="BA10"/>
  <c r="BF10"/>
  <c r="BG10"/>
  <c r="BH10" s="1"/>
  <c r="BI10"/>
  <c r="CO10"/>
  <c r="CQ10"/>
  <c r="CR10"/>
  <c r="CS10"/>
  <c r="CT10"/>
  <c r="CU10"/>
  <c r="CW10"/>
  <c r="CX10"/>
  <c r="CY10"/>
  <c r="DM10"/>
  <c r="BL10" s="1"/>
  <c r="DP10"/>
  <c r="CF10" s="1"/>
  <c r="I9"/>
  <c r="J9"/>
  <c r="DD9" s="1"/>
  <c r="DG9" s="1"/>
  <c r="DH9" s="1"/>
  <c r="K9"/>
  <c r="N9"/>
  <c r="O9"/>
  <c r="AN9"/>
  <c r="AY9"/>
  <c r="BA9"/>
  <c r="BF9"/>
  <c r="BG9"/>
  <c r="BH9" s="1"/>
  <c r="BI9"/>
  <c r="CO9"/>
  <c r="CQ9"/>
  <c r="CR9"/>
  <c r="CS9"/>
  <c r="CT9"/>
  <c r="CU9"/>
  <c r="CW9"/>
  <c r="CX9"/>
  <c r="CY9"/>
  <c r="DM9"/>
  <c r="BL9" s="1"/>
  <c r="DP9"/>
  <c r="CF9" s="1"/>
  <c r="Q8"/>
  <c r="Q7"/>
  <c r="CF8"/>
  <c r="CF7"/>
  <c r="CV7" s="1"/>
  <c r="DP8"/>
  <c r="DP7"/>
  <c r="B8"/>
  <c r="B7"/>
  <c r="BL8"/>
  <c r="BL7"/>
  <c r="DM8"/>
  <c r="DM7"/>
  <c r="AT46"/>
  <c r="AT43"/>
  <c r="AS39"/>
  <c r="AQ39"/>
  <c r="AP39"/>
  <c r="AD39"/>
  <c r="AC39"/>
  <c r="Z39"/>
  <c r="Z41" s="1"/>
  <c r="Y39"/>
  <c r="CI38"/>
  <c r="CM39" s="1"/>
  <c r="CH38"/>
  <c r="CL39" s="1"/>
  <c r="CG38"/>
  <c r="CK39" s="1"/>
  <c r="BQ38"/>
  <c r="BX39" s="1"/>
  <c r="BP38"/>
  <c r="CD39" s="1"/>
  <c r="BO38"/>
  <c r="BV39" s="1"/>
  <c r="BN38"/>
  <c r="CB39" s="1"/>
  <c r="BM38"/>
  <c r="BT39" s="1"/>
  <c r="BG38"/>
  <c r="AW38"/>
  <c r="AW39" s="1"/>
  <c r="AV38"/>
  <c r="AV39" s="1"/>
  <c r="AU38"/>
  <c r="AU39" s="1"/>
  <c r="AT38"/>
  <c r="AM38"/>
  <c r="AM39" s="1"/>
  <c r="AL38"/>
  <c r="AL39" s="1"/>
  <c r="AJ38"/>
  <c r="AJ39" s="1"/>
  <c r="AH38"/>
  <c r="AH39" s="1"/>
  <c r="AG38"/>
  <c r="AG39" s="1"/>
  <c r="AE38"/>
  <c r="AE39" s="1"/>
  <c r="AD38"/>
  <c r="W38"/>
  <c r="W39" s="1"/>
  <c r="V38"/>
  <c r="V39" s="1"/>
  <c r="S38"/>
  <c r="S39" s="1"/>
  <c r="G38"/>
  <c r="G39" s="1"/>
  <c r="G41" s="1"/>
  <c r="CY8"/>
  <c r="CX8"/>
  <c r="CW8"/>
  <c r="CV8"/>
  <c r="CU8"/>
  <c r="M8" s="1"/>
  <c r="CT8"/>
  <c r="CS8"/>
  <c r="CR8"/>
  <c r="CQ8"/>
  <c r="CP8"/>
  <c r="CO8"/>
  <c r="BI8"/>
  <c r="BG8"/>
  <c r="BB8"/>
  <c r="BD8" s="1"/>
  <c r="BA8"/>
  <c r="AY8"/>
  <c r="AX8"/>
  <c r="AN8"/>
  <c r="AI8"/>
  <c r="AF8"/>
  <c r="R8"/>
  <c r="P8"/>
  <c r="O8"/>
  <c r="N8"/>
  <c r="K8"/>
  <c r="J8"/>
  <c r="DD8" s="1"/>
  <c r="DG8" s="1"/>
  <c r="DH8" s="1"/>
  <c r="I8"/>
  <c r="H8"/>
  <c r="E8"/>
  <c r="C8"/>
  <c r="D8"/>
  <c r="CY7"/>
  <c r="CX7"/>
  <c r="CX38" s="1"/>
  <c r="CW7"/>
  <c r="CU7"/>
  <c r="M7" s="1"/>
  <c r="CT7"/>
  <c r="CT38" s="1"/>
  <c r="CS7"/>
  <c r="CR7"/>
  <c r="CR38" s="1"/>
  <c r="CQ7"/>
  <c r="CO7"/>
  <c r="BH7"/>
  <c r="BG7"/>
  <c r="BA7"/>
  <c r="BA38" s="1"/>
  <c r="AY7"/>
  <c r="AN7"/>
  <c r="AF7"/>
  <c r="O7"/>
  <c r="N7"/>
  <c r="K7"/>
  <c r="J7"/>
  <c r="DD7" s="1"/>
  <c r="I7"/>
  <c r="BW39" i="72"/>
  <c r="E37" i="76" l="1"/>
  <c r="BC37" s="1"/>
  <c r="I38"/>
  <c r="I39" s="1"/>
  <c r="I41" s="1"/>
  <c r="K38"/>
  <c r="K39" s="1"/>
  <c r="O38"/>
  <c r="O39" s="1"/>
  <c r="Q36"/>
  <c r="CV36"/>
  <c r="P36"/>
  <c r="B36"/>
  <c r="CO36"/>
  <c r="H36" s="1"/>
  <c r="BD36"/>
  <c r="BB36"/>
  <c r="AX36"/>
  <c r="AI36"/>
  <c r="AF36"/>
  <c r="M36"/>
  <c r="B35"/>
  <c r="CO35"/>
  <c r="H35"/>
  <c r="Q35"/>
  <c r="CV35"/>
  <c r="P35"/>
  <c r="BB35"/>
  <c r="BD35" s="1"/>
  <c r="AX35"/>
  <c r="AI35"/>
  <c r="BJ35"/>
  <c r="AF35"/>
  <c r="M35"/>
  <c r="B34"/>
  <c r="CO34"/>
  <c r="H34"/>
  <c r="Q34"/>
  <c r="CV34"/>
  <c r="P34"/>
  <c r="BB34"/>
  <c r="BD34" s="1"/>
  <c r="AX34"/>
  <c r="AI34"/>
  <c r="AF34"/>
  <c r="M34"/>
  <c r="B33"/>
  <c r="CO33"/>
  <c r="H33"/>
  <c r="Q33"/>
  <c r="CV33"/>
  <c r="P33"/>
  <c r="BB33"/>
  <c r="BD33" s="1"/>
  <c r="AX33"/>
  <c r="AI33"/>
  <c r="BJ33"/>
  <c r="AF33"/>
  <c r="M33"/>
  <c r="Q32"/>
  <c r="CV32"/>
  <c r="P32"/>
  <c r="B32"/>
  <c r="CO32"/>
  <c r="H32"/>
  <c r="BB32"/>
  <c r="BD32" s="1"/>
  <c r="AX32"/>
  <c r="AI32"/>
  <c r="AF32"/>
  <c r="M32"/>
  <c r="Q31"/>
  <c r="CV31"/>
  <c r="P31"/>
  <c r="B31"/>
  <c r="CO31"/>
  <c r="H31" s="1"/>
  <c r="BB31"/>
  <c r="BD31" s="1"/>
  <c r="AX31"/>
  <c r="AI31"/>
  <c r="AF31"/>
  <c r="M31"/>
  <c r="B30"/>
  <c r="CO30"/>
  <c r="H30"/>
  <c r="Q30"/>
  <c r="CV30"/>
  <c r="P30"/>
  <c r="BB30"/>
  <c r="BD30" s="1"/>
  <c r="AX30"/>
  <c r="AI30"/>
  <c r="BJ30"/>
  <c r="AF30"/>
  <c r="M30"/>
  <c r="Q29"/>
  <c r="CV29"/>
  <c r="P29"/>
  <c r="B29"/>
  <c r="CO29"/>
  <c r="H29" s="1"/>
  <c r="BH37"/>
  <c r="BB29"/>
  <c r="BD29" s="1"/>
  <c r="AX29"/>
  <c r="AI29"/>
  <c r="BJ29"/>
  <c r="AF29"/>
  <c r="M29"/>
  <c r="B28"/>
  <c r="CO28"/>
  <c r="H28"/>
  <c r="Q28"/>
  <c r="CV28"/>
  <c r="P28"/>
  <c r="BB28"/>
  <c r="BD28" s="1"/>
  <c r="AX28"/>
  <c r="AI28"/>
  <c r="BJ28"/>
  <c r="AF28"/>
  <c r="M28"/>
  <c r="CP27"/>
  <c r="B27"/>
  <c r="H27"/>
  <c r="Q27"/>
  <c r="CV27"/>
  <c r="P27"/>
  <c r="BB27"/>
  <c r="BD27" s="1"/>
  <c r="AX27"/>
  <c r="AI27"/>
  <c r="BJ27"/>
  <c r="AF27"/>
  <c r="M27"/>
  <c r="CP26"/>
  <c r="B26"/>
  <c r="H26"/>
  <c r="Q26"/>
  <c r="CV26"/>
  <c r="P26"/>
  <c r="BB26"/>
  <c r="BD26" s="1"/>
  <c r="AX26"/>
  <c r="AI26"/>
  <c r="BJ26"/>
  <c r="AF26"/>
  <c r="M26"/>
  <c r="Q25"/>
  <c r="CV25"/>
  <c r="P25"/>
  <c r="CP25"/>
  <c r="H25" s="1"/>
  <c r="B25"/>
  <c r="BB25"/>
  <c r="BD25" s="1"/>
  <c r="AX25"/>
  <c r="AI25"/>
  <c r="AF25"/>
  <c r="M25"/>
  <c r="CP24"/>
  <c r="B24"/>
  <c r="H24"/>
  <c r="Q24"/>
  <c r="CV24"/>
  <c r="P24"/>
  <c r="AF37"/>
  <c r="M37"/>
  <c r="F37"/>
  <c r="BB24"/>
  <c r="BD24" s="1"/>
  <c r="AX24"/>
  <c r="AI24"/>
  <c r="BB37"/>
  <c r="BD37" s="1"/>
  <c r="AX37"/>
  <c r="AI37"/>
  <c r="U37"/>
  <c r="BJ24"/>
  <c r="AF24"/>
  <c r="M24"/>
  <c r="CP23"/>
  <c r="B23"/>
  <c r="H23"/>
  <c r="Q23"/>
  <c r="CV23"/>
  <c r="P23"/>
  <c r="BB23"/>
  <c r="BD23" s="1"/>
  <c r="AX23"/>
  <c r="AI23"/>
  <c r="BJ23"/>
  <c r="AF23"/>
  <c r="M23"/>
  <c r="CP22"/>
  <c r="B22"/>
  <c r="H22"/>
  <c r="Q22"/>
  <c r="CV22"/>
  <c r="P22"/>
  <c r="BB22"/>
  <c r="BD22" s="1"/>
  <c r="AX22"/>
  <c r="AI22"/>
  <c r="BJ22"/>
  <c r="AF22"/>
  <c r="M22"/>
  <c r="CP21"/>
  <c r="B21"/>
  <c r="H21"/>
  <c r="Q21"/>
  <c r="CV21"/>
  <c r="P21"/>
  <c r="BB21"/>
  <c r="BD21" s="1"/>
  <c r="AX21"/>
  <c r="AI21"/>
  <c r="BJ21"/>
  <c r="AF21"/>
  <c r="M21"/>
  <c r="CP20"/>
  <c r="B20"/>
  <c r="H20"/>
  <c r="Q20"/>
  <c r="CV20"/>
  <c r="P20"/>
  <c r="BB20"/>
  <c r="BD20" s="1"/>
  <c r="AX20"/>
  <c r="AI20"/>
  <c r="AF20"/>
  <c r="M20"/>
  <c r="CP19"/>
  <c r="B19"/>
  <c r="H19"/>
  <c r="Q19"/>
  <c r="CV19"/>
  <c r="P19"/>
  <c r="BB19"/>
  <c r="BD19" s="1"/>
  <c r="AX19"/>
  <c r="AI19"/>
  <c r="BJ19"/>
  <c r="AF19"/>
  <c r="M19"/>
  <c r="CP18"/>
  <c r="B18"/>
  <c r="H18"/>
  <c r="Q18"/>
  <c r="CV18"/>
  <c r="P18"/>
  <c r="BB18"/>
  <c r="BD18" s="1"/>
  <c r="AX18"/>
  <c r="AI18"/>
  <c r="BJ18"/>
  <c r="AF18"/>
  <c r="M18"/>
  <c r="CP17"/>
  <c r="B17"/>
  <c r="H17"/>
  <c r="Q17"/>
  <c r="CV17"/>
  <c r="P17"/>
  <c r="BB17"/>
  <c r="BD17" s="1"/>
  <c r="AX17"/>
  <c r="AI17"/>
  <c r="BJ17"/>
  <c r="AF17"/>
  <c r="M17"/>
  <c r="CP16"/>
  <c r="B16"/>
  <c r="H16"/>
  <c r="Q16"/>
  <c r="CV16"/>
  <c r="P16"/>
  <c r="BB16"/>
  <c r="BD16" s="1"/>
  <c r="AX16"/>
  <c r="AI16"/>
  <c r="BJ16"/>
  <c r="AF16"/>
  <c r="M16"/>
  <c r="CP15"/>
  <c r="B15"/>
  <c r="H15"/>
  <c r="Q15"/>
  <c r="CV15"/>
  <c r="P15"/>
  <c r="BD15"/>
  <c r="BB15"/>
  <c r="AX15"/>
  <c r="AI15"/>
  <c r="BJ15"/>
  <c r="AF15"/>
  <c r="M15"/>
  <c r="CP14"/>
  <c r="B14"/>
  <c r="H14"/>
  <c r="Q14"/>
  <c r="CV14"/>
  <c r="P14"/>
  <c r="BB14"/>
  <c r="BD14" s="1"/>
  <c r="AX14"/>
  <c r="AI14"/>
  <c r="BJ14"/>
  <c r="AF14"/>
  <c r="M14"/>
  <c r="CP13"/>
  <c r="B13"/>
  <c r="H13"/>
  <c r="Q13"/>
  <c r="CV13"/>
  <c r="P13"/>
  <c r="BB13"/>
  <c r="BD13" s="1"/>
  <c r="AX13"/>
  <c r="AI13"/>
  <c r="BJ13"/>
  <c r="AF13"/>
  <c r="M13"/>
  <c r="CP12"/>
  <c r="B12"/>
  <c r="H12"/>
  <c r="Q12"/>
  <c r="CV12"/>
  <c r="P12"/>
  <c r="BB12"/>
  <c r="BD12" s="1"/>
  <c r="AX12"/>
  <c r="AI12"/>
  <c r="BJ12"/>
  <c r="AF12"/>
  <c r="M12"/>
  <c r="CP11"/>
  <c r="B11"/>
  <c r="H11"/>
  <c r="Q11"/>
  <c r="CV11"/>
  <c r="P11"/>
  <c r="BB11"/>
  <c r="BD11" s="1"/>
  <c r="AX11"/>
  <c r="AI11"/>
  <c r="BJ11"/>
  <c r="AF11"/>
  <c r="M11"/>
  <c r="CP10"/>
  <c r="B10"/>
  <c r="H10"/>
  <c r="Q10"/>
  <c r="CV10"/>
  <c r="P10"/>
  <c r="BB10"/>
  <c r="BD10" s="1"/>
  <c r="AX10"/>
  <c r="AI10"/>
  <c r="BJ10"/>
  <c r="AF10"/>
  <c r="M10"/>
  <c r="CP9"/>
  <c r="B9"/>
  <c r="BL38"/>
  <c r="BZ39" s="1"/>
  <c r="H9"/>
  <c r="Q9"/>
  <c r="CV9"/>
  <c r="P9"/>
  <c r="BD9"/>
  <c r="BB9"/>
  <c r="AX9"/>
  <c r="AI9"/>
  <c r="BJ9"/>
  <c r="AF9"/>
  <c r="M9"/>
  <c r="L46"/>
  <c r="AT39"/>
  <c r="AN39" s="1"/>
  <c r="BU39"/>
  <c r="CC39"/>
  <c r="BW39"/>
  <c r="CF38"/>
  <c r="CJ39" s="1"/>
  <c r="CV38"/>
  <c r="P7"/>
  <c r="T8"/>
  <c r="BK38"/>
  <c r="BR39" s="1"/>
  <c r="BS39"/>
  <c r="E7"/>
  <c r="CP7"/>
  <c r="CP38" s="1"/>
  <c r="U8"/>
  <c r="BC8"/>
  <c r="F8"/>
  <c r="AZ8"/>
  <c r="AY38"/>
  <c r="BF7"/>
  <c r="BF8" s="1"/>
  <c r="B38"/>
  <c r="B39" s="1"/>
  <c r="J38"/>
  <c r="DD38"/>
  <c r="DE38" s="1"/>
  <c r="C7"/>
  <c r="D7" s="1"/>
  <c r="H7"/>
  <c r="L38"/>
  <c r="L39" s="1"/>
  <c r="N38"/>
  <c r="N39" s="1"/>
  <c r="R7"/>
  <c r="AI7"/>
  <c r="AX7"/>
  <c r="BB7"/>
  <c r="BI7"/>
  <c r="CQ38"/>
  <c r="CS38"/>
  <c r="CU38"/>
  <c r="CW38"/>
  <c r="CY38"/>
  <c r="DG7"/>
  <c r="BH8"/>
  <c r="CA39"/>
  <c r="CE39"/>
  <c r="AT41"/>
  <c r="Q8" i="74"/>
  <c r="Q9"/>
  <c r="R9" s="1"/>
  <c r="Q10"/>
  <c r="R10" s="1"/>
  <c r="Q11"/>
  <c r="R11" s="1"/>
  <c r="Q12"/>
  <c r="R12" s="1"/>
  <c r="Q13"/>
  <c r="R13" s="1"/>
  <c r="Q14"/>
  <c r="R14" s="1"/>
  <c r="Q15"/>
  <c r="R15" s="1"/>
  <c r="Q16"/>
  <c r="R16" s="1"/>
  <c r="Q17"/>
  <c r="R17" s="1"/>
  <c r="Q18"/>
  <c r="R18" s="1"/>
  <c r="Q19"/>
  <c r="R19" s="1"/>
  <c r="Q20"/>
  <c r="R20" s="1"/>
  <c r="Q21"/>
  <c r="R21" s="1"/>
  <c r="Q22"/>
  <c r="R22" s="1"/>
  <c r="Q23"/>
  <c r="R23" s="1"/>
  <c r="Q24"/>
  <c r="Q25"/>
  <c r="R25" s="1"/>
  <c r="Q26"/>
  <c r="R26" s="1"/>
  <c r="T26" s="1"/>
  <c r="Q27"/>
  <c r="R27" s="1"/>
  <c r="Q28"/>
  <c r="Q29"/>
  <c r="R29" s="1"/>
  <c r="Q30"/>
  <c r="R30" s="1"/>
  <c r="Q31"/>
  <c r="R31" s="1"/>
  <c r="Q32"/>
  <c r="Q33"/>
  <c r="R33" s="1"/>
  <c r="T33" s="1"/>
  <c r="Q34"/>
  <c r="Q35"/>
  <c r="R35" s="1"/>
  <c r="T35" s="1"/>
  <c r="Q36"/>
  <c r="Q37"/>
  <c r="R37" s="1"/>
  <c r="T37" s="1"/>
  <c r="Q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7"/>
  <c r="J8"/>
  <c r="DD8" s="1"/>
  <c r="DG8" s="1"/>
  <c r="DH8" s="1"/>
  <c r="J9"/>
  <c r="DD9" s="1"/>
  <c r="DG9" s="1"/>
  <c r="DH9" s="1"/>
  <c r="J10"/>
  <c r="DD10" s="1"/>
  <c r="DG10" s="1"/>
  <c r="DH10" s="1"/>
  <c r="J11"/>
  <c r="DD11" s="1"/>
  <c r="DG11" s="1"/>
  <c r="DH11" s="1"/>
  <c r="J12"/>
  <c r="DD12" s="1"/>
  <c r="DG12" s="1"/>
  <c r="DH12" s="1"/>
  <c r="J13"/>
  <c r="DD13" s="1"/>
  <c r="DG13" s="1"/>
  <c r="DH13" s="1"/>
  <c r="J14"/>
  <c r="DD14" s="1"/>
  <c r="DG14" s="1"/>
  <c r="DH14" s="1"/>
  <c r="J15"/>
  <c r="DD15" s="1"/>
  <c r="DG15" s="1"/>
  <c r="DH15" s="1"/>
  <c r="J16"/>
  <c r="DD16" s="1"/>
  <c r="DG16" s="1"/>
  <c r="DH16" s="1"/>
  <c r="J17"/>
  <c r="DD17" s="1"/>
  <c r="DG17" s="1"/>
  <c r="DH17" s="1"/>
  <c r="J18"/>
  <c r="DD18" s="1"/>
  <c r="DG18" s="1"/>
  <c r="DH18" s="1"/>
  <c r="J19"/>
  <c r="DD19" s="1"/>
  <c r="DG19" s="1"/>
  <c r="DH19" s="1"/>
  <c r="J20"/>
  <c r="DD20" s="1"/>
  <c r="DG20" s="1"/>
  <c r="DH20" s="1"/>
  <c r="J21"/>
  <c r="DD21" s="1"/>
  <c r="DG21" s="1"/>
  <c r="DH21" s="1"/>
  <c r="J22"/>
  <c r="DD22" s="1"/>
  <c r="DG22" s="1"/>
  <c r="DH22" s="1"/>
  <c r="J23"/>
  <c r="DD23" s="1"/>
  <c r="DG23" s="1"/>
  <c r="DH23" s="1"/>
  <c r="J24"/>
  <c r="DD24" s="1"/>
  <c r="DG24" s="1"/>
  <c r="DH24" s="1"/>
  <c r="J25"/>
  <c r="DD25" s="1"/>
  <c r="DG25" s="1"/>
  <c r="DH25" s="1"/>
  <c r="J26"/>
  <c r="DD26" s="1"/>
  <c r="DG26" s="1"/>
  <c r="DH26" s="1"/>
  <c r="J27"/>
  <c r="DD27" s="1"/>
  <c r="DG27" s="1"/>
  <c r="DH27" s="1"/>
  <c r="J28"/>
  <c r="DD28" s="1"/>
  <c r="DG28" s="1"/>
  <c r="DH28" s="1"/>
  <c r="J29"/>
  <c r="DD29" s="1"/>
  <c r="DG29" s="1"/>
  <c r="DH29" s="1"/>
  <c r="J30"/>
  <c r="DD30" s="1"/>
  <c r="DG30" s="1"/>
  <c r="DH30" s="1"/>
  <c r="J31"/>
  <c r="DD31" s="1"/>
  <c r="DG31" s="1"/>
  <c r="DH31" s="1"/>
  <c r="J32"/>
  <c r="DD32" s="1"/>
  <c r="DG32" s="1"/>
  <c r="DH32" s="1"/>
  <c r="J33"/>
  <c r="DD33" s="1"/>
  <c r="DG33" s="1"/>
  <c r="DH33" s="1"/>
  <c r="J34"/>
  <c r="DD34" s="1"/>
  <c r="DG34" s="1"/>
  <c r="DH34" s="1"/>
  <c r="J35"/>
  <c r="DD35" s="1"/>
  <c r="DG35" s="1"/>
  <c r="DH35" s="1"/>
  <c r="J36"/>
  <c r="DD36" s="1"/>
  <c r="DG36" s="1"/>
  <c r="DH36" s="1"/>
  <c r="J37"/>
  <c r="DD37" s="1"/>
  <c r="DG37" s="1"/>
  <c r="DH37" s="1"/>
  <c r="J7"/>
  <c r="DD7" s="1"/>
  <c r="B8"/>
  <c r="C8" s="1"/>
  <c r="B9"/>
  <c r="E9" s="1"/>
  <c r="B10"/>
  <c r="C10" s="1"/>
  <c r="B11"/>
  <c r="B12"/>
  <c r="C12" s="1"/>
  <c r="B13"/>
  <c r="B14"/>
  <c r="C14" s="1"/>
  <c r="B15"/>
  <c r="B16"/>
  <c r="C16" s="1"/>
  <c r="B17"/>
  <c r="B18"/>
  <c r="C18" s="1"/>
  <c r="B19"/>
  <c r="B20"/>
  <c r="C20" s="1"/>
  <c r="B21"/>
  <c r="B22"/>
  <c r="C22" s="1"/>
  <c r="B23"/>
  <c r="B24"/>
  <c r="B25"/>
  <c r="C25" s="1"/>
  <c r="B26"/>
  <c r="B27"/>
  <c r="E27" s="1"/>
  <c r="B28"/>
  <c r="B29"/>
  <c r="C29" s="1"/>
  <c r="B30"/>
  <c r="B31"/>
  <c r="C31" s="1"/>
  <c r="B32"/>
  <c r="B33"/>
  <c r="B34"/>
  <c r="B35"/>
  <c r="B36"/>
  <c r="B37"/>
  <c r="B7"/>
  <c r="E7" s="1"/>
  <c r="AT46"/>
  <c r="AT43"/>
  <c r="AS39"/>
  <c r="AQ39"/>
  <c r="AP39"/>
  <c r="AD39"/>
  <c r="AC39"/>
  <c r="Z39"/>
  <c r="Z41" s="1"/>
  <c r="Y39"/>
  <c r="CI38"/>
  <c r="CM39" s="1"/>
  <c r="CH38"/>
  <c r="CL39" s="1"/>
  <c r="CG38"/>
  <c r="CK39" s="1"/>
  <c r="CF38"/>
  <c r="CJ39" s="1"/>
  <c r="BQ38"/>
  <c r="BX39" s="1"/>
  <c r="BP38"/>
  <c r="CD39" s="1"/>
  <c r="BO38"/>
  <c r="BV39" s="1"/>
  <c r="BN38"/>
  <c r="CB39" s="1"/>
  <c r="BM38"/>
  <c r="BT39" s="1"/>
  <c r="BL38"/>
  <c r="BZ39" s="1"/>
  <c r="BK38"/>
  <c r="BG38"/>
  <c r="AW38"/>
  <c r="AW39" s="1"/>
  <c r="AV38"/>
  <c r="AV39" s="1"/>
  <c r="AU38"/>
  <c r="AU39" s="1"/>
  <c r="AT38"/>
  <c r="AT39" s="1"/>
  <c r="AM38"/>
  <c r="AL38"/>
  <c r="AL39" s="1"/>
  <c r="AJ38"/>
  <c r="AJ39" s="1"/>
  <c r="AH38"/>
  <c r="AH39" s="1"/>
  <c r="AG38"/>
  <c r="AG39" s="1"/>
  <c r="AE38"/>
  <c r="AE39" s="1"/>
  <c r="AD38"/>
  <c r="W38"/>
  <c r="W39" s="1"/>
  <c r="V38"/>
  <c r="V39" s="1"/>
  <c r="S38"/>
  <c r="S39" s="1"/>
  <c r="G38"/>
  <c r="G39" s="1"/>
  <c r="G41" s="1"/>
  <c r="CY37"/>
  <c r="CX37"/>
  <c r="CW37"/>
  <c r="CV37"/>
  <c r="CU37"/>
  <c r="CT37"/>
  <c r="CS37"/>
  <c r="CR37"/>
  <c r="CQ37"/>
  <c r="CP37"/>
  <c r="CO37"/>
  <c r="BG37"/>
  <c r="BA37"/>
  <c r="AY37"/>
  <c r="AN37"/>
  <c r="AF37"/>
  <c r="P37"/>
  <c r="M37"/>
  <c r="K37"/>
  <c r="I37"/>
  <c r="CY36"/>
  <c r="CX36"/>
  <c r="CW36"/>
  <c r="CV36"/>
  <c r="CU36"/>
  <c r="CT36"/>
  <c r="CS36"/>
  <c r="CR36"/>
  <c r="CQ36"/>
  <c r="CP36"/>
  <c r="CO36"/>
  <c r="BA36"/>
  <c r="AY36"/>
  <c r="AN36"/>
  <c r="AF36"/>
  <c r="P36"/>
  <c r="M36"/>
  <c r="K36"/>
  <c r="I36"/>
  <c r="CY35"/>
  <c r="CX35"/>
  <c r="CW35"/>
  <c r="CV35"/>
  <c r="CU35"/>
  <c r="CT35"/>
  <c r="CS35"/>
  <c r="CR35"/>
  <c r="CQ35"/>
  <c r="CP35"/>
  <c r="CO35"/>
  <c r="BA35"/>
  <c r="AY35"/>
  <c r="AN35"/>
  <c r="AF35"/>
  <c r="P35"/>
  <c r="M35"/>
  <c r="K35"/>
  <c r="I35"/>
  <c r="CY34"/>
  <c r="CX34"/>
  <c r="CW34"/>
  <c r="CV34"/>
  <c r="CU34"/>
  <c r="CT34"/>
  <c r="CS34"/>
  <c r="CR34"/>
  <c r="CQ34"/>
  <c r="CP34"/>
  <c r="CO34"/>
  <c r="BA34"/>
  <c r="AY34"/>
  <c r="AN34"/>
  <c r="AF34"/>
  <c r="P34"/>
  <c r="K34"/>
  <c r="I34"/>
  <c r="CY33"/>
  <c r="CX33"/>
  <c r="CW33"/>
  <c r="CV33"/>
  <c r="CU33"/>
  <c r="CT33"/>
  <c r="CS33"/>
  <c r="CR33"/>
  <c r="CQ33"/>
  <c r="CP33"/>
  <c r="CO33"/>
  <c r="BA33"/>
  <c r="AY33"/>
  <c r="AN33"/>
  <c r="AF33"/>
  <c r="P33"/>
  <c r="K33"/>
  <c r="I33"/>
  <c r="CY32"/>
  <c r="CX32"/>
  <c r="CW32"/>
  <c r="CV32"/>
  <c r="CU32"/>
  <c r="CT32"/>
  <c r="CS32"/>
  <c r="CR32"/>
  <c r="CQ32"/>
  <c r="CP32"/>
  <c r="CO32"/>
  <c r="BA32"/>
  <c r="AY32"/>
  <c r="AN32"/>
  <c r="AF32"/>
  <c r="P32"/>
  <c r="K32"/>
  <c r="I32"/>
  <c r="CY31"/>
  <c r="CX31"/>
  <c r="CW31"/>
  <c r="CV31"/>
  <c r="CU31"/>
  <c r="CT31"/>
  <c r="CS31"/>
  <c r="CR31"/>
  <c r="CQ31"/>
  <c r="CP31"/>
  <c r="CO31"/>
  <c r="BG31"/>
  <c r="BA31"/>
  <c r="AY31"/>
  <c r="AX31" s="1"/>
  <c r="AN31"/>
  <c r="AF31"/>
  <c r="P31"/>
  <c r="K31"/>
  <c r="I31"/>
  <c r="CY30"/>
  <c r="CX30"/>
  <c r="CW30"/>
  <c r="CV30"/>
  <c r="CU30"/>
  <c r="CT30"/>
  <c r="CS30"/>
  <c r="CR30"/>
  <c r="CQ30"/>
  <c r="CP30"/>
  <c r="CO30"/>
  <c r="BA30"/>
  <c r="AY30"/>
  <c r="AN30"/>
  <c r="AF30"/>
  <c r="P30"/>
  <c r="K30"/>
  <c r="I30"/>
  <c r="CY29"/>
  <c r="CX29"/>
  <c r="CW29"/>
  <c r="CV29"/>
  <c r="CU29"/>
  <c r="CT29"/>
  <c r="CS29"/>
  <c r="CR29"/>
  <c r="CQ29"/>
  <c r="CP29"/>
  <c r="CO29"/>
  <c r="BG29"/>
  <c r="BA29"/>
  <c r="AY29"/>
  <c r="AX29" s="1"/>
  <c r="AN29"/>
  <c r="AF29"/>
  <c r="P29"/>
  <c r="K29"/>
  <c r="I29"/>
  <c r="CY28"/>
  <c r="CX28"/>
  <c r="CW28"/>
  <c r="CV28"/>
  <c r="CU28"/>
  <c r="CT28"/>
  <c r="CS28"/>
  <c r="CR28"/>
  <c r="CQ28"/>
  <c r="CP28"/>
  <c r="CO28"/>
  <c r="BA28"/>
  <c r="AY28"/>
  <c r="AN28"/>
  <c r="AF28"/>
  <c r="P28"/>
  <c r="M28"/>
  <c r="K28"/>
  <c r="I28"/>
  <c r="CY27"/>
  <c r="CX27"/>
  <c r="CW27"/>
  <c r="CV27"/>
  <c r="CU27"/>
  <c r="CT27"/>
  <c r="CS27"/>
  <c r="CR27"/>
  <c r="CQ27"/>
  <c r="CP27"/>
  <c r="CO27"/>
  <c r="BG27"/>
  <c r="BA27"/>
  <c r="AY27"/>
  <c r="BI27" s="1"/>
  <c r="AN27"/>
  <c r="AI27"/>
  <c r="P27"/>
  <c r="K27"/>
  <c r="I27"/>
  <c r="CY26"/>
  <c r="CX26"/>
  <c r="CW26"/>
  <c r="CV26"/>
  <c r="CU26"/>
  <c r="CT26"/>
  <c r="CS26"/>
  <c r="CR26"/>
  <c r="CQ26"/>
  <c r="CP26"/>
  <c r="CO26"/>
  <c r="BA26"/>
  <c r="AY26"/>
  <c r="AN26"/>
  <c r="AF26"/>
  <c r="P26"/>
  <c r="K26"/>
  <c r="I26"/>
  <c r="CY25"/>
  <c r="CX25"/>
  <c r="CW25"/>
  <c r="CV25"/>
  <c r="CU25"/>
  <c r="CT25"/>
  <c r="CS25"/>
  <c r="CR25"/>
  <c r="CQ25"/>
  <c r="CP25"/>
  <c r="CO25"/>
  <c r="BG25"/>
  <c r="BA25"/>
  <c r="AY25"/>
  <c r="BI25" s="1"/>
  <c r="AN25"/>
  <c r="AF25"/>
  <c r="P25"/>
  <c r="K25"/>
  <c r="I25"/>
  <c r="CY24"/>
  <c r="CX24"/>
  <c r="CW24"/>
  <c r="CV24"/>
  <c r="CU24"/>
  <c r="CT24"/>
  <c r="CS24"/>
  <c r="CR24"/>
  <c r="CQ24"/>
  <c r="CP24"/>
  <c r="CO24"/>
  <c r="BA24"/>
  <c r="AY24"/>
  <c r="AN24"/>
  <c r="AF24"/>
  <c r="P24"/>
  <c r="K24"/>
  <c r="I24"/>
  <c r="CY23"/>
  <c r="CX23"/>
  <c r="CW23"/>
  <c r="CV23"/>
  <c r="CU23"/>
  <c r="CT23"/>
  <c r="CS23"/>
  <c r="CR23"/>
  <c r="CQ23"/>
  <c r="CP23"/>
  <c r="CO23"/>
  <c r="BG23"/>
  <c r="BA23"/>
  <c r="AY23"/>
  <c r="BI23" s="1"/>
  <c r="AN23"/>
  <c r="AI23"/>
  <c r="P23"/>
  <c r="K23"/>
  <c r="I23"/>
  <c r="H23"/>
  <c r="CY22"/>
  <c r="CX22"/>
  <c r="CW22"/>
  <c r="CV22"/>
  <c r="CU22"/>
  <c r="CT22"/>
  <c r="CS22"/>
  <c r="CR22"/>
  <c r="CQ22"/>
  <c r="CP22"/>
  <c r="CO22"/>
  <c r="BG22"/>
  <c r="BA22"/>
  <c r="AY22"/>
  <c r="BI22" s="1"/>
  <c r="AN22"/>
  <c r="AF22"/>
  <c r="P22"/>
  <c r="K22"/>
  <c r="I22"/>
  <c r="CY21"/>
  <c r="CX21"/>
  <c r="CW21"/>
  <c r="CV21"/>
  <c r="CU21"/>
  <c r="CT21"/>
  <c r="CS21"/>
  <c r="CR21"/>
  <c r="CQ21"/>
  <c r="CP21"/>
  <c r="CO21"/>
  <c r="BG21"/>
  <c r="BA21"/>
  <c r="AY21"/>
  <c r="AN21"/>
  <c r="AF21"/>
  <c r="P21"/>
  <c r="M21"/>
  <c r="K21"/>
  <c r="I21"/>
  <c r="CY20"/>
  <c r="CX20"/>
  <c r="CW20"/>
  <c r="CV20"/>
  <c r="CU20"/>
  <c r="CT20"/>
  <c r="CS20"/>
  <c r="CR20"/>
  <c r="CQ20"/>
  <c r="CP20"/>
  <c r="CO20"/>
  <c r="BG20"/>
  <c r="BA20"/>
  <c r="AY20"/>
  <c r="AX20" s="1"/>
  <c r="AN20"/>
  <c r="AF20"/>
  <c r="P20"/>
  <c r="K20"/>
  <c r="I20"/>
  <c r="CY19"/>
  <c r="CX19"/>
  <c r="CW19"/>
  <c r="CV19"/>
  <c r="CU19"/>
  <c r="CT19"/>
  <c r="CS19"/>
  <c r="CR19"/>
  <c r="CQ19"/>
  <c r="CP19"/>
  <c r="CO19"/>
  <c r="BG19"/>
  <c r="BA19"/>
  <c r="AY19"/>
  <c r="M19" s="1"/>
  <c r="AN19"/>
  <c r="AF19"/>
  <c r="P19"/>
  <c r="K19"/>
  <c r="I19"/>
  <c r="CY18"/>
  <c r="CX18"/>
  <c r="CW18"/>
  <c r="CV18"/>
  <c r="CU18"/>
  <c r="CT18"/>
  <c r="CS18"/>
  <c r="CR18"/>
  <c r="CQ18"/>
  <c r="CP18"/>
  <c r="CO18"/>
  <c r="BG18"/>
  <c r="BA18"/>
  <c r="AY18"/>
  <c r="BI18" s="1"/>
  <c r="AN18"/>
  <c r="AF18"/>
  <c r="P18"/>
  <c r="K18"/>
  <c r="I18"/>
  <c r="H18"/>
  <c r="CY17"/>
  <c r="CX17"/>
  <c r="CW17"/>
  <c r="CV17"/>
  <c r="CU17"/>
  <c r="CT17"/>
  <c r="CS17"/>
  <c r="CR17"/>
  <c r="CQ17"/>
  <c r="CP17"/>
  <c r="CO17"/>
  <c r="BG17"/>
  <c r="BA17"/>
  <c r="AY17"/>
  <c r="M17" s="1"/>
  <c r="AN17"/>
  <c r="AF17"/>
  <c r="P17"/>
  <c r="K17"/>
  <c r="I17"/>
  <c r="CY16"/>
  <c r="CX16"/>
  <c r="CW16"/>
  <c r="CV16"/>
  <c r="CU16"/>
  <c r="CT16"/>
  <c r="CS16"/>
  <c r="CR16"/>
  <c r="CQ16"/>
  <c r="CP16"/>
  <c r="CO16"/>
  <c r="H16" s="1"/>
  <c r="BG16"/>
  <c r="BA16"/>
  <c r="AY16"/>
  <c r="AX16" s="1"/>
  <c r="AN16"/>
  <c r="AF16"/>
  <c r="P16"/>
  <c r="K16"/>
  <c r="I16"/>
  <c r="CY15"/>
  <c r="CX15"/>
  <c r="CW15"/>
  <c r="CV15"/>
  <c r="CU15"/>
  <c r="CT15"/>
  <c r="CS15"/>
  <c r="CR15"/>
  <c r="CQ15"/>
  <c r="CP15"/>
  <c r="CO15"/>
  <c r="BG15"/>
  <c r="BA15"/>
  <c r="AY15"/>
  <c r="AN15"/>
  <c r="AF15"/>
  <c r="P15"/>
  <c r="K15"/>
  <c r="I15"/>
  <c r="CY14"/>
  <c r="CX14"/>
  <c r="CW14"/>
  <c r="CV14"/>
  <c r="CU14"/>
  <c r="CT14"/>
  <c r="CS14"/>
  <c r="CR14"/>
  <c r="CQ14"/>
  <c r="CP14"/>
  <c r="CO14"/>
  <c r="BG14"/>
  <c r="BA14"/>
  <c r="AY14"/>
  <c r="BI14" s="1"/>
  <c r="AN14"/>
  <c r="AF14"/>
  <c r="P14"/>
  <c r="K14"/>
  <c r="I14"/>
  <c r="CY13"/>
  <c r="CX13"/>
  <c r="CW13"/>
  <c r="CV13"/>
  <c r="CU13"/>
  <c r="CT13"/>
  <c r="CS13"/>
  <c r="CR13"/>
  <c r="CQ13"/>
  <c r="CP13"/>
  <c r="CO13"/>
  <c r="BG13"/>
  <c r="BA13"/>
  <c r="AY13"/>
  <c r="AN13"/>
  <c r="AF13"/>
  <c r="P13"/>
  <c r="M13"/>
  <c r="K13"/>
  <c r="I13"/>
  <c r="CY12"/>
  <c r="CX12"/>
  <c r="CW12"/>
  <c r="CV12"/>
  <c r="CU12"/>
  <c r="CT12"/>
  <c r="CS12"/>
  <c r="CR12"/>
  <c r="CQ12"/>
  <c r="CP12"/>
  <c r="CO12"/>
  <c r="BG12"/>
  <c r="BA12"/>
  <c r="AY12"/>
  <c r="AX12" s="1"/>
  <c r="AN12"/>
  <c r="AF12"/>
  <c r="P12"/>
  <c r="K12"/>
  <c r="I12"/>
  <c r="H12"/>
  <c r="CY11"/>
  <c r="CX11"/>
  <c r="CW11"/>
  <c r="CV11"/>
  <c r="CU11"/>
  <c r="CT11"/>
  <c r="CS11"/>
  <c r="CR11"/>
  <c r="CQ11"/>
  <c r="CP11"/>
  <c r="CO11"/>
  <c r="BG11"/>
  <c r="BA11"/>
  <c r="AY11"/>
  <c r="M11" s="1"/>
  <c r="AN11"/>
  <c r="AF11"/>
  <c r="P11"/>
  <c r="K11"/>
  <c r="I11"/>
  <c r="CY10"/>
  <c r="CX10"/>
  <c r="CW10"/>
  <c r="CV10"/>
  <c r="CU10"/>
  <c r="CT10"/>
  <c r="CS10"/>
  <c r="CR10"/>
  <c r="CQ10"/>
  <c r="CP10"/>
  <c r="CO10"/>
  <c r="H10" s="1"/>
  <c r="BG10"/>
  <c r="BA10"/>
  <c r="AY10"/>
  <c r="BI10" s="1"/>
  <c r="AN10"/>
  <c r="AF10"/>
  <c r="P10"/>
  <c r="K10"/>
  <c r="I10"/>
  <c r="CY9"/>
  <c r="CX9"/>
  <c r="CW9"/>
  <c r="CV9"/>
  <c r="CU9"/>
  <c r="CT9"/>
  <c r="CS9"/>
  <c r="CR9"/>
  <c r="CQ9"/>
  <c r="CP9"/>
  <c r="CO9"/>
  <c r="BG9"/>
  <c r="BA9"/>
  <c r="AY9"/>
  <c r="AF9" s="1"/>
  <c r="AN9"/>
  <c r="AI9"/>
  <c r="P9"/>
  <c r="K9"/>
  <c r="I9"/>
  <c r="CY8"/>
  <c r="CX8"/>
  <c r="CW8"/>
  <c r="CV8"/>
  <c r="CU8"/>
  <c r="CT8"/>
  <c r="CS8"/>
  <c r="CR8"/>
  <c r="CQ8"/>
  <c r="CP8"/>
  <c r="CO8"/>
  <c r="BG8"/>
  <c r="BA8"/>
  <c r="AY8"/>
  <c r="BI8" s="1"/>
  <c r="AN8"/>
  <c r="AF8"/>
  <c r="P8"/>
  <c r="K8"/>
  <c r="I8"/>
  <c r="CY7"/>
  <c r="CX7"/>
  <c r="CW7"/>
  <c r="CV7"/>
  <c r="CU7"/>
  <c r="CT7"/>
  <c r="CS7"/>
  <c r="CR7"/>
  <c r="CQ7"/>
  <c r="CP7"/>
  <c r="CO7"/>
  <c r="BG7"/>
  <c r="BH7" s="1"/>
  <c r="BA7"/>
  <c r="AY7"/>
  <c r="AN7"/>
  <c r="AF7"/>
  <c r="P7"/>
  <c r="K7"/>
  <c r="I7"/>
  <c r="I37" i="73"/>
  <c r="J37"/>
  <c r="DD37" s="1"/>
  <c r="DG37" s="1"/>
  <c r="DH37" s="1"/>
  <c r="K37"/>
  <c r="N37"/>
  <c r="O37"/>
  <c r="AN37"/>
  <c r="AY37"/>
  <c r="BA37"/>
  <c r="BF37"/>
  <c r="BG37"/>
  <c r="BH37"/>
  <c r="BI37"/>
  <c r="BJ37"/>
  <c r="CO37"/>
  <c r="CQ37"/>
  <c r="CR37"/>
  <c r="CS37"/>
  <c r="CT37"/>
  <c r="CU37"/>
  <c r="CW37"/>
  <c r="CX37"/>
  <c r="CY37"/>
  <c r="DL37"/>
  <c r="BL37" s="1"/>
  <c r="DN37"/>
  <c r="CF37" s="1"/>
  <c r="I36"/>
  <c r="J36"/>
  <c r="DD36" s="1"/>
  <c r="DG36" s="1"/>
  <c r="DH36" s="1"/>
  <c r="K36"/>
  <c r="N36"/>
  <c r="O36"/>
  <c r="AN36"/>
  <c r="AY36"/>
  <c r="BA36"/>
  <c r="BF36"/>
  <c r="BG36"/>
  <c r="BH36" s="1"/>
  <c r="BI36"/>
  <c r="CO36"/>
  <c r="CQ36"/>
  <c r="CR36"/>
  <c r="CS36"/>
  <c r="CT36"/>
  <c r="CU36"/>
  <c r="CW36"/>
  <c r="CX36"/>
  <c r="CY36"/>
  <c r="DL36"/>
  <c r="BL36" s="1"/>
  <c r="DN36"/>
  <c r="CF36" s="1"/>
  <c r="I35"/>
  <c r="J35"/>
  <c r="DD35" s="1"/>
  <c r="DG35" s="1"/>
  <c r="DH35" s="1"/>
  <c r="K35"/>
  <c r="N35"/>
  <c r="O35"/>
  <c r="AN35"/>
  <c r="AY35"/>
  <c r="BA35"/>
  <c r="BF35"/>
  <c r="BG35"/>
  <c r="BH35" s="1"/>
  <c r="BI35"/>
  <c r="CO35"/>
  <c r="CQ35"/>
  <c r="CR35"/>
  <c r="CS35"/>
  <c r="CT35"/>
  <c r="CU35"/>
  <c r="CW35"/>
  <c r="CX35"/>
  <c r="CY35"/>
  <c r="DL35"/>
  <c r="BL35" s="1"/>
  <c r="DN35"/>
  <c r="CF35" s="1"/>
  <c r="I34"/>
  <c r="J34"/>
  <c r="DD34" s="1"/>
  <c r="DG34" s="1"/>
  <c r="DH34" s="1"/>
  <c r="K34"/>
  <c r="N34"/>
  <c r="O34"/>
  <c r="AN34"/>
  <c r="AY34"/>
  <c r="BA34"/>
  <c r="BF34"/>
  <c r="BG34"/>
  <c r="BH34" s="1"/>
  <c r="BI34"/>
  <c r="CO34"/>
  <c r="CQ34"/>
  <c r="CR34"/>
  <c r="CS34"/>
  <c r="CT34"/>
  <c r="CU34"/>
  <c r="CW34"/>
  <c r="CX34"/>
  <c r="CY34"/>
  <c r="DL34"/>
  <c r="BL34" s="1"/>
  <c r="DN34"/>
  <c r="CF34" s="1"/>
  <c r="I33"/>
  <c r="J33"/>
  <c r="DD33" s="1"/>
  <c r="DG33" s="1"/>
  <c r="DH33" s="1"/>
  <c r="K33"/>
  <c r="N33"/>
  <c r="O33"/>
  <c r="AN33"/>
  <c r="AY33"/>
  <c r="BA33"/>
  <c r="BF33"/>
  <c r="BG33"/>
  <c r="BH33" s="1"/>
  <c r="BI33"/>
  <c r="CO33"/>
  <c r="CQ33"/>
  <c r="CR33"/>
  <c r="CS33"/>
  <c r="CT33"/>
  <c r="CU33"/>
  <c r="CW33"/>
  <c r="CX33"/>
  <c r="CY33"/>
  <c r="DL33"/>
  <c r="BL33" s="1"/>
  <c r="DN33"/>
  <c r="CF33" s="1"/>
  <c r="I32"/>
  <c r="J32"/>
  <c r="DD32" s="1"/>
  <c r="DG32" s="1"/>
  <c r="DH32" s="1"/>
  <c r="K32"/>
  <c r="N32"/>
  <c r="O32"/>
  <c r="AN32"/>
  <c r="AY32"/>
  <c r="BA32"/>
  <c r="BF32"/>
  <c r="BG32"/>
  <c r="BH32" s="1"/>
  <c r="BI32"/>
  <c r="CO32"/>
  <c r="CQ32"/>
  <c r="CR32"/>
  <c r="CS32"/>
  <c r="CT32"/>
  <c r="CU32"/>
  <c r="CW32"/>
  <c r="CX32"/>
  <c r="CY32"/>
  <c r="DL32"/>
  <c r="BL32" s="1"/>
  <c r="DN32"/>
  <c r="CF32" s="1"/>
  <c r="I31"/>
  <c r="J31"/>
  <c r="DD31" s="1"/>
  <c r="DG31" s="1"/>
  <c r="DH31" s="1"/>
  <c r="K31"/>
  <c r="N31"/>
  <c r="O31"/>
  <c r="AN31"/>
  <c r="AY31"/>
  <c r="BA31"/>
  <c r="BF31"/>
  <c r="BG31"/>
  <c r="BH31" s="1"/>
  <c r="BI31"/>
  <c r="CO31"/>
  <c r="CQ31"/>
  <c r="CR31"/>
  <c r="CS31"/>
  <c r="CT31"/>
  <c r="CU31"/>
  <c r="CW31"/>
  <c r="CX31"/>
  <c r="CY31"/>
  <c r="DL31"/>
  <c r="BL31" s="1"/>
  <c r="DN31"/>
  <c r="CF31" s="1"/>
  <c r="I30"/>
  <c r="J30"/>
  <c r="K30"/>
  <c r="N30"/>
  <c r="O30"/>
  <c r="AN30"/>
  <c r="AY30"/>
  <c r="BA30"/>
  <c r="BF30"/>
  <c r="BG30"/>
  <c r="BH30"/>
  <c r="BI30"/>
  <c r="BJ30" s="1"/>
  <c r="CO30"/>
  <c r="CQ30"/>
  <c r="CR30"/>
  <c r="CS30"/>
  <c r="CT30"/>
  <c r="CU30"/>
  <c r="CW30"/>
  <c r="CX30"/>
  <c r="CY30"/>
  <c r="DD30"/>
  <c r="DG30" s="1"/>
  <c r="DH30" s="1"/>
  <c r="DL30"/>
  <c r="BL30" s="1"/>
  <c r="DN30"/>
  <c r="CF30" s="1"/>
  <c r="I29"/>
  <c r="J29"/>
  <c r="DD29" s="1"/>
  <c r="DG29" s="1"/>
  <c r="DH29" s="1"/>
  <c r="K29"/>
  <c r="N29"/>
  <c r="O29"/>
  <c r="AN29"/>
  <c r="AY29"/>
  <c r="BA29"/>
  <c r="BF29"/>
  <c r="BG29"/>
  <c r="BH29"/>
  <c r="BI29"/>
  <c r="BJ29" s="1"/>
  <c r="CO29"/>
  <c r="CQ29"/>
  <c r="CR29"/>
  <c r="CS29"/>
  <c r="CT29"/>
  <c r="CU29"/>
  <c r="CW29"/>
  <c r="CX29"/>
  <c r="CY29"/>
  <c r="DL29"/>
  <c r="BL29" s="1"/>
  <c r="DN29"/>
  <c r="CF29" s="1"/>
  <c r="I28"/>
  <c r="J28"/>
  <c r="DD28" s="1"/>
  <c r="DG28" s="1"/>
  <c r="DH28" s="1"/>
  <c r="K28"/>
  <c r="N28"/>
  <c r="O28"/>
  <c r="AN28"/>
  <c r="AY28"/>
  <c r="BA28"/>
  <c r="BF28"/>
  <c r="BG28"/>
  <c r="BH28" s="1"/>
  <c r="BI28"/>
  <c r="CO28"/>
  <c r="CQ28"/>
  <c r="CR28"/>
  <c r="CS28"/>
  <c r="CT28"/>
  <c r="CU28"/>
  <c r="CW28"/>
  <c r="CX28"/>
  <c r="CY28"/>
  <c r="DL28"/>
  <c r="BL28" s="1"/>
  <c r="DN28"/>
  <c r="CF28" s="1"/>
  <c r="I27"/>
  <c r="J27"/>
  <c r="DD27" s="1"/>
  <c r="DG27" s="1"/>
  <c r="DH27" s="1"/>
  <c r="K27"/>
  <c r="N27"/>
  <c r="O27"/>
  <c r="AN27"/>
  <c r="AY27"/>
  <c r="BA27"/>
  <c r="BF27"/>
  <c r="BG27"/>
  <c r="BH27" s="1"/>
  <c r="BI27"/>
  <c r="CO27"/>
  <c r="CQ27"/>
  <c r="CR27"/>
  <c r="CS27"/>
  <c r="CT27"/>
  <c r="CU27"/>
  <c r="CW27"/>
  <c r="CX27"/>
  <c r="CY27"/>
  <c r="DL27"/>
  <c r="BL27" s="1"/>
  <c r="DN27"/>
  <c r="CF27" s="1"/>
  <c r="I26"/>
  <c r="J26"/>
  <c r="DD26" s="1"/>
  <c r="DG26" s="1"/>
  <c r="DH26" s="1"/>
  <c r="K26"/>
  <c r="N26"/>
  <c r="O26"/>
  <c r="AN26"/>
  <c r="AY26"/>
  <c r="BA26"/>
  <c r="BF26"/>
  <c r="BG26"/>
  <c r="BH26" s="1"/>
  <c r="BI26"/>
  <c r="CO26"/>
  <c r="CQ26"/>
  <c r="CR26"/>
  <c r="CS26"/>
  <c r="CT26"/>
  <c r="CU26"/>
  <c r="CW26"/>
  <c r="CX26"/>
  <c r="CY26"/>
  <c r="DL26"/>
  <c r="BL26" s="1"/>
  <c r="DN26"/>
  <c r="CF26" s="1"/>
  <c r="I25"/>
  <c r="J25"/>
  <c r="DD25" s="1"/>
  <c r="DG25" s="1"/>
  <c r="DH25" s="1"/>
  <c r="K25"/>
  <c r="N25"/>
  <c r="O25"/>
  <c r="AN25"/>
  <c r="AY25"/>
  <c r="BA25"/>
  <c r="BF25"/>
  <c r="BG25"/>
  <c r="BH25" s="1"/>
  <c r="BI25"/>
  <c r="CO25"/>
  <c r="CQ25"/>
  <c r="CR25"/>
  <c r="CS25"/>
  <c r="CT25"/>
  <c r="CU25"/>
  <c r="CW25"/>
  <c r="CX25"/>
  <c r="CY25"/>
  <c r="DL25"/>
  <c r="BL25" s="1"/>
  <c r="DN25"/>
  <c r="CF25" s="1"/>
  <c r="I24"/>
  <c r="J24"/>
  <c r="DD24" s="1"/>
  <c r="DG24" s="1"/>
  <c r="DH24" s="1"/>
  <c r="K24"/>
  <c r="N24"/>
  <c r="O24"/>
  <c r="AN24"/>
  <c r="AY24"/>
  <c r="BA24"/>
  <c r="BF24"/>
  <c r="BG24"/>
  <c r="BH24" s="1"/>
  <c r="BI24"/>
  <c r="CO24"/>
  <c r="CQ24"/>
  <c r="CR24"/>
  <c r="CS24"/>
  <c r="CT24"/>
  <c r="CU24"/>
  <c r="CW24"/>
  <c r="CX24"/>
  <c r="CY24"/>
  <c r="DL24"/>
  <c r="BL24" s="1"/>
  <c r="DN24"/>
  <c r="CF24" s="1"/>
  <c r="I23"/>
  <c r="J23"/>
  <c r="DD23" s="1"/>
  <c r="DG23" s="1"/>
  <c r="DH23" s="1"/>
  <c r="K23"/>
  <c r="N23"/>
  <c r="O23"/>
  <c r="AN23"/>
  <c r="AY23"/>
  <c r="BA23"/>
  <c r="BF23"/>
  <c r="BG23"/>
  <c r="BH23" s="1"/>
  <c r="BI23"/>
  <c r="CO23"/>
  <c r="CQ23"/>
  <c r="CR23"/>
  <c r="CS23"/>
  <c r="CT23"/>
  <c r="CU23"/>
  <c r="CW23"/>
  <c r="CX23"/>
  <c r="CY23"/>
  <c r="DL23"/>
  <c r="BL23" s="1"/>
  <c r="DN23"/>
  <c r="CF23" s="1"/>
  <c r="I22"/>
  <c r="J22"/>
  <c r="DD22" s="1"/>
  <c r="DG22" s="1"/>
  <c r="DH22" s="1"/>
  <c r="K22"/>
  <c r="N22"/>
  <c r="O22"/>
  <c r="AN22"/>
  <c r="AY22"/>
  <c r="BA22"/>
  <c r="BF22"/>
  <c r="BG22"/>
  <c r="BH22"/>
  <c r="CO22"/>
  <c r="CQ22"/>
  <c r="CR22"/>
  <c r="CS22"/>
  <c r="CT22"/>
  <c r="CU22"/>
  <c r="CW22"/>
  <c r="CX22"/>
  <c r="CY22"/>
  <c r="DL22"/>
  <c r="BL22" s="1"/>
  <c r="DN22"/>
  <c r="CF22" s="1"/>
  <c r="I21"/>
  <c r="J21"/>
  <c r="DD21" s="1"/>
  <c r="DG21" s="1"/>
  <c r="DH21" s="1"/>
  <c r="K21"/>
  <c r="N21"/>
  <c r="O21"/>
  <c r="AN21"/>
  <c r="AY21"/>
  <c r="BA21"/>
  <c r="BF21"/>
  <c r="BG21"/>
  <c r="BH21"/>
  <c r="BI21"/>
  <c r="BJ21"/>
  <c r="CO21"/>
  <c r="CQ21"/>
  <c r="CR21"/>
  <c r="CS21"/>
  <c r="CT21"/>
  <c r="CU21"/>
  <c r="CW21"/>
  <c r="CX21"/>
  <c r="CY21"/>
  <c r="DL21"/>
  <c r="BL21" s="1"/>
  <c r="DN21"/>
  <c r="CF21" s="1"/>
  <c r="I20"/>
  <c r="J20"/>
  <c r="DD20" s="1"/>
  <c r="DG20" s="1"/>
  <c r="DH20" s="1"/>
  <c r="K20"/>
  <c r="N20"/>
  <c r="O20"/>
  <c r="AN20"/>
  <c r="AY20"/>
  <c r="BA20"/>
  <c r="BF20"/>
  <c r="BG20"/>
  <c r="BH20" s="1"/>
  <c r="BI20"/>
  <c r="CO20"/>
  <c r="CQ20"/>
  <c r="CR20"/>
  <c r="CS20"/>
  <c r="CT20"/>
  <c r="CU20"/>
  <c r="CW20"/>
  <c r="CX20"/>
  <c r="CY20"/>
  <c r="DL20"/>
  <c r="BL20" s="1"/>
  <c r="DN20"/>
  <c r="CF20" s="1"/>
  <c r="I19"/>
  <c r="J19"/>
  <c r="DD19" s="1"/>
  <c r="DG19" s="1"/>
  <c r="DH19" s="1"/>
  <c r="K19"/>
  <c r="N19"/>
  <c r="O19"/>
  <c r="AN19"/>
  <c r="AY19"/>
  <c r="BA19"/>
  <c r="BF19"/>
  <c r="BG19"/>
  <c r="BH19" s="1"/>
  <c r="BI19"/>
  <c r="CO19"/>
  <c r="CQ19"/>
  <c r="CR19"/>
  <c r="CS19"/>
  <c r="CT19"/>
  <c r="CU19"/>
  <c r="CW19"/>
  <c r="CX19"/>
  <c r="CY19"/>
  <c r="DL19"/>
  <c r="BL19" s="1"/>
  <c r="DN19"/>
  <c r="CF19" s="1"/>
  <c r="I18"/>
  <c r="J18"/>
  <c r="DD18" s="1"/>
  <c r="DG18" s="1"/>
  <c r="DH18" s="1"/>
  <c r="K18"/>
  <c r="N18"/>
  <c r="O18"/>
  <c r="AN18"/>
  <c r="AY18"/>
  <c r="BA18"/>
  <c r="BF18"/>
  <c r="BG18"/>
  <c r="BH18" s="1"/>
  <c r="BI18"/>
  <c r="CO18"/>
  <c r="CQ18"/>
  <c r="CR18"/>
  <c r="CS18"/>
  <c r="CT18"/>
  <c r="CU18"/>
  <c r="CW18"/>
  <c r="CX18"/>
  <c r="CY18"/>
  <c r="DL18"/>
  <c r="BL18" s="1"/>
  <c r="DN18"/>
  <c r="CF18" s="1"/>
  <c r="I17"/>
  <c r="J17"/>
  <c r="DD17" s="1"/>
  <c r="DG17" s="1"/>
  <c r="DH17" s="1"/>
  <c r="K17"/>
  <c r="N17"/>
  <c r="O17"/>
  <c r="AN17"/>
  <c r="AY17"/>
  <c r="BA17"/>
  <c r="BF17"/>
  <c r="BG17"/>
  <c r="BH17" s="1"/>
  <c r="BI17"/>
  <c r="CO17"/>
  <c r="CQ17"/>
  <c r="CR17"/>
  <c r="CS17"/>
  <c r="CT17"/>
  <c r="CU17"/>
  <c r="CW17"/>
  <c r="CX17"/>
  <c r="CY17"/>
  <c r="DL17"/>
  <c r="BL17" s="1"/>
  <c r="DN17"/>
  <c r="CF17" s="1"/>
  <c r="I16"/>
  <c r="J16"/>
  <c r="DD16" s="1"/>
  <c r="DG16" s="1"/>
  <c r="DH16" s="1"/>
  <c r="K16"/>
  <c r="N16"/>
  <c r="O16"/>
  <c r="AN16"/>
  <c r="AY16"/>
  <c r="BA16"/>
  <c r="BF16"/>
  <c r="BG16"/>
  <c r="BH16" s="1"/>
  <c r="BI16"/>
  <c r="CO16"/>
  <c r="CQ16"/>
  <c r="CR16"/>
  <c r="CS16"/>
  <c r="CT16"/>
  <c r="CU16"/>
  <c r="CW16"/>
  <c r="CX16"/>
  <c r="CY16"/>
  <c r="DL16"/>
  <c r="BL16" s="1"/>
  <c r="DN16"/>
  <c r="CF16" s="1"/>
  <c r="I15"/>
  <c r="J15"/>
  <c r="DD15" s="1"/>
  <c r="DG15" s="1"/>
  <c r="DH15" s="1"/>
  <c r="K15"/>
  <c r="N15"/>
  <c r="O15"/>
  <c r="AN15"/>
  <c r="AY15"/>
  <c r="BA15"/>
  <c r="BF15"/>
  <c r="BG15"/>
  <c r="BH15" s="1"/>
  <c r="BI15"/>
  <c r="CO15"/>
  <c r="CQ15"/>
  <c r="CR15"/>
  <c r="CS15"/>
  <c r="CT15"/>
  <c r="CU15"/>
  <c r="CW15"/>
  <c r="CX15"/>
  <c r="CY15"/>
  <c r="DL15"/>
  <c r="BL15" s="1"/>
  <c r="DN15"/>
  <c r="CF15" s="1"/>
  <c r="I14"/>
  <c r="J14"/>
  <c r="DD14" s="1"/>
  <c r="DG14" s="1"/>
  <c r="DH14" s="1"/>
  <c r="K14"/>
  <c r="N14"/>
  <c r="O14"/>
  <c r="AN14"/>
  <c r="AY14"/>
  <c r="BA14"/>
  <c r="BF14"/>
  <c r="BG14"/>
  <c r="BH14" s="1"/>
  <c r="BI14"/>
  <c r="CO14"/>
  <c r="CQ14"/>
  <c r="CR14"/>
  <c r="CS14"/>
  <c r="CT14"/>
  <c r="CU14"/>
  <c r="CW14"/>
  <c r="CX14"/>
  <c r="CY14"/>
  <c r="DL14"/>
  <c r="BL14" s="1"/>
  <c r="DN14"/>
  <c r="CF14" s="1"/>
  <c r="I13"/>
  <c r="J13"/>
  <c r="DD13" s="1"/>
  <c r="DG13" s="1"/>
  <c r="DH13" s="1"/>
  <c r="K13"/>
  <c r="N13"/>
  <c r="O13"/>
  <c r="AN13"/>
  <c r="AY13"/>
  <c r="BA13"/>
  <c r="BF13"/>
  <c r="BG13"/>
  <c r="BH13" s="1"/>
  <c r="BI13"/>
  <c r="CO13"/>
  <c r="CQ13"/>
  <c r="CR13"/>
  <c r="CS13"/>
  <c r="CT13"/>
  <c r="CU13"/>
  <c r="CW13"/>
  <c r="CX13"/>
  <c r="CY13"/>
  <c r="DL13"/>
  <c r="BL13" s="1"/>
  <c r="DN13"/>
  <c r="CF13" s="1"/>
  <c r="I12"/>
  <c r="J12"/>
  <c r="DD12" s="1"/>
  <c r="DG12" s="1"/>
  <c r="DH12" s="1"/>
  <c r="K12"/>
  <c r="N12"/>
  <c r="O12"/>
  <c r="AN12"/>
  <c r="AY12"/>
  <c r="BA12"/>
  <c r="BF12"/>
  <c r="BG12"/>
  <c r="BH12" s="1"/>
  <c r="BI12"/>
  <c r="CO12"/>
  <c r="CQ12"/>
  <c r="CR12"/>
  <c r="CS12"/>
  <c r="CT12"/>
  <c r="CU12"/>
  <c r="CW12"/>
  <c r="CX12"/>
  <c r="CY12"/>
  <c r="DL12"/>
  <c r="BL12" s="1"/>
  <c r="DN12"/>
  <c r="CF12" s="1"/>
  <c r="I11"/>
  <c r="J11"/>
  <c r="DD11" s="1"/>
  <c r="DG11" s="1"/>
  <c r="DH11" s="1"/>
  <c r="K11"/>
  <c r="N11"/>
  <c r="O11"/>
  <c r="AN11"/>
  <c r="AY11"/>
  <c r="BA11"/>
  <c r="BF11"/>
  <c r="BG11"/>
  <c r="BH11" s="1"/>
  <c r="BI11"/>
  <c r="CO11"/>
  <c r="CQ11"/>
  <c r="CR11"/>
  <c r="CS11"/>
  <c r="CT11"/>
  <c r="CU11"/>
  <c r="CW11"/>
  <c r="CX11"/>
  <c r="CY11"/>
  <c r="DL11"/>
  <c r="BL11" s="1"/>
  <c r="DN11"/>
  <c r="CF11" s="1"/>
  <c r="I10"/>
  <c r="J10"/>
  <c r="DD10" s="1"/>
  <c r="DG10" s="1"/>
  <c r="DH10" s="1"/>
  <c r="K10"/>
  <c r="N10"/>
  <c r="O10"/>
  <c r="AN10"/>
  <c r="AY10"/>
  <c r="BA10"/>
  <c r="BF10"/>
  <c r="BG10"/>
  <c r="BH10" s="1"/>
  <c r="BI10"/>
  <c r="CO10"/>
  <c r="CQ10"/>
  <c r="CR10"/>
  <c r="CS10"/>
  <c r="CT10"/>
  <c r="CU10"/>
  <c r="CW10"/>
  <c r="CX10"/>
  <c r="CY10"/>
  <c r="DL10"/>
  <c r="BL10" s="1"/>
  <c r="DN10"/>
  <c r="CF10" s="1"/>
  <c r="I9"/>
  <c r="J9"/>
  <c r="DD9" s="1"/>
  <c r="DG9" s="1"/>
  <c r="DH9" s="1"/>
  <c r="K9"/>
  <c r="N9"/>
  <c r="O9"/>
  <c r="AN9"/>
  <c r="AY9"/>
  <c r="BA9"/>
  <c r="BF9"/>
  <c r="BG9"/>
  <c r="BH9"/>
  <c r="BI9"/>
  <c r="BJ9"/>
  <c r="CO9"/>
  <c r="CQ9"/>
  <c r="CR9"/>
  <c r="CS9"/>
  <c r="CT9"/>
  <c r="CU9"/>
  <c r="CW9"/>
  <c r="CX9"/>
  <c r="CY9"/>
  <c r="DL9"/>
  <c r="BL9" s="1"/>
  <c r="DN9"/>
  <c r="CF9" s="1"/>
  <c r="DL8"/>
  <c r="DL7"/>
  <c r="DN7"/>
  <c r="DN8"/>
  <c r="H31" i="74" l="1"/>
  <c r="H29"/>
  <c r="BR39"/>
  <c r="H25"/>
  <c r="E31"/>
  <c r="AM39"/>
  <c r="AN39" s="1"/>
  <c r="AM44"/>
  <c r="M7"/>
  <c r="CP38"/>
  <c r="CR38"/>
  <c r="CX38"/>
  <c r="H22"/>
  <c r="AF23"/>
  <c r="AI25"/>
  <c r="AX25"/>
  <c r="M25"/>
  <c r="AF27"/>
  <c r="M15"/>
  <c r="H20"/>
  <c r="AI22"/>
  <c r="AX22"/>
  <c r="M22"/>
  <c r="M26"/>
  <c r="AX27"/>
  <c r="H27"/>
  <c r="M27"/>
  <c r="M30"/>
  <c r="AX23"/>
  <c r="M23"/>
  <c r="H14"/>
  <c r="AI14"/>
  <c r="AX14"/>
  <c r="M14"/>
  <c r="M9"/>
  <c r="C36" i="76"/>
  <c r="E36"/>
  <c r="D36"/>
  <c r="R36"/>
  <c r="T36" s="1"/>
  <c r="R35"/>
  <c r="T35" s="1"/>
  <c r="C35"/>
  <c r="E35"/>
  <c r="D35"/>
  <c r="R34"/>
  <c r="T34" s="1"/>
  <c r="C34"/>
  <c r="E34"/>
  <c r="D34"/>
  <c r="C33"/>
  <c r="E33"/>
  <c r="D33"/>
  <c r="R33"/>
  <c r="T33" s="1"/>
  <c r="R32"/>
  <c r="T32" s="1"/>
  <c r="C32"/>
  <c r="E32"/>
  <c r="D32"/>
  <c r="C31"/>
  <c r="E31"/>
  <c r="D31"/>
  <c r="R31"/>
  <c r="T31" s="1"/>
  <c r="R30"/>
  <c r="T30" s="1"/>
  <c r="C30"/>
  <c r="E30"/>
  <c r="D30"/>
  <c r="BJ37"/>
  <c r="AZ48" s="1"/>
  <c r="AZ51" s="1"/>
  <c r="C29"/>
  <c r="E29"/>
  <c r="D29"/>
  <c r="R29"/>
  <c r="T29" s="1"/>
  <c r="C28"/>
  <c r="E28"/>
  <c r="D28"/>
  <c r="R28"/>
  <c r="T28" s="1"/>
  <c r="R27"/>
  <c r="T27" s="1"/>
  <c r="C27"/>
  <c r="E27"/>
  <c r="D27"/>
  <c r="R26"/>
  <c r="T26" s="1"/>
  <c r="C26"/>
  <c r="E26"/>
  <c r="D26"/>
  <c r="C25"/>
  <c r="E25"/>
  <c r="D25"/>
  <c r="R25"/>
  <c r="T25" s="1"/>
  <c r="R24"/>
  <c r="T24" s="1"/>
  <c r="C24"/>
  <c r="E24"/>
  <c r="D24"/>
  <c r="R23"/>
  <c r="T23" s="1"/>
  <c r="C23"/>
  <c r="E23"/>
  <c r="D23"/>
  <c r="T22"/>
  <c r="R22"/>
  <c r="C22"/>
  <c r="E22"/>
  <c r="D22"/>
  <c r="R21"/>
  <c r="T21" s="1"/>
  <c r="C21"/>
  <c r="E21"/>
  <c r="D21"/>
  <c r="T20"/>
  <c r="R20"/>
  <c r="C20"/>
  <c r="E20"/>
  <c r="D20"/>
  <c r="R19"/>
  <c r="T19" s="1"/>
  <c r="C19"/>
  <c r="E19"/>
  <c r="D19"/>
  <c r="R18"/>
  <c r="T18" s="1"/>
  <c r="C18"/>
  <c r="E18"/>
  <c r="D18"/>
  <c r="R17"/>
  <c r="T17" s="1"/>
  <c r="C17"/>
  <c r="E17"/>
  <c r="D17"/>
  <c r="R16"/>
  <c r="T16" s="1"/>
  <c r="C16"/>
  <c r="E16"/>
  <c r="D16"/>
  <c r="R15"/>
  <c r="T15" s="1"/>
  <c r="C15"/>
  <c r="E15"/>
  <c r="D15"/>
  <c r="C14"/>
  <c r="E14"/>
  <c r="D14"/>
  <c r="R14"/>
  <c r="T14" s="1"/>
  <c r="R13"/>
  <c r="T13" s="1"/>
  <c r="C13"/>
  <c r="E13"/>
  <c r="D13"/>
  <c r="C12"/>
  <c r="E12"/>
  <c r="D12"/>
  <c r="R12"/>
  <c r="T12" s="1"/>
  <c r="R11"/>
  <c r="T11" s="1"/>
  <c r="C11"/>
  <c r="E11"/>
  <c r="D11"/>
  <c r="R10"/>
  <c r="T10" s="1"/>
  <c r="C10"/>
  <c r="E10"/>
  <c r="D10"/>
  <c r="R9"/>
  <c r="T9" s="1"/>
  <c r="Q38"/>
  <c r="Q39" s="1"/>
  <c r="CV39"/>
  <c r="C9"/>
  <c r="E9"/>
  <c r="D9"/>
  <c r="BY39"/>
  <c r="E39" s="1"/>
  <c r="P38"/>
  <c r="P39" s="1"/>
  <c r="CO38"/>
  <c r="CO39" s="1"/>
  <c r="BI38"/>
  <c r="BJ7"/>
  <c r="BJ8" s="1"/>
  <c r="BC7"/>
  <c r="F7"/>
  <c r="AY39"/>
  <c r="AX39" s="1"/>
  <c r="AF39"/>
  <c r="X39"/>
  <c r="AI39"/>
  <c r="M39"/>
  <c r="DG38"/>
  <c r="DH7"/>
  <c r="AZ7" s="1"/>
  <c r="J39"/>
  <c r="CQ39"/>
  <c r="BB38"/>
  <c r="DF38"/>
  <c r="C39"/>
  <c r="BD7"/>
  <c r="BD38" s="1"/>
  <c r="BD39" s="1"/>
  <c r="T7"/>
  <c r="AB39"/>
  <c r="CV38" i="74"/>
  <c r="CT38"/>
  <c r="Q38"/>
  <c r="R38" s="1"/>
  <c r="K38"/>
  <c r="K39" s="1"/>
  <c r="O38"/>
  <c r="O39" s="1"/>
  <c r="BU39"/>
  <c r="BY39"/>
  <c r="BW39"/>
  <c r="CC39"/>
  <c r="BS39"/>
  <c r="H8"/>
  <c r="AI8"/>
  <c r="AX8"/>
  <c r="M8"/>
  <c r="H9"/>
  <c r="AI10"/>
  <c r="AX10"/>
  <c r="M10"/>
  <c r="AI18"/>
  <c r="AX18"/>
  <c r="M18"/>
  <c r="BB12"/>
  <c r="BD12" s="1"/>
  <c r="BI12"/>
  <c r="BB16"/>
  <c r="BI16"/>
  <c r="BB20"/>
  <c r="BI20"/>
  <c r="BB29"/>
  <c r="BD29" s="1"/>
  <c r="BI29"/>
  <c r="BB31"/>
  <c r="BD31" s="1"/>
  <c r="BI31"/>
  <c r="BB8"/>
  <c r="BD8" s="1"/>
  <c r="BB10"/>
  <c r="BD10" s="1"/>
  <c r="AI12"/>
  <c r="M12"/>
  <c r="BB14"/>
  <c r="BD14" s="1"/>
  <c r="AI16"/>
  <c r="BD16"/>
  <c r="M16"/>
  <c r="BB18"/>
  <c r="BD18" s="1"/>
  <c r="AI20"/>
  <c r="BD20"/>
  <c r="M20"/>
  <c r="BB22"/>
  <c r="BD22" s="1"/>
  <c r="BB23"/>
  <c r="BB25"/>
  <c r="BD25" s="1"/>
  <c r="BB27"/>
  <c r="BD27" s="1"/>
  <c r="AI29"/>
  <c r="M29"/>
  <c r="AI31"/>
  <c r="M31"/>
  <c r="M33"/>
  <c r="BA38"/>
  <c r="BD23"/>
  <c r="L46"/>
  <c r="I38"/>
  <c r="I39" s="1"/>
  <c r="I41" s="1"/>
  <c r="D8"/>
  <c r="E8"/>
  <c r="R8"/>
  <c r="T8" s="1"/>
  <c r="D10"/>
  <c r="E10"/>
  <c r="T11"/>
  <c r="D12"/>
  <c r="F12" s="1"/>
  <c r="E12"/>
  <c r="T13"/>
  <c r="U13" s="1"/>
  <c r="D14"/>
  <c r="F14" s="1"/>
  <c r="E14"/>
  <c r="T15"/>
  <c r="D16"/>
  <c r="F16" s="1"/>
  <c r="E16"/>
  <c r="T17"/>
  <c r="D18"/>
  <c r="F18" s="1"/>
  <c r="E18"/>
  <c r="T19"/>
  <c r="D20"/>
  <c r="F20" s="1"/>
  <c r="E20"/>
  <c r="T21"/>
  <c r="D22"/>
  <c r="F22" s="1"/>
  <c r="E22"/>
  <c r="D25"/>
  <c r="F25" s="1"/>
  <c r="E25"/>
  <c r="C27"/>
  <c r="D27" s="1"/>
  <c r="T30"/>
  <c r="T23"/>
  <c r="T27"/>
  <c r="D29"/>
  <c r="E29"/>
  <c r="T31"/>
  <c r="F8"/>
  <c r="AY38"/>
  <c r="E11"/>
  <c r="C11"/>
  <c r="D11" s="1"/>
  <c r="E13"/>
  <c r="C13"/>
  <c r="D13" s="1"/>
  <c r="E15"/>
  <c r="C15"/>
  <c r="D15" s="1"/>
  <c r="E17"/>
  <c r="C17"/>
  <c r="D17" s="1"/>
  <c r="E19"/>
  <c r="C19"/>
  <c r="D19" s="1"/>
  <c r="E21"/>
  <c r="C21"/>
  <c r="D21" s="1"/>
  <c r="E23"/>
  <c r="C23"/>
  <c r="D23" s="1"/>
  <c r="BI24"/>
  <c r="BB24"/>
  <c r="BD24" s="1"/>
  <c r="AX24"/>
  <c r="AI24"/>
  <c r="H24"/>
  <c r="R28"/>
  <c r="T28" s="1"/>
  <c r="E30"/>
  <c r="C30"/>
  <c r="D30" s="1"/>
  <c r="BI32"/>
  <c r="BB32"/>
  <c r="AX32"/>
  <c r="AI32"/>
  <c r="H32"/>
  <c r="E33"/>
  <c r="C33"/>
  <c r="D33" s="1"/>
  <c r="BI34"/>
  <c r="BB34"/>
  <c r="BD34" s="1"/>
  <c r="AX34"/>
  <c r="AI34"/>
  <c r="H34"/>
  <c r="E35"/>
  <c r="C35"/>
  <c r="D35" s="1"/>
  <c r="R36"/>
  <c r="T36" s="1"/>
  <c r="E37"/>
  <c r="C37"/>
  <c r="D37" s="1"/>
  <c r="BI9"/>
  <c r="BB9"/>
  <c r="BD9" s="1"/>
  <c r="AX9"/>
  <c r="BI11"/>
  <c r="BB11"/>
  <c r="AX11"/>
  <c r="AI11"/>
  <c r="H11"/>
  <c r="BI13"/>
  <c r="BB13"/>
  <c r="AX13"/>
  <c r="AI13"/>
  <c r="H13"/>
  <c r="BI15"/>
  <c r="BB15"/>
  <c r="BD15" s="1"/>
  <c r="AX15"/>
  <c r="AI15"/>
  <c r="H15"/>
  <c r="BI17"/>
  <c r="BB17"/>
  <c r="AX17"/>
  <c r="AI17"/>
  <c r="H17"/>
  <c r="BI19"/>
  <c r="BB19"/>
  <c r="BD19" s="1"/>
  <c r="AX19"/>
  <c r="AI19"/>
  <c r="H19"/>
  <c r="BI21"/>
  <c r="BB21"/>
  <c r="BD21" s="1"/>
  <c r="AX21"/>
  <c r="AI21"/>
  <c r="H21"/>
  <c r="R24"/>
  <c r="T24" s="1"/>
  <c r="E26"/>
  <c r="C26"/>
  <c r="D26" s="1"/>
  <c r="BI28"/>
  <c r="BB28"/>
  <c r="BD28" s="1"/>
  <c r="AX28"/>
  <c r="AI28"/>
  <c r="H28"/>
  <c r="R32"/>
  <c r="T32" s="1"/>
  <c r="R34"/>
  <c r="T34" s="1"/>
  <c r="BI36"/>
  <c r="BB36"/>
  <c r="AX36"/>
  <c r="AI36"/>
  <c r="H36"/>
  <c r="BF7"/>
  <c r="BF8" s="1"/>
  <c r="BF9" s="1"/>
  <c r="BF10" s="1"/>
  <c r="BF11" s="1"/>
  <c r="BF12" s="1"/>
  <c r="BF13" s="1"/>
  <c r="BF14" s="1"/>
  <c r="BF15" s="1"/>
  <c r="BF16" s="1"/>
  <c r="BF17" s="1"/>
  <c r="BF18" s="1"/>
  <c r="BF19" s="1"/>
  <c r="BF20" s="1"/>
  <c r="BF21" s="1"/>
  <c r="BF22" s="1"/>
  <c r="BF23" s="1"/>
  <c r="BF24" s="1"/>
  <c r="BF25" s="1"/>
  <c r="BF26" s="1"/>
  <c r="BF27" s="1"/>
  <c r="BF28" s="1"/>
  <c r="BF29" s="1"/>
  <c r="BF30" s="1"/>
  <c r="BF31" s="1"/>
  <c r="BF32" s="1"/>
  <c r="BF33" s="1"/>
  <c r="BF34" s="1"/>
  <c r="BF35" s="1"/>
  <c r="BF36" s="1"/>
  <c r="BF37" s="1"/>
  <c r="T9"/>
  <c r="BD11"/>
  <c r="BD13"/>
  <c r="BD17"/>
  <c r="B38"/>
  <c r="B39" s="1"/>
  <c r="J38"/>
  <c r="DD38"/>
  <c r="DE38" s="1"/>
  <c r="C7"/>
  <c r="D7" s="1"/>
  <c r="H7"/>
  <c r="L38"/>
  <c r="L39" s="1"/>
  <c r="N38"/>
  <c r="N39" s="1"/>
  <c r="P38"/>
  <c r="P39" s="1"/>
  <c r="R7"/>
  <c r="AI7"/>
  <c r="AX7"/>
  <c r="BB7"/>
  <c r="BI7"/>
  <c r="CO38"/>
  <c r="CO39" s="1"/>
  <c r="CQ38"/>
  <c r="CS38"/>
  <c r="CU38"/>
  <c r="CW38"/>
  <c r="CY38"/>
  <c r="DG7"/>
  <c r="BH8"/>
  <c r="BH9" s="1"/>
  <c r="BH10" s="1"/>
  <c r="BH11" s="1"/>
  <c r="BH12" s="1"/>
  <c r="BH13" s="1"/>
  <c r="BH14" s="1"/>
  <c r="BH15" s="1"/>
  <c r="BH16" s="1"/>
  <c r="BH17" s="1"/>
  <c r="BH18" s="1"/>
  <c r="BH19" s="1"/>
  <c r="BH20" s="1"/>
  <c r="BH21" s="1"/>
  <c r="BH22" s="1"/>
  <c r="BH23" s="1"/>
  <c r="C9"/>
  <c r="D9" s="1"/>
  <c r="T10"/>
  <c r="T12"/>
  <c r="T14"/>
  <c r="T16"/>
  <c r="T18"/>
  <c r="T20"/>
  <c r="T22"/>
  <c r="M24"/>
  <c r="M32"/>
  <c r="M34"/>
  <c r="E24"/>
  <c r="C24"/>
  <c r="D24" s="1"/>
  <c r="BI26"/>
  <c r="BB26"/>
  <c r="BD26" s="1"/>
  <c r="AX26"/>
  <c r="AI26"/>
  <c r="U26"/>
  <c r="H26"/>
  <c r="E28"/>
  <c r="C28"/>
  <c r="D28" s="1"/>
  <c r="BI30"/>
  <c r="BB30"/>
  <c r="BD30" s="1"/>
  <c r="AX30"/>
  <c r="AI30"/>
  <c r="H30"/>
  <c r="E32"/>
  <c r="C32"/>
  <c r="D32" s="1"/>
  <c r="BI33"/>
  <c r="BB33"/>
  <c r="BD33" s="1"/>
  <c r="AX33"/>
  <c r="AI33"/>
  <c r="U33"/>
  <c r="H33"/>
  <c r="E34"/>
  <c r="C34"/>
  <c r="D34" s="1"/>
  <c r="BI35"/>
  <c r="BB35"/>
  <c r="BD35" s="1"/>
  <c r="AX35"/>
  <c r="AI35"/>
  <c r="U35"/>
  <c r="H35"/>
  <c r="E36"/>
  <c r="C36"/>
  <c r="D36" s="1"/>
  <c r="BI37"/>
  <c r="BB37"/>
  <c r="BD37" s="1"/>
  <c r="AX37"/>
  <c r="AI37"/>
  <c r="U37"/>
  <c r="H37"/>
  <c r="BG36"/>
  <c r="BG35"/>
  <c r="BG34"/>
  <c r="BG33"/>
  <c r="BG32"/>
  <c r="BG30"/>
  <c r="BG28"/>
  <c r="BG26"/>
  <c r="BG24"/>
  <c r="T25"/>
  <c r="T29"/>
  <c r="D31"/>
  <c r="BD32"/>
  <c r="BD36"/>
  <c r="CA39"/>
  <c r="CE39"/>
  <c r="AT41"/>
  <c r="Q37" i="73"/>
  <c r="CV37"/>
  <c r="P37"/>
  <c r="CP37"/>
  <c r="H37" s="1"/>
  <c r="B37"/>
  <c r="BB37"/>
  <c r="BD37" s="1"/>
  <c r="AX37"/>
  <c r="AI37"/>
  <c r="AF37"/>
  <c r="M37"/>
  <c r="CP36"/>
  <c r="B36"/>
  <c r="H36"/>
  <c r="Q36"/>
  <c r="CV36"/>
  <c r="P36"/>
  <c r="BB36"/>
  <c r="BD36" s="1"/>
  <c r="AX36"/>
  <c r="AI36"/>
  <c r="BJ36"/>
  <c r="AF36"/>
  <c r="M36"/>
  <c r="CP35"/>
  <c r="B35"/>
  <c r="H35"/>
  <c r="Q35"/>
  <c r="CV35"/>
  <c r="P35"/>
  <c r="BB35"/>
  <c r="BD35" s="1"/>
  <c r="AX35"/>
  <c r="AI35"/>
  <c r="BJ35"/>
  <c r="AF35"/>
  <c r="M35"/>
  <c r="CP34"/>
  <c r="B34"/>
  <c r="H34"/>
  <c r="Q34"/>
  <c r="CV34"/>
  <c r="P34"/>
  <c r="BB34"/>
  <c r="BD34" s="1"/>
  <c r="AX34"/>
  <c r="AI34"/>
  <c r="BJ34"/>
  <c r="AF34"/>
  <c r="M34"/>
  <c r="CP33"/>
  <c r="B33"/>
  <c r="H33"/>
  <c r="Q33"/>
  <c r="CV33"/>
  <c r="P33"/>
  <c r="BB33"/>
  <c r="BD33" s="1"/>
  <c r="AX33"/>
  <c r="AI33"/>
  <c r="BJ33"/>
  <c r="AF33"/>
  <c r="M33"/>
  <c r="CP32"/>
  <c r="B32"/>
  <c r="H32"/>
  <c r="Q32"/>
  <c r="CV32"/>
  <c r="P32"/>
  <c r="BB32"/>
  <c r="BD32" s="1"/>
  <c r="AX32"/>
  <c r="AI32"/>
  <c r="BJ32"/>
  <c r="AF32"/>
  <c r="M32"/>
  <c r="CP31"/>
  <c r="B31"/>
  <c r="H31"/>
  <c r="Q31"/>
  <c r="CV31"/>
  <c r="P31"/>
  <c r="BB31"/>
  <c r="BD31" s="1"/>
  <c r="AX31"/>
  <c r="AI31"/>
  <c r="BJ31"/>
  <c r="AF31"/>
  <c r="M31"/>
  <c r="Q30"/>
  <c r="CV30"/>
  <c r="P30"/>
  <c r="CP30"/>
  <c r="H30" s="1"/>
  <c r="B30"/>
  <c r="BB30"/>
  <c r="BD30" s="1"/>
  <c r="AX30"/>
  <c r="AI30"/>
  <c r="AF30"/>
  <c r="M30"/>
  <c r="CP29"/>
  <c r="B29"/>
  <c r="H29"/>
  <c r="Q29"/>
  <c r="CV29"/>
  <c r="P29"/>
  <c r="BB29"/>
  <c r="BD29" s="1"/>
  <c r="AX29"/>
  <c r="AI29"/>
  <c r="AF29"/>
  <c r="M29"/>
  <c r="CP28"/>
  <c r="B28"/>
  <c r="H28"/>
  <c r="Q28"/>
  <c r="CV28"/>
  <c r="P28"/>
  <c r="BB28"/>
  <c r="BD28" s="1"/>
  <c r="AX28"/>
  <c r="AI28"/>
  <c r="BJ28"/>
  <c r="AF28"/>
  <c r="M28"/>
  <c r="CP27"/>
  <c r="B27"/>
  <c r="H27"/>
  <c r="Q27"/>
  <c r="CV27"/>
  <c r="P27"/>
  <c r="BB27"/>
  <c r="BD27" s="1"/>
  <c r="AX27"/>
  <c r="AI27"/>
  <c r="BJ27"/>
  <c r="AF27"/>
  <c r="M27"/>
  <c r="CP26"/>
  <c r="B26"/>
  <c r="H26"/>
  <c r="Q26"/>
  <c r="CV26"/>
  <c r="P26"/>
  <c r="BB26"/>
  <c r="BD26" s="1"/>
  <c r="AX26"/>
  <c r="AI26"/>
  <c r="BJ26"/>
  <c r="AF26"/>
  <c r="M26"/>
  <c r="CP25"/>
  <c r="B25"/>
  <c r="H25"/>
  <c r="Q25"/>
  <c r="CV25"/>
  <c r="P25"/>
  <c r="BB25"/>
  <c r="BD25" s="1"/>
  <c r="AX25"/>
  <c r="AI25"/>
  <c r="BJ25"/>
  <c r="AF25"/>
  <c r="M25"/>
  <c r="CP24"/>
  <c r="B24"/>
  <c r="H24"/>
  <c r="Q24"/>
  <c r="CV24"/>
  <c r="P24"/>
  <c r="BB24"/>
  <c r="BD24" s="1"/>
  <c r="AX24"/>
  <c r="AI24"/>
  <c r="BJ24"/>
  <c r="AF24"/>
  <c r="M24"/>
  <c r="CP23"/>
  <c r="B23"/>
  <c r="H23"/>
  <c r="Q23"/>
  <c r="CV23"/>
  <c r="P23"/>
  <c r="BB23"/>
  <c r="BD23" s="1"/>
  <c r="AX23"/>
  <c r="AI23"/>
  <c r="BJ23"/>
  <c r="AF23"/>
  <c r="M23"/>
  <c r="Q22"/>
  <c r="CV22"/>
  <c r="P22"/>
  <c r="CP22"/>
  <c r="H22" s="1"/>
  <c r="B22"/>
  <c r="BI22"/>
  <c r="BJ22" s="1"/>
  <c r="BB22"/>
  <c r="BD22" s="1"/>
  <c r="AX22"/>
  <c r="AI22"/>
  <c r="AF22"/>
  <c r="M22"/>
  <c r="CP21"/>
  <c r="B21"/>
  <c r="H21"/>
  <c r="Q21"/>
  <c r="CV21"/>
  <c r="P21"/>
  <c r="BB21"/>
  <c r="BD21" s="1"/>
  <c r="AX21"/>
  <c r="AI21"/>
  <c r="AF21"/>
  <c r="M21"/>
  <c r="CP20"/>
  <c r="B20"/>
  <c r="H20"/>
  <c r="Q20"/>
  <c r="CV20"/>
  <c r="P20"/>
  <c r="BB20"/>
  <c r="BD20" s="1"/>
  <c r="AX20"/>
  <c r="AI20"/>
  <c r="BJ20"/>
  <c r="AF20"/>
  <c r="M20"/>
  <c r="CP19"/>
  <c r="B19"/>
  <c r="Q19"/>
  <c r="CV19"/>
  <c r="P19"/>
  <c r="H19"/>
  <c r="BB19"/>
  <c r="BD19" s="1"/>
  <c r="AX19"/>
  <c r="AI19"/>
  <c r="BJ19"/>
  <c r="AF19"/>
  <c r="M19"/>
  <c r="CP18"/>
  <c r="B18"/>
  <c r="H18"/>
  <c r="Q18"/>
  <c r="CV18"/>
  <c r="P18"/>
  <c r="BB18"/>
  <c r="BD18" s="1"/>
  <c r="AX18"/>
  <c r="AI18"/>
  <c r="BJ18"/>
  <c r="AF18"/>
  <c r="M18"/>
  <c r="Q17"/>
  <c r="CV17"/>
  <c r="P17"/>
  <c r="CP17"/>
  <c r="H17" s="1"/>
  <c r="B17"/>
  <c r="BB17"/>
  <c r="BD17" s="1"/>
  <c r="AX17"/>
  <c r="AI17"/>
  <c r="BJ17"/>
  <c r="AF17"/>
  <c r="M17"/>
  <c r="CP16"/>
  <c r="B16"/>
  <c r="H16"/>
  <c r="Q16"/>
  <c r="CV16"/>
  <c r="P16"/>
  <c r="BB16"/>
  <c r="BD16" s="1"/>
  <c r="AX16"/>
  <c r="AI16"/>
  <c r="BJ16"/>
  <c r="AF16"/>
  <c r="M16"/>
  <c r="CP15"/>
  <c r="B15"/>
  <c r="H15"/>
  <c r="Q15"/>
  <c r="CV15"/>
  <c r="P15"/>
  <c r="BB15"/>
  <c r="BD15" s="1"/>
  <c r="AX15"/>
  <c r="AI15"/>
  <c r="BJ15"/>
  <c r="AF15"/>
  <c r="M15"/>
  <c r="Q14"/>
  <c r="CV14"/>
  <c r="P14"/>
  <c r="CP14"/>
  <c r="H14" s="1"/>
  <c r="B14"/>
  <c r="BD14"/>
  <c r="BB14"/>
  <c r="AX14"/>
  <c r="AI14"/>
  <c r="BJ14"/>
  <c r="AF14"/>
  <c r="M14"/>
  <c r="CP13"/>
  <c r="B13"/>
  <c r="H13"/>
  <c r="Q13"/>
  <c r="CV13"/>
  <c r="P13"/>
  <c r="BB13"/>
  <c r="BD13" s="1"/>
  <c r="AX13"/>
  <c r="AI13"/>
  <c r="BJ13"/>
  <c r="AF13"/>
  <c r="M13"/>
  <c r="CP12"/>
  <c r="B12"/>
  <c r="H12"/>
  <c r="Q12"/>
  <c r="CV12"/>
  <c r="P12"/>
  <c r="BB12"/>
  <c r="BD12" s="1"/>
  <c r="AX12"/>
  <c r="AI12"/>
  <c r="BJ12"/>
  <c r="AF12"/>
  <c r="M12"/>
  <c r="CP11"/>
  <c r="B11"/>
  <c r="H11"/>
  <c r="Q11"/>
  <c r="CV11"/>
  <c r="P11"/>
  <c r="BB11"/>
  <c r="BD11" s="1"/>
  <c r="AX11"/>
  <c r="AI11"/>
  <c r="BJ11"/>
  <c r="AF11"/>
  <c r="M11"/>
  <c r="CP10"/>
  <c r="B10"/>
  <c r="H10"/>
  <c r="Q10"/>
  <c r="CV10"/>
  <c r="P10"/>
  <c r="BB10"/>
  <c r="BD10" s="1"/>
  <c r="AX10"/>
  <c r="AI10"/>
  <c r="BJ10"/>
  <c r="AF10"/>
  <c r="M10"/>
  <c r="Q9"/>
  <c r="CV9"/>
  <c r="P9"/>
  <c r="CP9"/>
  <c r="H9" s="1"/>
  <c r="B9"/>
  <c r="BB9"/>
  <c r="BD9" s="1"/>
  <c r="AX9"/>
  <c r="AI9"/>
  <c r="AF9"/>
  <c r="M9"/>
  <c r="L8" i="64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7"/>
  <c r="CF8" i="73"/>
  <c r="Q8" s="1"/>
  <c r="R8" s="1"/>
  <c r="CF7"/>
  <c r="P7" s="1"/>
  <c r="BL7"/>
  <c r="B7" s="1"/>
  <c r="BL8"/>
  <c r="B8" s="1"/>
  <c r="E8" s="1"/>
  <c r="AT46"/>
  <c r="AT43"/>
  <c r="AS39"/>
  <c r="AQ39"/>
  <c r="AP39"/>
  <c r="AD39"/>
  <c r="AC39"/>
  <c r="Z39"/>
  <c r="Z41" s="1"/>
  <c r="Y39"/>
  <c r="CI38"/>
  <c r="CM39" s="1"/>
  <c r="CH38"/>
  <c r="CL39" s="1"/>
  <c r="CG38"/>
  <c r="CK39" s="1"/>
  <c r="BQ38"/>
  <c r="BX39" s="1"/>
  <c r="BP38"/>
  <c r="CD39" s="1"/>
  <c r="BO38"/>
  <c r="BV39" s="1"/>
  <c r="BN38"/>
  <c r="CB39" s="1"/>
  <c r="BM38"/>
  <c r="BT39" s="1"/>
  <c r="BK38"/>
  <c r="BR39" s="1"/>
  <c r="BG38"/>
  <c r="AW38"/>
  <c r="AW39" s="1"/>
  <c r="AV38"/>
  <c r="AV39" s="1"/>
  <c r="AU38"/>
  <c r="AU39" s="1"/>
  <c r="AT38"/>
  <c r="AT39" s="1"/>
  <c r="AM38"/>
  <c r="AM39" s="1"/>
  <c r="AL38"/>
  <c r="AL39" s="1"/>
  <c r="AJ38"/>
  <c r="AJ39" s="1"/>
  <c r="AH38"/>
  <c r="AH39" s="1"/>
  <c r="AG38"/>
  <c r="AG39" s="1"/>
  <c r="AE38"/>
  <c r="AE39" s="1"/>
  <c r="AD38"/>
  <c r="W38"/>
  <c r="W39" s="1"/>
  <c r="V38"/>
  <c r="V39" s="1"/>
  <c r="S38"/>
  <c r="S39" s="1"/>
  <c r="G38"/>
  <c r="G39" s="1"/>
  <c r="G41" s="1"/>
  <c r="CT38"/>
  <c r="CY8"/>
  <c r="CX8"/>
  <c r="CW8"/>
  <c r="CU8"/>
  <c r="CT8"/>
  <c r="CS8"/>
  <c r="CR8"/>
  <c r="CQ8"/>
  <c r="CP8"/>
  <c r="CO8"/>
  <c r="BG8"/>
  <c r="BA8"/>
  <c r="AY8"/>
  <c r="BI8" s="1"/>
  <c r="AN8"/>
  <c r="AF8"/>
  <c r="P8"/>
  <c r="O8"/>
  <c r="N8"/>
  <c r="M8"/>
  <c r="K8"/>
  <c r="J8"/>
  <c r="DD8" s="1"/>
  <c r="DG8" s="1"/>
  <c r="DH8" s="1"/>
  <c r="I8"/>
  <c r="CY7"/>
  <c r="CY38" s="1"/>
  <c r="CX7"/>
  <c r="CX38" s="1"/>
  <c r="CW7"/>
  <c r="CW38" s="1"/>
  <c r="CV7"/>
  <c r="CU7"/>
  <c r="CT7"/>
  <c r="CS7"/>
  <c r="CS38" s="1"/>
  <c r="CR7"/>
  <c r="CQ7"/>
  <c r="CQ38" s="1"/>
  <c r="CO7"/>
  <c r="BI7"/>
  <c r="BG7"/>
  <c r="BJ7" s="1"/>
  <c r="BB7"/>
  <c r="BA7"/>
  <c r="AY7"/>
  <c r="AX7"/>
  <c r="AN7"/>
  <c r="AI7"/>
  <c r="AF7"/>
  <c r="O7"/>
  <c r="N7"/>
  <c r="L38"/>
  <c r="L39" s="1"/>
  <c r="K7"/>
  <c r="J7"/>
  <c r="DD7" s="1"/>
  <c r="I7"/>
  <c r="AF23" i="67"/>
  <c r="Q8" i="72"/>
  <c r="R8" s="1"/>
  <c r="T8" s="1"/>
  <c r="Q9"/>
  <c r="Q10"/>
  <c r="R10" s="1"/>
  <c r="Q11"/>
  <c r="R11" s="1"/>
  <c r="T11" s="1"/>
  <c r="Q12"/>
  <c r="R12" s="1"/>
  <c r="Q13"/>
  <c r="R13" s="1"/>
  <c r="T13" s="1"/>
  <c r="Q14"/>
  <c r="R14" s="1"/>
  <c r="Q15"/>
  <c r="R15" s="1"/>
  <c r="T15" s="1"/>
  <c r="Q16"/>
  <c r="R16" s="1"/>
  <c r="Q17"/>
  <c r="R17" s="1"/>
  <c r="T17" s="1"/>
  <c r="Q18"/>
  <c r="R18" s="1"/>
  <c r="Q19"/>
  <c r="R19" s="1"/>
  <c r="T19" s="1"/>
  <c r="Q20"/>
  <c r="R20" s="1"/>
  <c r="Q21"/>
  <c r="R21" s="1"/>
  <c r="T21" s="1"/>
  <c r="Q22"/>
  <c r="R22" s="1"/>
  <c r="Q23"/>
  <c r="R23" s="1"/>
  <c r="T23" s="1"/>
  <c r="Q24"/>
  <c r="R24" s="1"/>
  <c r="T24" s="1"/>
  <c r="Q25"/>
  <c r="R25" s="1"/>
  <c r="T25" s="1"/>
  <c r="Q26"/>
  <c r="Q27"/>
  <c r="R27" s="1"/>
  <c r="Q28"/>
  <c r="R28" s="1"/>
  <c r="T28" s="1"/>
  <c r="Q29"/>
  <c r="R29" s="1"/>
  <c r="T29" s="1"/>
  <c r="Q30"/>
  <c r="Q31"/>
  <c r="R31" s="1"/>
  <c r="Q32"/>
  <c r="R32" s="1"/>
  <c r="T32" s="1"/>
  <c r="Q33"/>
  <c r="Q34"/>
  <c r="R34" s="1"/>
  <c r="T34" s="1"/>
  <c r="Q35"/>
  <c r="Q36"/>
  <c r="R36" s="1"/>
  <c r="T36" s="1"/>
  <c r="Q37"/>
  <c r="Q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7"/>
  <c r="J8"/>
  <c r="DD8" s="1"/>
  <c r="DG8" s="1"/>
  <c r="DH8" s="1"/>
  <c r="J9"/>
  <c r="DD9" s="1"/>
  <c r="DG9" s="1"/>
  <c r="DH9" s="1"/>
  <c r="J10"/>
  <c r="DD10" s="1"/>
  <c r="DG10" s="1"/>
  <c r="DH10" s="1"/>
  <c r="J11"/>
  <c r="DD11" s="1"/>
  <c r="DG11" s="1"/>
  <c r="DH11" s="1"/>
  <c r="J12"/>
  <c r="DD12" s="1"/>
  <c r="DG12" s="1"/>
  <c r="DH12" s="1"/>
  <c r="J13"/>
  <c r="DD13" s="1"/>
  <c r="DG13" s="1"/>
  <c r="DH13" s="1"/>
  <c r="J14"/>
  <c r="DD14" s="1"/>
  <c r="DG14" s="1"/>
  <c r="DH14" s="1"/>
  <c r="J15"/>
  <c r="DD15" s="1"/>
  <c r="DG15" s="1"/>
  <c r="DH15" s="1"/>
  <c r="J16"/>
  <c r="DD16" s="1"/>
  <c r="DG16" s="1"/>
  <c r="DH16" s="1"/>
  <c r="J17"/>
  <c r="DD17" s="1"/>
  <c r="DG17" s="1"/>
  <c r="DH17" s="1"/>
  <c r="J18"/>
  <c r="DD18" s="1"/>
  <c r="DG18" s="1"/>
  <c r="DH18" s="1"/>
  <c r="J19"/>
  <c r="DD19" s="1"/>
  <c r="DG19" s="1"/>
  <c r="DH19" s="1"/>
  <c r="J20"/>
  <c r="DD20" s="1"/>
  <c r="DG20" s="1"/>
  <c r="DH20" s="1"/>
  <c r="J21"/>
  <c r="DD21" s="1"/>
  <c r="DG21" s="1"/>
  <c r="DH21" s="1"/>
  <c r="J22"/>
  <c r="DD22" s="1"/>
  <c r="DG22" s="1"/>
  <c r="DH22" s="1"/>
  <c r="J23"/>
  <c r="DD23" s="1"/>
  <c r="DG23" s="1"/>
  <c r="DH23" s="1"/>
  <c r="J24"/>
  <c r="DD24" s="1"/>
  <c r="DG24" s="1"/>
  <c r="DH24" s="1"/>
  <c r="J25"/>
  <c r="DD25" s="1"/>
  <c r="DG25" s="1"/>
  <c r="DH25" s="1"/>
  <c r="J26"/>
  <c r="DD26" s="1"/>
  <c r="DG26" s="1"/>
  <c r="DH26" s="1"/>
  <c r="J27"/>
  <c r="DD27" s="1"/>
  <c r="DG27" s="1"/>
  <c r="DH27" s="1"/>
  <c r="J28"/>
  <c r="DD28" s="1"/>
  <c r="DG28" s="1"/>
  <c r="DH28" s="1"/>
  <c r="J29"/>
  <c r="DD29" s="1"/>
  <c r="DG29" s="1"/>
  <c r="DH29" s="1"/>
  <c r="J30"/>
  <c r="DD30" s="1"/>
  <c r="DG30" s="1"/>
  <c r="DH30" s="1"/>
  <c r="J31"/>
  <c r="DD31" s="1"/>
  <c r="DG31" s="1"/>
  <c r="DH31" s="1"/>
  <c r="J32"/>
  <c r="DD32" s="1"/>
  <c r="DG32" s="1"/>
  <c r="DH32" s="1"/>
  <c r="J33"/>
  <c r="DD33" s="1"/>
  <c r="DG33" s="1"/>
  <c r="DH33" s="1"/>
  <c r="J34"/>
  <c r="DD34" s="1"/>
  <c r="DG34" s="1"/>
  <c r="DH34" s="1"/>
  <c r="J35"/>
  <c r="DD35" s="1"/>
  <c r="DG35" s="1"/>
  <c r="DH35" s="1"/>
  <c r="J36"/>
  <c r="DD36" s="1"/>
  <c r="DG36" s="1"/>
  <c r="DH36" s="1"/>
  <c r="J37"/>
  <c r="DD37" s="1"/>
  <c r="DG37" s="1"/>
  <c r="J7"/>
  <c r="DD7" s="1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7"/>
  <c r="AT46"/>
  <c r="AT43"/>
  <c r="AS39"/>
  <c r="AQ39"/>
  <c r="AP39"/>
  <c r="AD39"/>
  <c r="AC39"/>
  <c r="Z39"/>
  <c r="Z41" s="1"/>
  <c r="Y39"/>
  <c r="CI38"/>
  <c r="CM39" s="1"/>
  <c r="CH38"/>
  <c r="CL39" s="1"/>
  <c r="CG38"/>
  <c r="CK39" s="1"/>
  <c r="CF38"/>
  <c r="CJ39" s="1"/>
  <c r="BQ38"/>
  <c r="BX39" s="1"/>
  <c r="BP38"/>
  <c r="CD39" s="1"/>
  <c r="BO38"/>
  <c r="BV39" s="1"/>
  <c r="BN38"/>
  <c r="CB39" s="1"/>
  <c r="BM38"/>
  <c r="BT39" s="1"/>
  <c r="BL38"/>
  <c r="BZ39" s="1"/>
  <c r="BK38"/>
  <c r="BG38"/>
  <c r="AW38"/>
  <c r="AW39" s="1"/>
  <c r="AV38"/>
  <c r="AV39" s="1"/>
  <c r="AU38"/>
  <c r="AU39" s="1"/>
  <c r="AT38"/>
  <c r="AT39" s="1"/>
  <c r="AM38"/>
  <c r="AM39" s="1"/>
  <c r="AL38"/>
  <c r="AL39" s="1"/>
  <c r="AJ38"/>
  <c r="AJ39" s="1"/>
  <c r="AH38"/>
  <c r="AH39" s="1"/>
  <c r="AG38"/>
  <c r="AG39" s="1"/>
  <c r="AE38"/>
  <c r="AE39" s="1"/>
  <c r="AD38"/>
  <c r="W38"/>
  <c r="W39" s="1"/>
  <c r="V38"/>
  <c r="V39" s="1"/>
  <c r="S38"/>
  <c r="S39" s="1"/>
  <c r="G38"/>
  <c r="G39" s="1"/>
  <c r="G41" s="1"/>
  <c r="DH37"/>
  <c r="AZ37" s="1"/>
  <c r="CY37"/>
  <c r="CX37"/>
  <c r="CW37"/>
  <c r="CV37"/>
  <c r="CU37"/>
  <c r="CT37"/>
  <c r="CS37"/>
  <c r="CR37"/>
  <c r="CQ37"/>
  <c r="CP37"/>
  <c r="CO37"/>
  <c r="DJ37" s="1"/>
  <c r="BA37"/>
  <c r="AY37"/>
  <c r="AN37"/>
  <c r="AF37"/>
  <c r="P37"/>
  <c r="M37"/>
  <c r="K37"/>
  <c r="I37"/>
  <c r="CY36"/>
  <c r="CX36"/>
  <c r="CW36"/>
  <c r="CV36"/>
  <c r="CU36"/>
  <c r="CT36"/>
  <c r="CS36"/>
  <c r="CR36"/>
  <c r="CQ36"/>
  <c r="CP36"/>
  <c r="CO36"/>
  <c r="BA36"/>
  <c r="AY36"/>
  <c r="AN36"/>
  <c r="AF36"/>
  <c r="P36"/>
  <c r="M36"/>
  <c r="K36"/>
  <c r="I36"/>
  <c r="CY35"/>
  <c r="CX35"/>
  <c r="CW35"/>
  <c r="CV35"/>
  <c r="CU35"/>
  <c r="CT35"/>
  <c r="CS35"/>
  <c r="CR35"/>
  <c r="CQ35"/>
  <c r="CP35"/>
  <c r="CO35"/>
  <c r="BA35"/>
  <c r="AY35"/>
  <c r="AN35"/>
  <c r="AF35"/>
  <c r="P35"/>
  <c r="M35"/>
  <c r="K35"/>
  <c r="I35"/>
  <c r="CY34"/>
  <c r="CX34"/>
  <c r="CW34"/>
  <c r="CV34"/>
  <c r="CU34"/>
  <c r="CT34"/>
  <c r="CS34"/>
  <c r="CR34"/>
  <c r="CQ34"/>
  <c r="CP34"/>
  <c r="CO34"/>
  <c r="BA34"/>
  <c r="AY34"/>
  <c r="AN34"/>
  <c r="AF34"/>
  <c r="P34"/>
  <c r="M34"/>
  <c r="K34"/>
  <c r="I34"/>
  <c r="CY33"/>
  <c r="CX33"/>
  <c r="CW33"/>
  <c r="CV33"/>
  <c r="CU33"/>
  <c r="CT33"/>
  <c r="CS33"/>
  <c r="CR33"/>
  <c r="CQ33"/>
  <c r="CP33"/>
  <c r="CO33"/>
  <c r="DJ33" s="1"/>
  <c r="BA33"/>
  <c r="AY33"/>
  <c r="AN33"/>
  <c r="AF33"/>
  <c r="P33"/>
  <c r="M33"/>
  <c r="K33"/>
  <c r="I33"/>
  <c r="CY32"/>
  <c r="CX32"/>
  <c r="CW32"/>
  <c r="CV32"/>
  <c r="CU32"/>
  <c r="CT32"/>
  <c r="CS32"/>
  <c r="CR32"/>
  <c r="CQ32"/>
  <c r="CP32"/>
  <c r="CO32"/>
  <c r="BA32"/>
  <c r="AY32"/>
  <c r="AN32"/>
  <c r="AF32"/>
  <c r="P32"/>
  <c r="M32"/>
  <c r="K32"/>
  <c r="I32"/>
  <c r="CY31"/>
  <c r="CX31"/>
  <c r="CW31"/>
  <c r="CV31"/>
  <c r="CU31"/>
  <c r="CT31"/>
  <c r="CS31"/>
  <c r="CR31"/>
  <c r="CQ31"/>
  <c r="CP31"/>
  <c r="CO31"/>
  <c r="H31" s="1"/>
  <c r="BG31"/>
  <c r="BA31"/>
  <c r="AY31"/>
  <c r="AX31" s="1"/>
  <c r="AN31"/>
  <c r="AF31"/>
  <c r="P31"/>
  <c r="K31"/>
  <c r="I31"/>
  <c r="CY30"/>
  <c r="CX30"/>
  <c r="CW30"/>
  <c r="CV30"/>
  <c r="CU30"/>
  <c r="CT30"/>
  <c r="CS30"/>
  <c r="CR30"/>
  <c r="CQ30"/>
  <c r="CP30"/>
  <c r="CO30"/>
  <c r="BA30"/>
  <c r="AY30"/>
  <c r="AN30"/>
  <c r="AF30"/>
  <c r="P30"/>
  <c r="M30"/>
  <c r="K30"/>
  <c r="I30"/>
  <c r="CY29"/>
  <c r="CX29"/>
  <c r="CW29"/>
  <c r="CV29"/>
  <c r="CU29"/>
  <c r="CT29"/>
  <c r="CS29"/>
  <c r="CR29"/>
  <c r="CQ29"/>
  <c r="CP29"/>
  <c r="CO29"/>
  <c r="BG29"/>
  <c r="BA29"/>
  <c r="AY29"/>
  <c r="AX29" s="1"/>
  <c r="AN29"/>
  <c r="AF29"/>
  <c r="P29"/>
  <c r="K29"/>
  <c r="I29"/>
  <c r="CY28"/>
  <c r="CX28"/>
  <c r="CW28"/>
  <c r="CV28"/>
  <c r="CU28"/>
  <c r="CT28"/>
  <c r="CS28"/>
  <c r="CR28"/>
  <c r="CQ28"/>
  <c r="CP28"/>
  <c r="CO28"/>
  <c r="BA28"/>
  <c r="AY28"/>
  <c r="AN28"/>
  <c r="AF28"/>
  <c r="P28"/>
  <c r="K28"/>
  <c r="I28"/>
  <c r="CY27"/>
  <c r="CX27"/>
  <c r="CW27"/>
  <c r="CV27"/>
  <c r="CU27"/>
  <c r="CT27"/>
  <c r="CS27"/>
  <c r="CR27"/>
  <c r="CQ27"/>
  <c r="CP27"/>
  <c r="CO27"/>
  <c r="H27" s="1"/>
  <c r="BG27"/>
  <c r="BA27"/>
  <c r="AY27"/>
  <c r="AX27" s="1"/>
  <c r="AN27"/>
  <c r="AF27"/>
  <c r="P27"/>
  <c r="K27"/>
  <c r="I27"/>
  <c r="CY26"/>
  <c r="CX26"/>
  <c r="CW26"/>
  <c r="CV26"/>
  <c r="CU26"/>
  <c r="CT26"/>
  <c r="CS26"/>
  <c r="CR26"/>
  <c r="CQ26"/>
  <c r="CP26"/>
  <c r="CO26"/>
  <c r="BA26"/>
  <c r="AY26"/>
  <c r="AN26"/>
  <c r="AF26"/>
  <c r="P26"/>
  <c r="K26"/>
  <c r="I26"/>
  <c r="CY25"/>
  <c r="CX25"/>
  <c r="CW25"/>
  <c r="CV25"/>
  <c r="CU25"/>
  <c r="CT25"/>
  <c r="CS25"/>
  <c r="CR25"/>
  <c r="CQ25"/>
  <c r="CP25"/>
  <c r="CO25"/>
  <c r="BG25"/>
  <c r="BA25"/>
  <c r="AY25"/>
  <c r="BI25" s="1"/>
  <c r="AN25"/>
  <c r="AF25"/>
  <c r="P25"/>
  <c r="K25"/>
  <c r="I25"/>
  <c r="H25"/>
  <c r="CY24"/>
  <c r="CX24"/>
  <c r="CW24"/>
  <c r="CV24"/>
  <c r="CU24"/>
  <c r="CT24"/>
  <c r="CS24"/>
  <c r="CR24"/>
  <c r="CQ24"/>
  <c r="CP24"/>
  <c r="CO24"/>
  <c r="BA24"/>
  <c r="AY24"/>
  <c r="AN24"/>
  <c r="AF24"/>
  <c r="P24"/>
  <c r="K24"/>
  <c r="I24"/>
  <c r="CY23"/>
  <c r="CX23"/>
  <c r="CW23"/>
  <c r="CV23"/>
  <c r="CU23"/>
  <c r="CT23"/>
  <c r="CS23"/>
  <c r="CR23"/>
  <c r="CQ23"/>
  <c r="CP23"/>
  <c r="CO23"/>
  <c r="BG23"/>
  <c r="BA23"/>
  <c r="AY23"/>
  <c r="AF23" s="1"/>
  <c r="AN23"/>
  <c r="P23"/>
  <c r="K23"/>
  <c r="I23"/>
  <c r="CY22"/>
  <c r="CX22"/>
  <c r="CW22"/>
  <c r="CV22"/>
  <c r="CU22"/>
  <c r="CT22"/>
  <c r="CS22"/>
  <c r="CR22"/>
  <c r="CQ22"/>
  <c r="CP22"/>
  <c r="CO22"/>
  <c r="BG22"/>
  <c r="BA22"/>
  <c r="AY22"/>
  <c r="AN22"/>
  <c r="AF22"/>
  <c r="P22"/>
  <c r="K22"/>
  <c r="I22"/>
  <c r="CY21"/>
  <c r="CX21"/>
  <c r="CW21"/>
  <c r="CV21"/>
  <c r="CU21"/>
  <c r="CT21"/>
  <c r="CS21"/>
  <c r="CR21"/>
  <c r="CQ21"/>
  <c r="CP21"/>
  <c r="CO21"/>
  <c r="BG21"/>
  <c r="BA21"/>
  <c r="AY21"/>
  <c r="BI21" s="1"/>
  <c r="AN21"/>
  <c r="AF21"/>
  <c r="P21"/>
  <c r="K21"/>
  <c r="I21"/>
  <c r="H21"/>
  <c r="CY20"/>
  <c r="CX20"/>
  <c r="CW20"/>
  <c r="CV20"/>
  <c r="CU20"/>
  <c r="CT20"/>
  <c r="CS20"/>
  <c r="CR20"/>
  <c r="CQ20"/>
  <c r="CP20"/>
  <c r="CO20"/>
  <c r="BG20"/>
  <c r="BA20"/>
  <c r="AY20"/>
  <c r="M20" s="1"/>
  <c r="AN20"/>
  <c r="AF20"/>
  <c r="P20"/>
  <c r="K20"/>
  <c r="I20"/>
  <c r="CY19"/>
  <c r="CX19"/>
  <c r="CW19"/>
  <c r="CV19"/>
  <c r="CU19"/>
  <c r="CT19"/>
  <c r="CS19"/>
  <c r="CR19"/>
  <c r="CQ19"/>
  <c r="H19" s="1"/>
  <c r="CP19"/>
  <c r="CO19"/>
  <c r="BG19"/>
  <c r="BA19"/>
  <c r="AY19"/>
  <c r="BI19" s="1"/>
  <c r="AN19"/>
  <c r="AF19"/>
  <c r="P19"/>
  <c r="K19"/>
  <c r="I19"/>
  <c r="CY18"/>
  <c r="CX18"/>
  <c r="CW18"/>
  <c r="CV18"/>
  <c r="CU18"/>
  <c r="M18" s="1"/>
  <c r="CT18"/>
  <c r="CS18"/>
  <c r="CR18"/>
  <c r="CQ18"/>
  <c r="CP18"/>
  <c r="CO18"/>
  <c r="BG18"/>
  <c r="BA18"/>
  <c r="AY18"/>
  <c r="AN18"/>
  <c r="AF18"/>
  <c r="P18"/>
  <c r="K18"/>
  <c r="I18"/>
  <c r="CY17"/>
  <c r="CX17"/>
  <c r="CW17"/>
  <c r="CV17"/>
  <c r="CU17"/>
  <c r="CT17"/>
  <c r="CS17"/>
  <c r="CR17"/>
  <c r="CQ17"/>
  <c r="H17" s="1"/>
  <c r="CP17"/>
  <c r="CO17"/>
  <c r="BG17"/>
  <c r="BA17"/>
  <c r="AY17"/>
  <c r="AX17" s="1"/>
  <c r="AN17"/>
  <c r="AF17"/>
  <c r="P17"/>
  <c r="K17"/>
  <c r="I17"/>
  <c r="CY16"/>
  <c r="CX16"/>
  <c r="CW16"/>
  <c r="CV16"/>
  <c r="CU16"/>
  <c r="CT16"/>
  <c r="CS16"/>
  <c r="CR16"/>
  <c r="CQ16"/>
  <c r="CP16"/>
  <c r="CO16"/>
  <c r="BG16"/>
  <c r="BA16"/>
  <c r="AY16"/>
  <c r="AN16"/>
  <c r="AF16"/>
  <c r="P16"/>
  <c r="M16"/>
  <c r="K16"/>
  <c r="I16"/>
  <c r="CY15"/>
  <c r="CX15"/>
  <c r="CW15"/>
  <c r="CV15"/>
  <c r="CU15"/>
  <c r="CT15"/>
  <c r="CS15"/>
  <c r="CR15"/>
  <c r="CQ15"/>
  <c r="CP15"/>
  <c r="CO15"/>
  <c r="BG15"/>
  <c r="BA15"/>
  <c r="AY15"/>
  <c r="AX15" s="1"/>
  <c r="AN15"/>
  <c r="AF15"/>
  <c r="P15"/>
  <c r="K15"/>
  <c r="I15"/>
  <c r="CY14"/>
  <c r="CX14"/>
  <c r="CW14"/>
  <c r="CV14"/>
  <c r="CU14"/>
  <c r="CT14"/>
  <c r="CS14"/>
  <c r="CR14"/>
  <c r="CQ14"/>
  <c r="CP14"/>
  <c r="CO14"/>
  <c r="BG14"/>
  <c r="BA14"/>
  <c r="AY14"/>
  <c r="M14" s="1"/>
  <c r="AN14"/>
  <c r="AF14"/>
  <c r="P14"/>
  <c r="K14"/>
  <c r="I14"/>
  <c r="CY13"/>
  <c r="CX13"/>
  <c r="CW13"/>
  <c r="CV13"/>
  <c r="CU13"/>
  <c r="CT13"/>
  <c r="CS13"/>
  <c r="CR13"/>
  <c r="CQ13"/>
  <c r="CP13"/>
  <c r="CO13"/>
  <c r="BG13"/>
  <c r="BA13"/>
  <c r="AY13"/>
  <c r="BI13" s="1"/>
  <c r="AN13"/>
  <c r="AF13"/>
  <c r="P13"/>
  <c r="K13"/>
  <c r="I13"/>
  <c r="CY12"/>
  <c r="CX12"/>
  <c r="CW12"/>
  <c r="CV12"/>
  <c r="CU12"/>
  <c r="CT12"/>
  <c r="CS12"/>
  <c r="CR12"/>
  <c r="CQ12"/>
  <c r="CP12"/>
  <c r="CO12"/>
  <c r="BG12"/>
  <c r="BA12"/>
  <c r="AY12"/>
  <c r="M12" s="1"/>
  <c r="AN12"/>
  <c r="AF12"/>
  <c r="P12"/>
  <c r="K12"/>
  <c r="I12"/>
  <c r="CY11"/>
  <c r="CX11"/>
  <c r="CW11"/>
  <c r="CV11"/>
  <c r="CU11"/>
  <c r="CT11"/>
  <c r="CS11"/>
  <c r="CR11"/>
  <c r="CQ11"/>
  <c r="CP11"/>
  <c r="CO11"/>
  <c r="BG11"/>
  <c r="BA11"/>
  <c r="AY11"/>
  <c r="BI11" s="1"/>
  <c r="AN11"/>
  <c r="AF11"/>
  <c r="P11"/>
  <c r="K11"/>
  <c r="I11"/>
  <c r="CY10"/>
  <c r="CX10"/>
  <c r="CW10"/>
  <c r="CV10"/>
  <c r="CU10"/>
  <c r="CT10"/>
  <c r="CS10"/>
  <c r="CR10"/>
  <c r="CQ10"/>
  <c r="CP10"/>
  <c r="CO10"/>
  <c r="BG10"/>
  <c r="BA10"/>
  <c r="AY10"/>
  <c r="AN10"/>
  <c r="AF10"/>
  <c r="P10"/>
  <c r="K10"/>
  <c r="I10"/>
  <c r="CY9"/>
  <c r="CX9"/>
  <c r="CW9"/>
  <c r="CV9"/>
  <c r="CU9"/>
  <c r="CT9"/>
  <c r="CS9"/>
  <c r="CR9"/>
  <c r="CQ9"/>
  <c r="CP9"/>
  <c r="CO9"/>
  <c r="BG9"/>
  <c r="BA9"/>
  <c r="AY9"/>
  <c r="AX9" s="1"/>
  <c r="AN9"/>
  <c r="AF9"/>
  <c r="P9"/>
  <c r="M9"/>
  <c r="K9"/>
  <c r="I9"/>
  <c r="CY8"/>
  <c r="CX8"/>
  <c r="CW8"/>
  <c r="CV8"/>
  <c r="CU8"/>
  <c r="CT8"/>
  <c r="CS8"/>
  <c r="CR8"/>
  <c r="CQ8"/>
  <c r="CP8"/>
  <c r="CO8"/>
  <c r="BG8"/>
  <c r="BA8"/>
  <c r="AY8"/>
  <c r="AX8" s="1"/>
  <c r="AN8"/>
  <c r="AF8"/>
  <c r="P8"/>
  <c r="K8"/>
  <c r="I8"/>
  <c r="CY7"/>
  <c r="CX7"/>
  <c r="CW7"/>
  <c r="CV7"/>
  <c r="CU7"/>
  <c r="CT7"/>
  <c r="CS7"/>
  <c r="CR7"/>
  <c r="CR38" s="1"/>
  <c r="CQ7"/>
  <c r="CP7"/>
  <c r="CO7"/>
  <c r="BG7"/>
  <c r="BH7" s="1"/>
  <c r="BA7"/>
  <c r="AY7"/>
  <c r="M7" s="1"/>
  <c r="AN7"/>
  <c r="AF7"/>
  <c r="P7"/>
  <c r="K7"/>
  <c r="I7"/>
  <c r="N23" i="67"/>
  <c r="N24"/>
  <c r="N25"/>
  <c r="I36" i="70"/>
  <c r="J36"/>
  <c r="DD36" s="1"/>
  <c r="DG36" s="1"/>
  <c r="DH36" s="1"/>
  <c r="K36"/>
  <c r="N36"/>
  <c r="O36"/>
  <c r="BA36"/>
  <c r="BG36"/>
  <c r="BH36" s="1"/>
  <c r="CO36"/>
  <c r="CQ36"/>
  <c r="CR36"/>
  <c r="CS36"/>
  <c r="CT36"/>
  <c r="CU36"/>
  <c r="CW36"/>
  <c r="CX36"/>
  <c r="CY36"/>
  <c r="DK36"/>
  <c r="AT36" s="1"/>
  <c r="DM36"/>
  <c r="BL36" s="1"/>
  <c r="DO36"/>
  <c r="CF36" s="1"/>
  <c r="DQ36"/>
  <c r="V36" s="1"/>
  <c r="I35"/>
  <c r="J35"/>
  <c r="DD35" s="1"/>
  <c r="DG35" s="1"/>
  <c r="DH35" s="1"/>
  <c r="K35"/>
  <c r="N35"/>
  <c r="O35"/>
  <c r="BA35"/>
  <c r="BG35"/>
  <c r="BH35" s="1"/>
  <c r="CO35"/>
  <c r="CQ35"/>
  <c r="CR35"/>
  <c r="CS35"/>
  <c r="CT35"/>
  <c r="CU35"/>
  <c r="CW35"/>
  <c r="CX35"/>
  <c r="CY35"/>
  <c r="DK35"/>
  <c r="AT35" s="1"/>
  <c r="DM35"/>
  <c r="BL35" s="1"/>
  <c r="DO35"/>
  <c r="CF35" s="1"/>
  <c r="DQ35"/>
  <c r="V35" s="1"/>
  <c r="I34"/>
  <c r="J34"/>
  <c r="DD34" s="1"/>
  <c r="DG34" s="1"/>
  <c r="DH34" s="1"/>
  <c r="K34"/>
  <c r="N34"/>
  <c r="O34"/>
  <c r="BA34"/>
  <c r="BG34"/>
  <c r="BH34" s="1"/>
  <c r="CO34"/>
  <c r="CQ34"/>
  <c r="CR34"/>
  <c r="CS34"/>
  <c r="CT34"/>
  <c r="CU34"/>
  <c r="CW34"/>
  <c r="CX34"/>
  <c r="CY34"/>
  <c r="DK34"/>
  <c r="AT34" s="1"/>
  <c r="DM34"/>
  <c r="BL34" s="1"/>
  <c r="DO34"/>
  <c r="CF34" s="1"/>
  <c r="DQ34"/>
  <c r="V34" s="1"/>
  <c r="I33"/>
  <c r="J33"/>
  <c r="DD33" s="1"/>
  <c r="DG33" s="1"/>
  <c r="DH33" s="1"/>
  <c r="K33"/>
  <c r="N33"/>
  <c r="O33"/>
  <c r="V33"/>
  <c r="BA33"/>
  <c r="BG33"/>
  <c r="BH33" s="1"/>
  <c r="CO33"/>
  <c r="CQ33"/>
  <c r="CR33"/>
  <c r="CS33"/>
  <c r="CT33"/>
  <c r="CU33"/>
  <c r="CW33"/>
  <c r="CX33"/>
  <c r="CY33"/>
  <c r="DK33"/>
  <c r="AT33" s="1"/>
  <c r="DM33"/>
  <c r="BL33" s="1"/>
  <c r="DO33"/>
  <c r="CF33" s="1"/>
  <c r="I32"/>
  <c r="J32"/>
  <c r="DD32" s="1"/>
  <c r="DG32" s="1"/>
  <c r="DH32" s="1"/>
  <c r="K32"/>
  <c r="N32"/>
  <c r="O32"/>
  <c r="BA32"/>
  <c r="BG32"/>
  <c r="BH32" s="1"/>
  <c r="CO32"/>
  <c r="CQ32"/>
  <c r="CR32"/>
  <c r="CS32"/>
  <c r="CT32"/>
  <c r="CU32"/>
  <c r="CW32"/>
  <c r="CX32"/>
  <c r="CY32"/>
  <c r="DK32"/>
  <c r="AT32" s="1"/>
  <c r="DM32"/>
  <c r="BL32" s="1"/>
  <c r="DO32"/>
  <c r="CF32" s="1"/>
  <c r="DQ32"/>
  <c r="V32" s="1"/>
  <c r="I31"/>
  <c r="J31"/>
  <c r="DD31" s="1"/>
  <c r="DG31" s="1"/>
  <c r="DH31" s="1"/>
  <c r="K31"/>
  <c r="N31"/>
  <c r="O31"/>
  <c r="BA31"/>
  <c r="BG31"/>
  <c r="BH31" s="1"/>
  <c r="CO31"/>
  <c r="CQ31"/>
  <c r="CR31"/>
  <c r="CS31"/>
  <c r="CT31"/>
  <c r="CU31"/>
  <c r="CW31"/>
  <c r="CX31"/>
  <c r="CY31"/>
  <c r="DK31"/>
  <c r="AT31" s="1"/>
  <c r="DM31"/>
  <c r="BL31" s="1"/>
  <c r="DO31"/>
  <c r="CF31" s="1"/>
  <c r="DQ31"/>
  <c r="V31" s="1"/>
  <c r="I30"/>
  <c r="J30"/>
  <c r="DD30" s="1"/>
  <c r="DG30" s="1"/>
  <c r="DH30" s="1"/>
  <c r="K30"/>
  <c r="N30"/>
  <c r="O30"/>
  <c r="BA30"/>
  <c r="BG30"/>
  <c r="BH30" s="1"/>
  <c r="CO30"/>
  <c r="CQ30"/>
  <c r="CR30"/>
  <c r="CS30"/>
  <c r="CT30"/>
  <c r="CU30"/>
  <c r="CW30"/>
  <c r="CX30"/>
  <c r="CY30"/>
  <c r="DK30"/>
  <c r="AT30" s="1"/>
  <c r="DM30"/>
  <c r="BL30" s="1"/>
  <c r="DO30"/>
  <c r="CF30" s="1"/>
  <c r="DQ30"/>
  <c r="V30" s="1"/>
  <c r="I29"/>
  <c r="J29"/>
  <c r="DD29" s="1"/>
  <c r="DG29" s="1"/>
  <c r="DH29" s="1"/>
  <c r="K29"/>
  <c r="N29"/>
  <c r="O29"/>
  <c r="BA29"/>
  <c r="BG29"/>
  <c r="BH29" s="1"/>
  <c r="CO29"/>
  <c r="CQ29"/>
  <c r="CR29"/>
  <c r="CS29"/>
  <c r="CT29"/>
  <c r="CU29"/>
  <c r="CW29"/>
  <c r="CX29"/>
  <c r="CY29"/>
  <c r="DK29"/>
  <c r="AT29" s="1"/>
  <c r="DM29"/>
  <c r="BL29" s="1"/>
  <c r="DO29"/>
  <c r="CF29" s="1"/>
  <c r="DQ29"/>
  <c r="V29" s="1"/>
  <c r="I28"/>
  <c r="J28"/>
  <c r="DD28" s="1"/>
  <c r="DG28" s="1"/>
  <c r="DH28" s="1"/>
  <c r="K28"/>
  <c r="N28"/>
  <c r="O28"/>
  <c r="BA28"/>
  <c r="BG28"/>
  <c r="BH28" s="1"/>
  <c r="CO28"/>
  <c r="CQ28"/>
  <c r="CR28"/>
  <c r="CS28"/>
  <c r="CT28"/>
  <c r="CU28"/>
  <c r="CW28"/>
  <c r="CX28"/>
  <c r="CY28"/>
  <c r="DK28"/>
  <c r="AT28" s="1"/>
  <c r="DM28"/>
  <c r="BL28" s="1"/>
  <c r="DO28"/>
  <c r="CF28" s="1"/>
  <c r="DQ28"/>
  <c r="V28" s="1"/>
  <c r="I27"/>
  <c r="J27"/>
  <c r="DD27" s="1"/>
  <c r="DG27" s="1"/>
  <c r="DH27" s="1"/>
  <c r="K27"/>
  <c r="N27"/>
  <c r="O27"/>
  <c r="BA27"/>
  <c r="BG27"/>
  <c r="BH27" s="1"/>
  <c r="CO27"/>
  <c r="CQ27"/>
  <c r="CR27"/>
  <c r="CS27"/>
  <c r="CT27"/>
  <c r="CU27"/>
  <c r="CW27"/>
  <c r="CX27"/>
  <c r="CY27"/>
  <c r="DK27"/>
  <c r="AT27" s="1"/>
  <c r="DM27"/>
  <c r="BL27" s="1"/>
  <c r="DO27"/>
  <c r="CF27" s="1"/>
  <c r="DQ27"/>
  <c r="V27" s="1"/>
  <c r="I26"/>
  <c r="J26"/>
  <c r="DD26" s="1"/>
  <c r="DG26" s="1"/>
  <c r="DH26" s="1"/>
  <c r="K26"/>
  <c r="N26"/>
  <c r="O26"/>
  <c r="BA26"/>
  <c r="BG26"/>
  <c r="BH26" s="1"/>
  <c r="CO26"/>
  <c r="CQ26"/>
  <c r="CR26"/>
  <c r="CS26"/>
  <c r="CT26"/>
  <c r="CU26"/>
  <c r="CW26"/>
  <c r="CX26"/>
  <c r="CY26"/>
  <c r="DK26"/>
  <c r="AT26" s="1"/>
  <c r="DM26"/>
  <c r="BL26" s="1"/>
  <c r="DO26"/>
  <c r="CF26" s="1"/>
  <c r="DQ26"/>
  <c r="V26" s="1"/>
  <c r="I25"/>
  <c r="J25"/>
  <c r="DD25" s="1"/>
  <c r="DG25" s="1"/>
  <c r="DH25" s="1"/>
  <c r="K25"/>
  <c r="N25"/>
  <c r="O25"/>
  <c r="BA25"/>
  <c r="BG25"/>
  <c r="BH25" s="1"/>
  <c r="CO25"/>
  <c r="CQ25"/>
  <c r="CR25"/>
  <c r="CS25"/>
  <c r="CT25"/>
  <c r="CU25"/>
  <c r="CW25"/>
  <c r="CX25"/>
  <c r="CY25"/>
  <c r="DK25"/>
  <c r="AT25" s="1"/>
  <c r="DM25"/>
  <c r="BL25" s="1"/>
  <c r="DO25"/>
  <c r="CF25" s="1"/>
  <c r="DQ25"/>
  <c r="V25" s="1"/>
  <c r="I24"/>
  <c r="J24"/>
  <c r="DD24" s="1"/>
  <c r="DG24" s="1"/>
  <c r="DH24" s="1"/>
  <c r="K24"/>
  <c r="N24"/>
  <c r="O24"/>
  <c r="BA24"/>
  <c r="BG24"/>
  <c r="BH24" s="1"/>
  <c r="CO24"/>
  <c r="CQ24"/>
  <c r="CR24"/>
  <c r="CS24"/>
  <c r="CT24"/>
  <c r="CU24"/>
  <c r="CW24"/>
  <c r="CX24"/>
  <c r="CY24"/>
  <c r="DK24"/>
  <c r="AT24" s="1"/>
  <c r="DM24"/>
  <c r="BL24" s="1"/>
  <c r="DO24"/>
  <c r="CF24" s="1"/>
  <c r="DQ24"/>
  <c r="V24" s="1"/>
  <c r="I23"/>
  <c r="J23"/>
  <c r="DD23" s="1"/>
  <c r="DG23" s="1"/>
  <c r="DH23" s="1"/>
  <c r="K23"/>
  <c r="N23"/>
  <c r="O23"/>
  <c r="BA23"/>
  <c r="BG23"/>
  <c r="BH23" s="1"/>
  <c r="BL23"/>
  <c r="B23" s="1"/>
  <c r="CO23"/>
  <c r="CQ23"/>
  <c r="CR23"/>
  <c r="CS23"/>
  <c r="CT23"/>
  <c r="CU23"/>
  <c r="CW23"/>
  <c r="CX23"/>
  <c r="CY23"/>
  <c r="DK23"/>
  <c r="AT23" s="1"/>
  <c r="DM23"/>
  <c r="DO23"/>
  <c r="CF23" s="1"/>
  <c r="DQ23"/>
  <c r="V23" s="1"/>
  <c r="I22"/>
  <c r="J22"/>
  <c r="DD22" s="1"/>
  <c r="DG22" s="1"/>
  <c r="DH22" s="1"/>
  <c r="K22"/>
  <c r="N22"/>
  <c r="O22"/>
  <c r="BA22"/>
  <c r="BG22"/>
  <c r="BH22" s="1"/>
  <c r="CO22"/>
  <c r="CQ22"/>
  <c r="CR22"/>
  <c r="CS22"/>
  <c r="CT22"/>
  <c r="CU22"/>
  <c r="CW22"/>
  <c r="CX22"/>
  <c r="CY22"/>
  <c r="DK22"/>
  <c r="AT22" s="1"/>
  <c r="DM22"/>
  <c r="BL22" s="1"/>
  <c r="DO22"/>
  <c r="CF22" s="1"/>
  <c r="DQ22"/>
  <c r="V22" s="1"/>
  <c r="I21"/>
  <c r="J21"/>
  <c r="DD21" s="1"/>
  <c r="DG21" s="1"/>
  <c r="DH21" s="1"/>
  <c r="K21"/>
  <c r="N21"/>
  <c r="O21"/>
  <c r="BA21"/>
  <c r="BG21"/>
  <c r="BH21" s="1"/>
  <c r="CO21"/>
  <c r="CQ21"/>
  <c r="CR21"/>
  <c r="CS21"/>
  <c r="CT21"/>
  <c r="CU21"/>
  <c r="CW21"/>
  <c r="CX21"/>
  <c r="CY21"/>
  <c r="DK21"/>
  <c r="AT21" s="1"/>
  <c r="DM21"/>
  <c r="BL21" s="1"/>
  <c r="DO21"/>
  <c r="CF21" s="1"/>
  <c r="DQ21"/>
  <c r="V21" s="1"/>
  <c r="I20"/>
  <c r="J20"/>
  <c r="DD20" s="1"/>
  <c r="DG20" s="1"/>
  <c r="DH20" s="1"/>
  <c r="K20"/>
  <c r="N20"/>
  <c r="O20"/>
  <c r="BA20"/>
  <c r="BG20"/>
  <c r="BH20" s="1"/>
  <c r="CO20"/>
  <c r="CQ20"/>
  <c r="CR20"/>
  <c r="CS20"/>
  <c r="CT20"/>
  <c r="CU20"/>
  <c r="CW20"/>
  <c r="CX20"/>
  <c r="CY20"/>
  <c r="DK20"/>
  <c r="AT20" s="1"/>
  <c r="DM20"/>
  <c r="BL20" s="1"/>
  <c r="DO20"/>
  <c r="CF20" s="1"/>
  <c r="DQ20"/>
  <c r="V20" s="1"/>
  <c r="I19"/>
  <c r="J19"/>
  <c r="DD19" s="1"/>
  <c r="DG19" s="1"/>
  <c r="DH19" s="1"/>
  <c r="K19"/>
  <c r="N19"/>
  <c r="O19"/>
  <c r="BA19"/>
  <c r="BG19"/>
  <c r="BH19" s="1"/>
  <c r="CO19"/>
  <c r="CQ19"/>
  <c r="CR19"/>
  <c r="CS19"/>
  <c r="CT19"/>
  <c r="CU19"/>
  <c r="CW19"/>
  <c r="CX19"/>
  <c r="CY19"/>
  <c r="DK19"/>
  <c r="AT19" s="1"/>
  <c r="DM19"/>
  <c r="BL19" s="1"/>
  <c r="DO19"/>
  <c r="CF19" s="1"/>
  <c r="DQ19"/>
  <c r="V19" s="1"/>
  <c r="I18"/>
  <c r="J18"/>
  <c r="DD18" s="1"/>
  <c r="DG18" s="1"/>
  <c r="DH18" s="1"/>
  <c r="K18"/>
  <c r="N18"/>
  <c r="O18"/>
  <c r="BA18"/>
  <c r="BG18"/>
  <c r="BH18" s="1"/>
  <c r="CO18"/>
  <c r="CQ18"/>
  <c r="CR18"/>
  <c r="CS18"/>
  <c r="CT18"/>
  <c r="CU18"/>
  <c r="CW18"/>
  <c r="CX18"/>
  <c r="CY18"/>
  <c r="DK18"/>
  <c r="AT18" s="1"/>
  <c r="DM18"/>
  <c r="BL18" s="1"/>
  <c r="DO18"/>
  <c r="CF18" s="1"/>
  <c r="DQ18"/>
  <c r="V18" s="1"/>
  <c r="I17"/>
  <c r="J17"/>
  <c r="DD17" s="1"/>
  <c r="DG17" s="1"/>
  <c r="DH17" s="1"/>
  <c r="K17"/>
  <c r="N17"/>
  <c r="O17"/>
  <c r="BA17"/>
  <c r="BG17"/>
  <c r="BH17" s="1"/>
  <c r="CO17"/>
  <c r="CQ17"/>
  <c r="CR17"/>
  <c r="CS17"/>
  <c r="CT17"/>
  <c r="CU17"/>
  <c r="CW17"/>
  <c r="CX17"/>
  <c r="CY17"/>
  <c r="DK17"/>
  <c r="AT17" s="1"/>
  <c r="DM17"/>
  <c r="BL17" s="1"/>
  <c r="DO17"/>
  <c r="CF17" s="1"/>
  <c r="DQ17"/>
  <c r="V17" s="1"/>
  <c r="I16"/>
  <c r="J16"/>
  <c r="DD16" s="1"/>
  <c r="DG16" s="1"/>
  <c r="DH16" s="1"/>
  <c r="K16"/>
  <c r="N16"/>
  <c r="O16"/>
  <c r="BA16"/>
  <c r="BG16"/>
  <c r="BH16" s="1"/>
  <c r="CO16"/>
  <c r="CQ16"/>
  <c r="CR16"/>
  <c r="CS16"/>
  <c r="CT16"/>
  <c r="CU16"/>
  <c r="CW16"/>
  <c r="CX16"/>
  <c r="CY16"/>
  <c r="DK16"/>
  <c r="AT16" s="1"/>
  <c r="DM16"/>
  <c r="BL16" s="1"/>
  <c r="DO16"/>
  <c r="CF16" s="1"/>
  <c r="DQ16"/>
  <c r="V16" s="1"/>
  <c r="I15"/>
  <c r="J15"/>
  <c r="DD15" s="1"/>
  <c r="DG15" s="1"/>
  <c r="DH15" s="1"/>
  <c r="K15"/>
  <c r="N15"/>
  <c r="O15"/>
  <c r="BA15"/>
  <c r="BG15"/>
  <c r="BH15" s="1"/>
  <c r="CO15"/>
  <c r="CQ15"/>
  <c r="CR15"/>
  <c r="CS15"/>
  <c r="CT15"/>
  <c r="CU15"/>
  <c r="CW15"/>
  <c r="CX15"/>
  <c r="CY15"/>
  <c r="DK15"/>
  <c r="AT15" s="1"/>
  <c r="DM15"/>
  <c r="BL15" s="1"/>
  <c r="DO15"/>
  <c r="CF15" s="1"/>
  <c r="DQ15"/>
  <c r="V15" s="1"/>
  <c r="I14"/>
  <c r="J14"/>
  <c r="DD14" s="1"/>
  <c r="DG14" s="1"/>
  <c r="DH14" s="1"/>
  <c r="K14"/>
  <c r="N14"/>
  <c r="O14"/>
  <c r="BA14"/>
  <c r="BG14"/>
  <c r="BH14" s="1"/>
  <c r="CO14"/>
  <c r="CQ14"/>
  <c r="CR14"/>
  <c r="CS14"/>
  <c r="CT14"/>
  <c r="CU14"/>
  <c r="CW14"/>
  <c r="CX14"/>
  <c r="CY14"/>
  <c r="DK14"/>
  <c r="AT14" s="1"/>
  <c r="DM14"/>
  <c r="BL14" s="1"/>
  <c r="DO14"/>
  <c r="CF14" s="1"/>
  <c r="DQ14"/>
  <c r="V14" s="1"/>
  <c r="I13"/>
  <c r="J13"/>
  <c r="DD13" s="1"/>
  <c r="DG13" s="1"/>
  <c r="DH13" s="1"/>
  <c r="K13"/>
  <c r="N13"/>
  <c r="O13"/>
  <c r="BA13"/>
  <c r="BG13"/>
  <c r="BH13" s="1"/>
  <c r="CO13"/>
  <c r="CQ13"/>
  <c r="CR13"/>
  <c r="CS13"/>
  <c r="CT13"/>
  <c r="CU13"/>
  <c r="CW13"/>
  <c r="CX13"/>
  <c r="CY13"/>
  <c r="DK13"/>
  <c r="AT13" s="1"/>
  <c r="DM13"/>
  <c r="BL13" s="1"/>
  <c r="DO13"/>
  <c r="CF13" s="1"/>
  <c r="DQ13"/>
  <c r="V13" s="1"/>
  <c r="I12"/>
  <c r="J12"/>
  <c r="DD12" s="1"/>
  <c r="DG12" s="1"/>
  <c r="DH12" s="1"/>
  <c r="K12"/>
  <c r="N12"/>
  <c r="O12"/>
  <c r="BA12"/>
  <c r="BG12"/>
  <c r="BH12" s="1"/>
  <c r="CO12"/>
  <c r="CQ12"/>
  <c r="CR12"/>
  <c r="CS12"/>
  <c r="CT12"/>
  <c r="CU12"/>
  <c r="CW12"/>
  <c r="CX12"/>
  <c r="CY12"/>
  <c r="DK12"/>
  <c r="AT12" s="1"/>
  <c r="DM12"/>
  <c r="BL12" s="1"/>
  <c r="DO12"/>
  <c r="CF12" s="1"/>
  <c r="DQ12"/>
  <c r="V12" s="1"/>
  <c r="I11"/>
  <c r="J11"/>
  <c r="DD11" s="1"/>
  <c r="DG11" s="1"/>
  <c r="DH11" s="1"/>
  <c r="K11"/>
  <c r="N11"/>
  <c r="O11"/>
  <c r="BA11"/>
  <c r="BG11"/>
  <c r="BH11" s="1"/>
  <c r="CO11"/>
  <c r="CQ11"/>
  <c r="CR11"/>
  <c r="CS11"/>
  <c r="CT11"/>
  <c r="CU11"/>
  <c r="CW11"/>
  <c r="CX11"/>
  <c r="CY11"/>
  <c r="DK11"/>
  <c r="AT11" s="1"/>
  <c r="DM11"/>
  <c r="BL11" s="1"/>
  <c r="DO11"/>
  <c r="CF11" s="1"/>
  <c r="DQ11"/>
  <c r="V11" s="1"/>
  <c r="I10"/>
  <c r="J10"/>
  <c r="DD10" s="1"/>
  <c r="DG10" s="1"/>
  <c r="DH10" s="1"/>
  <c r="K10"/>
  <c r="N10"/>
  <c r="O10"/>
  <c r="BA10"/>
  <c r="BG10"/>
  <c r="BH10" s="1"/>
  <c r="CO10"/>
  <c r="CQ10"/>
  <c r="CR10"/>
  <c r="CS10"/>
  <c r="CT10"/>
  <c r="CU10"/>
  <c r="CW10"/>
  <c r="CX10"/>
  <c r="CY10"/>
  <c r="DK10"/>
  <c r="AT10" s="1"/>
  <c r="DM10"/>
  <c r="BL10" s="1"/>
  <c r="DO10"/>
  <c r="CF10" s="1"/>
  <c r="DQ10"/>
  <c r="V10" s="1"/>
  <c r="I9"/>
  <c r="J9"/>
  <c r="DD9" s="1"/>
  <c r="DG9" s="1"/>
  <c r="DH9" s="1"/>
  <c r="K9"/>
  <c r="N9"/>
  <c r="O9"/>
  <c r="V9"/>
  <c r="BA9"/>
  <c r="BG9"/>
  <c r="BH9" s="1"/>
  <c r="BL9"/>
  <c r="B9" s="1"/>
  <c r="CO9"/>
  <c r="CQ9"/>
  <c r="CR9"/>
  <c r="CS9"/>
  <c r="CT9"/>
  <c r="CU9"/>
  <c r="CW9"/>
  <c r="CX9"/>
  <c r="CY9"/>
  <c r="DK9"/>
  <c r="AT9" s="1"/>
  <c r="DM9"/>
  <c r="DO9"/>
  <c r="CF9" s="1"/>
  <c r="V8"/>
  <c r="V7"/>
  <c r="DQ8"/>
  <c r="DQ7"/>
  <c r="Q8"/>
  <c r="Q7"/>
  <c r="CF8"/>
  <c r="CF7"/>
  <c r="DO7"/>
  <c r="DO8"/>
  <c r="B8"/>
  <c r="B7"/>
  <c r="BL8"/>
  <c r="BL7"/>
  <c r="CP7" s="1"/>
  <c r="DM8"/>
  <c r="DM7"/>
  <c r="AT8"/>
  <c r="AT7"/>
  <c r="AY7" s="1"/>
  <c r="DK8"/>
  <c r="DK7"/>
  <c r="AT46"/>
  <c r="AT43"/>
  <c r="AS39"/>
  <c r="AQ39"/>
  <c r="AP39"/>
  <c r="AD39"/>
  <c r="AC39"/>
  <c r="Z39"/>
  <c r="Z41" s="1"/>
  <c r="Y39"/>
  <c r="CI38"/>
  <c r="CM39" s="1"/>
  <c r="CH38"/>
  <c r="CL39" s="1"/>
  <c r="CG38"/>
  <c r="CK39" s="1"/>
  <c r="BQ38"/>
  <c r="BX39" s="1"/>
  <c r="BP38"/>
  <c r="CD39" s="1"/>
  <c r="BO38"/>
  <c r="BV39" s="1"/>
  <c r="BN38"/>
  <c r="CB39" s="1"/>
  <c r="BM38"/>
  <c r="BT39" s="1"/>
  <c r="BK38"/>
  <c r="BR39" s="1"/>
  <c r="BG38"/>
  <c r="AW38"/>
  <c r="AW39" s="1"/>
  <c r="AV38"/>
  <c r="AV39" s="1"/>
  <c r="AU38"/>
  <c r="AU39" s="1"/>
  <c r="AM38"/>
  <c r="AM39" s="1"/>
  <c r="AL38"/>
  <c r="AL39" s="1"/>
  <c r="AJ38"/>
  <c r="AJ39" s="1"/>
  <c r="AH38"/>
  <c r="AH39" s="1"/>
  <c r="AG38"/>
  <c r="AG39" s="1"/>
  <c r="AE38"/>
  <c r="AE39" s="1"/>
  <c r="AD38"/>
  <c r="W38"/>
  <c r="W39" s="1"/>
  <c r="S38"/>
  <c r="S39" s="1"/>
  <c r="G38"/>
  <c r="G39" s="1"/>
  <c r="G41" s="1"/>
  <c r="DH37"/>
  <c r="AZ37" s="1"/>
  <c r="CY37"/>
  <c r="CX37"/>
  <c r="CW37"/>
  <c r="CV37"/>
  <c r="CU37"/>
  <c r="CT37"/>
  <c r="CS37"/>
  <c r="CR37"/>
  <c r="CQ37"/>
  <c r="CP37"/>
  <c r="CO37"/>
  <c r="BG37"/>
  <c r="BA37"/>
  <c r="AY37"/>
  <c r="AN37"/>
  <c r="AF37"/>
  <c r="Q37"/>
  <c r="R37" s="1"/>
  <c r="P37"/>
  <c r="O37"/>
  <c r="N37"/>
  <c r="M37"/>
  <c r="L37"/>
  <c r="K37"/>
  <c r="J37"/>
  <c r="DD37" s="1"/>
  <c r="DG37" s="1"/>
  <c r="I37"/>
  <c r="F37"/>
  <c r="B37"/>
  <c r="CY8"/>
  <c r="CX8"/>
  <c r="CW8"/>
  <c r="CV8"/>
  <c r="CU8"/>
  <c r="CT8"/>
  <c r="CS8"/>
  <c r="CR8"/>
  <c r="CQ8"/>
  <c r="CP8"/>
  <c r="CO8"/>
  <c r="BG8"/>
  <c r="BA8"/>
  <c r="AY8"/>
  <c r="AX8" s="1"/>
  <c r="AN8"/>
  <c r="R8"/>
  <c r="P8"/>
  <c r="O8"/>
  <c r="N8"/>
  <c r="K8"/>
  <c r="J8"/>
  <c r="DD8" s="1"/>
  <c r="DG8" s="1"/>
  <c r="DH8" s="1"/>
  <c r="I8"/>
  <c r="H8"/>
  <c r="C8"/>
  <c r="CY7"/>
  <c r="CX7"/>
  <c r="CX38" s="1"/>
  <c r="CW7"/>
  <c r="CU7"/>
  <c r="CT7"/>
  <c r="CT38" s="1"/>
  <c r="CS7"/>
  <c r="CR7"/>
  <c r="CR38" s="1"/>
  <c r="CQ7"/>
  <c r="CO7"/>
  <c r="BH7"/>
  <c r="BG7"/>
  <c r="BA7"/>
  <c r="BA38" s="1"/>
  <c r="AN7"/>
  <c r="O7"/>
  <c r="N7"/>
  <c r="K7"/>
  <c r="J7"/>
  <c r="DD7" s="1"/>
  <c r="I7"/>
  <c r="F29" i="74" l="1"/>
  <c r="AZ37"/>
  <c r="F37"/>
  <c r="AZ36"/>
  <c r="F36"/>
  <c r="U36"/>
  <c r="AZ35"/>
  <c r="F35"/>
  <c r="U31"/>
  <c r="U30"/>
  <c r="U27"/>
  <c r="DF38"/>
  <c r="U21"/>
  <c r="AZ20"/>
  <c r="AZ18"/>
  <c r="AZ16"/>
  <c r="U17"/>
  <c r="AZ12"/>
  <c r="F10"/>
  <c r="AZ10"/>
  <c r="U36" i="76"/>
  <c r="BC36"/>
  <c r="AZ36"/>
  <c r="F36"/>
  <c r="U35"/>
  <c r="BC35"/>
  <c r="AZ35"/>
  <c r="F35"/>
  <c r="U34"/>
  <c r="BC34"/>
  <c r="AZ34"/>
  <c r="F34"/>
  <c r="U33"/>
  <c r="BC33"/>
  <c r="AZ33"/>
  <c r="F33"/>
  <c r="U32"/>
  <c r="BC32"/>
  <c r="AZ32"/>
  <c r="F32"/>
  <c r="U31"/>
  <c r="BC31"/>
  <c r="AZ31"/>
  <c r="F31"/>
  <c r="U30"/>
  <c r="BC30"/>
  <c r="AZ30"/>
  <c r="F30"/>
  <c r="U29"/>
  <c r="BC29"/>
  <c r="AZ29"/>
  <c r="F29"/>
  <c r="U28"/>
  <c r="BC28"/>
  <c r="AZ28"/>
  <c r="F28"/>
  <c r="U27"/>
  <c r="BC27"/>
  <c r="AZ27"/>
  <c r="F27"/>
  <c r="U26"/>
  <c r="BC26"/>
  <c r="AZ26"/>
  <c r="F26"/>
  <c r="U25"/>
  <c r="BC25"/>
  <c r="AZ25"/>
  <c r="F25"/>
  <c r="U24"/>
  <c r="BC24"/>
  <c r="AZ24"/>
  <c r="F24"/>
  <c r="U23"/>
  <c r="BC23"/>
  <c r="AZ23"/>
  <c r="F23"/>
  <c r="BC22"/>
  <c r="AZ22"/>
  <c r="F22"/>
  <c r="U22"/>
  <c r="U21"/>
  <c r="BC21"/>
  <c r="AZ21"/>
  <c r="F21"/>
  <c r="BC20"/>
  <c r="AZ20"/>
  <c r="F20"/>
  <c r="U20"/>
  <c r="U19"/>
  <c r="BC19"/>
  <c r="AZ19"/>
  <c r="F19"/>
  <c r="U18"/>
  <c r="BC18"/>
  <c r="AZ18"/>
  <c r="F18"/>
  <c r="U17"/>
  <c r="BC17"/>
  <c r="AZ17"/>
  <c r="F17"/>
  <c r="U16"/>
  <c r="BC16"/>
  <c r="AZ16"/>
  <c r="F16"/>
  <c r="U15"/>
  <c r="BC15"/>
  <c r="AZ15"/>
  <c r="F15"/>
  <c r="U14"/>
  <c r="BC14"/>
  <c r="AZ14"/>
  <c r="F14"/>
  <c r="U13"/>
  <c r="BC13"/>
  <c r="AZ13"/>
  <c r="F13"/>
  <c r="U12"/>
  <c r="BC12"/>
  <c r="AZ12"/>
  <c r="F12"/>
  <c r="R38"/>
  <c r="U11"/>
  <c r="BC11"/>
  <c r="AZ11"/>
  <c r="F11"/>
  <c r="U10"/>
  <c r="BC10"/>
  <c r="AZ10"/>
  <c r="F10"/>
  <c r="CO40"/>
  <c r="D38"/>
  <c r="F39" s="1"/>
  <c r="F41" s="1"/>
  <c r="U9"/>
  <c r="BC9"/>
  <c r="AZ9"/>
  <c r="F9"/>
  <c r="R39"/>
  <c r="R41" s="1"/>
  <c r="DH38"/>
  <c r="H39"/>
  <c r="T38"/>
  <c r="U7"/>
  <c r="AZ8" i="74"/>
  <c r="Q39"/>
  <c r="BC16"/>
  <c r="BC8"/>
  <c r="BC29"/>
  <c r="BC25"/>
  <c r="BC22"/>
  <c r="BC18"/>
  <c r="BC14"/>
  <c r="BC20"/>
  <c r="BC12"/>
  <c r="CV39"/>
  <c r="U8"/>
  <c r="E39"/>
  <c r="BC10"/>
  <c r="AZ22"/>
  <c r="AZ14"/>
  <c r="R39"/>
  <c r="R41" s="1"/>
  <c r="U23"/>
  <c r="AZ29"/>
  <c r="U19"/>
  <c r="U15"/>
  <c r="U11"/>
  <c r="AZ25"/>
  <c r="AZ9"/>
  <c r="BC9"/>
  <c r="F9"/>
  <c r="D38"/>
  <c r="BC7"/>
  <c r="F7"/>
  <c r="U32"/>
  <c r="AZ33"/>
  <c r="BC33"/>
  <c r="F33"/>
  <c r="U34"/>
  <c r="U24"/>
  <c r="BC35"/>
  <c r="AZ30"/>
  <c r="BC30"/>
  <c r="F30"/>
  <c r="AZ21"/>
  <c r="BC21"/>
  <c r="F21"/>
  <c r="AZ17"/>
  <c r="BC17"/>
  <c r="F17"/>
  <c r="AZ13"/>
  <c r="BC13"/>
  <c r="F13"/>
  <c r="U29"/>
  <c r="BC27"/>
  <c r="F27"/>
  <c r="AZ27"/>
  <c r="BC36"/>
  <c r="AZ34"/>
  <c r="BC34"/>
  <c r="AZ32"/>
  <c r="BC32"/>
  <c r="AZ28"/>
  <c r="BC28"/>
  <c r="AZ24"/>
  <c r="BC24"/>
  <c r="BC23"/>
  <c r="F23"/>
  <c r="AZ23"/>
  <c r="U22"/>
  <c r="AZ19"/>
  <c r="BC19"/>
  <c r="F19"/>
  <c r="U18"/>
  <c r="AZ15"/>
  <c r="BC15"/>
  <c r="F15"/>
  <c r="U14"/>
  <c r="AZ11"/>
  <c r="BC11"/>
  <c r="F11"/>
  <c r="U10"/>
  <c r="BI38"/>
  <c r="BJ7"/>
  <c r="BJ8" s="1"/>
  <c r="U9"/>
  <c r="AZ26"/>
  <c r="BC26"/>
  <c r="F26"/>
  <c r="BC37"/>
  <c r="AY39"/>
  <c r="AX39" s="1"/>
  <c r="AF39"/>
  <c r="H39"/>
  <c r="X39"/>
  <c r="AI39"/>
  <c r="M39"/>
  <c r="BC31"/>
  <c r="F31"/>
  <c r="AZ31"/>
  <c r="U25"/>
  <c r="BH24"/>
  <c r="BH25" s="1"/>
  <c r="BH26" s="1"/>
  <c r="BH27" s="1"/>
  <c r="BH28" s="1"/>
  <c r="BH29" s="1"/>
  <c r="BH30" s="1"/>
  <c r="BH31" s="1"/>
  <c r="BH32" s="1"/>
  <c r="BH33" s="1"/>
  <c r="BH34" s="1"/>
  <c r="BH35" s="1"/>
  <c r="BH36" s="1"/>
  <c r="BH37" s="1"/>
  <c r="U20"/>
  <c r="U16"/>
  <c r="U12"/>
  <c r="DG38"/>
  <c r="DH7"/>
  <c r="AZ7" s="1"/>
  <c r="J39"/>
  <c r="CQ39"/>
  <c r="CO40" s="1"/>
  <c r="BB38"/>
  <c r="T7"/>
  <c r="F34"/>
  <c r="F32"/>
  <c r="F24"/>
  <c r="C39"/>
  <c r="BD7"/>
  <c r="BD38" s="1"/>
  <c r="BD39" s="1"/>
  <c r="F28"/>
  <c r="U28"/>
  <c r="BJ9"/>
  <c r="BJ10" s="1"/>
  <c r="BJ11" s="1"/>
  <c r="BJ12" s="1"/>
  <c r="BJ13" s="1"/>
  <c r="BJ14" s="1"/>
  <c r="BJ15" s="1"/>
  <c r="BJ16" s="1"/>
  <c r="BJ17" s="1"/>
  <c r="BJ18" s="1"/>
  <c r="BJ19" s="1"/>
  <c r="BJ20" s="1"/>
  <c r="BJ21" s="1"/>
  <c r="BJ22" s="1"/>
  <c r="BJ23" s="1"/>
  <c r="BJ24" s="1"/>
  <c r="BJ25" s="1"/>
  <c r="BJ26" s="1"/>
  <c r="BJ27" s="1"/>
  <c r="BJ28" s="1"/>
  <c r="BJ29" s="1"/>
  <c r="BJ30" s="1"/>
  <c r="BJ31" s="1"/>
  <c r="BJ32" s="1"/>
  <c r="BJ33" s="1"/>
  <c r="BJ34" s="1"/>
  <c r="BJ35" s="1"/>
  <c r="BJ36" s="1"/>
  <c r="BJ37" s="1"/>
  <c r="AZ48" s="1"/>
  <c r="AZ51" s="1"/>
  <c r="AB39"/>
  <c r="H23" i="72"/>
  <c r="M22"/>
  <c r="C37"/>
  <c r="D37" s="1"/>
  <c r="E37"/>
  <c r="C35"/>
  <c r="D35" s="1"/>
  <c r="E35"/>
  <c r="C33"/>
  <c r="D33" s="1"/>
  <c r="E33"/>
  <c r="C31"/>
  <c r="D31" s="1"/>
  <c r="E31"/>
  <c r="C29"/>
  <c r="D29" s="1"/>
  <c r="E29"/>
  <c r="C27"/>
  <c r="D27" s="1"/>
  <c r="E27"/>
  <c r="C25"/>
  <c r="D25" s="1"/>
  <c r="E25"/>
  <c r="C23"/>
  <c r="D23" s="1"/>
  <c r="E23"/>
  <c r="C21"/>
  <c r="D21" s="1"/>
  <c r="E21"/>
  <c r="C19"/>
  <c r="D19" s="1"/>
  <c r="E19"/>
  <c r="C17"/>
  <c r="D17" s="1"/>
  <c r="E17"/>
  <c r="C15"/>
  <c r="D15" s="1"/>
  <c r="E15"/>
  <c r="C13"/>
  <c r="D13" s="1"/>
  <c r="E13"/>
  <c r="C11"/>
  <c r="D11" s="1"/>
  <c r="E11"/>
  <c r="C9"/>
  <c r="D9" s="1"/>
  <c r="E9"/>
  <c r="H13"/>
  <c r="AI13"/>
  <c r="AX13"/>
  <c r="M13"/>
  <c r="AI19"/>
  <c r="AX19"/>
  <c r="M19"/>
  <c r="M23"/>
  <c r="AI23"/>
  <c r="AX23"/>
  <c r="AI25"/>
  <c r="AX25"/>
  <c r="M25"/>
  <c r="BR39"/>
  <c r="C7"/>
  <c r="D7" s="1"/>
  <c r="E7"/>
  <c r="C36"/>
  <c r="D36" s="1"/>
  <c r="E36"/>
  <c r="C34"/>
  <c r="D34" s="1"/>
  <c r="E34"/>
  <c r="C32"/>
  <c r="D32" s="1"/>
  <c r="E32"/>
  <c r="C30"/>
  <c r="D30" s="1"/>
  <c r="E30"/>
  <c r="C28"/>
  <c r="D28" s="1"/>
  <c r="E28"/>
  <c r="C26"/>
  <c r="D26" s="1"/>
  <c r="E26"/>
  <c r="C24"/>
  <c r="D24" s="1"/>
  <c r="E24"/>
  <c r="C22"/>
  <c r="D22" s="1"/>
  <c r="E22"/>
  <c r="C20"/>
  <c r="D20" s="1"/>
  <c r="E20"/>
  <c r="C18"/>
  <c r="D18" s="1"/>
  <c r="E18"/>
  <c r="C16"/>
  <c r="D16" s="1"/>
  <c r="E16"/>
  <c r="C14"/>
  <c r="D14" s="1"/>
  <c r="E14"/>
  <c r="C12"/>
  <c r="D12" s="1"/>
  <c r="E12"/>
  <c r="C10"/>
  <c r="D10" s="1"/>
  <c r="E10"/>
  <c r="C8"/>
  <c r="D8" s="1"/>
  <c r="E8"/>
  <c r="CX38"/>
  <c r="H8"/>
  <c r="M24"/>
  <c r="DJ35"/>
  <c r="U23"/>
  <c r="M10"/>
  <c r="O38" i="73"/>
  <c r="O39" s="1"/>
  <c r="R37"/>
  <c r="T37" s="1"/>
  <c r="C37"/>
  <c r="E37"/>
  <c r="D37"/>
  <c r="C36"/>
  <c r="E36"/>
  <c r="D36"/>
  <c r="R36"/>
  <c r="T36" s="1"/>
  <c r="C35"/>
  <c r="E35"/>
  <c r="D35"/>
  <c r="R35"/>
  <c r="T35" s="1"/>
  <c r="C34"/>
  <c r="E34"/>
  <c r="D34"/>
  <c r="T34"/>
  <c r="R34"/>
  <c r="C33"/>
  <c r="E33"/>
  <c r="D33"/>
  <c r="R33"/>
  <c r="T33" s="1"/>
  <c r="R32"/>
  <c r="T32" s="1"/>
  <c r="C32"/>
  <c r="E32"/>
  <c r="D32"/>
  <c r="R31"/>
  <c r="T31" s="1"/>
  <c r="C31"/>
  <c r="E31"/>
  <c r="D31"/>
  <c r="C30"/>
  <c r="E30"/>
  <c r="D30"/>
  <c r="R30"/>
  <c r="T30" s="1"/>
  <c r="C29"/>
  <c r="E29"/>
  <c r="D29"/>
  <c r="R29"/>
  <c r="T29" s="1"/>
  <c r="R28"/>
  <c r="T28" s="1"/>
  <c r="C28"/>
  <c r="E28"/>
  <c r="D28"/>
  <c r="C27"/>
  <c r="E27"/>
  <c r="D27"/>
  <c r="R27"/>
  <c r="T27" s="1"/>
  <c r="R26"/>
  <c r="T26" s="1"/>
  <c r="C26"/>
  <c r="E26"/>
  <c r="D26"/>
  <c r="C25"/>
  <c r="E25"/>
  <c r="D25"/>
  <c r="R25"/>
  <c r="T25" s="1"/>
  <c r="R24"/>
  <c r="T24" s="1"/>
  <c r="C24"/>
  <c r="E24"/>
  <c r="D24"/>
  <c r="C23"/>
  <c r="E23"/>
  <c r="D23"/>
  <c r="R23"/>
  <c r="T23" s="1"/>
  <c r="C22"/>
  <c r="E22"/>
  <c r="D22"/>
  <c r="R22"/>
  <c r="T22" s="1"/>
  <c r="R21"/>
  <c r="T21" s="1"/>
  <c r="C21"/>
  <c r="E21"/>
  <c r="D21"/>
  <c r="C20"/>
  <c r="E20"/>
  <c r="D20"/>
  <c r="R20"/>
  <c r="T20" s="1"/>
  <c r="T19"/>
  <c r="R19"/>
  <c r="C19"/>
  <c r="E19"/>
  <c r="D19"/>
  <c r="R18"/>
  <c r="T18" s="1"/>
  <c r="C18"/>
  <c r="E18"/>
  <c r="D18"/>
  <c r="R17"/>
  <c r="T17" s="1"/>
  <c r="C17"/>
  <c r="E17"/>
  <c r="D17"/>
  <c r="R16"/>
  <c r="T16" s="1"/>
  <c r="C16"/>
  <c r="E16"/>
  <c r="D16"/>
  <c r="C15"/>
  <c r="E15"/>
  <c r="D15"/>
  <c r="T15"/>
  <c r="R15"/>
  <c r="C14"/>
  <c r="E14"/>
  <c r="D14"/>
  <c r="R14"/>
  <c r="T14" s="1"/>
  <c r="C13"/>
  <c r="E13"/>
  <c r="D13"/>
  <c r="R13"/>
  <c r="T13" s="1"/>
  <c r="T12"/>
  <c r="R12"/>
  <c r="C12"/>
  <c r="E12"/>
  <c r="D12"/>
  <c r="R11"/>
  <c r="T11" s="1"/>
  <c r="C11"/>
  <c r="E11"/>
  <c r="D11"/>
  <c r="C10"/>
  <c r="E10"/>
  <c r="D10"/>
  <c r="R10"/>
  <c r="T10" s="1"/>
  <c r="C9"/>
  <c r="E9"/>
  <c r="D9"/>
  <c r="R9"/>
  <c r="T9" s="1"/>
  <c r="CV8"/>
  <c r="Q7"/>
  <c r="R7" s="1"/>
  <c r="N38"/>
  <c r="N39" s="1"/>
  <c r="CO38"/>
  <c r="AN39"/>
  <c r="BU39"/>
  <c r="BY39"/>
  <c r="L46"/>
  <c r="BW39"/>
  <c r="CC39"/>
  <c r="CF38"/>
  <c r="CJ39" s="1"/>
  <c r="BL38"/>
  <c r="BZ39" s="1"/>
  <c r="C7"/>
  <c r="CP7"/>
  <c r="E7"/>
  <c r="CU38"/>
  <c r="D7"/>
  <c r="DD38"/>
  <c r="DE38" s="1"/>
  <c r="DG7"/>
  <c r="BJ8"/>
  <c r="AY38"/>
  <c r="AB39" s="1"/>
  <c r="BD7"/>
  <c r="T8"/>
  <c r="J38"/>
  <c r="I38"/>
  <c r="I39" s="1"/>
  <c r="I41" s="1"/>
  <c r="K38"/>
  <c r="K39" s="1"/>
  <c r="M7"/>
  <c r="Q38"/>
  <c r="T7"/>
  <c r="BA38"/>
  <c r="BF7"/>
  <c r="BF8" s="1"/>
  <c r="BH7"/>
  <c r="BH8" s="1"/>
  <c r="CR38"/>
  <c r="CV38"/>
  <c r="CV39" s="1"/>
  <c r="C8"/>
  <c r="D8" s="1"/>
  <c r="H8"/>
  <c r="AI8"/>
  <c r="AX8"/>
  <c r="BB8"/>
  <c r="BI38"/>
  <c r="CA39"/>
  <c r="CE39"/>
  <c r="AT41"/>
  <c r="CT38" i="72"/>
  <c r="CP38"/>
  <c r="CV38"/>
  <c r="I38"/>
  <c r="I39" s="1"/>
  <c r="I41" s="1"/>
  <c r="AN39"/>
  <c r="Q38"/>
  <c r="R38" s="1"/>
  <c r="K38"/>
  <c r="K39" s="1"/>
  <c r="O38"/>
  <c r="O39" s="1"/>
  <c r="CC39"/>
  <c r="BU39"/>
  <c r="BY39"/>
  <c r="BS39"/>
  <c r="BA38"/>
  <c r="H11"/>
  <c r="AI11"/>
  <c r="AX11"/>
  <c r="M11"/>
  <c r="AI21"/>
  <c r="AX21"/>
  <c r="M21"/>
  <c r="BB8"/>
  <c r="BI8"/>
  <c r="BB9"/>
  <c r="BD9" s="1"/>
  <c r="BI9"/>
  <c r="BB15"/>
  <c r="BI15"/>
  <c r="BB17"/>
  <c r="BD17" s="1"/>
  <c r="BI17"/>
  <c r="BB27"/>
  <c r="BD27" s="1"/>
  <c r="BI27"/>
  <c r="BB29"/>
  <c r="BD29" s="1"/>
  <c r="BI29"/>
  <c r="BB31"/>
  <c r="BI31"/>
  <c r="AI8"/>
  <c r="M8"/>
  <c r="AI9"/>
  <c r="H9"/>
  <c r="BB11"/>
  <c r="BD11" s="1"/>
  <c r="BB13"/>
  <c r="BD13" s="1"/>
  <c r="H15"/>
  <c r="AI15"/>
  <c r="M15"/>
  <c r="AI17"/>
  <c r="M17"/>
  <c r="BB19"/>
  <c r="BD19" s="1"/>
  <c r="BB21"/>
  <c r="BD21" s="1"/>
  <c r="BB23"/>
  <c r="BD23" s="1"/>
  <c r="BI23"/>
  <c r="BB25"/>
  <c r="AI27"/>
  <c r="M27"/>
  <c r="M28"/>
  <c r="AI29"/>
  <c r="H29"/>
  <c r="M29"/>
  <c r="AI31"/>
  <c r="BD31"/>
  <c r="M31"/>
  <c r="BD8"/>
  <c r="BD15"/>
  <c r="BD25"/>
  <c r="L46"/>
  <c r="U8"/>
  <c r="AY38"/>
  <c r="BI10"/>
  <c r="BB10"/>
  <c r="BD10" s="1"/>
  <c r="AX10"/>
  <c r="AI10"/>
  <c r="H10"/>
  <c r="BI12"/>
  <c r="BB12"/>
  <c r="AX12"/>
  <c r="AI12"/>
  <c r="H12"/>
  <c r="BI14"/>
  <c r="BB14"/>
  <c r="AX14"/>
  <c r="AI14"/>
  <c r="H14"/>
  <c r="BI16"/>
  <c r="BB16"/>
  <c r="BD16" s="1"/>
  <c r="AX16"/>
  <c r="AI16"/>
  <c r="H16"/>
  <c r="BI18"/>
  <c r="BB18"/>
  <c r="AX18"/>
  <c r="AI18"/>
  <c r="H18"/>
  <c r="BI20"/>
  <c r="BB20"/>
  <c r="BD20" s="1"/>
  <c r="AX20"/>
  <c r="AI20"/>
  <c r="H20"/>
  <c r="BI22"/>
  <c r="BB22"/>
  <c r="AX22"/>
  <c r="AI22"/>
  <c r="H22"/>
  <c r="BI26"/>
  <c r="BB26"/>
  <c r="AX26"/>
  <c r="AI26"/>
  <c r="H26"/>
  <c r="R30"/>
  <c r="T30" s="1"/>
  <c r="R33"/>
  <c r="T33" s="1"/>
  <c r="R35"/>
  <c r="T35" s="1"/>
  <c r="R37"/>
  <c r="T37" s="1"/>
  <c r="R26"/>
  <c r="T26" s="1"/>
  <c r="BI30"/>
  <c r="BB30"/>
  <c r="AX30"/>
  <c r="AI30"/>
  <c r="H30"/>
  <c r="BI33"/>
  <c r="BB33"/>
  <c r="AX33"/>
  <c r="AI33"/>
  <c r="H33"/>
  <c r="BI35"/>
  <c r="BB35"/>
  <c r="BD35" s="1"/>
  <c r="AX35"/>
  <c r="AI35"/>
  <c r="H35"/>
  <c r="BI37"/>
  <c r="BB37"/>
  <c r="AX37"/>
  <c r="AI37"/>
  <c r="U37"/>
  <c r="H37"/>
  <c r="F37"/>
  <c r="BF7"/>
  <c r="BF8" s="1"/>
  <c r="BF9" s="1"/>
  <c r="BF10" s="1"/>
  <c r="BF11" s="1"/>
  <c r="BF12" s="1"/>
  <c r="BF13" s="1"/>
  <c r="BF14" s="1"/>
  <c r="BF15" s="1"/>
  <c r="BF16" s="1"/>
  <c r="BF17" s="1"/>
  <c r="BF18" s="1"/>
  <c r="BF19" s="1"/>
  <c r="BF20" s="1"/>
  <c r="BF21" s="1"/>
  <c r="BF22" s="1"/>
  <c r="BF23" s="1"/>
  <c r="BF24" s="1"/>
  <c r="BF25" s="1"/>
  <c r="BF26" s="1"/>
  <c r="BF27" s="1"/>
  <c r="BF28" s="1"/>
  <c r="BF29" s="1"/>
  <c r="BF30" s="1"/>
  <c r="BF31" s="1"/>
  <c r="BF32" s="1"/>
  <c r="BF33" s="1"/>
  <c r="BF34" s="1"/>
  <c r="BF35" s="1"/>
  <c r="BF36" s="1"/>
  <c r="BF37" s="1"/>
  <c r="U11"/>
  <c r="U13"/>
  <c r="U15"/>
  <c r="U17"/>
  <c r="U19"/>
  <c r="U21"/>
  <c r="U25"/>
  <c r="B38"/>
  <c r="B39" s="1"/>
  <c r="J38"/>
  <c r="DD38"/>
  <c r="DE38" s="1"/>
  <c r="H7"/>
  <c r="L38"/>
  <c r="L39" s="1"/>
  <c r="N38"/>
  <c r="N39" s="1"/>
  <c r="P38"/>
  <c r="P39" s="1"/>
  <c r="R7"/>
  <c r="T7" s="1"/>
  <c r="AI7"/>
  <c r="AX7"/>
  <c r="BB7"/>
  <c r="BD7" s="1"/>
  <c r="BI7"/>
  <c r="CO38"/>
  <c r="CQ38"/>
  <c r="CS38"/>
  <c r="CU38"/>
  <c r="CW38"/>
  <c r="CY38"/>
  <c r="DG7"/>
  <c r="BH8"/>
  <c r="BH9" s="1"/>
  <c r="BH10" s="1"/>
  <c r="BH11" s="1"/>
  <c r="BH12" s="1"/>
  <c r="BH13" s="1"/>
  <c r="BH14" s="1"/>
  <c r="BH15" s="1"/>
  <c r="BH16" s="1"/>
  <c r="BH17" s="1"/>
  <c r="BH18" s="1"/>
  <c r="BH19" s="1"/>
  <c r="BH20" s="1"/>
  <c r="BH21" s="1"/>
  <c r="BH22" s="1"/>
  <c r="BH23" s="1"/>
  <c r="R9"/>
  <c r="T9" s="1"/>
  <c r="T10"/>
  <c r="T12"/>
  <c r="BD12"/>
  <c r="T14"/>
  <c r="BD14"/>
  <c r="T16"/>
  <c r="T18"/>
  <c r="BD18"/>
  <c r="T20"/>
  <c r="T22"/>
  <c r="BD22"/>
  <c r="M26"/>
  <c r="U29"/>
  <c r="BI24"/>
  <c r="BB24"/>
  <c r="BD24" s="1"/>
  <c r="AX24"/>
  <c r="AI24"/>
  <c r="U24"/>
  <c r="H24"/>
  <c r="BI28"/>
  <c r="BB28"/>
  <c r="BD28" s="1"/>
  <c r="AX28"/>
  <c r="AI28"/>
  <c r="U28"/>
  <c r="H28"/>
  <c r="BI32"/>
  <c r="BB32"/>
  <c r="BD32" s="1"/>
  <c r="AX32"/>
  <c r="AI32"/>
  <c r="U32"/>
  <c r="H32"/>
  <c r="BI34"/>
  <c r="BB34"/>
  <c r="BD34" s="1"/>
  <c r="AX34"/>
  <c r="AI34"/>
  <c r="U34"/>
  <c r="H34"/>
  <c r="BI36"/>
  <c r="BB36"/>
  <c r="BD36" s="1"/>
  <c r="AX36"/>
  <c r="AI36"/>
  <c r="U36"/>
  <c r="H36"/>
  <c r="BG37"/>
  <c r="BG36"/>
  <c r="BG35"/>
  <c r="BG34"/>
  <c r="BG33"/>
  <c r="BG32"/>
  <c r="BG30"/>
  <c r="BG28"/>
  <c r="BG26"/>
  <c r="BG24"/>
  <c r="BD26"/>
  <c r="T27"/>
  <c r="BD30"/>
  <c r="T31"/>
  <c r="DJ32"/>
  <c r="BD33"/>
  <c r="DJ34"/>
  <c r="DJ36"/>
  <c r="BD37"/>
  <c r="CA39"/>
  <c r="CE39"/>
  <c r="AT41"/>
  <c r="T37" i="70"/>
  <c r="B36"/>
  <c r="CP36"/>
  <c r="P36"/>
  <c r="Q36"/>
  <c r="CV36"/>
  <c r="AN36"/>
  <c r="AY36"/>
  <c r="B35"/>
  <c r="CP35"/>
  <c r="P35"/>
  <c r="Q35"/>
  <c r="CV35"/>
  <c r="AN35"/>
  <c r="AY35"/>
  <c r="B34"/>
  <c r="CP34"/>
  <c r="P34"/>
  <c r="Q34"/>
  <c r="CV34"/>
  <c r="AN34"/>
  <c r="AY34"/>
  <c r="P33"/>
  <c r="Q33"/>
  <c r="CV33"/>
  <c r="AN33"/>
  <c r="AY33"/>
  <c r="B33"/>
  <c r="CP33"/>
  <c r="B32"/>
  <c r="CP32"/>
  <c r="P32"/>
  <c r="Q32"/>
  <c r="CV32"/>
  <c r="AN32"/>
  <c r="AY32"/>
  <c r="B31"/>
  <c r="CP31"/>
  <c r="P31"/>
  <c r="Q31"/>
  <c r="CV31"/>
  <c r="AN31"/>
  <c r="AY31"/>
  <c r="B30"/>
  <c r="CP30"/>
  <c r="P30"/>
  <c r="Q30"/>
  <c r="CV30"/>
  <c r="AN30"/>
  <c r="AY30"/>
  <c r="B29"/>
  <c r="CP29"/>
  <c r="P29"/>
  <c r="Q29"/>
  <c r="CV29"/>
  <c r="AN29"/>
  <c r="AY29"/>
  <c r="B28"/>
  <c r="CP28"/>
  <c r="P28"/>
  <c r="Q28"/>
  <c r="CV28"/>
  <c r="AN28"/>
  <c r="AY28"/>
  <c r="B27"/>
  <c r="CP27"/>
  <c r="P27"/>
  <c r="Q27"/>
  <c r="CV27"/>
  <c r="AN27"/>
  <c r="AY27"/>
  <c r="B26"/>
  <c r="CP26"/>
  <c r="P26"/>
  <c r="Q26"/>
  <c r="CV26"/>
  <c r="AN26"/>
  <c r="AY26"/>
  <c r="B25"/>
  <c r="CP25"/>
  <c r="P25"/>
  <c r="Q25"/>
  <c r="CV25"/>
  <c r="AN25"/>
  <c r="AY25"/>
  <c r="B24"/>
  <c r="CP24"/>
  <c r="P24"/>
  <c r="Q24"/>
  <c r="CV24"/>
  <c r="AN24"/>
  <c r="AY24"/>
  <c r="P23"/>
  <c r="Q23"/>
  <c r="CV23"/>
  <c r="AN23"/>
  <c r="AY23"/>
  <c r="C23"/>
  <c r="E23"/>
  <c r="D23"/>
  <c r="CP23"/>
  <c r="B22"/>
  <c r="CP22"/>
  <c r="P22"/>
  <c r="Q22"/>
  <c r="CV22"/>
  <c r="AN22"/>
  <c r="AY22"/>
  <c r="B21"/>
  <c r="CP21"/>
  <c r="P21"/>
  <c r="Q21"/>
  <c r="CV21"/>
  <c r="AN21"/>
  <c r="AY21"/>
  <c r="B20"/>
  <c r="CP20"/>
  <c r="P20"/>
  <c r="Q20"/>
  <c r="CV20"/>
  <c r="AN20"/>
  <c r="AY20"/>
  <c r="B19"/>
  <c r="CP19"/>
  <c r="P19"/>
  <c r="Q19"/>
  <c r="CV19"/>
  <c r="AN19"/>
  <c r="AY19"/>
  <c r="B18"/>
  <c r="CP18"/>
  <c r="P18"/>
  <c r="Q18"/>
  <c r="CV18"/>
  <c r="AN18"/>
  <c r="AY18"/>
  <c r="B17"/>
  <c r="CP17"/>
  <c r="P17"/>
  <c r="Q17"/>
  <c r="CV17"/>
  <c r="AN17"/>
  <c r="AY17"/>
  <c r="B16"/>
  <c r="CP16"/>
  <c r="P16"/>
  <c r="Q16"/>
  <c r="CV16"/>
  <c r="AN16"/>
  <c r="AY16"/>
  <c r="B15"/>
  <c r="CP15"/>
  <c r="P15"/>
  <c r="Q15"/>
  <c r="CV15"/>
  <c r="AN15"/>
  <c r="AY15"/>
  <c r="B14"/>
  <c r="CP14"/>
  <c r="P14"/>
  <c r="Q14"/>
  <c r="CV14"/>
  <c r="AN14"/>
  <c r="AY14"/>
  <c r="B13"/>
  <c r="CP13"/>
  <c r="P13"/>
  <c r="Q13"/>
  <c r="CV13"/>
  <c r="AN13"/>
  <c r="AY13"/>
  <c r="B12"/>
  <c r="CP12"/>
  <c r="P12"/>
  <c r="Q12"/>
  <c r="CV12"/>
  <c r="AN12"/>
  <c r="AY12"/>
  <c r="B11"/>
  <c r="CP11"/>
  <c r="P11"/>
  <c r="Q11"/>
  <c r="CV11"/>
  <c r="AN11"/>
  <c r="AY11"/>
  <c r="B10"/>
  <c r="CP10"/>
  <c r="P10"/>
  <c r="Q10"/>
  <c r="CV10"/>
  <c r="AN10"/>
  <c r="AY10"/>
  <c r="AT38"/>
  <c r="L46" s="1"/>
  <c r="V38"/>
  <c r="V39" s="1"/>
  <c r="P9"/>
  <c r="Q9"/>
  <c r="CV9"/>
  <c r="AN9"/>
  <c r="AY9"/>
  <c r="C9"/>
  <c r="E9"/>
  <c r="D9"/>
  <c r="CP9"/>
  <c r="BW39"/>
  <c r="CC39"/>
  <c r="BY39"/>
  <c r="CF38"/>
  <c r="CJ39" s="1"/>
  <c r="P7"/>
  <c r="CV7"/>
  <c r="CV38" s="1"/>
  <c r="BL38"/>
  <c r="BZ39" s="1"/>
  <c r="E7"/>
  <c r="CP38"/>
  <c r="BU39"/>
  <c r="BB8"/>
  <c r="BD8" s="1"/>
  <c r="BI8"/>
  <c r="AF8"/>
  <c r="AI8"/>
  <c r="M8"/>
  <c r="AF7"/>
  <c r="M7"/>
  <c r="AT39"/>
  <c r="AN39" s="1"/>
  <c r="E8"/>
  <c r="I38"/>
  <c r="I39" s="1"/>
  <c r="I41" s="1"/>
  <c r="K38"/>
  <c r="K39" s="1"/>
  <c r="O38"/>
  <c r="O39" s="1"/>
  <c r="Q38"/>
  <c r="R38" s="1"/>
  <c r="T8"/>
  <c r="U8" s="1"/>
  <c r="D8"/>
  <c r="AZ8"/>
  <c r="AY38"/>
  <c r="E37"/>
  <c r="C37"/>
  <c r="D37" s="1"/>
  <c r="BF7"/>
  <c r="BF8" s="1"/>
  <c r="B38"/>
  <c r="B39" s="1"/>
  <c r="J38"/>
  <c r="DD38"/>
  <c r="DE38" s="1"/>
  <c r="C7"/>
  <c r="D7" s="1"/>
  <c r="H7"/>
  <c r="L38"/>
  <c r="L39" s="1"/>
  <c r="N38"/>
  <c r="N39" s="1"/>
  <c r="P38"/>
  <c r="P39" s="1"/>
  <c r="R7"/>
  <c r="AI7"/>
  <c r="AX7"/>
  <c r="BB7"/>
  <c r="BD7" s="1"/>
  <c r="BI7"/>
  <c r="CO38"/>
  <c r="CQ38"/>
  <c r="CS38"/>
  <c r="CU38"/>
  <c r="CW38"/>
  <c r="CY38"/>
  <c r="DG7"/>
  <c r="BH8"/>
  <c r="BD37"/>
  <c r="BI37"/>
  <c r="BB37"/>
  <c r="AX37"/>
  <c r="AI37"/>
  <c r="U37"/>
  <c r="H37"/>
  <c r="CA39"/>
  <c r="CE39"/>
  <c r="AT41"/>
  <c r="N8" i="67"/>
  <c r="N9"/>
  <c r="N10"/>
  <c r="N11"/>
  <c r="N12"/>
  <c r="N13"/>
  <c r="N14"/>
  <c r="N15"/>
  <c r="N16"/>
  <c r="N17"/>
  <c r="N18"/>
  <c r="N19"/>
  <c r="N20"/>
  <c r="N21"/>
  <c r="N22"/>
  <c r="N26"/>
  <c r="N27"/>
  <c r="N28"/>
  <c r="N29"/>
  <c r="N30"/>
  <c r="N31"/>
  <c r="N32"/>
  <c r="N33"/>
  <c r="N34"/>
  <c r="N35"/>
  <c r="N36"/>
  <c r="N37"/>
  <c r="N7"/>
  <c r="Q8"/>
  <c r="R8" s="1"/>
  <c r="T8" s="1"/>
  <c r="Q9"/>
  <c r="R9" s="1"/>
  <c r="Q10"/>
  <c r="R10" s="1"/>
  <c r="T10" s="1"/>
  <c r="Q11"/>
  <c r="R11" s="1"/>
  <c r="Q12"/>
  <c r="R12" s="1"/>
  <c r="T12" s="1"/>
  <c r="Q13"/>
  <c r="R13" s="1"/>
  <c r="Q14"/>
  <c r="R14" s="1"/>
  <c r="T14" s="1"/>
  <c r="Q15"/>
  <c r="R15" s="1"/>
  <c r="Q16"/>
  <c r="R16" s="1"/>
  <c r="T16" s="1"/>
  <c r="Q17"/>
  <c r="R17" s="1"/>
  <c r="Q18"/>
  <c r="R18" s="1"/>
  <c r="T18" s="1"/>
  <c r="Q19"/>
  <c r="R19" s="1"/>
  <c r="Q20"/>
  <c r="R20" s="1"/>
  <c r="T20" s="1"/>
  <c r="Q21"/>
  <c r="R21" s="1"/>
  <c r="Q22"/>
  <c r="Q23"/>
  <c r="R23" s="1"/>
  <c r="T23" s="1"/>
  <c r="Q24"/>
  <c r="R24" s="1"/>
  <c r="T24" s="1"/>
  <c r="Q25"/>
  <c r="R25" s="1"/>
  <c r="T25" s="1"/>
  <c r="Q26"/>
  <c r="R26" s="1"/>
  <c r="T26" s="1"/>
  <c r="Q27"/>
  <c r="R27" s="1"/>
  <c r="T27" s="1"/>
  <c r="Q28"/>
  <c r="R28" s="1"/>
  <c r="T28" s="1"/>
  <c r="Q29"/>
  <c r="R29" s="1"/>
  <c r="T29" s="1"/>
  <c r="Q30"/>
  <c r="R30" s="1"/>
  <c r="T30" s="1"/>
  <c r="Q31"/>
  <c r="R31" s="1"/>
  <c r="T31" s="1"/>
  <c r="Q32"/>
  <c r="Q33"/>
  <c r="R33" s="1"/>
  <c r="T33" s="1"/>
  <c r="Q34"/>
  <c r="Q35"/>
  <c r="R35" s="1"/>
  <c r="T35" s="1"/>
  <c r="Q36"/>
  <c r="Q37"/>
  <c r="R37" s="1"/>
  <c r="T37" s="1"/>
  <c r="Q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7"/>
  <c r="J8"/>
  <c r="DD8" s="1"/>
  <c r="DG8" s="1"/>
  <c r="DH8" s="1"/>
  <c r="J9"/>
  <c r="DD9" s="1"/>
  <c r="DG9" s="1"/>
  <c r="DH9" s="1"/>
  <c r="J10"/>
  <c r="DD10" s="1"/>
  <c r="DG10" s="1"/>
  <c r="DH10" s="1"/>
  <c r="J11"/>
  <c r="DD11" s="1"/>
  <c r="DG11" s="1"/>
  <c r="DH11" s="1"/>
  <c r="J12"/>
  <c r="DD12" s="1"/>
  <c r="DG12" s="1"/>
  <c r="DH12" s="1"/>
  <c r="J13"/>
  <c r="DD13" s="1"/>
  <c r="DG13" s="1"/>
  <c r="DH13" s="1"/>
  <c r="J14"/>
  <c r="DD14" s="1"/>
  <c r="DG14" s="1"/>
  <c r="DH14" s="1"/>
  <c r="J15"/>
  <c r="DD15" s="1"/>
  <c r="DG15" s="1"/>
  <c r="DH15" s="1"/>
  <c r="J16"/>
  <c r="DD16" s="1"/>
  <c r="DG16" s="1"/>
  <c r="DH16" s="1"/>
  <c r="J17"/>
  <c r="DD17" s="1"/>
  <c r="DG17" s="1"/>
  <c r="DH17" s="1"/>
  <c r="J18"/>
  <c r="DD18" s="1"/>
  <c r="DG18" s="1"/>
  <c r="DH18" s="1"/>
  <c r="J19"/>
  <c r="DD19" s="1"/>
  <c r="DG19" s="1"/>
  <c r="DH19" s="1"/>
  <c r="J20"/>
  <c r="DD20" s="1"/>
  <c r="DG20" s="1"/>
  <c r="DH20" s="1"/>
  <c r="J21"/>
  <c r="DD21" s="1"/>
  <c r="DG21" s="1"/>
  <c r="DH21" s="1"/>
  <c r="J22"/>
  <c r="DD22" s="1"/>
  <c r="DG22" s="1"/>
  <c r="DH22" s="1"/>
  <c r="J23"/>
  <c r="DD23" s="1"/>
  <c r="DG23" s="1"/>
  <c r="DH23" s="1"/>
  <c r="J24"/>
  <c r="DD24" s="1"/>
  <c r="DG24" s="1"/>
  <c r="DH24" s="1"/>
  <c r="J25"/>
  <c r="DD25" s="1"/>
  <c r="DG25" s="1"/>
  <c r="DH25" s="1"/>
  <c r="J26"/>
  <c r="DD26" s="1"/>
  <c r="DG26" s="1"/>
  <c r="DH26" s="1"/>
  <c r="J27"/>
  <c r="DD27" s="1"/>
  <c r="DG27" s="1"/>
  <c r="DH27" s="1"/>
  <c r="J28"/>
  <c r="DD28" s="1"/>
  <c r="DG28" s="1"/>
  <c r="DH28" s="1"/>
  <c r="J29"/>
  <c r="DD29" s="1"/>
  <c r="DG29" s="1"/>
  <c r="DH29" s="1"/>
  <c r="J30"/>
  <c r="DD30" s="1"/>
  <c r="DG30" s="1"/>
  <c r="DH30" s="1"/>
  <c r="J31"/>
  <c r="DD31" s="1"/>
  <c r="DG31" s="1"/>
  <c r="DH31" s="1"/>
  <c r="J32"/>
  <c r="DD32" s="1"/>
  <c r="DG32" s="1"/>
  <c r="DH32" s="1"/>
  <c r="J33"/>
  <c r="DD33" s="1"/>
  <c r="DG33" s="1"/>
  <c r="DH33" s="1"/>
  <c r="J34"/>
  <c r="DD34" s="1"/>
  <c r="DG34" s="1"/>
  <c r="DH34" s="1"/>
  <c r="J35"/>
  <c r="DD35" s="1"/>
  <c r="DG35" s="1"/>
  <c r="DH35" s="1"/>
  <c r="J36"/>
  <c r="DD36" s="1"/>
  <c r="DG36" s="1"/>
  <c r="DH36" s="1"/>
  <c r="J37"/>
  <c r="DD37" s="1"/>
  <c r="DG37" s="1"/>
  <c r="DH37" s="1"/>
  <c r="J7"/>
  <c r="DD7" s="1"/>
  <c r="B8"/>
  <c r="B9"/>
  <c r="E9" s="1"/>
  <c r="B10"/>
  <c r="B11"/>
  <c r="C11" s="1"/>
  <c r="D11" s="1"/>
  <c r="B12"/>
  <c r="B13"/>
  <c r="E13" s="1"/>
  <c r="B14"/>
  <c r="B15"/>
  <c r="C15" s="1"/>
  <c r="D15" s="1"/>
  <c r="B16"/>
  <c r="B17"/>
  <c r="E17" s="1"/>
  <c r="B18"/>
  <c r="B19"/>
  <c r="C19" s="1"/>
  <c r="D19" s="1"/>
  <c r="B20"/>
  <c r="B21"/>
  <c r="E21" s="1"/>
  <c r="B22"/>
  <c r="B23"/>
  <c r="B24"/>
  <c r="E24" s="1"/>
  <c r="B25"/>
  <c r="B26"/>
  <c r="E26" s="1"/>
  <c r="B27"/>
  <c r="B28"/>
  <c r="C28" s="1"/>
  <c r="B29"/>
  <c r="B30"/>
  <c r="E30" s="1"/>
  <c r="B31"/>
  <c r="B32"/>
  <c r="B33"/>
  <c r="B34"/>
  <c r="B35"/>
  <c r="B36"/>
  <c r="B37"/>
  <c r="B7"/>
  <c r="E7" s="1"/>
  <c r="AT46"/>
  <c r="AT43"/>
  <c r="CC39"/>
  <c r="AV39"/>
  <c r="AS39"/>
  <c r="AQ39"/>
  <c r="AP39"/>
  <c r="AD39"/>
  <c r="AC39"/>
  <c r="Z39"/>
  <c r="Z41" s="1"/>
  <c r="Y39"/>
  <c r="CI38"/>
  <c r="CM39" s="1"/>
  <c r="CH38"/>
  <c r="CL39" s="1"/>
  <c r="CG38"/>
  <c r="CK39" s="1"/>
  <c r="CF38"/>
  <c r="CJ39" s="1"/>
  <c r="BQ38"/>
  <c r="BX39" s="1"/>
  <c r="BP38"/>
  <c r="CD39" s="1"/>
  <c r="BO38"/>
  <c r="BV39" s="1"/>
  <c r="BN38"/>
  <c r="CB39" s="1"/>
  <c r="BM38"/>
  <c r="BT39" s="1"/>
  <c r="BL38"/>
  <c r="BZ39" s="1"/>
  <c r="BK38"/>
  <c r="BR39" s="1"/>
  <c r="BG38"/>
  <c r="AW38"/>
  <c r="AW39" s="1"/>
  <c r="AV38"/>
  <c r="AU38"/>
  <c r="AU39" s="1"/>
  <c r="AT38"/>
  <c r="AT39" s="1"/>
  <c r="AM38"/>
  <c r="AM39" s="1"/>
  <c r="AL38"/>
  <c r="AL39" s="1"/>
  <c r="AJ38"/>
  <c r="AJ39" s="1"/>
  <c r="AH38"/>
  <c r="AH39" s="1"/>
  <c r="AG38"/>
  <c r="AG39" s="1"/>
  <c r="AE38"/>
  <c r="AE39" s="1"/>
  <c r="AD38"/>
  <c r="W38"/>
  <c r="W39" s="1"/>
  <c r="V38"/>
  <c r="V39" s="1"/>
  <c r="S38"/>
  <c r="S39" s="1"/>
  <c r="G38"/>
  <c r="G39" s="1"/>
  <c r="G41" s="1"/>
  <c r="CY37"/>
  <c r="CX37"/>
  <c r="CW37"/>
  <c r="CV37"/>
  <c r="CU37"/>
  <c r="M37" s="1"/>
  <c r="CT37"/>
  <c r="CS37"/>
  <c r="CR37"/>
  <c r="CQ37"/>
  <c r="CP37"/>
  <c r="CO37"/>
  <c r="BG37"/>
  <c r="BA37"/>
  <c r="AY37"/>
  <c r="AN37"/>
  <c r="AF37"/>
  <c r="P37"/>
  <c r="K37"/>
  <c r="I37"/>
  <c r="CY36"/>
  <c r="CX36"/>
  <c r="CW36"/>
  <c r="CV36"/>
  <c r="CU36"/>
  <c r="CT36"/>
  <c r="CS36"/>
  <c r="CR36"/>
  <c r="CQ36"/>
  <c r="CP36"/>
  <c r="CO36"/>
  <c r="BA36"/>
  <c r="AY36"/>
  <c r="AN36"/>
  <c r="AF36"/>
  <c r="P36"/>
  <c r="M36"/>
  <c r="K36"/>
  <c r="I36"/>
  <c r="CY35"/>
  <c r="CX35"/>
  <c r="CW35"/>
  <c r="CV35"/>
  <c r="CU35"/>
  <c r="CT35"/>
  <c r="CS35"/>
  <c r="CR35"/>
  <c r="CQ35"/>
  <c r="CP35"/>
  <c r="CO35"/>
  <c r="BA35"/>
  <c r="AY35"/>
  <c r="AN35"/>
  <c r="AF35"/>
  <c r="P35"/>
  <c r="M35"/>
  <c r="K35"/>
  <c r="I35"/>
  <c r="CY34"/>
  <c r="CX34"/>
  <c r="CW34"/>
  <c r="CV34"/>
  <c r="CU34"/>
  <c r="CT34"/>
  <c r="CS34"/>
  <c r="CR34"/>
  <c r="CQ34"/>
  <c r="CP34"/>
  <c r="CO34"/>
  <c r="BA34"/>
  <c r="AY34"/>
  <c r="AN34"/>
  <c r="AF34"/>
  <c r="P34"/>
  <c r="M34"/>
  <c r="K34"/>
  <c r="I34"/>
  <c r="CY33"/>
  <c r="CX33"/>
  <c r="CW33"/>
  <c r="CV33"/>
  <c r="CU33"/>
  <c r="CT33"/>
  <c r="CS33"/>
  <c r="CR33"/>
  <c r="CQ33"/>
  <c r="CP33"/>
  <c r="CO33"/>
  <c r="BA33"/>
  <c r="AY33"/>
  <c r="AN33"/>
  <c r="AF33"/>
  <c r="P33"/>
  <c r="M33"/>
  <c r="K33"/>
  <c r="I33"/>
  <c r="CY32"/>
  <c r="CX32"/>
  <c r="CW32"/>
  <c r="CV32"/>
  <c r="CU32"/>
  <c r="CT32"/>
  <c r="CS32"/>
  <c r="CR32"/>
  <c r="CQ32"/>
  <c r="CP32"/>
  <c r="CO32"/>
  <c r="BA32"/>
  <c r="AY32"/>
  <c r="AN32"/>
  <c r="AF32"/>
  <c r="P32"/>
  <c r="M32"/>
  <c r="K32"/>
  <c r="I32"/>
  <c r="CY31"/>
  <c r="CX31"/>
  <c r="CW31"/>
  <c r="CV31"/>
  <c r="CU31"/>
  <c r="CT31"/>
  <c r="CS31"/>
  <c r="CR31"/>
  <c r="CQ31"/>
  <c r="CP31"/>
  <c r="CO31"/>
  <c r="BA31"/>
  <c r="AY31"/>
  <c r="AN31"/>
  <c r="AF31"/>
  <c r="P31"/>
  <c r="M31"/>
  <c r="K31"/>
  <c r="I31"/>
  <c r="CY30"/>
  <c r="CX30"/>
  <c r="CW30"/>
  <c r="CV30"/>
  <c r="CU30"/>
  <c r="CT30"/>
  <c r="CS30"/>
  <c r="CR30"/>
  <c r="CQ30"/>
  <c r="CP30"/>
  <c r="CO30"/>
  <c r="BG30"/>
  <c r="BA30"/>
  <c r="AY30"/>
  <c r="BI30" s="1"/>
  <c r="AN30"/>
  <c r="AF30"/>
  <c r="P30"/>
  <c r="K30"/>
  <c r="I30"/>
  <c r="H30"/>
  <c r="CY29"/>
  <c r="CX29"/>
  <c r="CW29"/>
  <c r="CV29"/>
  <c r="CU29"/>
  <c r="CT29"/>
  <c r="CS29"/>
  <c r="CR29"/>
  <c r="CQ29"/>
  <c r="CP29"/>
  <c r="CO29"/>
  <c r="BA29"/>
  <c r="AY29"/>
  <c r="AN29"/>
  <c r="AF29"/>
  <c r="P29"/>
  <c r="M29"/>
  <c r="K29"/>
  <c r="I29"/>
  <c r="CY28"/>
  <c r="CX28"/>
  <c r="CW28"/>
  <c r="CV28"/>
  <c r="CU28"/>
  <c r="CT28"/>
  <c r="CS28"/>
  <c r="CR28"/>
  <c r="CQ28"/>
  <c r="H28" s="1"/>
  <c r="CP28"/>
  <c r="CO28"/>
  <c r="BG28"/>
  <c r="BA28"/>
  <c r="AY28"/>
  <c r="BI28" s="1"/>
  <c r="AN28"/>
  <c r="AF28"/>
  <c r="P28"/>
  <c r="K28"/>
  <c r="I28"/>
  <c r="CY27"/>
  <c r="CX27"/>
  <c r="CW27"/>
  <c r="CV27"/>
  <c r="CU27"/>
  <c r="CT27"/>
  <c r="CS27"/>
  <c r="CR27"/>
  <c r="CQ27"/>
  <c r="CP27"/>
  <c r="CO27"/>
  <c r="BA27"/>
  <c r="AY27"/>
  <c r="AN27"/>
  <c r="AF27"/>
  <c r="P27"/>
  <c r="M27"/>
  <c r="K27"/>
  <c r="I27"/>
  <c r="CY26"/>
  <c r="CX26"/>
  <c r="CW26"/>
  <c r="CV26"/>
  <c r="CU26"/>
  <c r="CT26"/>
  <c r="CS26"/>
  <c r="CR26"/>
  <c r="CQ26"/>
  <c r="CP26"/>
  <c r="CO26"/>
  <c r="BG26"/>
  <c r="BA26"/>
  <c r="AY26"/>
  <c r="BI26" s="1"/>
  <c r="AN26"/>
  <c r="AF26"/>
  <c r="P26"/>
  <c r="K26"/>
  <c r="I26"/>
  <c r="H26"/>
  <c r="CY25"/>
  <c r="CX25"/>
  <c r="CW25"/>
  <c r="CV25"/>
  <c r="CU25"/>
  <c r="CT25"/>
  <c r="CS25"/>
  <c r="CR25"/>
  <c r="CQ25"/>
  <c r="CP25"/>
  <c r="CO25"/>
  <c r="BA25"/>
  <c r="AY25"/>
  <c r="AN25"/>
  <c r="AF25"/>
  <c r="P25"/>
  <c r="M25"/>
  <c r="K25"/>
  <c r="I25"/>
  <c r="CY24"/>
  <c r="CX24"/>
  <c r="CW24"/>
  <c r="CV24"/>
  <c r="CU24"/>
  <c r="CT24"/>
  <c r="CS24"/>
  <c r="CR24"/>
  <c r="CQ24"/>
  <c r="CP24"/>
  <c r="CO24"/>
  <c r="BG24"/>
  <c r="BA24"/>
  <c r="AY24"/>
  <c r="BI24" s="1"/>
  <c r="AX24"/>
  <c r="AN24"/>
  <c r="AI24"/>
  <c r="AF24"/>
  <c r="P24"/>
  <c r="M24"/>
  <c r="K24"/>
  <c r="I24"/>
  <c r="H24"/>
  <c r="CY23"/>
  <c r="CX23"/>
  <c r="CW23"/>
  <c r="CV23"/>
  <c r="CU23"/>
  <c r="CT23"/>
  <c r="CS23"/>
  <c r="CR23"/>
  <c r="CQ23"/>
  <c r="CP23"/>
  <c r="CO23"/>
  <c r="BA23"/>
  <c r="AY23"/>
  <c r="M23" s="1"/>
  <c r="AN23"/>
  <c r="P23"/>
  <c r="K23"/>
  <c r="I23"/>
  <c r="CY22"/>
  <c r="CX22"/>
  <c r="CW22"/>
  <c r="CV22"/>
  <c r="CU22"/>
  <c r="CT22"/>
  <c r="CS22"/>
  <c r="CR22"/>
  <c r="CQ22"/>
  <c r="CP22"/>
  <c r="CO22"/>
  <c r="BG22"/>
  <c r="BA22"/>
  <c r="AY22"/>
  <c r="AX22" s="1"/>
  <c r="AN22"/>
  <c r="AF22"/>
  <c r="P22"/>
  <c r="K22"/>
  <c r="I22"/>
  <c r="H22"/>
  <c r="CY21"/>
  <c r="CX21"/>
  <c r="CW21"/>
  <c r="CV21"/>
  <c r="CU21"/>
  <c r="CT21"/>
  <c r="CS21"/>
  <c r="CR21"/>
  <c r="CQ21"/>
  <c r="CP21"/>
  <c r="CO21"/>
  <c r="BG21"/>
  <c r="BA21"/>
  <c r="AY21"/>
  <c r="BI21" s="1"/>
  <c r="AN21"/>
  <c r="AF21"/>
  <c r="P21"/>
  <c r="K21"/>
  <c r="I21"/>
  <c r="CY20"/>
  <c r="CX20"/>
  <c r="CW20"/>
  <c r="CV20"/>
  <c r="CU20"/>
  <c r="CT20"/>
  <c r="CS20"/>
  <c r="CR20"/>
  <c r="CQ20"/>
  <c r="CP20"/>
  <c r="CO20"/>
  <c r="BG20"/>
  <c r="BA20"/>
  <c r="AY20"/>
  <c r="AN20"/>
  <c r="AF20"/>
  <c r="P20"/>
  <c r="M20"/>
  <c r="K20"/>
  <c r="I20"/>
  <c r="CY19"/>
  <c r="CX19"/>
  <c r="CW19"/>
  <c r="CV19"/>
  <c r="CU19"/>
  <c r="CT19"/>
  <c r="CS19"/>
  <c r="CR19"/>
  <c r="CQ19"/>
  <c r="CP19"/>
  <c r="CO19"/>
  <c r="BG19"/>
  <c r="BA19"/>
  <c r="AY19"/>
  <c r="BI19" s="1"/>
  <c r="AN19"/>
  <c r="AF19"/>
  <c r="P19"/>
  <c r="K19"/>
  <c r="I19"/>
  <c r="CY18"/>
  <c r="CX18"/>
  <c r="CW18"/>
  <c r="CV18"/>
  <c r="CU18"/>
  <c r="CT18"/>
  <c r="CS18"/>
  <c r="CR18"/>
  <c r="CQ18"/>
  <c r="CP18"/>
  <c r="CO18"/>
  <c r="BG18"/>
  <c r="BA18"/>
  <c r="AY18"/>
  <c r="AN18"/>
  <c r="AF18"/>
  <c r="P18"/>
  <c r="K18"/>
  <c r="I18"/>
  <c r="CY17"/>
  <c r="CX17"/>
  <c r="CW17"/>
  <c r="CV17"/>
  <c r="CU17"/>
  <c r="CT17"/>
  <c r="CS17"/>
  <c r="CR17"/>
  <c r="CQ17"/>
  <c r="CP17"/>
  <c r="CO17"/>
  <c r="BG17"/>
  <c r="BA17"/>
  <c r="AY17"/>
  <c r="BI17" s="1"/>
  <c r="AN17"/>
  <c r="AF17"/>
  <c r="P17"/>
  <c r="K17"/>
  <c r="I17"/>
  <c r="H17"/>
  <c r="CY16"/>
  <c r="CX16"/>
  <c r="CW16"/>
  <c r="CV16"/>
  <c r="CU16"/>
  <c r="CT16"/>
  <c r="CS16"/>
  <c r="CR16"/>
  <c r="CQ16"/>
  <c r="CP16"/>
  <c r="CO16"/>
  <c r="BG16"/>
  <c r="BA16"/>
  <c r="AY16"/>
  <c r="AN16"/>
  <c r="AF16"/>
  <c r="P16"/>
  <c r="M16"/>
  <c r="K16"/>
  <c r="I16"/>
  <c r="CY15"/>
  <c r="CX15"/>
  <c r="CW15"/>
  <c r="CV15"/>
  <c r="CU15"/>
  <c r="CT15"/>
  <c r="CS15"/>
  <c r="CR15"/>
  <c r="CQ15"/>
  <c r="CP15"/>
  <c r="CO15"/>
  <c r="BG15"/>
  <c r="BA15"/>
  <c r="AY15"/>
  <c r="AX15" s="1"/>
  <c r="AN15"/>
  <c r="AF15"/>
  <c r="P15"/>
  <c r="K15"/>
  <c r="I15"/>
  <c r="CY14"/>
  <c r="CX14"/>
  <c r="CW14"/>
  <c r="CV14"/>
  <c r="CU14"/>
  <c r="CT14"/>
  <c r="CS14"/>
  <c r="CR14"/>
  <c r="CQ14"/>
  <c r="CP14"/>
  <c r="CO14"/>
  <c r="BG14"/>
  <c r="BA14"/>
  <c r="AY14"/>
  <c r="AN14"/>
  <c r="AF14"/>
  <c r="P14"/>
  <c r="K14"/>
  <c r="I14"/>
  <c r="CY13"/>
  <c r="CX13"/>
  <c r="CW13"/>
  <c r="CV13"/>
  <c r="CU13"/>
  <c r="CT13"/>
  <c r="CS13"/>
  <c r="CR13"/>
  <c r="CQ13"/>
  <c r="CP13"/>
  <c r="CO13"/>
  <c r="BG13"/>
  <c r="BA13"/>
  <c r="AY13"/>
  <c r="BI13" s="1"/>
  <c r="AN13"/>
  <c r="AF13"/>
  <c r="P13"/>
  <c r="K13"/>
  <c r="I13"/>
  <c r="CY12"/>
  <c r="CX12"/>
  <c r="CW12"/>
  <c r="CV12"/>
  <c r="CU12"/>
  <c r="CT12"/>
  <c r="CS12"/>
  <c r="CR12"/>
  <c r="CQ12"/>
  <c r="CP12"/>
  <c r="CO12"/>
  <c r="BG12"/>
  <c r="BA12"/>
  <c r="AY12"/>
  <c r="AN12"/>
  <c r="AF12"/>
  <c r="P12"/>
  <c r="M12"/>
  <c r="K12"/>
  <c r="I12"/>
  <c r="CY11"/>
  <c r="CX11"/>
  <c r="CW11"/>
  <c r="CV11"/>
  <c r="CU11"/>
  <c r="CT11"/>
  <c r="CS11"/>
  <c r="CR11"/>
  <c r="CQ11"/>
  <c r="CP11"/>
  <c r="CO11"/>
  <c r="BG11"/>
  <c r="BA11"/>
  <c r="AY11"/>
  <c r="BI11" s="1"/>
  <c r="AN11"/>
  <c r="AF11"/>
  <c r="P11"/>
  <c r="K11"/>
  <c r="I11"/>
  <c r="CY10"/>
  <c r="CX10"/>
  <c r="CW10"/>
  <c r="CV10"/>
  <c r="CU10"/>
  <c r="CT10"/>
  <c r="CS10"/>
  <c r="CR10"/>
  <c r="CQ10"/>
  <c r="CP10"/>
  <c r="CO10"/>
  <c r="BG10"/>
  <c r="BA10"/>
  <c r="AY10"/>
  <c r="AN10"/>
  <c r="AF10"/>
  <c r="P10"/>
  <c r="K10"/>
  <c r="I10"/>
  <c r="CY9"/>
  <c r="CX9"/>
  <c r="CW9"/>
  <c r="CV9"/>
  <c r="CU9"/>
  <c r="M9" s="1"/>
  <c r="CT9"/>
  <c r="CS9"/>
  <c r="CR9"/>
  <c r="CQ9"/>
  <c r="CP9"/>
  <c r="CO9"/>
  <c r="BG9"/>
  <c r="BA9"/>
  <c r="AY9"/>
  <c r="BI9" s="1"/>
  <c r="AX9"/>
  <c r="AN9"/>
  <c r="AI9"/>
  <c r="AF9"/>
  <c r="P9"/>
  <c r="K9"/>
  <c r="I9"/>
  <c r="H9"/>
  <c r="CY8"/>
  <c r="CX8"/>
  <c r="CW8"/>
  <c r="CV8"/>
  <c r="CU8"/>
  <c r="CT8"/>
  <c r="CS8"/>
  <c r="CR8"/>
  <c r="CQ8"/>
  <c r="CP8"/>
  <c r="CO8"/>
  <c r="BG8"/>
  <c r="BA8"/>
  <c r="AY8"/>
  <c r="M8" s="1"/>
  <c r="AN8"/>
  <c r="AF8"/>
  <c r="P8"/>
  <c r="K8"/>
  <c r="I8"/>
  <c r="CY7"/>
  <c r="CX7"/>
  <c r="CW7"/>
  <c r="CV7"/>
  <c r="CU7"/>
  <c r="CT7"/>
  <c r="CS7"/>
  <c r="CR7"/>
  <c r="CQ7"/>
  <c r="CP7"/>
  <c r="CO7"/>
  <c r="BG7"/>
  <c r="BA7"/>
  <c r="AY7"/>
  <c r="AN7"/>
  <c r="AF7"/>
  <c r="P7"/>
  <c r="M7"/>
  <c r="K7"/>
  <c r="I7"/>
  <c r="AT46" i="66"/>
  <c r="AT43"/>
  <c r="BX39"/>
  <c r="BV39"/>
  <c r="BT39"/>
  <c r="BR39"/>
  <c r="AW39"/>
  <c r="AU39"/>
  <c r="AS39"/>
  <c r="AQ39"/>
  <c r="AP39"/>
  <c r="AM39"/>
  <c r="AJ39"/>
  <c r="AD39"/>
  <c r="AC39"/>
  <c r="Z39"/>
  <c r="Z41" s="1"/>
  <c r="Y39"/>
  <c r="CI38"/>
  <c r="CM39" s="1"/>
  <c r="CH38"/>
  <c r="CL39" s="1"/>
  <c r="CG38"/>
  <c r="CK39" s="1"/>
  <c r="CF38"/>
  <c r="CJ39" s="1"/>
  <c r="BQ38"/>
  <c r="CE39" s="1"/>
  <c r="BP38"/>
  <c r="CD39" s="1"/>
  <c r="BO38"/>
  <c r="CC39" s="1"/>
  <c r="BN38"/>
  <c r="CB39" s="1"/>
  <c r="BM38"/>
  <c r="CA39" s="1"/>
  <c r="BL38"/>
  <c r="BZ39" s="1"/>
  <c r="BK38"/>
  <c r="BY39" s="1"/>
  <c r="BG38"/>
  <c r="AW38"/>
  <c r="AV38"/>
  <c r="AV39" s="1"/>
  <c r="AU38"/>
  <c r="AT38"/>
  <c r="L46" s="1"/>
  <c r="AM38"/>
  <c r="AL38"/>
  <c r="AL39" s="1"/>
  <c r="AJ38"/>
  <c r="AH38"/>
  <c r="AH39" s="1"/>
  <c r="AG38"/>
  <c r="AG39" s="1"/>
  <c r="AE38"/>
  <c r="AE39" s="1"/>
  <c r="AD38"/>
  <c r="W38"/>
  <c r="W39" s="1"/>
  <c r="V38"/>
  <c r="V39" s="1"/>
  <c r="S38"/>
  <c r="S39" s="1"/>
  <c r="G38"/>
  <c r="G39" s="1"/>
  <c r="G41" s="1"/>
  <c r="CY37"/>
  <c r="CX37"/>
  <c r="CW37"/>
  <c r="CV37"/>
  <c r="CU37"/>
  <c r="CT37"/>
  <c r="CS37"/>
  <c r="CR37"/>
  <c r="CQ37"/>
  <c r="CP37"/>
  <c r="CO37"/>
  <c r="BG37"/>
  <c r="BA37"/>
  <c r="AY37"/>
  <c r="BI37" s="1"/>
  <c r="AN37"/>
  <c r="AF37"/>
  <c r="Q37"/>
  <c r="P37"/>
  <c r="O37"/>
  <c r="N37"/>
  <c r="M37"/>
  <c r="L37"/>
  <c r="K37"/>
  <c r="J37"/>
  <c r="DD37" s="1"/>
  <c r="DG37" s="1"/>
  <c r="DH37" s="1"/>
  <c r="I37"/>
  <c r="B37"/>
  <c r="CY36"/>
  <c r="CX36"/>
  <c r="CW36"/>
  <c r="CV36"/>
  <c r="CU36"/>
  <c r="M36" s="1"/>
  <c r="CT36"/>
  <c r="CS36"/>
  <c r="CR36"/>
  <c r="CQ36"/>
  <c r="CP36"/>
  <c r="CO36"/>
  <c r="BI36"/>
  <c r="BG36"/>
  <c r="BB36"/>
  <c r="BD36" s="1"/>
  <c r="BA36"/>
  <c r="AY36"/>
  <c r="AX36"/>
  <c r="AN36"/>
  <c r="AI36"/>
  <c r="AF36"/>
  <c r="Q36"/>
  <c r="R36" s="1"/>
  <c r="P36"/>
  <c r="O36"/>
  <c r="N36"/>
  <c r="L36"/>
  <c r="K36"/>
  <c r="J36"/>
  <c r="DD36" s="1"/>
  <c r="DG36" s="1"/>
  <c r="DH36" s="1"/>
  <c r="AZ36" s="1"/>
  <c r="I36"/>
  <c r="H36"/>
  <c r="E36"/>
  <c r="C36"/>
  <c r="B36"/>
  <c r="D36" s="1"/>
  <c r="CY35"/>
  <c r="CX35"/>
  <c r="CW35"/>
  <c r="CV35"/>
  <c r="CU35"/>
  <c r="CT35"/>
  <c r="CS35"/>
  <c r="CR35"/>
  <c r="CQ35"/>
  <c r="CP35"/>
  <c r="CO35"/>
  <c r="BG35"/>
  <c r="BA35"/>
  <c r="AY35"/>
  <c r="BI35" s="1"/>
  <c r="AN35"/>
  <c r="AF35"/>
  <c r="Q35"/>
  <c r="P35"/>
  <c r="O35"/>
  <c r="N35"/>
  <c r="M35"/>
  <c r="L35"/>
  <c r="K35"/>
  <c r="J35"/>
  <c r="DD35" s="1"/>
  <c r="DG35" s="1"/>
  <c r="DH35" s="1"/>
  <c r="I35"/>
  <c r="B35"/>
  <c r="CY34"/>
  <c r="CX34"/>
  <c r="CW34"/>
  <c r="CV34"/>
  <c r="CU34"/>
  <c r="M34" s="1"/>
  <c r="CT34"/>
  <c r="CS34"/>
  <c r="CR34"/>
  <c r="CQ34"/>
  <c r="CP34"/>
  <c r="CO34"/>
  <c r="BI34"/>
  <c r="BG34"/>
  <c r="BB34"/>
  <c r="BD34" s="1"/>
  <c r="BA34"/>
  <c r="AY34"/>
  <c r="AX34"/>
  <c r="AN34"/>
  <c r="AI34"/>
  <c r="AF34"/>
  <c r="Q34"/>
  <c r="R34" s="1"/>
  <c r="P34"/>
  <c r="O34"/>
  <c r="N34"/>
  <c r="L34"/>
  <c r="K34"/>
  <c r="J34"/>
  <c r="DD34" s="1"/>
  <c r="DG34" s="1"/>
  <c r="DH34" s="1"/>
  <c r="AZ34" s="1"/>
  <c r="I34"/>
  <c r="H34"/>
  <c r="E34"/>
  <c r="C34"/>
  <c r="B34"/>
  <c r="D34" s="1"/>
  <c r="CY33"/>
  <c r="CX33"/>
  <c r="CW33"/>
  <c r="CV33"/>
  <c r="CU33"/>
  <c r="CT33"/>
  <c r="CS33"/>
  <c r="CR33"/>
  <c r="CQ33"/>
  <c r="CP33"/>
  <c r="CO33"/>
  <c r="BG33"/>
  <c r="BA33"/>
  <c r="AY33"/>
  <c r="BI33" s="1"/>
  <c r="AN33"/>
  <c r="AF33"/>
  <c r="Q33"/>
  <c r="P33"/>
  <c r="O33"/>
  <c r="N33"/>
  <c r="M33"/>
  <c r="L33"/>
  <c r="K33"/>
  <c r="J33"/>
  <c r="DD33" s="1"/>
  <c r="DG33" s="1"/>
  <c r="DH33" s="1"/>
  <c r="I33"/>
  <c r="B33"/>
  <c r="CY32"/>
  <c r="CX32"/>
  <c r="CW32"/>
  <c r="CV32"/>
  <c r="CU32"/>
  <c r="M32" s="1"/>
  <c r="CT32"/>
  <c r="CS32"/>
  <c r="CR32"/>
  <c r="CQ32"/>
  <c r="CP32"/>
  <c r="CO32"/>
  <c r="BI32"/>
  <c r="BG32"/>
  <c r="BB32"/>
  <c r="BD32" s="1"/>
  <c r="BA32"/>
  <c r="AY32"/>
  <c r="AX32"/>
  <c r="AN32"/>
  <c r="AI32"/>
  <c r="AF32"/>
  <c r="Q32"/>
  <c r="R32" s="1"/>
  <c r="P32"/>
  <c r="O32"/>
  <c r="N32"/>
  <c r="L32"/>
  <c r="K32"/>
  <c r="J32"/>
  <c r="DD32" s="1"/>
  <c r="DG32" s="1"/>
  <c r="DH32" s="1"/>
  <c r="AZ32" s="1"/>
  <c r="I32"/>
  <c r="H32"/>
  <c r="E32"/>
  <c r="C32"/>
  <c r="B32"/>
  <c r="D32" s="1"/>
  <c r="CY31"/>
  <c r="CX31"/>
  <c r="CW31"/>
  <c r="CV31"/>
  <c r="CU31"/>
  <c r="CT31"/>
  <c r="CS31"/>
  <c r="CR31"/>
  <c r="CQ31"/>
  <c r="CP31"/>
  <c r="CO31"/>
  <c r="BG31"/>
  <c r="BA31"/>
  <c r="AY31"/>
  <c r="BI31" s="1"/>
  <c r="AN31"/>
  <c r="AF31"/>
  <c r="Q31"/>
  <c r="P31"/>
  <c r="O31"/>
  <c r="N31"/>
  <c r="M31"/>
  <c r="L31"/>
  <c r="K31"/>
  <c r="J31"/>
  <c r="DD31" s="1"/>
  <c r="DG31" s="1"/>
  <c r="DH31" s="1"/>
  <c r="I31"/>
  <c r="B31"/>
  <c r="CY30"/>
  <c r="CX30"/>
  <c r="CW30"/>
  <c r="CV30"/>
  <c r="CU30"/>
  <c r="M30" s="1"/>
  <c r="CT30"/>
  <c r="CS30"/>
  <c r="CR30"/>
  <c r="CQ30"/>
  <c r="CP30"/>
  <c r="CO30"/>
  <c r="BI30"/>
  <c r="BG30"/>
  <c r="BB30"/>
  <c r="BD30" s="1"/>
  <c r="BA30"/>
  <c r="AY30"/>
  <c r="AX30"/>
  <c r="AN30"/>
  <c r="AI30"/>
  <c r="AF30"/>
  <c r="Q30"/>
  <c r="R30" s="1"/>
  <c r="P30"/>
  <c r="O30"/>
  <c r="N30"/>
  <c r="L30"/>
  <c r="K30"/>
  <c r="J30"/>
  <c r="DD30" s="1"/>
  <c r="DG30" s="1"/>
  <c r="DH30" s="1"/>
  <c r="AZ30" s="1"/>
  <c r="I30"/>
  <c r="H30"/>
  <c r="E30"/>
  <c r="C30"/>
  <c r="B30"/>
  <c r="D30" s="1"/>
  <c r="CY29"/>
  <c r="CX29"/>
  <c r="CW29"/>
  <c r="CV29"/>
  <c r="CU29"/>
  <c r="CT29"/>
  <c r="CS29"/>
  <c r="CR29"/>
  <c r="CQ29"/>
  <c r="CP29"/>
  <c r="CO29"/>
  <c r="BG29"/>
  <c r="BA29"/>
  <c r="AY29"/>
  <c r="BI29" s="1"/>
  <c r="AN29"/>
  <c r="AF29"/>
  <c r="Q29"/>
  <c r="P29"/>
  <c r="O29"/>
  <c r="N29"/>
  <c r="M29"/>
  <c r="L29"/>
  <c r="K29"/>
  <c r="J29"/>
  <c r="DD29" s="1"/>
  <c r="DG29" s="1"/>
  <c r="DH29" s="1"/>
  <c r="I29"/>
  <c r="B29"/>
  <c r="CY28"/>
  <c r="CX28"/>
  <c r="CW28"/>
  <c r="CV28"/>
  <c r="CU28"/>
  <c r="M28" s="1"/>
  <c r="CT28"/>
  <c r="CS28"/>
  <c r="CR28"/>
  <c r="CQ28"/>
  <c r="CP28"/>
  <c r="CO28"/>
  <c r="BI28"/>
  <c r="BG28"/>
  <c r="BB28"/>
  <c r="BD28" s="1"/>
  <c r="BA28"/>
  <c r="AY28"/>
  <c r="AX28"/>
  <c r="AN28"/>
  <c r="AI28"/>
  <c r="AF28"/>
  <c r="Q28"/>
  <c r="R28" s="1"/>
  <c r="P28"/>
  <c r="O28"/>
  <c r="N28"/>
  <c r="L28"/>
  <c r="K28"/>
  <c r="J28"/>
  <c r="DD28" s="1"/>
  <c r="DG28" s="1"/>
  <c r="DH28" s="1"/>
  <c r="I28"/>
  <c r="H28"/>
  <c r="E28"/>
  <c r="C28"/>
  <c r="B28"/>
  <c r="CY27"/>
  <c r="CX27"/>
  <c r="CW27"/>
  <c r="CV27"/>
  <c r="CU27"/>
  <c r="CT27"/>
  <c r="CS27"/>
  <c r="CR27"/>
  <c r="CQ27"/>
  <c r="CP27"/>
  <c r="CO27"/>
  <c r="BG27"/>
  <c r="BA27"/>
  <c r="AY27"/>
  <c r="AN27"/>
  <c r="AF27"/>
  <c r="Q27"/>
  <c r="R27" s="1"/>
  <c r="P27"/>
  <c r="O27"/>
  <c r="N27"/>
  <c r="M27"/>
  <c r="L27"/>
  <c r="K27"/>
  <c r="J27"/>
  <c r="DD27" s="1"/>
  <c r="DG27" s="1"/>
  <c r="DH27" s="1"/>
  <c r="I27"/>
  <c r="B27"/>
  <c r="CY26"/>
  <c r="CX26"/>
  <c r="CW26"/>
  <c r="CV26"/>
  <c r="CU26"/>
  <c r="M26" s="1"/>
  <c r="CT26"/>
  <c r="CS26"/>
  <c r="CR26"/>
  <c r="CQ26"/>
  <c r="CP26"/>
  <c r="CO26"/>
  <c r="BI26"/>
  <c r="BG26"/>
  <c r="BB26"/>
  <c r="BD26" s="1"/>
  <c r="BA26"/>
  <c r="AY26"/>
  <c r="AX26"/>
  <c r="AN26"/>
  <c r="AI26"/>
  <c r="AF26"/>
  <c r="Q26"/>
  <c r="P26"/>
  <c r="O26"/>
  <c r="N26"/>
  <c r="L26"/>
  <c r="K26"/>
  <c r="J26"/>
  <c r="DD26" s="1"/>
  <c r="DG26" s="1"/>
  <c r="DH26" s="1"/>
  <c r="I26"/>
  <c r="H26"/>
  <c r="E26"/>
  <c r="C26"/>
  <c r="B26"/>
  <c r="CY25"/>
  <c r="CX25"/>
  <c r="CW25"/>
  <c r="CV25"/>
  <c r="CU25"/>
  <c r="CT25"/>
  <c r="CS25"/>
  <c r="CR25"/>
  <c r="CQ25"/>
  <c r="CP25"/>
  <c r="CO25"/>
  <c r="BG25"/>
  <c r="BA25"/>
  <c r="AY25"/>
  <c r="AN25"/>
  <c r="AF25"/>
  <c r="Q25"/>
  <c r="R25" s="1"/>
  <c r="P25"/>
  <c r="O25"/>
  <c r="N25"/>
  <c r="M25"/>
  <c r="L25"/>
  <c r="K25"/>
  <c r="J25"/>
  <c r="DD25" s="1"/>
  <c r="DG25" s="1"/>
  <c r="DH25" s="1"/>
  <c r="I25"/>
  <c r="B25"/>
  <c r="CY24"/>
  <c r="CX24"/>
  <c r="CW24"/>
  <c r="CV24"/>
  <c r="CU24"/>
  <c r="M24" s="1"/>
  <c r="CT24"/>
  <c r="CS24"/>
  <c r="CR24"/>
  <c r="CQ24"/>
  <c r="CP24"/>
  <c r="CO24"/>
  <c r="BI24"/>
  <c r="BG24"/>
  <c r="BB24"/>
  <c r="BD24" s="1"/>
  <c r="BA24"/>
  <c r="AY24"/>
  <c r="AX24"/>
  <c r="AN24"/>
  <c r="AI24"/>
  <c r="AF24"/>
  <c r="Q24"/>
  <c r="R24" s="1"/>
  <c r="P24"/>
  <c r="O24"/>
  <c r="N24"/>
  <c r="L24"/>
  <c r="K24"/>
  <c r="J24"/>
  <c r="DD24" s="1"/>
  <c r="DG24" s="1"/>
  <c r="DH24" s="1"/>
  <c r="I24"/>
  <c r="H24"/>
  <c r="E24"/>
  <c r="C24"/>
  <c r="B24"/>
  <c r="CY23"/>
  <c r="CX23"/>
  <c r="CW23"/>
  <c r="CV23"/>
  <c r="CU23"/>
  <c r="CT23"/>
  <c r="CS23"/>
  <c r="CR23"/>
  <c r="CQ23"/>
  <c r="CP23"/>
  <c r="CO23"/>
  <c r="BG23"/>
  <c r="BA23"/>
  <c r="AY23"/>
  <c r="AN23"/>
  <c r="AF23"/>
  <c r="Q23"/>
  <c r="R23" s="1"/>
  <c r="P23"/>
  <c r="O23"/>
  <c r="N23"/>
  <c r="M23"/>
  <c r="L23"/>
  <c r="K23"/>
  <c r="J23"/>
  <c r="DD23" s="1"/>
  <c r="DG23" s="1"/>
  <c r="DH23" s="1"/>
  <c r="I23"/>
  <c r="B23"/>
  <c r="CY22"/>
  <c r="CX22"/>
  <c r="CW22"/>
  <c r="CV22"/>
  <c r="CU22"/>
  <c r="M22" s="1"/>
  <c r="CT22"/>
  <c r="CS22"/>
  <c r="CR22"/>
  <c r="CQ22"/>
  <c r="CP22"/>
  <c r="CO22"/>
  <c r="BI22"/>
  <c r="BG22"/>
  <c r="BB22"/>
  <c r="BD22" s="1"/>
  <c r="BA22"/>
  <c r="AY22"/>
  <c r="AX22"/>
  <c r="AN22"/>
  <c r="AI22"/>
  <c r="AF22"/>
  <c r="Q22"/>
  <c r="P22"/>
  <c r="O22"/>
  <c r="N22"/>
  <c r="L22"/>
  <c r="K22"/>
  <c r="J22"/>
  <c r="DD22" s="1"/>
  <c r="DG22" s="1"/>
  <c r="DH22" s="1"/>
  <c r="I22"/>
  <c r="H22"/>
  <c r="E22"/>
  <c r="C22"/>
  <c r="B22"/>
  <c r="CY21"/>
  <c r="CX21"/>
  <c r="CW21"/>
  <c r="CV21"/>
  <c r="CU21"/>
  <c r="CT21"/>
  <c r="CS21"/>
  <c r="CR21"/>
  <c r="CQ21"/>
  <c r="CP21"/>
  <c r="CO21"/>
  <c r="BG21"/>
  <c r="BA21"/>
  <c r="AY21"/>
  <c r="AN21"/>
  <c r="AF21"/>
  <c r="Q21"/>
  <c r="R21" s="1"/>
  <c r="P21"/>
  <c r="O21"/>
  <c r="N21"/>
  <c r="M21"/>
  <c r="L21"/>
  <c r="K21"/>
  <c r="J21"/>
  <c r="DD21" s="1"/>
  <c r="DG21" s="1"/>
  <c r="DH21" s="1"/>
  <c r="I21"/>
  <c r="B21"/>
  <c r="E21" s="1"/>
  <c r="CY20"/>
  <c r="CX20"/>
  <c r="CW20"/>
  <c r="CV20"/>
  <c r="CU20"/>
  <c r="M20" s="1"/>
  <c r="CT20"/>
  <c r="CS20"/>
  <c r="CR20"/>
  <c r="CQ20"/>
  <c r="CP20"/>
  <c r="CO20"/>
  <c r="BI20"/>
  <c r="BG20"/>
  <c r="BB20"/>
  <c r="BD20" s="1"/>
  <c r="BA20"/>
  <c r="AY20"/>
  <c r="AX20"/>
  <c r="AN20"/>
  <c r="AI20"/>
  <c r="AF20"/>
  <c r="Q20"/>
  <c r="R20" s="1"/>
  <c r="P20"/>
  <c r="O20"/>
  <c r="N20"/>
  <c r="L20"/>
  <c r="K20"/>
  <c r="J20"/>
  <c r="DD20" s="1"/>
  <c r="DG20" s="1"/>
  <c r="DH20" s="1"/>
  <c r="I20"/>
  <c r="H20"/>
  <c r="E20"/>
  <c r="C20"/>
  <c r="B20"/>
  <c r="D20" s="1"/>
  <c r="CY19"/>
  <c r="CX19"/>
  <c r="CW19"/>
  <c r="CV19"/>
  <c r="CU19"/>
  <c r="CT19"/>
  <c r="CS19"/>
  <c r="CR19"/>
  <c r="CQ19"/>
  <c r="CP19"/>
  <c r="CO19"/>
  <c r="BG19"/>
  <c r="BA19"/>
  <c r="AY19"/>
  <c r="BI19" s="1"/>
  <c r="AN19"/>
  <c r="AF19"/>
  <c r="Q19"/>
  <c r="R19" s="1"/>
  <c r="P19"/>
  <c r="O19"/>
  <c r="N19"/>
  <c r="M19"/>
  <c r="L19"/>
  <c r="K19"/>
  <c r="J19"/>
  <c r="DD19" s="1"/>
  <c r="DG19" s="1"/>
  <c r="DH19" s="1"/>
  <c r="I19"/>
  <c r="B19"/>
  <c r="E19" s="1"/>
  <c r="CY18"/>
  <c r="CX18"/>
  <c r="CW18"/>
  <c r="CV18"/>
  <c r="CU18"/>
  <c r="M18" s="1"/>
  <c r="CT18"/>
  <c r="CS18"/>
  <c r="CR18"/>
  <c r="CQ18"/>
  <c r="CP18"/>
  <c r="CO18"/>
  <c r="BI18"/>
  <c r="BG18"/>
  <c r="BB18"/>
  <c r="BD18" s="1"/>
  <c r="BA18"/>
  <c r="AY18"/>
  <c r="AX18"/>
  <c r="AN18"/>
  <c r="AI18"/>
  <c r="AF18"/>
  <c r="Q18"/>
  <c r="R18" s="1"/>
  <c r="P18"/>
  <c r="O18"/>
  <c r="N18"/>
  <c r="L18"/>
  <c r="K18"/>
  <c r="J18"/>
  <c r="DD18" s="1"/>
  <c r="DG18" s="1"/>
  <c r="DH18" s="1"/>
  <c r="I18"/>
  <c r="H18"/>
  <c r="E18"/>
  <c r="C18"/>
  <c r="B18"/>
  <c r="D18" s="1"/>
  <c r="CY17"/>
  <c r="CX17"/>
  <c r="CW17"/>
  <c r="CV17"/>
  <c r="CU17"/>
  <c r="CT17"/>
  <c r="CS17"/>
  <c r="CR17"/>
  <c r="CQ17"/>
  <c r="CP17"/>
  <c r="CO17"/>
  <c r="BG17"/>
  <c r="BA17"/>
  <c r="AY17"/>
  <c r="BI17" s="1"/>
  <c r="AN17"/>
  <c r="AF17"/>
  <c r="Q17"/>
  <c r="R17" s="1"/>
  <c r="P17"/>
  <c r="O17"/>
  <c r="N17"/>
  <c r="M17"/>
  <c r="L17"/>
  <c r="K17"/>
  <c r="J17"/>
  <c r="DD17" s="1"/>
  <c r="DG17" s="1"/>
  <c r="DH17" s="1"/>
  <c r="I17"/>
  <c r="B17"/>
  <c r="E17" s="1"/>
  <c r="CY16"/>
  <c r="CX16"/>
  <c r="CW16"/>
  <c r="CV16"/>
  <c r="CU16"/>
  <c r="M16" s="1"/>
  <c r="CT16"/>
  <c r="CS16"/>
  <c r="CR16"/>
  <c r="CQ16"/>
  <c r="CP16"/>
  <c r="CO16"/>
  <c r="BI16"/>
  <c r="BG16"/>
  <c r="BB16"/>
  <c r="BD16" s="1"/>
  <c r="BA16"/>
  <c r="AY16"/>
  <c r="AX16"/>
  <c r="AN16"/>
  <c r="AI16"/>
  <c r="AF16"/>
  <c r="Q16"/>
  <c r="R16" s="1"/>
  <c r="P16"/>
  <c r="O16"/>
  <c r="N16"/>
  <c r="L16"/>
  <c r="K16"/>
  <c r="J16"/>
  <c r="DD16" s="1"/>
  <c r="DG16" s="1"/>
  <c r="DH16" s="1"/>
  <c r="AZ16" s="1"/>
  <c r="I16"/>
  <c r="H16"/>
  <c r="E16"/>
  <c r="C16"/>
  <c r="B16"/>
  <c r="D16" s="1"/>
  <c r="CY15"/>
  <c r="CX15"/>
  <c r="CW15"/>
  <c r="CV15"/>
  <c r="CU15"/>
  <c r="CT15"/>
  <c r="CS15"/>
  <c r="CR15"/>
  <c r="CQ15"/>
  <c r="CP15"/>
  <c r="CO15"/>
  <c r="BG15"/>
  <c r="BA15"/>
  <c r="AY15"/>
  <c r="BI15" s="1"/>
  <c r="AN15"/>
  <c r="AF15"/>
  <c r="Q15"/>
  <c r="R15" s="1"/>
  <c r="P15"/>
  <c r="O15"/>
  <c r="N15"/>
  <c r="M15"/>
  <c r="L15"/>
  <c r="K15"/>
  <c r="J15"/>
  <c r="DD15" s="1"/>
  <c r="DG15" s="1"/>
  <c r="DH15" s="1"/>
  <c r="I15"/>
  <c r="B15"/>
  <c r="E15" s="1"/>
  <c r="CY14"/>
  <c r="CX14"/>
  <c r="CW14"/>
  <c r="CV14"/>
  <c r="CU14"/>
  <c r="M14" s="1"/>
  <c r="CT14"/>
  <c r="CS14"/>
  <c r="CR14"/>
  <c r="CQ14"/>
  <c r="CP14"/>
  <c r="CO14"/>
  <c r="BI14"/>
  <c r="BG14"/>
  <c r="BB14"/>
  <c r="BD14" s="1"/>
  <c r="BA14"/>
  <c r="AY14"/>
  <c r="AX14"/>
  <c r="AN14"/>
  <c r="AI14"/>
  <c r="AF14"/>
  <c r="Q14"/>
  <c r="R14" s="1"/>
  <c r="P14"/>
  <c r="O14"/>
  <c r="N14"/>
  <c r="L14"/>
  <c r="K14"/>
  <c r="J14"/>
  <c r="DD14" s="1"/>
  <c r="DG14" s="1"/>
  <c r="DH14" s="1"/>
  <c r="AZ14" s="1"/>
  <c r="I14"/>
  <c r="H14"/>
  <c r="E14"/>
  <c r="C14"/>
  <c r="B14"/>
  <c r="D14" s="1"/>
  <c r="CY13"/>
  <c r="CX13"/>
  <c r="CW13"/>
  <c r="CV13"/>
  <c r="CU13"/>
  <c r="CT13"/>
  <c r="CS13"/>
  <c r="CR13"/>
  <c r="CQ13"/>
  <c r="CP13"/>
  <c r="CO13"/>
  <c r="BG13"/>
  <c r="BA13"/>
  <c r="AY13"/>
  <c r="BI13" s="1"/>
  <c r="AN13"/>
  <c r="AF13"/>
  <c r="Q13"/>
  <c r="R13" s="1"/>
  <c r="P13"/>
  <c r="O13"/>
  <c r="N13"/>
  <c r="M13"/>
  <c r="L13"/>
  <c r="K13"/>
  <c r="J13"/>
  <c r="DD13" s="1"/>
  <c r="DG13" s="1"/>
  <c r="DH13" s="1"/>
  <c r="I13"/>
  <c r="B13"/>
  <c r="E13" s="1"/>
  <c r="CY12"/>
  <c r="CX12"/>
  <c r="CW12"/>
  <c r="CV12"/>
  <c r="CU12"/>
  <c r="M12" s="1"/>
  <c r="CT12"/>
  <c r="CS12"/>
  <c r="CR12"/>
  <c r="CQ12"/>
  <c r="CP12"/>
  <c r="CO12"/>
  <c r="BI12"/>
  <c r="BG12"/>
  <c r="BB12"/>
  <c r="BD12" s="1"/>
  <c r="BA12"/>
  <c r="AY12"/>
  <c r="AX12"/>
  <c r="AN12"/>
  <c r="AI12"/>
  <c r="AF12"/>
  <c r="Q12"/>
  <c r="R12" s="1"/>
  <c r="P12"/>
  <c r="O12"/>
  <c r="N12"/>
  <c r="L12"/>
  <c r="K12"/>
  <c r="J12"/>
  <c r="DD12" s="1"/>
  <c r="DG12" s="1"/>
  <c r="DH12" s="1"/>
  <c r="AZ12" s="1"/>
  <c r="I12"/>
  <c r="H12"/>
  <c r="E12"/>
  <c r="C12"/>
  <c r="B12"/>
  <c r="D12" s="1"/>
  <c r="CY11"/>
  <c r="CX11"/>
  <c r="CW11"/>
  <c r="CV11"/>
  <c r="CU11"/>
  <c r="CT11"/>
  <c r="CS11"/>
  <c r="CR11"/>
  <c r="CQ11"/>
  <c r="CP11"/>
  <c r="CO11"/>
  <c r="BG11"/>
  <c r="BA11"/>
  <c r="AY11"/>
  <c r="BI11" s="1"/>
  <c r="AN11"/>
  <c r="AF11"/>
  <c r="Q11"/>
  <c r="R11" s="1"/>
  <c r="P11"/>
  <c r="O11"/>
  <c r="N11"/>
  <c r="M11"/>
  <c r="L11"/>
  <c r="K11"/>
  <c r="J11"/>
  <c r="DD11" s="1"/>
  <c r="DG11" s="1"/>
  <c r="DH11" s="1"/>
  <c r="I11"/>
  <c r="B11"/>
  <c r="E11" s="1"/>
  <c r="CY10"/>
  <c r="CX10"/>
  <c r="CW10"/>
  <c r="CV10"/>
  <c r="CU10"/>
  <c r="M10" s="1"/>
  <c r="CT10"/>
  <c r="CS10"/>
  <c r="CR10"/>
  <c r="CQ10"/>
  <c r="CP10"/>
  <c r="CO10"/>
  <c r="BI10"/>
  <c r="BG10"/>
  <c r="BB10"/>
  <c r="BD10" s="1"/>
  <c r="BA10"/>
  <c r="AY10"/>
  <c r="AX10"/>
  <c r="AN10"/>
  <c r="AI10"/>
  <c r="AF10"/>
  <c r="Q10"/>
  <c r="R10" s="1"/>
  <c r="P10"/>
  <c r="O10"/>
  <c r="N10"/>
  <c r="L10"/>
  <c r="K10"/>
  <c r="J10"/>
  <c r="DD10" s="1"/>
  <c r="DG10" s="1"/>
  <c r="DH10" s="1"/>
  <c r="AZ10" s="1"/>
  <c r="I10"/>
  <c r="H10"/>
  <c r="E10"/>
  <c r="C10"/>
  <c r="B10"/>
  <c r="D10" s="1"/>
  <c r="CY9"/>
  <c r="CX9"/>
  <c r="CW9"/>
  <c r="CV9"/>
  <c r="CU9"/>
  <c r="CT9"/>
  <c r="CS9"/>
  <c r="CR9"/>
  <c r="CQ9"/>
  <c r="CP9"/>
  <c r="CO9"/>
  <c r="BG9"/>
  <c r="BA9"/>
  <c r="AY9"/>
  <c r="BI9" s="1"/>
  <c r="AN9"/>
  <c r="AF9"/>
  <c r="Q9"/>
  <c r="R9" s="1"/>
  <c r="P9"/>
  <c r="O9"/>
  <c r="N9"/>
  <c r="M9"/>
  <c r="L9"/>
  <c r="K9"/>
  <c r="J9"/>
  <c r="DD9" s="1"/>
  <c r="DG9" s="1"/>
  <c r="DH9" s="1"/>
  <c r="I9"/>
  <c r="B9"/>
  <c r="E9" s="1"/>
  <c r="CY8"/>
  <c r="CX8"/>
  <c r="CW8"/>
  <c r="CV8"/>
  <c r="CU8"/>
  <c r="M8" s="1"/>
  <c r="CT8"/>
  <c r="CS8"/>
  <c r="CR8"/>
  <c r="CQ8"/>
  <c r="CP8"/>
  <c r="CO8"/>
  <c r="BI8"/>
  <c r="BG8"/>
  <c r="BB8"/>
  <c r="BD8" s="1"/>
  <c r="BA8"/>
  <c r="AY8"/>
  <c r="AX8"/>
  <c r="AN8"/>
  <c r="AI8"/>
  <c r="AF8"/>
  <c r="Q8"/>
  <c r="R8" s="1"/>
  <c r="P8"/>
  <c r="O8"/>
  <c r="N8"/>
  <c r="L8"/>
  <c r="K8"/>
  <c r="J8"/>
  <c r="DD8" s="1"/>
  <c r="DG8" s="1"/>
  <c r="DH8" s="1"/>
  <c r="AZ8" s="1"/>
  <c r="I8"/>
  <c r="H8"/>
  <c r="E8"/>
  <c r="C8"/>
  <c r="B8"/>
  <c r="D8" s="1"/>
  <c r="CY7"/>
  <c r="CX7"/>
  <c r="CX38" s="1"/>
  <c r="CW7"/>
  <c r="CV7"/>
  <c r="CV38" s="1"/>
  <c r="CU7"/>
  <c r="CT7"/>
  <c r="CT38" s="1"/>
  <c r="CS7"/>
  <c r="CR7"/>
  <c r="CR38" s="1"/>
  <c r="CQ7"/>
  <c r="CP7"/>
  <c r="CP38" s="1"/>
  <c r="CO7"/>
  <c r="BH7"/>
  <c r="BG7"/>
  <c r="BA7"/>
  <c r="BA38" s="1"/>
  <c r="AY7"/>
  <c r="BF7" s="1"/>
  <c r="BF8" s="1"/>
  <c r="BF9" s="1"/>
  <c r="BF10" s="1"/>
  <c r="BF11" s="1"/>
  <c r="BF12" s="1"/>
  <c r="BF13" s="1"/>
  <c r="BF14" s="1"/>
  <c r="BF15" s="1"/>
  <c r="BF16" s="1"/>
  <c r="BF17" s="1"/>
  <c r="BF18" s="1"/>
  <c r="BF19" s="1"/>
  <c r="BF20" s="1"/>
  <c r="BF21" s="1"/>
  <c r="BF22" s="1"/>
  <c r="BF23" s="1"/>
  <c r="BF24" s="1"/>
  <c r="BF25" s="1"/>
  <c r="BF26" s="1"/>
  <c r="BF27" s="1"/>
  <c r="BF28" s="1"/>
  <c r="BF29" s="1"/>
  <c r="BF30" s="1"/>
  <c r="BF31" s="1"/>
  <c r="BF32" s="1"/>
  <c r="BF33" s="1"/>
  <c r="BF34" s="1"/>
  <c r="BF35" s="1"/>
  <c r="BF36" s="1"/>
  <c r="BF37" s="1"/>
  <c r="AN7"/>
  <c r="AF7"/>
  <c r="Q7"/>
  <c r="P7"/>
  <c r="O7"/>
  <c r="N7"/>
  <c r="M7"/>
  <c r="L7"/>
  <c r="K7"/>
  <c r="J7"/>
  <c r="DD7" s="1"/>
  <c r="I7"/>
  <c r="B7"/>
  <c r="B38" s="1"/>
  <c r="B39" s="1"/>
  <c r="F10" i="72" l="1"/>
  <c r="F12"/>
  <c r="F18"/>
  <c r="F22"/>
  <c r="U24" i="67"/>
  <c r="F14" i="72"/>
  <c r="F27"/>
  <c r="F31"/>
  <c r="AZ38" i="76"/>
  <c r="AZ39" s="1"/>
  <c r="BC39"/>
  <c r="D39"/>
  <c r="U39"/>
  <c r="U41" s="1"/>
  <c r="DH38" i="74"/>
  <c r="F36" i="72"/>
  <c r="AZ36"/>
  <c r="AZ35"/>
  <c r="F35"/>
  <c r="U35"/>
  <c r="F39" i="74"/>
  <c r="F41" s="1"/>
  <c r="BC33" i="72"/>
  <c r="AZ32"/>
  <c r="BC39" i="74"/>
  <c r="AZ38"/>
  <c r="AZ39" s="1"/>
  <c r="T38"/>
  <c r="U7"/>
  <c r="D39"/>
  <c r="AZ34" i="72"/>
  <c r="F34"/>
  <c r="AZ33"/>
  <c r="F33"/>
  <c r="U33"/>
  <c r="F32"/>
  <c r="AZ31"/>
  <c r="AZ27"/>
  <c r="F20"/>
  <c r="F16"/>
  <c r="F8"/>
  <c r="AZ8"/>
  <c r="BC8"/>
  <c r="C39"/>
  <c r="E39"/>
  <c r="BC27"/>
  <c r="BC31"/>
  <c r="D38"/>
  <c r="D39" s="1"/>
  <c r="U37" i="73"/>
  <c r="BC37"/>
  <c r="AZ37"/>
  <c r="F37"/>
  <c r="U36"/>
  <c r="BC36"/>
  <c r="AZ36"/>
  <c r="F36"/>
  <c r="U35"/>
  <c r="BC35"/>
  <c r="AZ35"/>
  <c r="F35"/>
  <c r="U34"/>
  <c r="BC34"/>
  <c r="AZ34"/>
  <c r="F34"/>
  <c r="U33"/>
  <c r="BC33"/>
  <c r="AZ33"/>
  <c r="F33"/>
  <c r="U32"/>
  <c r="BC32"/>
  <c r="AZ32"/>
  <c r="F32"/>
  <c r="U31"/>
  <c r="BC31"/>
  <c r="AZ31"/>
  <c r="F31"/>
  <c r="U30"/>
  <c r="BC30"/>
  <c r="AZ30"/>
  <c r="F30"/>
  <c r="U29"/>
  <c r="BC29"/>
  <c r="AZ29"/>
  <c r="F29"/>
  <c r="U28"/>
  <c r="BC28"/>
  <c r="AZ28"/>
  <c r="F28"/>
  <c r="U27"/>
  <c r="BC27"/>
  <c r="AZ27"/>
  <c r="F27"/>
  <c r="U26"/>
  <c r="BC26"/>
  <c r="AZ26"/>
  <c r="F26"/>
  <c r="U25"/>
  <c r="BC25"/>
  <c r="AZ25"/>
  <c r="F25"/>
  <c r="U24"/>
  <c r="BC24"/>
  <c r="AZ24"/>
  <c r="F24"/>
  <c r="U23"/>
  <c r="BC23"/>
  <c r="AZ23"/>
  <c r="F23"/>
  <c r="U22"/>
  <c r="BC22"/>
  <c r="AZ22"/>
  <c r="F22"/>
  <c r="U21"/>
  <c r="BC21"/>
  <c r="AZ21"/>
  <c r="F21"/>
  <c r="U20"/>
  <c r="BC20"/>
  <c r="AZ20"/>
  <c r="F20"/>
  <c r="U19"/>
  <c r="BC19"/>
  <c r="AZ19"/>
  <c r="F19"/>
  <c r="U18"/>
  <c r="BC18"/>
  <c r="AZ18"/>
  <c r="F18"/>
  <c r="U17"/>
  <c r="BC17"/>
  <c r="AZ17"/>
  <c r="F17"/>
  <c r="U16"/>
  <c r="BC16"/>
  <c r="AZ16"/>
  <c r="F16"/>
  <c r="U15"/>
  <c r="BC15"/>
  <c r="AZ15"/>
  <c r="F15"/>
  <c r="U14"/>
  <c r="BC14"/>
  <c r="AZ14"/>
  <c r="F14"/>
  <c r="U13"/>
  <c r="BC13"/>
  <c r="AZ13"/>
  <c r="F13"/>
  <c r="BC12"/>
  <c r="AZ12"/>
  <c r="F12"/>
  <c r="U12"/>
  <c r="U11"/>
  <c r="BC11"/>
  <c r="AZ11"/>
  <c r="F11"/>
  <c r="U10"/>
  <c r="BC10"/>
  <c r="AZ10"/>
  <c r="F10"/>
  <c r="U9"/>
  <c r="BC9"/>
  <c r="AZ9"/>
  <c r="F9"/>
  <c r="P38"/>
  <c r="P39" s="1"/>
  <c r="AZ48"/>
  <c r="AZ51" s="1"/>
  <c r="CQ39"/>
  <c r="BB38"/>
  <c r="B38"/>
  <c r="B39" s="1"/>
  <c r="DF38"/>
  <c r="BS39"/>
  <c r="C39" s="1"/>
  <c r="CP38"/>
  <c r="CO39" s="1"/>
  <c r="H7"/>
  <c r="BC7"/>
  <c r="E39"/>
  <c r="F7"/>
  <c r="AZ8"/>
  <c r="BC8"/>
  <c r="F8"/>
  <c r="R38"/>
  <c r="Q39"/>
  <c r="J39"/>
  <c r="DG38"/>
  <c r="DH7"/>
  <c r="AZ7" s="1"/>
  <c r="U7"/>
  <c r="AY39"/>
  <c r="AX39" s="1"/>
  <c r="AF39"/>
  <c r="X39"/>
  <c r="AI39"/>
  <c r="M39"/>
  <c r="BD8"/>
  <c r="BD38" s="1"/>
  <c r="BD39" s="1"/>
  <c r="U8"/>
  <c r="CO39" i="72"/>
  <c r="Q39"/>
  <c r="F26"/>
  <c r="U7"/>
  <c r="CV39"/>
  <c r="DF38"/>
  <c r="U26"/>
  <c r="BC36"/>
  <c r="BC32"/>
  <c r="AZ24"/>
  <c r="BC24"/>
  <c r="F24"/>
  <c r="BC9"/>
  <c r="AZ9"/>
  <c r="F9"/>
  <c r="BC7"/>
  <c r="F7"/>
  <c r="U27"/>
  <c r="BC25"/>
  <c r="F25"/>
  <c r="AZ25"/>
  <c r="DG38"/>
  <c r="DH7"/>
  <c r="AZ7" s="1"/>
  <c r="J39"/>
  <c r="U9"/>
  <c r="T38"/>
  <c r="AZ28"/>
  <c r="BC28"/>
  <c r="F28"/>
  <c r="BC34"/>
  <c r="AY39"/>
  <c r="AX39" s="1"/>
  <c r="AF39"/>
  <c r="H39"/>
  <c r="X39"/>
  <c r="AI39"/>
  <c r="M39"/>
  <c r="U31"/>
  <c r="BC29"/>
  <c r="F29"/>
  <c r="AZ29"/>
  <c r="BH24"/>
  <c r="BH25" s="1"/>
  <c r="BH26" s="1"/>
  <c r="BH27" s="1"/>
  <c r="BH28" s="1"/>
  <c r="BH29" s="1"/>
  <c r="BH30" s="1"/>
  <c r="BH31" s="1"/>
  <c r="BH32" s="1"/>
  <c r="BH33" s="1"/>
  <c r="BH34" s="1"/>
  <c r="BH35" s="1"/>
  <c r="BH36" s="1"/>
  <c r="BH37" s="1"/>
  <c r="BC37"/>
  <c r="BC35"/>
  <c r="AZ30"/>
  <c r="BC30"/>
  <c r="AZ26"/>
  <c r="BC26"/>
  <c r="BC23"/>
  <c r="AZ23"/>
  <c r="F23"/>
  <c r="BC21"/>
  <c r="F21"/>
  <c r="AZ21"/>
  <c r="BC19"/>
  <c r="F19"/>
  <c r="AZ19"/>
  <c r="BC17"/>
  <c r="F17"/>
  <c r="AZ17"/>
  <c r="BC15"/>
  <c r="F15"/>
  <c r="AZ15"/>
  <c r="BC13"/>
  <c r="F13"/>
  <c r="AZ13"/>
  <c r="BC11"/>
  <c r="F11"/>
  <c r="AZ11"/>
  <c r="BI38"/>
  <c r="BJ7"/>
  <c r="BJ8" s="1"/>
  <c r="BJ9" s="1"/>
  <c r="BJ10" s="1"/>
  <c r="BJ11" s="1"/>
  <c r="BJ12" s="1"/>
  <c r="BJ13" s="1"/>
  <c r="BJ14" s="1"/>
  <c r="BJ15" s="1"/>
  <c r="BJ16" s="1"/>
  <c r="BJ17" s="1"/>
  <c r="BJ18" s="1"/>
  <c r="BJ19" s="1"/>
  <c r="BJ20" s="1"/>
  <c r="BJ21" s="1"/>
  <c r="BJ22" s="1"/>
  <c r="BJ23" s="1"/>
  <c r="BJ24" s="1"/>
  <c r="BJ25" s="1"/>
  <c r="BJ26" s="1"/>
  <c r="BJ27" s="1"/>
  <c r="BJ28" s="1"/>
  <c r="BJ29" s="1"/>
  <c r="BJ30" s="1"/>
  <c r="BJ31" s="1"/>
  <c r="BJ32" s="1"/>
  <c r="BJ33" s="1"/>
  <c r="BJ34" s="1"/>
  <c r="BJ35" s="1"/>
  <c r="BJ36" s="1"/>
  <c r="BJ37" s="1"/>
  <c r="AZ48" s="1"/>
  <c r="AZ51" s="1"/>
  <c r="AZ22"/>
  <c r="BC22"/>
  <c r="AZ20"/>
  <c r="BC20"/>
  <c r="AZ18"/>
  <c r="BC18"/>
  <c r="AZ16"/>
  <c r="BC16"/>
  <c r="AZ14"/>
  <c r="BC14"/>
  <c r="AZ12"/>
  <c r="BC12"/>
  <c r="AZ10"/>
  <c r="BC10"/>
  <c r="BD38"/>
  <c r="BD39" s="1"/>
  <c r="CQ39"/>
  <c r="BB38"/>
  <c r="R39"/>
  <c r="R41" s="1"/>
  <c r="F30"/>
  <c r="U30"/>
  <c r="U22"/>
  <c r="U20"/>
  <c r="U18"/>
  <c r="U16"/>
  <c r="U14"/>
  <c r="U12"/>
  <c r="U10"/>
  <c r="AB39"/>
  <c r="M30" i="67"/>
  <c r="U30"/>
  <c r="AI30"/>
  <c r="AX30"/>
  <c r="BB30"/>
  <c r="BD30"/>
  <c r="M28"/>
  <c r="U28"/>
  <c r="AI28"/>
  <c r="AX28"/>
  <c r="BB28"/>
  <c r="BD28"/>
  <c r="M26"/>
  <c r="U26"/>
  <c r="AI26"/>
  <c r="AX26"/>
  <c r="BB26"/>
  <c r="BD26"/>
  <c r="BB24"/>
  <c r="BD24"/>
  <c r="BB22"/>
  <c r="BD22" s="1"/>
  <c r="BI22"/>
  <c r="M22"/>
  <c r="AI22"/>
  <c r="M18"/>
  <c r="AI17"/>
  <c r="AX17"/>
  <c r="M17"/>
  <c r="M14"/>
  <c r="H36" i="70"/>
  <c r="AF36"/>
  <c r="AX36"/>
  <c r="BB36"/>
  <c r="BD36" s="1"/>
  <c r="BI36"/>
  <c r="BJ36" s="1"/>
  <c r="M36"/>
  <c r="AI36"/>
  <c r="BF36"/>
  <c r="C36"/>
  <c r="E36"/>
  <c r="D36"/>
  <c r="R36"/>
  <c r="T36"/>
  <c r="R35"/>
  <c r="T35" s="1"/>
  <c r="C35"/>
  <c r="E35"/>
  <c r="D35"/>
  <c r="H35"/>
  <c r="AF35"/>
  <c r="AX35"/>
  <c r="BB35"/>
  <c r="BD35" s="1"/>
  <c r="BI35"/>
  <c r="BJ35" s="1"/>
  <c r="F35"/>
  <c r="M35"/>
  <c r="AI35"/>
  <c r="BF35"/>
  <c r="H34"/>
  <c r="AF34"/>
  <c r="AX34"/>
  <c r="BB34"/>
  <c r="BD34" s="1"/>
  <c r="BI34"/>
  <c r="BJ34" s="1"/>
  <c r="M34"/>
  <c r="AI34"/>
  <c r="BF34"/>
  <c r="R34"/>
  <c r="T34" s="1"/>
  <c r="C34"/>
  <c r="E34"/>
  <c r="D34"/>
  <c r="F34" s="1"/>
  <c r="R33"/>
  <c r="T33" s="1"/>
  <c r="C33"/>
  <c r="E33"/>
  <c r="D33"/>
  <c r="H33"/>
  <c r="AF33"/>
  <c r="AX33"/>
  <c r="BB33"/>
  <c r="BD33" s="1"/>
  <c r="BI33"/>
  <c r="BJ33" s="1"/>
  <c r="F33"/>
  <c r="M33"/>
  <c r="AI33"/>
  <c r="BF33"/>
  <c r="H32"/>
  <c r="AF32"/>
  <c r="AX32"/>
  <c r="BB32"/>
  <c r="BD32" s="1"/>
  <c r="BI32"/>
  <c r="BJ32" s="1"/>
  <c r="M32"/>
  <c r="AI32"/>
  <c r="BF32"/>
  <c r="R32"/>
  <c r="T32"/>
  <c r="C32"/>
  <c r="E32"/>
  <c r="D32"/>
  <c r="F32" s="1"/>
  <c r="R31"/>
  <c r="T31" s="1"/>
  <c r="H31"/>
  <c r="AF31"/>
  <c r="AX31"/>
  <c r="BB31"/>
  <c r="BD31" s="1"/>
  <c r="BI31"/>
  <c r="BJ31" s="1"/>
  <c r="M31"/>
  <c r="AI31"/>
  <c r="BF31"/>
  <c r="C31"/>
  <c r="E31"/>
  <c r="D31"/>
  <c r="Q39"/>
  <c r="H30"/>
  <c r="AF30"/>
  <c r="AX30"/>
  <c r="BB30"/>
  <c r="BD30" s="1"/>
  <c r="BI30"/>
  <c r="BJ30" s="1"/>
  <c r="M30"/>
  <c r="AI30"/>
  <c r="BF30"/>
  <c r="R30"/>
  <c r="T30"/>
  <c r="C30"/>
  <c r="E30"/>
  <c r="D30"/>
  <c r="F30" s="1"/>
  <c r="R29"/>
  <c r="T29" s="1"/>
  <c r="H29"/>
  <c r="AF29"/>
  <c r="AX29"/>
  <c r="BB29"/>
  <c r="BD29" s="1"/>
  <c r="BI29"/>
  <c r="BJ29" s="1"/>
  <c r="M29"/>
  <c r="AI29"/>
  <c r="BF29"/>
  <c r="C29"/>
  <c r="E29"/>
  <c r="D29"/>
  <c r="R28"/>
  <c r="T28" s="1"/>
  <c r="H28"/>
  <c r="AF28"/>
  <c r="AX28"/>
  <c r="BB28"/>
  <c r="BD28" s="1"/>
  <c r="BI28"/>
  <c r="BJ28" s="1"/>
  <c r="M28"/>
  <c r="AI28"/>
  <c r="BF28"/>
  <c r="C28"/>
  <c r="E28"/>
  <c r="D28"/>
  <c r="H27"/>
  <c r="AF27"/>
  <c r="AX27"/>
  <c r="BB27"/>
  <c r="BD27" s="1"/>
  <c r="BI27"/>
  <c r="BJ27" s="1"/>
  <c r="M27"/>
  <c r="AI27"/>
  <c r="BF27"/>
  <c r="R27"/>
  <c r="T27"/>
  <c r="C27"/>
  <c r="E27"/>
  <c r="D27"/>
  <c r="R26"/>
  <c r="T26" s="1"/>
  <c r="H26"/>
  <c r="AF26"/>
  <c r="AX26"/>
  <c r="BB26"/>
  <c r="BD26" s="1"/>
  <c r="BI26"/>
  <c r="BJ26" s="1"/>
  <c r="M26"/>
  <c r="AI26"/>
  <c r="BF26"/>
  <c r="C26"/>
  <c r="E26"/>
  <c r="D26"/>
  <c r="H25"/>
  <c r="AF25"/>
  <c r="AX25"/>
  <c r="BB25"/>
  <c r="BD25" s="1"/>
  <c r="BI25"/>
  <c r="BJ25" s="1"/>
  <c r="M25"/>
  <c r="AI25"/>
  <c r="BF25"/>
  <c r="R25"/>
  <c r="T25"/>
  <c r="C25"/>
  <c r="E25"/>
  <c r="D25"/>
  <c r="F25" s="1"/>
  <c r="R24"/>
  <c r="T24" s="1"/>
  <c r="C24"/>
  <c r="E24"/>
  <c r="D24"/>
  <c r="H24"/>
  <c r="AF24"/>
  <c r="AX24"/>
  <c r="BB24"/>
  <c r="BD24" s="1"/>
  <c r="BI24"/>
  <c r="BJ24" s="1"/>
  <c r="F24"/>
  <c r="M24"/>
  <c r="AI24"/>
  <c r="BF24"/>
  <c r="H23"/>
  <c r="AF23"/>
  <c r="AX23"/>
  <c r="BB23"/>
  <c r="BD23" s="1"/>
  <c r="BI23"/>
  <c r="BJ23" s="1"/>
  <c r="F23"/>
  <c r="M23"/>
  <c r="AI23"/>
  <c r="BF23"/>
  <c r="AZ23"/>
  <c r="BC23"/>
  <c r="R23"/>
  <c r="T23" s="1"/>
  <c r="H22"/>
  <c r="AF22"/>
  <c r="AX22"/>
  <c r="BB22"/>
  <c r="BD22" s="1"/>
  <c r="BI22"/>
  <c r="BJ22" s="1"/>
  <c r="M22"/>
  <c r="AI22"/>
  <c r="BF22"/>
  <c r="R22"/>
  <c r="T22" s="1"/>
  <c r="C22"/>
  <c r="E22"/>
  <c r="D22"/>
  <c r="F22" s="1"/>
  <c r="H21"/>
  <c r="AF21"/>
  <c r="AX21"/>
  <c r="BB21"/>
  <c r="BD21" s="1"/>
  <c r="BI21"/>
  <c r="BJ21" s="1"/>
  <c r="M21"/>
  <c r="AI21"/>
  <c r="BF21"/>
  <c r="C21"/>
  <c r="E21"/>
  <c r="D21"/>
  <c r="R21"/>
  <c r="T21"/>
  <c r="R20"/>
  <c r="T20" s="1"/>
  <c r="H20"/>
  <c r="AF20"/>
  <c r="AX20"/>
  <c r="BB20"/>
  <c r="BD20" s="1"/>
  <c r="BI20"/>
  <c r="BJ20" s="1"/>
  <c r="M20"/>
  <c r="AI20"/>
  <c r="BF20"/>
  <c r="C20"/>
  <c r="E20"/>
  <c r="D20"/>
  <c r="R19"/>
  <c r="T19" s="1"/>
  <c r="C19"/>
  <c r="E19"/>
  <c r="D19"/>
  <c r="H19"/>
  <c r="AF19"/>
  <c r="AX19"/>
  <c r="BB19"/>
  <c r="BD19" s="1"/>
  <c r="BI19"/>
  <c r="BJ19" s="1"/>
  <c r="F19"/>
  <c r="M19"/>
  <c r="AI19"/>
  <c r="BF19"/>
  <c r="R18"/>
  <c r="T18" s="1"/>
  <c r="C18"/>
  <c r="E18"/>
  <c r="D18"/>
  <c r="H18"/>
  <c r="AF18"/>
  <c r="AX18"/>
  <c r="BB18"/>
  <c r="BD18" s="1"/>
  <c r="BI18"/>
  <c r="BJ18" s="1"/>
  <c r="F18"/>
  <c r="M18"/>
  <c r="AI18"/>
  <c r="BF18"/>
  <c r="H17"/>
  <c r="AF17"/>
  <c r="AX17"/>
  <c r="BB17"/>
  <c r="BD17" s="1"/>
  <c r="BI17"/>
  <c r="BJ17" s="1"/>
  <c r="M17"/>
  <c r="AI17"/>
  <c r="BF17"/>
  <c r="C17"/>
  <c r="E17"/>
  <c r="D17"/>
  <c r="R17"/>
  <c r="T17" s="1"/>
  <c r="H16"/>
  <c r="AF16"/>
  <c r="AX16"/>
  <c r="BB16"/>
  <c r="BD16" s="1"/>
  <c r="BI16"/>
  <c r="BJ16" s="1"/>
  <c r="M16"/>
  <c r="AI16"/>
  <c r="BF16"/>
  <c r="R16"/>
  <c r="T16"/>
  <c r="C16"/>
  <c r="E16"/>
  <c r="D16"/>
  <c r="H15"/>
  <c r="AF15"/>
  <c r="AX15"/>
  <c r="BB15"/>
  <c r="BD15" s="1"/>
  <c r="BI15"/>
  <c r="BJ15" s="1"/>
  <c r="M15"/>
  <c r="AI15"/>
  <c r="BF15"/>
  <c r="R15"/>
  <c r="T15" s="1"/>
  <c r="C15"/>
  <c r="E15"/>
  <c r="D15"/>
  <c r="H14"/>
  <c r="AF14"/>
  <c r="AX14"/>
  <c r="BB14"/>
  <c r="BD14" s="1"/>
  <c r="BI14"/>
  <c r="BJ14" s="1"/>
  <c r="M14"/>
  <c r="AI14"/>
  <c r="BF14"/>
  <c r="C14"/>
  <c r="E14"/>
  <c r="D14"/>
  <c r="R14"/>
  <c r="T14" s="1"/>
  <c r="H13"/>
  <c r="AF13"/>
  <c r="AX13"/>
  <c r="BB13"/>
  <c r="BD13" s="1"/>
  <c r="BI13"/>
  <c r="BJ13" s="1"/>
  <c r="M13"/>
  <c r="AI13"/>
  <c r="BF13"/>
  <c r="C13"/>
  <c r="D13" s="1"/>
  <c r="E13"/>
  <c r="R13"/>
  <c r="T13"/>
  <c r="R12"/>
  <c r="T12" s="1"/>
  <c r="H12"/>
  <c r="AF12"/>
  <c r="AX12"/>
  <c r="BB12"/>
  <c r="BD12" s="1"/>
  <c r="BI12"/>
  <c r="BJ12" s="1"/>
  <c r="M12"/>
  <c r="AI12"/>
  <c r="BF12"/>
  <c r="C12"/>
  <c r="E12"/>
  <c r="D12"/>
  <c r="R11"/>
  <c r="T11" s="1"/>
  <c r="C11"/>
  <c r="E11"/>
  <c r="D11"/>
  <c r="H11"/>
  <c r="AF11"/>
  <c r="AX11"/>
  <c r="BB11"/>
  <c r="BD11" s="1"/>
  <c r="BI11"/>
  <c r="BJ11" s="1"/>
  <c r="F11"/>
  <c r="M11"/>
  <c r="AI11"/>
  <c r="BF11"/>
  <c r="H10"/>
  <c r="AF10"/>
  <c r="AX10"/>
  <c r="BB10"/>
  <c r="BD10" s="1"/>
  <c r="BI10"/>
  <c r="BJ10" s="1"/>
  <c r="M10"/>
  <c r="AI10"/>
  <c r="BF10"/>
  <c r="R10"/>
  <c r="T10" s="1"/>
  <c r="C10"/>
  <c r="E10"/>
  <c r="D10"/>
  <c r="F10" s="1"/>
  <c r="AZ9"/>
  <c r="BC9"/>
  <c r="R9"/>
  <c r="T9" s="1"/>
  <c r="H9"/>
  <c r="AF9"/>
  <c r="AX9"/>
  <c r="BB9"/>
  <c r="BD9" s="1"/>
  <c r="BI9"/>
  <c r="BJ9" s="1"/>
  <c r="F9"/>
  <c r="M9"/>
  <c r="AI9"/>
  <c r="BF9"/>
  <c r="BF37" s="1"/>
  <c r="CV39"/>
  <c r="CO39"/>
  <c r="BS39"/>
  <c r="C39" s="1"/>
  <c r="BC8"/>
  <c r="F8"/>
  <c r="C26" i="67"/>
  <c r="D26" s="1"/>
  <c r="DF38" i="70"/>
  <c r="BC7"/>
  <c r="F7"/>
  <c r="BC37"/>
  <c r="DG38"/>
  <c r="DH7"/>
  <c r="AZ7" s="1"/>
  <c r="J39"/>
  <c r="AY39"/>
  <c r="AX39" s="1"/>
  <c r="AF39"/>
  <c r="H39"/>
  <c r="X39"/>
  <c r="AI39"/>
  <c r="M39"/>
  <c r="BH37"/>
  <c r="BJ7"/>
  <c r="BJ8" s="1"/>
  <c r="E39"/>
  <c r="CQ39"/>
  <c r="T7"/>
  <c r="AB39"/>
  <c r="C24" i="67"/>
  <c r="D24" s="1"/>
  <c r="E28"/>
  <c r="I38" i="66"/>
  <c r="I39" s="1"/>
  <c r="I41" s="1"/>
  <c r="K38"/>
  <c r="K39" s="1"/>
  <c r="C30" i="67"/>
  <c r="D30" s="1"/>
  <c r="M10"/>
  <c r="AN39"/>
  <c r="O38" i="66"/>
  <c r="O39" s="1"/>
  <c r="Q38"/>
  <c r="Q39" s="1"/>
  <c r="T8"/>
  <c r="T10"/>
  <c r="T12"/>
  <c r="T14"/>
  <c r="U14" s="1"/>
  <c r="T16"/>
  <c r="T18"/>
  <c r="T20"/>
  <c r="R22"/>
  <c r="T22" s="1"/>
  <c r="T24"/>
  <c r="R26"/>
  <c r="T26" s="1"/>
  <c r="T28"/>
  <c r="T30"/>
  <c r="T32"/>
  <c r="T34"/>
  <c r="U34" s="1"/>
  <c r="T36"/>
  <c r="C21" i="67"/>
  <c r="D21" s="1"/>
  <c r="E11"/>
  <c r="BC11" s="1"/>
  <c r="E15"/>
  <c r="BC15" s="1"/>
  <c r="C9"/>
  <c r="D9" s="1"/>
  <c r="C13"/>
  <c r="D13" s="1"/>
  <c r="C17"/>
  <c r="D17" s="1"/>
  <c r="E19"/>
  <c r="BC19" s="1"/>
  <c r="O38"/>
  <c r="O39" s="1"/>
  <c r="CX38"/>
  <c r="BU39"/>
  <c r="Q38"/>
  <c r="R38" s="1"/>
  <c r="I38"/>
  <c r="I39" s="1"/>
  <c r="I41" s="1"/>
  <c r="K38"/>
  <c r="K39" s="1"/>
  <c r="CV38"/>
  <c r="CT38"/>
  <c r="BW39"/>
  <c r="CR38"/>
  <c r="CP38"/>
  <c r="BS39"/>
  <c r="BY39"/>
  <c r="BA38"/>
  <c r="H11"/>
  <c r="AI11"/>
  <c r="AX11"/>
  <c r="M11"/>
  <c r="H13"/>
  <c r="AI13"/>
  <c r="AX13"/>
  <c r="M13"/>
  <c r="H19"/>
  <c r="AI19"/>
  <c r="AX19"/>
  <c r="M19"/>
  <c r="BB15"/>
  <c r="BD15" s="1"/>
  <c r="BI15"/>
  <c r="BB9"/>
  <c r="BD9" s="1"/>
  <c r="BB11"/>
  <c r="BD11" s="1"/>
  <c r="BB13"/>
  <c r="BD13" s="1"/>
  <c r="H15"/>
  <c r="AI15"/>
  <c r="M15"/>
  <c r="BB17"/>
  <c r="BD17" s="1"/>
  <c r="BB19"/>
  <c r="BD19" s="1"/>
  <c r="H21"/>
  <c r="M21"/>
  <c r="AI21"/>
  <c r="AX21"/>
  <c r="BB21"/>
  <c r="BD21" s="1"/>
  <c r="L46"/>
  <c r="AY38"/>
  <c r="AB39" s="1"/>
  <c r="BF7"/>
  <c r="BF8" s="1"/>
  <c r="BF9" s="1"/>
  <c r="BF10" s="1"/>
  <c r="BF11" s="1"/>
  <c r="BF12" s="1"/>
  <c r="BF13" s="1"/>
  <c r="BF14" s="1"/>
  <c r="BF15" s="1"/>
  <c r="BF16" s="1"/>
  <c r="BF17" s="1"/>
  <c r="BF18" s="1"/>
  <c r="BF19" s="1"/>
  <c r="BF20" s="1"/>
  <c r="BF21" s="1"/>
  <c r="BF22" s="1"/>
  <c r="BF23" s="1"/>
  <c r="BF24" s="1"/>
  <c r="BF25" s="1"/>
  <c r="BF26" s="1"/>
  <c r="BF27" s="1"/>
  <c r="BF28" s="1"/>
  <c r="BF29" s="1"/>
  <c r="BF30" s="1"/>
  <c r="BF31" s="1"/>
  <c r="BF32" s="1"/>
  <c r="BF33" s="1"/>
  <c r="BF34" s="1"/>
  <c r="BF35" s="1"/>
  <c r="BF36" s="1"/>
  <c r="BF37" s="1"/>
  <c r="E8"/>
  <c r="C8"/>
  <c r="D8" s="1"/>
  <c r="BC9"/>
  <c r="E10"/>
  <c r="C10"/>
  <c r="D10" s="1"/>
  <c r="F11"/>
  <c r="E12"/>
  <c r="C12"/>
  <c r="D12" s="1"/>
  <c r="E14"/>
  <c r="C14"/>
  <c r="D14" s="1"/>
  <c r="F15"/>
  <c r="E16"/>
  <c r="C16"/>
  <c r="D16" s="1"/>
  <c r="E18"/>
  <c r="C18"/>
  <c r="D18" s="1"/>
  <c r="F19"/>
  <c r="E20"/>
  <c r="C20"/>
  <c r="D20" s="1"/>
  <c r="E23"/>
  <c r="C23"/>
  <c r="D23" s="1"/>
  <c r="E27"/>
  <c r="C27"/>
  <c r="D27" s="1"/>
  <c r="E31"/>
  <c r="C31"/>
  <c r="D31" s="1"/>
  <c r="R32"/>
  <c r="T32" s="1"/>
  <c r="E33"/>
  <c r="C33"/>
  <c r="D33" s="1"/>
  <c r="R34"/>
  <c r="T34" s="1"/>
  <c r="E35"/>
  <c r="C35"/>
  <c r="D35" s="1"/>
  <c r="R36"/>
  <c r="T36" s="1"/>
  <c r="E37"/>
  <c r="C37"/>
  <c r="D37" s="1"/>
  <c r="BH7"/>
  <c r="BH8" s="1"/>
  <c r="BH9" s="1"/>
  <c r="BH10" s="1"/>
  <c r="BH11" s="1"/>
  <c r="BH12" s="1"/>
  <c r="BH13" s="1"/>
  <c r="BH14" s="1"/>
  <c r="BH15" s="1"/>
  <c r="BH16" s="1"/>
  <c r="BH17" s="1"/>
  <c r="BH18" s="1"/>
  <c r="BH19" s="1"/>
  <c r="BH20" s="1"/>
  <c r="BH21" s="1"/>
  <c r="BH22" s="1"/>
  <c r="BI8"/>
  <c r="BB8"/>
  <c r="BD8" s="1"/>
  <c r="AX8"/>
  <c r="AI8"/>
  <c r="U8"/>
  <c r="H8"/>
  <c r="BI10"/>
  <c r="BB10"/>
  <c r="BD10" s="1"/>
  <c r="AX10"/>
  <c r="AI10"/>
  <c r="U10"/>
  <c r="H10"/>
  <c r="BI12"/>
  <c r="BB12"/>
  <c r="BD12" s="1"/>
  <c r="AX12"/>
  <c r="AI12"/>
  <c r="U12"/>
  <c r="H12"/>
  <c r="BI14"/>
  <c r="BB14"/>
  <c r="AX14"/>
  <c r="AI14"/>
  <c r="U14"/>
  <c r="H14"/>
  <c r="BI16"/>
  <c r="BB16"/>
  <c r="BD16" s="1"/>
  <c r="AX16"/>
  <c r="AI16"/>
  <c r="U16"/>
  <c r="H16"/>
  <c r="BI18"/>
  <c r="BB18"/>
  <c r="BD18" s="1"/>
  <c r="AX18"/>
  <c r="AI18"/>
  <c r="U18"/>
  <c r="H18"/>
  <c r="BI20"/>
  <c r="BB20"/>
  <c r="BD20" s="1"/>
  <c r="AX20"/>
  <c r="AI20"/>
  <c r="U20"/>
  <c r="H20"/>
  <c r="E22"/>
  <c r="C22"/>
  <c r="D22" s="1"/>
  <c r="R22"/>
  <c r="T22" s="1"/>
  <c r="E25"/>
  <c r="C25"/>
  <c r="D25" s="1"/>
  <c r="E29"/>
  <c r="C29"/>
  <c r="D29" s="1"/>
  <c r="BI32"/>
  <c r="BB32"/>
  <c r="AX32"/>
  <c r="AI32"/>
  <c r="H32"/>
  <c r="BI34"/>
  <c r="BB34"/>
  <c r="AX34"/>
  <c r="AI34"/>
  <c r="H34"/>
  <c r="BI36"/>
  <c r="BB36"/>
  <c r="AX36"/>
  <c r="AI36"/>
  <c r="H36"/>
  <c r="BI7"/>
  <c r="BD14"/>
  <c r="B38"/>
  <c r="B39" s="1"/>
  <c r="J38"/>
  <c r="DD38"/>
  <c r="DE38" s="1"/>
  <c r="C7"/>
  <c r="D7" s="1"/>
  <c r="H7"/>
  <c r="L38"/>
  <c r="L39" s="1"/>
  <c r="N38"/>
  <c r="N39" s="1"/>
  <c r="P38"/>
  <c r="P39" s="1"/>
  <c r="R7"/>
  <c r="AI7"/>
  <c r="AX7"/>
  <c r="BB7"/>
  <c r="CO38"/>
  <c r="CQ38"/>
  <c r="CS38"/>
  <c r="CU38"/>
  <c r="CW38"/>
  <c r="CY38"/>
  <c r="DG7"/>
  <c r="T9"/>
  <c r="T11"/>
  <c r="T13"/>
  <c r="T15"/>
  <c r="T17"/>
  <c r="T19"/>
  <c r="T21"/>
  <c r="BI23"/>
  <c r="BB23"/>
  <c r="BD23" s="1"/>
  <c r="AX23"/>
  <c r="AI23"/>
  <c r="U23"/>
  <c r="H23"/>
  <c r="BI25"/>
  <c r="BB25"/>
  <c r="BD25" s="1"/>
  <c r="AX25"/>
  <c r="AI25"/>
  <c r="U25"/>
  <c r="H25"/>
  <c r="BI27"/>
  <c r="BB27"/>
  <c r="BD27" s="1"/>
  <c r="AX27"/>
  <c r="AI27"/>
  <c r="U27"/>
  <c r="H27"/>
  <c r="BI29"/>
  <c r="BB29"/>
  <c r="BD29" s="1"/>
  <c r="AX29"/>
  <c r="AI29"/>
  <c r="U29"/>
  <c r="H29"/>
  <c r="BI31"/>
  <c r="BB31"/>
  <c r="BD31" s="1"/>
  <c r="AX31"/>
  <c r="AI31"/>
  <c r="U31"/>
  <c r="H31"/>
  <c r="E32"/>
  <c r="C32"/>
  <c r="D32" s="1"/>
  <c r="BI33"/>
  <c r="BB33"/>
  <c r="BD33" s="1"/>
  <c r="AX33"/>
  <c r="AI33"/>
  <c r="U33"/>
  <c r="H33"/>
  <c r="E34"/>
  <c r="C34"/>
  <c r="D34" s="1"/>
  <c r="BI35"/>
  <c r="BB35"/>
  <c r="BD35" s="1"/>
  <c r="AX35"/>
  <c r="AI35"/>
  <c r="U35"/>
  <c r="H35"/>
  <c r="E36"/>
  <c r="C36"/>
  <c r="D36" s="1"/>
  <c r="BI37"/>
  <c r="BB37"/>
  <c r="BD37" s="1"/>
  <c r="AX37"/>
  <c r="AI37"/>
  <c r="U37"/>
  <c r="H37"/>
  <c r="BG36"/>
  <c r="BG35"/>
  <c r="BG34"/>
  <c r="BG33"/>
  <c r="BG32"/>
  <c r="BG31"/>
  <c r="BG29"/>
  <c r="BG27"/>
  <c r="BG25"/>
  <c r="BG23"/>
  <c r="D28"/>
  <c r="BD32"/>
  <c r="BD34"/>
  <c r="BD36"/>
  <c r="CA39"/>
  <c r="CE39"/>
  <c r="AT41"/>
  <c r="AZ18" i="66"/>
  <c r="AZ20"/>
  <c r="BC8"/>
  <c r="F8"/>
  <c r="BC10"/>
  <c r="F10"/>
  <c r="BC12"/>
  <c r="F12"/>
  <c r="BC14"/>
  <c r="F14"/>
  <c r="BC16"/>
  <c r="F16"/>
  <c r="BC18"/>
  <c r="F18"/>
  <c r="BC20"/>
  <c r="F20"/>
  <c r="DD38"/>
  <c r="DF38" s="1"/>
  <c r="BI21"/>
  <c r="BB21"/>
  <c r="AX21"/>
  <c r="AI21"/>
  <c r="H21"/>
  <c r="BI23"/>
  <c r="BB23"/>
  <c r="AX23"/>
  <c r="AI23"/>
  <c r="H23"/>
  <c r="BI25"/>
  <c r="BB25"/>
  <c r="AX25"/>
  <c r="AI25"/>
  <c r="H25"/>
  <c r="BI27"/>
  <c r="BB27"/>
  <c r="AX27"/>
  <c r="AI27"/>
  <c r="H27"/>
  <c r="T9"/>
  <c r="T11"/>
  <c r="T13"/>
  <c r="T15"/>
  <c r="T17"/>
  <c r="T19"/>
  <c r="AY38"/>
  <c r="X39"/>
  <c r="E23"/>
  <c r="C23"/>
  <c r="D23" s="1"/>
  <c r="E25"/>
  <c r="C25"/>
  <c r="D25" s="1"/>
  <c r="E27"/>
  <c r="C27"/>
  <c r="D27" s="1"/>
  <c r="BC30"/>
  <c r="F30"/>
  <c r="BC32"/>
  <c r="F32"/>
  <c r="BC34"/>
  <c r="F34"/>
  <c r="BC36"/>
  <c r="F36"/>
  <c r="C7"/>
  <c r="D7" s="1"/>
  <c r="E7"/>
  <c r="H7"/>
  <c r="J38"/>
  <c r="L38"/>
  <c r="L39" s="1"/>
  <c r="N38"/>
  <c r="N39" s="1"/>
  <c r="P38"/>
  <c r="P39" s="1"/>
  <c r="R7"/>
  <c r="T7" s="1"/>
  <c r="U7" s="1"/>
  <c r="AI7"/>
  <c r="AX7"/>
  <c r="BB7"/>
  <c r="BD7"/>
  <c r="BI7"/>
  <c r="CO38"/>
  <c r="CO39" s="1"/>
  <c r="CQ38"/>
  <c r="CS38"/>
  <c r="CU38"/>
  <c r="CW38"/>
  <c r="CY38"/>
  <c r="CV39" s="1"/>
  <c r="DG7"/>
  <c r="BH8"/>
  <c r="BH9" s="1"/>
  <c r="C9"/>
  <c r="D9" s="1"/>
  <c r="H9"/>
  <c r="AI9"/>
  <c r="AX9"/>
  <c r="BB9"/>
  <c r="BD9" s="1"/>
  <c r="BH10"/>
  <c r="BH11" s="1"/>
  <c r="BH12" s="1"/>
  <c r="BH13" s="1"/>
  <c r="BH14" s="1"/>
  <c r="BH15" s="1"/>
  <c r="BH16" s="1"/>
  <c r="BH17" s="1"/>
  <c r="BH18" s="1"/>
  <c r="BH19" s="1"/>
  <c r="BH20" s="1"/>
  <c r="BH21" s="1"/>
  <c r="BH22" s="1"/>
  <c r="BH23" s="1"/>
  <c r="BH24" s="1"/>
  <c r="BH25" s="1"/>
  <c r="BH26" s="1"/>
  <c r="BH27" s="1"/>
  <c r="BH28" s="1"/>
  <c r="BH29" s="1"/>
  <c r="BH30" s="1"/>
  <c r="BH31" s="1"/>
  <c r="BH32" s="1"/>
  <c r="BH33" s="1"/>
  <c r="BH34" s="1"/>
  <c r="BH35" s="1"/>
  <c r="BH36" s="1"/>
  <c r="BH37" s="1"/>
  <c r="C11"/>
  <c r="D11" s="1"/>
  <c r="H11"/>
  <c r="AI11"/>
  <c r="AX11"/>
  <c r="BB11"/>
  <c r="BD11" s="1"/>
  <c r="C13"/>
  <c r="D13" s="1"/>
  <c r="H13"/>
  <c r="AI13"/>
  <c r="AX13"/>
  <c r="BB13"/>
  <c r="BD13" s="1"/>
  <c r="C15"/>
  <c r="D15" s="1"/>
  <c r="H15"/>
  <c r="AI15"/>
  <c r="AX15"/>
  <c r="BB15"/>
  <c r="BD15" s="1"/>
  <c r="C17"/>
  <c r="D17" s="1"/>
  <c r="H17"/>
  <c r="AI17"/>
  <c r="AX17"/>
  <c r="BB17"/>
  <c r="BD17" s="1"/>
  <c r="C19"/>
  <c r="D19" s="1"/>
  <c r="H19"/>
  <c r="AI19"/>
  <c r="AX19"/>
  <c r="BB19"/>
  <c r="BD19" s="1"/>
  <c r="C21"/>
  <c r="D21" s="1"/>
  <c r="T21"/>
  <c r="BD21"/>
  <c r="D22"/>
  <c r="F23"/>
  <c r="T23"/>
  <c r="BD23"/>
  <c r="D24"/>
  <c r="F25"/>
  <c r="T25"/>
  <c r="BD25"/>
  <c r="D26"/>
  <c r="F27"/>
  <c r="T27"/>
  <c r="BD27"/>
  <c r="D28"/>
  <c r="C29"/>
  <c r="D29" s="1"/>
  <c r="E29"/>
  <c r="H29"/>
  <c r="R29"/>
  <c r="T29" s="1"/>
  <c r="AI29"/>
  <c r="AX29"/>
  <c r="BB29"/>
  <c r="BD29" s="1"/>
  <c r="C31"/>
  <c r="D31" s="1"/>
  <c r="E31"/>
  <c r="H31"/>
  <c r="R31"/>
  <c r="T31" s="1"/>
  <c r="AI31"/>
  <c r="AX31"/>
  <c r="BB31"/>
  <c r="BD31" s="1"/>
  <c r="C33"/>
  <c r="D33" s="1"/>
  <c r="E33"/>
  <c r="H33"/>
  <c r="R33"/>
  <c r="T33" s="1"/>
  <c r="AI33"/>
  <c r="AX33"/>
  <c r="BB33"/>
  <c r="BD33" s="1"/>
  <c r="C35"/>
  <c r="D35" s="1"/>
  <c r="E35"/>
  <c r="H35"/>
  <c r="R35"/>
  <c r="T35" s="1"/>
  <c r="AI35"/>
  <c r="AX35"/>
  <c r="BB35"/>
  <c r="BD35" s="1"/>
  <c r="C37"/>
  <c r="D37" s="1"/>
  <c r="E37"/>
  <c r="H37"/>
  <c r="R37"/>
  <c r="T37" s="1"/>
  <c r="AI37"/>
  <c r="AX37"/>
  <c r="BB37"/>
  <c r="BD37" s="1"/>
  <c r="E39"/>
  <c r="AT39"/>
  <c r="AN39" s="1"/>
  <c r="BS39"/>
  <c r="BU39"/>
  <c r="C39" s="1"/>
  <c r="BW39"/>
  <c r="AT41"/>
  <c r="DH38" i="73" l="1"/>
  <c r="U39" i="74"/>
  <c r="U41" s="1"/>
  <c r="CO40" i="72"/>
  <c r="CO40" i="73"/>
  <c r="R39"/>
  <c r="R41" s="1"/>
  <c r="D38"/>
  <c r="T38"/>
  <c r="AZ38"/>
  <c r="AZ39" s="1"/>
  <c r="H39"/>
  <c r="F39" i="72"/>
  <c r="F41" s="1"/>
  <c r="U39"/>
  <c r="U41" s="1"/>
  <c r="AZ37" i="67"/>
  <c r="F37"/>
  <c r="AZ36"/>
  <c r="F36"/>
  <c r="U36"/>
  <c r="AZ35"/>
  <c r="F35"/>
  <c r="BC39" i="72"/>
  <c r="AZ34" i="67"/>
  <c r="U34"/>
  <c r="AZ17"/>
  <c r="F34"/>
  <c r="AZ33"/>
  <c r="F33"/>
  <c r="AZ32"/>
  <c r="F32"/>
  <c r="U32"/>
  <c r="AZ38" i="72"/>
  <c r="AZ39" s="1"/>
  <c r="DH38"/>
  <c r="AZ31" i="67"/>
  <c r="F31"/>
  <c r="AZ30"/>
  <c r="AZ29"/>
  <c r="F30"/>
  <c r="F29"/>
  <c r="AZ28"/>
  <c r="F28"/>
  <c r="AZ27"/>
  <c r="F27"/>
  <c r="AZ26"/>
  <c r="F26"/>
  <c r="AZ25"/>
  <c r="F25"/>
  <c r="F24"/>
  <c r="AZ24"/>
  <c r="AZ23"/>
  <c r="F23"/>
  <c r="AZ22"/>
  <c r="F22"/>
  <c r="U22"/>
  <c r="AZ21"/>
  <c r="F21"/>
  <c r="U21"/>
  <c r="AZ19"/>
  <c r="AZ15"/>
  <c r="AZ13"/>
  <c r="F17"/>
  <c r="F13"/>
  <c r="AZ36" i="70"/>
  <c r="BC36"/>
  <c r="F36"/>
  <c r="U36"/>
  <c r="U35"/>
  <c r="AZ35"/>
  <c r="BC35"/>
  <c r="U34"/>
  <c r="AZ34"/>
  <c r="BC34"/>
  <c r="U33"/>
  <c r="AZ33"/>
  <c r="BC33"/>
  <c r="BJ37"/>
  <c r="AZ48" s="1"/>
  <c r="AZ51" s="1"/>
  <c r="AZ32"/>
  <c r="BC32"/>
  <c r="U32"/>
  <c r="U31"/>
  <c r="AZ31"/>
  <c r="BC31"/>
  <c r="F31"/>
  <c r="AZ30"/>
  <c r="BC30"/>
  <c r="U30"/>
  <c r="U29"/>
  <c r="AZ29"/>
  <c r="BC29"/>
  <c r="F29"/>
  <c r="U28"/>
  <c r="AZ28"/>
  <c r="BC28"/>
  <c r="F28"/>
  <c r="AZ27"/>
  <c r="BC27"/>
  <c r="F27"/>
  <c r="U27"/>
  <c r="U26"/>
  <c r="AZ26"/>
  <c r="BC26"/>
  <c r="F26"/>
  <c r="AZ25"/>
  <c r="BC25"/>
  <c r="U25"/>
  <c r="U24"/>
  <c r="AZ24"/>
  <c r="BC24"/>
  <c r="U23"/>
  <c r="U22"/>
  <c r="AZ22"/>
  <c r="BC22"/>
  <c r="AZ21"/>
  <c r="BC21"/>
  <c r="F21"/>
  <c r="U21"/>
  <c r="U20"/>
  <c r="AZ20"/>
  <c r="BC20"/>
  <c r="F20"/>
  <c r="U19"/>
  <c r="AZ19"/>
  <c r="BC19"/>
  <c r="U18"/>
  <c r="AZ18"/>
  <c r="BC18"/>
  <c r="U17"/>
  <c r="AZ17"/>
  <c r="BC17"/>
  <c r="F17"/>
  <c r="AZ16"/>
  <c r="BC16"/>
  <c r="F16"/>
  <c r="U16"/>
  <c r="U15"/>
  <c r="AZ15"/>
  <c r="BC15"/>
  <c r="F15"/>
  <c r="U14"/>
  <c r="AZ14"/>
  <c r="BC14"/>
  <c r="BB38"/>
  <c r="BD38"/>
  <c r="BD39" s="1"/>
  <c r="F14"/>
  <c r="AZ13"/>
  <c r="BC13"/>
  <c r="F13"/>
  <c r="R39"/>
  <c r="R41" s="1"/>
  <c r="CO40"/>
  <c r="BI38"/>
  <c r="U13"/>
  <c r="U12"/>
  <c r="AZ12"/>
  <c r="BC12"/>
  <c r="F12"/>
  <c r="U11"/>
  <c r="AZ11"/>
  <c r="BC11"/>
  <c r="U10"/>
  <c r="AZ10"/>
  <c r="BC10"/>
  <c r="D38"/>
  <c r="F39" s="1"/>
  <c r="F41" s="1"/>
  <c r="U9"/>
  <c r="DH38"/>
  <c r="T38"/>
  <c r="U7"/>
  <c r="AZ11" i="67"/>
  <c r="U10" i="66"/>
  <c r="BC21" i="67"/>
  <c r="AZ9"/>
  <c r="BC17"/>
  <c r="F9"/>
  <c r="CV39"/>
  <c r="R38" i="66"/>
  <c r="U30"/>
  <c r="U18"/>
  <c r="U17"/>
  <c r="U36"/>
  <c r="U32"/>
  <c r="U28"/>
  <c r="U13"/>
  <c r="U9"/>
  <c r="U19"/>
  <c r="U15"/>
  <c r="U11"/>
  <c r="U24"/>
  <c r="U20"/>
  <c r="U16"/>
  <c r="U12"/>
  <c r="U8"/>
  <c r="U29"/>
  <c r="U26"/>
  <c r="U33"/>
  <c r="U22"/>
  <c r="BC13" i="67"/>
  <c r="Q39"/>
  <c r="R39"/>
  <c r="R41" s="1"/>
  <c r="CO39"/>
  <c r="E39"/>
  <c r="BC25"/>
  <c r="BC35"/>
  <c r="BC31"/>
  <c r="BC23"/>
  <c r="BC30"/>
  <c r="BC26"/>
  <c r="BH23"/>
  <c r="BH24" s="1"/>
  <c r="BH25" s="1"/>
  <c r="BH26" s="1"/>
  <c r="BH27" s="1"/>
  <c r="BH28" s="1"/>
  <c r="BH29" s="1"/>
  <c r="BH30" s="1"/>
  <c r="BH31" s="1"/>
  <c r="BH32" s="1"/>
  <c r="BH33" s="1"/>
  <c r="BH34" s="1"/>
  <c r="BH35" s="1"/>
  <c r="BH36" s="1"/>
  <c r="BH37" s="1"/>
  <c r="BC36"/>
  <c r="BC34"/>
  <c r="BC32"/>
  <c r="AZ20"/>
  <c r="BC20"/>
  <c r="F20"/>
  <c r="U19"/>
  <c r="AZ16"/>
  <c r="BC16"/>
  <c r="F16"/>
  <c r="U15"/>
  <c r="AZ12"/>
  <c r="BC12"/>
  <c r="F12"/>
  <c r="U11"/>
  <c r="AZ8"/>
  <c r="BC8"/>
  <c r="F8"/>
  <c r="D38"/>
  <c r="BC7"/>
  <c r="F7"/>
  <c r="BC29"/>
  <c r="BC22"/>
  <c r="BC37"/>
  <c r="BC33"/>
  <c r="BC27"/>
  <c r="BC28"/>
  <c r="BC24"/>
  <c r="AZ18"/>
  <c r="BC18"/>
  <c r="F18"/>
  <c r="U17"/>
  <c r="AZ14"/>
  <c r="BC14"/>
  <c r="F14"/>
  <c r="U13"/>
  <c r="AZ10"/>
  <c r="BC10"/>
  <c r="F10"/>
  <c r="U9"/>
  <c r="DG38"/>
  <c r="DH7"/>
  <c r="AZ7" s="1"/>
  <c r="J39"/>
  <c r="AY39"/>
  <c r="AX39" s="1"/>
  <c r="AF39"/>
  <c r="H39"/>
  <c r="X39"/>
  <c r="AI39"/>
  <c r="M39"/>
  <c r="CQ39"/>
  <c r="CO40" s="1"/>
  <c r="BB38"/>
  <c r="BD7"/>
  <c r="BD38" s="1"/>
  <c r="BD39" s="1"/>
  <c r="DF38"/>
  <c r="C39"/>
  <c r="BI38"/>
  <c r="T7"/>
  <c r="BJ7"/>
  <c r="BJ8" s="1"/>
  <c r="BJ9" s="1"/>
  <c r="BJ10" s="1"/>
  <c r="BJ11" s="1"/>
  <c r="BJ12" s="1"/>
  <c r="BJ13" s="1"/>
  <c r="BJ14" s="1"/>
  <c r="BJ15" s="1"/>
  <c r="BJ16" s="1"/>
  <c r="BJ17" s="1"/>
  <c r="BJ18" s="1"/>
  <c r="BJ19" s="1"/>
  <c r="BJ20" s="1"/>
  <c r="BJ21" s="1"/>
  <c r="BJ22" s="1"/>
  <c r="BJ23" s="1"/>
  <c r="BJ24" s="1"/>
  <c r="BJ25" s="1"/>
  <c r="BJ26" s="1"/>
  <c r="BJ27" s="1"/>
  <c r="BJ28" s="1"/>
  <c r="BJ29" s="1"/>
  <c r="BJ30" s="1"/>
  <c r="BJ31" s="1"/>
  <c r="BJ32" s="1"/>
  <c r="BJ33" s="1"/>
  <c r="BJ34" s="1"/>
  <c r="BJ35" s="1"/>
  <c r="BJ36" s="1"/>
  <c r="BJ37" s="1"/>
  <c r="AZ48" s="1"/>
  <c r="AZ51" s="1"/>
  <c r="U37" i="66"/>
  <c r="BC35"/>
  <c r="F35"/>
  <c r="AZ35"/>
  <c r="BC33"/>
  <c r="F33"/>
  <c r="AZ33"/>
  <c r="U31"/>
  <c r="BC9"/>
  <c r="F9"/>
  <c r="AZ9"/>
  <c r="D38"/>
  <c r="BC7"/>
  <c r="F7"/>
  <c r="BC37"/>
  <c r="F37"/>
  <c r="AZ37"/>
  <c r="U35"/>
  <c r="BC31"/>
  <c r="F31"/>
  <c r="AZ31"/>
  <c r="BC29"/>
  <c r="F29"/>
  <c r="AZ29"/>
  <c r="BC21"/>
  <c r="F21"/>
  <c r="AZ21"/>
  <c r="BC19"/>
  <c r="F19"/>
  <c r="AZ19"/>
  <c r="BC17"/>
  <c r="F17"/>
  <c r="AZ17"/>
  <c r="BC15"/>
  <c r="F15"/>
  <c r="AZ15"/>
  <c r="BC13"/>
  <c r="F13"/>
  <c r="AZ13"/>
  <c r="BC11"/>
  <c r="F11"/>
  <c r="AZ11"/>
  <c r="BC28"/>
  <c r="F28"/>
  <c r="BC26"/>
  <c r="F26"/>
  <c r="BC24"/>
  <c r="F24"/>
  <c r="BC22"/>
  <c r="F22"/>
  <c r="DH7"/>
  <c r="AZ7" s="1"/>
  <c r="T38"/>
  <c r="BC27"/>
  <c r="BC25"/>
  <c r="BC23"/>
  <c r="BD38"/>
  <c r="BD39" s="1"/>
  <c r="AZ27"/>
  <c r="AZ25"/>
  <c r="AZ23"/>
  <c r="DE38"/>
  <c r="DG38" s="1"/>
  <c r="DH38" s="1"/>
  <c r="AZ22"/>
  <c r="AZ24"/>
  <c r="BI38"/>
  <c r="BJ7"/>
  <c r="BJ8" s="1"/>
  <c r="BJ9" s="1"/>
  <c r="BJ10" s="1"/>
  <c r="BJ11" s="1"/>
  <c r="BJ12" s="1"/>
  <c r="BJ13" s="1"/>
  <c r="BJ14" s="1"/>
  <c r="BJ15" s="1"/>
  <c r="BJ16" s="1"/>
  <c r="BJ17" s="1"/>
  <c r="BJ18" s="1"/>
  <c r="BJ19" s="1"/>
  <c r="BJ20" s="1"/>
  <c r="J39"/>
  <c r="AY39"/>
  <c r="AX39" s="1"/>
  <c r="AF39"/>
  <c r="AB39"/>
  <c r="BC39" s="1"/>
  <c r="H39"/>
  <c r="F39"/>
  <c r="F41" s="1"/>
  <c r="AI39"/>
  <c r="M39"/>
  <c r="CQ39"/>
  <c r="CO40" s="1"/>
  <c r="BB38"/>
  <c r="R39"/>
  <c r="R41" s="1"/>
  <c r="AZ28"/>
  <c r="U27"/>
  <c r="U25"/>
  <c r="U23"/>
  <c r="U21"/>
  <c r="BJ21"/>
  <c r="BJ22" s="1"/>
  <c r="BJ23" s="1"/>
  <c r="BJ24" s="1"/>
  <c r="BJ25" s="1"/>
  <c r="BJ26" s="1"/>
  <c r="BJ27" s="1"/>
  <c r="BJ28" s="1"/>
  <c r="BJ29" s="1"/>
  <c r="BJ30" s="1"/>
  <c r="BJ31" s="1"/>
  <c r="BJ32" s="1"/>
  <c r="BJ33" s="1"/>
  <c r="BJ34" s="1"/>
  <c r="BJ35" s="1"/>
  <c r="BJ36" s="1"/>
  <c r="BJ37" s="1"/>
  <c r="AZ48" s="1"/>
  <c r="AZ51" s="1"/>
  <c r="AZ26"/>
  <c r="DH38" i="67" l="1"/>
  <c r="F39" i="73"/>
  <c r="F41" s="1"/>
  <c r="BC39"/>
  <c r="D39"/>
  <c r="U39"/>
  <c r="U41" s="1"/>
  <c r="AZ38" i="70"/>
  <c r="AZ39" s="1"/>
  <c r="D39"/>
  <c r="BC39"/>
  <c r="U39"/>
  <c r="U41" s="1"/>
  <c r="U39" i="66"/>
  <c r="U41" s="1"/>
  <c r="F39" i="67"/>
  <c r="F41" s="1"/>
  <c r="AZ38"/>
  <c r="AZ39" s="1"/>
  <c r="D39"/>
  <c r="T38"/>
  <c r="U7"/>
  <c r="BC39"/>
  <c r="D39" i="66"/>
  <c r="AZ38"/>
  <c r="AZ39" s="1"/>
  <c r="U39" i="67" l="1"/>
  <c r="U41" s="1"/>
  <c r="B37" i="63"/>
  <c r="C37" s="1"/>
  <c r="D37" s="1"/>
  <c r="I37"/>
  <c r="J37"/>
  <c r="DD37" s="1"/>
  <c r="DG37" s="1"/>
  <c r="DH37" s="1"/>
  <c r="K37"/>
  <c r="L37"/>
  <c r="N37"/>
  <c r="O37"/>
  <c r="P37"/>
  <c r="Q37"/>
  <c r="R37" s="1"/>
  <c r="T37" s="1"/>
  <c r="AN37"/>
  <c r="AY37"/>
  <c r="H37" s="1"/>
  <c r="BA37"/>
  <c r="BF37"/>
  <c r="BG37"/>
  <c r="BH37" s="1"/>
  <c r="BI37"/>
  <c r="CO37"/>
  <c r="CP37"/>
  <c r="CQ37"/>
  <c r="CR37"/>
  <c r="CS37"/>
  <c r="CT37"/>
  <c r="CU37"/>
  <c r="CV37"/>
  <c r="CW37"/>
  <c r="CX37"/>
  <c r="CY37"/>
  <c r="DJ37"/>
  <c r="Q8" i="65"/>
  <c r="R8" s="1"/>
  <c r="Q9"/>
  <c r="R9" s="1"/>
  <c r="T9" s="1"/>
  <c r="Q10"/>
  <c r="R10" s="1"/>
  <c r="Q11"/>
  <c r="R11" s="1"/>
  <c r="T11" s="1"/>
  <c r="Q12"/>
  <c r="R12" s="1"/>
  <c r="Q13"/>
  <c r="R13" s="1"/>
  <c r="T13" s="1"/>
  <c r="Q14"/>
  <c r="R14" s="1"/>
  <c r="Q15"/>
  <c r="R15" s="1"/>
  <c r="T15" s="1"/>
  <c r="Q16"/>
  <c r="R16" s="1"/>
  <c r="Q17"/>
  <c r="R17" s="1"/>
  <c r="T17" s="1"/>
  <c r="Q18"/>
  <c r="R18" s="1"/>
  <c r="Q19"/>
  <c r="R19" s="1"/>
  <c r="T19" s="1"/>
  <c r="Q20"/>
  <c r="R20" s="1"/>
  <c r="Q21"/>
  <c r="R21" s="1"/>
  <c r="T21" s="1"/>
  <c r="Q22"/>
  <c r="R22" s="1"/>
  <c r="Q23"/>
  <c r="R23" s="1"/>
  <c r="T23" s="1"/>
  <c r="Q24"/>
  <c r="R24" s="1"/>
  <c r="T24" s="1"/>
  <c r="Q25"/>
  <c r="Q26"/>
  <c r="R26" s="1"/>
  <c r="Q27"/>
  <c r="R27" s="1"/>
  <c r="T27" s="1"/>
  <c r="Q28"/>
  <c r="R28" s="1"/>
  <c r="T28" s="1"/>
  <c r="Q29"/>
  <c r="Q30"/>
  <c r="R30" s="1"/>
  <c r="Q31"/>
  <c r="Q32"/>
  <c r="R32" s="1"/>
  <c r="T32" s="1"/>
  <c r="Q33"/>
  <c r="Q34"/>
  <c r="R34" s="1"/>
  <c r="T34" s="1"/>
  <c r="Q35"/>
  <c r="Q36"/>
  <c r="R36" s="1"/>
  <c r="T36" s="1"/>
  <c r="Q37"/>
  <c r="Q7"/>
  <c r="R7" s="1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7"/>
  <c r="J8"/>
  <c r="DD8" s="1"/>
  <c r="DG8" s="1"/>
  <c r="DH8" s="1"/>
  <c r="J9"/>
  <c r="DD9" s="1"/>
  <c r="DG9" s="1"/>
  <c r="DH9" s="1"/>
  <c r="J10"/>
  <c r="DD10" s="1"/>
  <c r="DG10" s="1"/>
  <c r="DH10" s="1"/>
  <c r="J11"/>
  <c r="DD11" s="1"/>
  <c r="DG11" s="1"/>
  <c r="DH11" s="1"/>
  <c r="J12"/>
  <c r="DD12" s="1"/>
  <c r="DG12" s="1"/>
  <c r="DH12" s="1"/>
  <c r="J13"/>
  <c r="DD13" s="1"/>
  <c r="DG13" s="1"/>
  <c r="DH13" s="1"/>
  <c r="J14"/>
  <c r="DD14" s="1"/>
  <c r="DG14" s="1"/>
  <c r="DH14" s="1"/>
  <c r="J15"/>
  <c r="DD15" s="1"/>
  <c r="DG15" s="1"/>
  <c r="DH15" s="1"/>
  <c r="J16"/>
  <c r="DD16" s="1"/>
  <c r="DG16" s="1"/>
  <c r="DH16" s="1"/>
  <c r="J17"/>
  <c r="DD17" s="1"/>
  <c r="DG17" s="1"/>
  <c r="DH17" s="1"/>
  <c r="J18"/>
  <c r="DD18" s="1"/>
  <c r="DG18" s="1"/>
  <c r="DH18" s="1"/>
  <c r="J19"/>
  <c r="DD19" s="1"/>
  <c r="DG19" s="1"/>
  <c r="DH19" s="1"/>
  <c r="J20"/>
  <c r="DD20" s="1"/>
  <c r="DG20" s="1"/>
  <c r="DH20" s="1"/>
  <c r="J21"/>
  <c r="DD21" s="1"/>
  <c r="DG21" s="1"/>
  <c r="DH21" s="1"/>
  <c r="J22"/>
  <c r="DD22" s="1"/>
  <c r="DG22" s="1"/>
  <c r="DH22" s="1"/>
  <c r="J23"/>
  <c r="DD23" s="1"/>
  <c r="DG23" s="1"/>
  <c r="DH23" s="1"/>
  <c r="J24"/>
  <c r="DD24" s="1"/>
  <c r="DG24" s="1"/>
  <c r="DH24" s="1"/>
  <c r="J25"/>
  <c r="DD25" s="1"/>
  <c r="DG25" s="1"/>
  <c r="DH25" s="1"/>
  <c r="J26"/>
  <c r="DD26" s="1"/>
  <c r="DG26" s="1"/>
  <c r="DH26" s="1"/>
  <c r="J27"/>
  <c r="DD27" s="1"/>
  <c r="DG27" s="1"/>
  <c r="DH27" s="1"/>
  <c r="J28"/>
  <c r="DD28" s="1"/>
  <c r="DG28" s="1"/>
  <c r="DH28" s="1"/>
  <c r="J29"/>
  <c r="DD29" s="1"/>
  <c r="DG29" s="1"/>
  <c r="DH29" s="1"/>
  <c r="J30"/>
  <c r="DD30" s="1"/>
  <c r="DG30" s="1"/>
  <c r="DH30" s="1"/>
  <c r="J31"/>
  <c r="DD31" s="1"/>
  <c r="DG31" s="1"/>
  <c r="DH31" s="1"/>
  <c r="J32"/>
  <c r="DD32" s="1"/>
  <c r="DG32" s="1"/>
  <c r="DH32" s="1"/>
  <c r="J33"/>
  <c r="DD33" s="1"/>
  <c r="DG33" s="1"/>
  <c r="DH33" s="1"/>
  <c r="J34"/>
  <c r="DD34" s="1"/>
  <c r="DG34" s="1"/>
  <c r="DH34" s="1"/>
  <c r="J35"/>
  <c r="DD35" s="1"/>
  <c r="DG35" s="1"/>
  <c r="DH35" s="1"/>
  <c r="J36"/>
  <c r="DD36" s="1"/>
  <c r="DG36" s="1"/>
  <c r="DH36" s="1"/>
  <c r="J37"/>
  <c r="DD37" s="1"/>
  <c r="DG37" s="1"/>
  <c r="J7"/>
  <c r="DD7" s="1"/>
  <c r="B8"/>
  <c r="E8" s="1"/>
  <c r="B9"/>
  <c r="E9" s="1"/>
  <c r="B10"/>
  <c r="B11"/>
  <c r="E11" s="1"/>
  <c r="B12"/>
  <c r="B13"/>
  <c r="E13" s="1"/>
  <c r="B14"/>
  <c r="B15"/>
  <c r="C15" s="1"/>
  <c r="B16"/>
  <c r="B17"/>
  <c r="E17" s="1"/>
  <c r="B18"/>
  <c r="B19"/>
  <c r="C19" s="1"/>
  <c r="B20"/>
  <c r="B21"/>
  <c r="C21" s="1"/>
  <c r="B22"/>
  <c r="B23"/>
  <c r="E23" s="1"/>
  <c r="B24"/>
  <c r="C24" s="1"/>
  <c r="B25"/>
  <c r="B26"/>
  <c r="E26" s="1"/>
  <c r="B27"/>
  <c r="B28"/>
  <c r="C28" s="1"/>
  <c r="B29"/>
  <c r="B30"/>
  <c r="C30" s="1"/>
  <c r="D30" s="1"/>
  <c r="B31"/>
  <c r="B32"/>
  <c r="B33"/>
  <c r="B34"/>
  <c r="B35"/>
  <c r="B36"/>
  <c r="B37"/>
  <c r="B7"/>
  <c r="C7" s="1"/>
  <c r="D7" s="1"/>
  <c r="AT46"/>
  <c r="AT43"/>
  <c r="AV39"/>
  <c r="AS39"/>
  <c r="AQ39"/>
  <c r="AP39"/>
  <c r="AD39"/>
  <c r="AC39"/>
  <c r="Z39"/>
  <c r="Z41" s="1"/>
  <c r="Y39"/>
  <c r="CI38"/>
  <c r="CM39" s="1"/>
  <c r="CH38"/>
  <c r="CL39" s="1"/>
  <c r="CG38"/>
  <c r="CK39" s="1"/>
  <c r="CF38"/>
  <c r="CJ39" s="1"/>
  <c r="BQ38"/>
  <c r="BX39" s="1"/>
  <c r="BP38"/>
  <c r="CD39" s="1"/>
  <c r="BO38"/>
  <c r="BV39" s="1"/>
  <c r="BN38"/>
  <c r="CB39" s="1"/>
  <c r="BM38"/>
  <c r="BT39" s="1"/>
  <c r="BL38"/>
  <c r="BZ39" s="1"/>
  <c r="BK38"/>
  <c r="BR39" s="1"/>
  <c r="BG38"/>
  <c r="AW38"/>
  <c r="AW39" s="1"/>
  <c r="AV38"/>
  <c r="AU38"/>
  <c r="AU39" s="1"/>
  <c r="AT38"/>
  <c r="AT39" s="1"/>
  <c r="AM38"/>
  <c r="AM39" s="1"/>
  <c r="AL38"/>
  <c r="AL39" s="1"/>
  <c r="AJ38"/>
  <c r="AJ39" s="1"/>
  <c r="AH38"/>
  <c r="AH39" s="1"/>
  <c r="AG38"/>
  <c r="AG39" s="1"/>
  <c r="AE38"/>
  <c r="AE39" s="1"/>
  <c r="AD38"/>
  <c r="W38"/>
  <c r="W39" s="1"/>
  <c r="V38"/>
  <c r="V39" s="1"/>
  <c r="S38"/>
  <c r="S39" s="1"/>
  <c r="G38"/>
  <c r="G39" s="1"/>
  <c r="G41" s="1"/>
  <c r="DH37"/>
  <c r="AZ37" s="1"/>
  <c r="CY37"/>
  <c r="CX37"/>
  <c r="CW37"/>
  <c r="CV37"/>
  <c r="CU37"/>
  <c r="CT37"/>
  <c r="CS37"/>
  <c r="CR37"/>
  <c r="CQ37"/>
  <c r="CP37"/>
  <c r="CO37"/>
  <c r="DJ37" s="1"/>
  <c r="BA37"/>
  <c r="AY37"/>
  <c r="AN37"/>
  <c r="AF37"/>
  <c r="P37"/>
  <c r="M37"/>
  <c r="K37"/>
  <c r="I37"/>
  <c r="CY36"/>
  <c r="CX36"/>
  <c r="CW36"/>
  <c r="CV36"/>
  <c r="CU36"/>
  <c r="CT36"/>
  <c r="CS36"/>
  <c r="CR36"/>
  <c r="CQ36"/>
  <c r="CP36"/>
  <c r="CO36"/>
  <c r="BA36"/>
  <c r="AY36"/>
  <c r="AN36"/>
  <c r="AF36"/>
  <c r="P36"/>
  <c r="M36"/>
  <c r="K36"/>
  <c r="I36"/>
  <c r="CY35"/>
  <c r="CX35"/>
  <c r="CW35"/>
  <c r="CV35"/>
  <c r="CU35"/>
  <c r="CT35"/>
  <c r="CS35"/>
  <c r="CR35"/>
  <c r="CQ35"/>
  <c r="CP35"/>
  <c r="CO35"/>
  <c r="BA35"/>
  <c r="AY35"/>
  <c r="AN35"/>
  <c r="AF35"/>
  <c r="P35"/>
  <c r="M35"/>
  <c r="K35"/>
  <c r="I35"/>
  <c r="CY34"/>
  <c r="CX34"/>
  <c r="CW34"/>
  <c r="CV34"/>
  <c r="CU34"/>
  <c r="CT34"/>
  <c r="CS34"/>
  <c r="CR34"/>
  <c r="CQ34"/>
  <c r="CP34"/>
  <c r="CO34"/>
  <c r="BA34"/>
  <c r="AY34"/>
  <c r="AN34"/>
  <c r="AF34"/>
  <c r="P34"/>
  <c r="M34"/>
  <c r="K34"/>
  <c r="I34"/>
  <c r="CY33"/>
  <c r="CX33"/>
  <c r="CW33"/>
  <c r="CV33"/>
  <c r="CU33"/>
  <c r="CT33"/>
  <c r="CS33"/>
  <c r="CR33"/>
  <c r="CQ33"/>
  <c r="CP33"/>
  <c r="CO33"/>
  <c r="DJ33" s="1"/>
  <c r="BA33"/>
  <c r="AY33"/>
  <c r="AN33"/>
  <c r="AF33"/>
  <c r="P33"/>
  <c r="M33"/>
  <c r="K33"/>
  <c r="I33"/>
  <c r="CY32"/>
  <c r="CX32"/>
  <c r="CW32"/>
  <c r="CV32"/>
  <c r="CU32"/>
  <c r="CT32"/>
  <c r="CS32"/>
  <c r="CR32"/>
  <c r="CQ32"/>
  <c r="CP32"/>
  <c r="CO32"/>
  <c r="BA32"/>
  <c r="AY32"/>
  <c r="AN32"/>
  <c r="AF32"/>
  <c r="P32"/>
  <c r="M32"/>
  <c r="K32"/>
  <c r="I32"/>
  <c r="CY31"/>
  <c r="CX31"/>
  <c r="CW31"/>
  <c r="CV31"/>
  <c r="CU31"/>
  <c r="CT31"/>
  <c r="CS31"/>
  <c r="CR31"/>
  <c r="CQ31"/>
  <c r="CP31"/>
  <c r="CO31"/>
  <c r="BA31"/>
  <c r="AY31"/>
  <c r="AN31"/>
  <c r="AF31"/>
  <c r="P31"/>
  <c r="M31"/>
  <c r="K31"/>
  <c r="I31"/>
  <c r="CY30"/>
  <c r="CX30"/>
  <c r="CW30"/>
  <c r="CV30"/>
  <c r="CU30"/>
  <c r="CT30"/>
  <c r="CS30"/>
  <c r="CR30"/>
  <c r="CQ30"/>
  <c r="CP30"/>
  <c r="CO30"/>
  <c r="BG30"/>
  <c r="BA30"/>
  <c r="AY30"/>
  <c r="AX30" s="1"/>
  <c r="AN30"/>
  <c r="AF30"/>
  <c r="P30"/>
  <c r="K30"/>
  <c r="I30"/>
  <c r="H30"/>
  <c r="CY29"/>
  <c r="CX29"/>
  <c r="CW29"/>
  <c r="CV29"/>
  <c r="CU29"/>
  <c r="CT29"/>
  <c r="CS29"/>
  <c r="CR29"/>
  <c r="CQ29"/>
  <c r="CP29"/>
  <c r="CO29"/>
  <c r="BA29"/>
  <c r="AY29"/>
  <c r="AN29"/>
  <c r="AF29"/>
  <c r="P29"/>
  <c r="M29"/>
  <c r="K29"/>
  <c r="I29"/>
  <c r="CY28"/>
  <c r="CX28"/>
  <c r="CW28"/>
  <c r="CV28"/>
  <c r="CU28"/>
  <c r="CT28"/>
  <c r="CS28"/>
  <c r="CR28"/>
  <c r="CQ28"/>
  <c r="CP28"/>
  <c r="CO28"/>
  <c r="BG28"/>
  <c r="BA28"/>
  <c r="AY28"/>
  <c r="BI28" s="1"/>
  <c r="AX28"/>
  <c r="AN28"/>
  <c r="AI28"/>
  <c r="AF28"/>
  <c r="P28"/>
  <c r="K28"/>
  <c r="I28"/>
  <c r="CY27"/>
  <c r="CX27"/>
  <c r="CW27"/>
  <c r="CV27"/>
  <c r="CU27"/>
  <c r="CT27"/>
  <c r="CS27"/>
  <c r="CR27"/>
  <c r="M27" s="1"/>
  <c r="CQ27"/>
  <c r="CP27"/>
  <c r="CO27"/>
  <c r="BA27"/>
  <c r="AY27"/>
  <c r="AN27"/>
  <c r="AF27"/>
  <c r="P27"/>
  <c r="K27"/>
  <c r="I27"/>
  <c r="CY26"/>
  <c r="CX26"/>
  <c r="CW26"/>
  <c r="CV26"/>
  <c r="CU26"/>
  <c r="CT26"/>
  <c r="CS26"/>
  <c r="CR26"/>
  <c r="CQ26"/>
  <c r="CP26"/>
  <c r="CO26"/>
  <c r="BG26"/>
  <c r="BA26"/>
  <c r="AY26"/>
  <c r="BI26" s="1"/>
  <c r="AN26"/>
  <c r="AF26"/>
  <c r="P26"/>
  <c r="K26"/>
  <c r="I26"/>
  <c r="H26"/>
  <c r="CY25"/>
  <c r="CX25"/>
  <c r="CW25"/>
  <c r="CV25"/>
  <c r="CU25"/>
  <c r="CT25"/>
  <c r="CS25"/>
  <c r="CR25"/>
  <c r="CQ25"/>
  <c r="CP25"/>
  <c r="CO25"/>
  <c r="BA25"/>
  <c r="AY25"/>
  <c r="AN25"/>
  <c r="AF25"/>
  <c r="P25"/>
  <c r="K25"/>
  <c r="I25"/>
  <c r="CY24"/>
  <c r="CX24"/>
  <c r="CW24"/>
  <c r="CV24"/>
  <c r="CU24"/>
  <c r="CT24"/>
  <c r="CS24"/>
  <c r="CR24"/>
  <c r="CQ24"/>
  <c r="CP24"/>
  <c r="CO24"/>
  <c r="BG24"/>
  <c r="BA24"/>
  <c r="AY24"/>
  <c r="AX24" s="1"/>
  <c r="AN24"/>
  <c r="AF24"/>
  <c r="P24"/>
  <c r="K24"/>
  <c r="I24"/>
  <c r="H24"/>
  <c r="CY23"/>
  <c r="CX23"/>
  <c r="CW23"/>
  <c r="CV23"/>
  <c r="CU23"/>
  <c r="CT23"/>
  <c r="CS23"/>
  <c r="CR23"/>
  <c r="CQ23"/>
  <c r="CP23"/>
  <c r="CO23"/>
  <c r="BA23"/>
  <c r="AY23"/>
  <c r="H23" s="1"/>
  <c r="AN23"/>
  <c r="AF23"/>
  <c r="P23"/>
  <c r="K23"/>
  <c r="I23"/>
  <c r="CY22"/>
  <c r="CX22"/>
  <c r="CW22"/>
  <c r="CV22"/>
  <c r="CU22"/>
  <c r="CT22"/>
  <c r="CS22"/>
  <c r="CR22"/>
  <c r="CQ22"/>
  <c r="CP22"/>
  <c r="CO22"/>
  <c r="BG22"/>
  <c r="BA22"/>
  <c r="AY22"/>
  <c r="AN22"/>
  <c r="AF22"/>
  <c r="P22"/>
  <c r="M22"/>
  <c r="K22"/>
  <c r="I22"/>
  <c r="CY21"/>
  <c r="CX21"/>
  <c r="CW21"/>
  <c r="CV21"/>
  <c r="CU21"/>
  <c r="CT21"/>
  <c r="CS21"/>
  <c r="CR21"/>
  <c r="CQ21"/>
  <c r="CP21"/>
  <c r="CO21"/>
  <c r="BG21"/>
  <c r="BA21"/>
  <c r="AY21"/>
  <c r="AX21" s="1"/>
  <c r="AN21"/>
  <c r="AF21"/>
  <c r="P21"/>
  <c r="K21"/>
  <c r="I21"/>
  <c r="H21"/>
  <c r="CY20"/>
  <c r="CX20"/>
  <c r="CW20"/>
  <c r="CV20"/>
  <c r="CU20"/>
  <c r="CT20"/>
  <c r="CS20"/>
  <c r="CR20"/>
  <c r="CQ20"/>
  <c r="CP20"/>
  <c r="CO20"/>
  <c r="BG20"/>
  <c r="BA20"/>
  <c r="AY20"/>
  <c r="AN20"/>
  <c r="AF20"/>
  <c r="P20"/>
  <c r="M20"/>
  <c r="K20"/>
  <c r="I20"/>
  <c r="CY19"/>
  <c r="CX19"/>
  <c r="CW19"/>
  <c r="CV19"/>
  <c r="CU19"/>
  <c r="CT19"/>
  <c r="CS19"/>
  <c r="CR19"/>
  <c r="CQ19"/>
  <c r="CP19"/>
  <c r="CO19"/>
  <c r="BG19"/>
  <c r="BA19"/>
  <c r="AY19"/>
  <c r="AX19" s="1"/>
  <c r="AN19"/>
  <c r="AF19"/>
  <c r="P19"/>
  <c r="K19"/>
  <c r="I19"/>
  <c r="CY18"/>
  <c r="CX18"/>
  <c r="CW18"/>
  <c r="CV18"/>
  <c r="CU18"/>
  <c r="CT18"/>
  <c r="CS18"/>
  <c r="CR18"/>
  <c r="CQ18"/>
  <c r="CP18"/>
  <c r="CO18"/>
  <c r="BG18"/>
  <c r="BA18"/>
  <c r="AY18"/>
  <c r="M18" s="1"/>
  <c r="AN18"/>
  <c r="AF18"/>
  <c r="P18"/>
  <c r="K18"/>
  <c r="I18"/>
  <c r="CY17"/>
  <c r="CX17"/>
  <c r="CW17"/>
  <c r="CV17"/>
  <c r="CU17"/>
  <c r="CT17"/>
  <c r="CS17"/>
  <c r="CR17"/>
  <c r="CQ17"/>
  <c r="CP17"/>
  <c r="CO17"/>
  <c r="BG17"/>
  <c r="BA17"/>
  <c r="AY17"/>
  <c r="BI17" s="1"/>
  <c r="AN17"/>
  <c r="AF17"/>
  <c r="P17"/>
  <c r="K17"/>
  <c r="I17"/>
  <c r="H17"/>
  <c r="CY16"/>
  <c r="CX16"/>
  <c r="CW16"/>
  <c r="CV16"/>
  <c r="CU16"/>
  <c r="CT16"/>
  <c r="CS16"/>
  <c r="CR16"/>
  <c r="CQ16"/>
  <c r="CP16"/>
  <c r="CO16"/>
  <c r="BG16"/>
  <c r="BA16"/>
  <c r="AY16"/>
  <c r="M16" s="1"/>
  <c r="AN16"/>
  <c r="AF16"/>
  <c r="P16"/>
  <c r="K16"/>
  <c r="I16"/>
  <c r="CY15"/>
  <c r="CX15"/>
  <c r="CW15"/>
  <c r="CV15"/>
  <c r="CU15"/>
  <c r="CT15"/>
  <c r="CS15"/>
  <c r="CR15"/>
  <c r="CQ15"/>
  <c r="CP15"/>
  <c r="CO15"/>
  <c r="BG15"/>
  <c r="BA15"/>
  <c r="AY15"/>
  <c r="BI15" s="1"/>
  <c r="AN15"/>
  <c r="AF15"/>
  <c r="P15"/>
  <c r="K15"/>
  <c r="I15"/>
  <c r="CY14"/>
  <c r="CX14"/>
  <c r="CW14"/>
  <c r="CV14"/>
  <c r="CU14"/>
  <c r="CT14"/>
  <c r="CS14"/>
  <c r="CR14"/>
  <c r="CQ14"/>
  <c r="CP14"/>
  <c r="CO14"/>
  <c r="BG14"/>
  <c r="BA14"/>
  <c r="AY14"/>
  <c r="M14" s="1"/>
  <c r="AN14"/>
  <c r="AF14"/>
  <c r="P14"/>
  <c r="K14"/>
  <c r="I14"/>
  <c r="CY13"/>
  <c r="CX13"/>
  <c r="CW13"/>
  <c r="CV13"/>
  <c r="CU13"/>
  <c r="CT13"/>
  <c r="CS13"/>
  <c r="CR13"/>
  <c r="CQ13"/>
  <c r="CP13"/>
  <c r="CO13"/>
  <c r="BG13"/>
  <c r="BA13"/>
  <c r="AY13"/>
  <c r="AX13" s="1"/>
  <c r="AN13"/>
  <c r="AF13"/>
  <c r="P13"/>
  <c r="K13"/>
  <c r="I13"/>
  <c r="H13"/>
  <c r="CY12"/>
  <c r="CX12"/>
  <c r="CW12"/>
  <c r="CV12"/>
  <c r="CU12"/>
  <c r="CT12"/>
  <c r="CS12"/>
  <c r="CR12"/>
  <c r="CQ12"/>
  <c r="CP12"/>
  <c r="CO12"/>
  <c r="BG12"/>
  <c r="BA12"/>
  <c r="AY12"/>
  <c r="AN12"/>
  <c r="AF12"/>
  <c r="P12"/>
  <c r="K12"/>
  <c r="I12"/>
  <c r="CY11"/>
  <c r="CX11"/>
  <c r="CW11"/>
  <c r="CV11"/>
  <c r="CU11"/>
  <c r="CT11"/>
  <c r="CS11"/>
  <c r="CR11"/>
  <c r="CQ11"/>
  <c r="CP11"/>
  <c r="CO11"/>
  <c r="BG11"/>
  <c r="BA11"/>
  <c r="AY11"/>
  <c r="AX11" s="1"/>
  <c r="AN11"/>
  <c r="AF11"/>
  <c r="P11"/>
  <c r="K11"/>
  <c r="I11"/>
  <c r="CY10"/>
  <c r="CX10"/>
  <c r="CW10"/>
  <c r="CV10"/>
  <c r="CU10"/>
  <c r="CT10"/>
  <c r="CS10"/>
  <c r="CR10"/>
  <c r="CQ10"/>
  <c r="CP10"/>
  <c r="CO10"/>
  <c r="BG10"/>
  <c r="BA10"/>
  <c r="AY10"/>
  <c r="M10" s="1"/>
  <c r="AN10"/>
  <c r="P10"/>
  <c r="K10"/>
  <c r="I10"/>
  <c r="CY9"/>
  <c r="CX9"/>
  <c r="CW9"/>
  <c r="CV9"/>
  <c r="CU9"/>
  <c r="CT9"/>
  <c r="CS9"/>
  <c r="CR9"/>
  <c r="CQ9"/>
  <c r="CP9"/>
  <c r="CO9"/>
  <c r="BG9"/>
  <c r="BA9"/>
  <c r="AY9"/>
  <c r="BI9" s="1"/>
  <c r="AN9"/>
  <c r="P9"/>
  <c r="K9"/>
  <c r="I9"/>
  <c r="CY8"/>
  <c r="CX8"/>
  <c r="CW8"/>
  <c r="CV8"/>
  <c r="CU8"/>
  <c r="CT8"/>
  <c r="CS8"/>
  <c r="CR8"/>
  <c r="CQ8"/>
  <c r="CP8"/>
  <c r="CO8"/>
  <c r="BG8"/>
  <c r="BA8"/>
  <c r="AY8"/>
  <c r="BI8" s="1"/>
  <c r="AN8"/>
  <c r="AF8"/>
  <c r="P8"/>
  <c r="M8"/>
  <c r="K8"/>
  <c r="I8"/>
  <c r="CY7"/>
  <c r="CY38" s="1"/>
  <c r="CX7"/>
  <c r="CW7"/>
  <c r="CW38" s="1"/>
  <c r="CV7"/>
  <c r="CU7"/>
  <c r="CT7"/>
  <c r="CS7"/>
  <c r="CS38" s="1"/>
  <c r="CR7"/>
  <c r="CQ7"/>
  <c r="CQ38" s="1"/>
  <c r="CP7"/>
  <c r="CO7"/>
  <c r="CO38" s="1"/>
  <c r="BG7"/>
  <c r="BA7"/>
  <c r="AY7"/>
  <c r="BI7" s="1"/>
  <c r="AX7"/>
  <c r="AN7"/>
  <c r="AI7"/>
  <c r="AF7"/>
  <c r="P7"/>
  <c r="K7"/>
  <c r="I7"/>
  <c r="H7"/>
  <c r="B35" i="64"/>
  <c r="C35" s="1"/>
  <c r="D35" s="1"/>
  <c r="I35"/>
  <c r="J35"/>
  <c r="DD35" s="1"/>
  <c r="DG35" s="1"/>
  <c r="DH35" s="1"/>
  <c r="K35"/>
  <c r="N35"/>
  <c r="O35"/>
  <c r="P35"/>
  <c r="Q35"/>
  <c r="R35" s="1"/>
  <c r="T35" s="1"/>
  <c r="AN35"/>
  <c r="AY35"/>
  <c r="H35" s="1"/>
  <c r="BA35"/>
  <c r="BF35"/>
  <c r="BG35"/>
  <c r="BH35"/>
  <c r="BI35"/>
  <c r="BJ35"/>
  <c r="CO35"/>
  <c r="CP35"/>
  <c r="CQ35"/>
  <c r="CR35"/>
  <c r="CS35"/>
  <c r="CT35"/>
  <c r="CU35"/>
  <c r="CV35"/>
  <c r="CW35"/>
  <c r="CX35"/>
  <c r="CY35"/>
  <c r="B34"/>
  <c r="C34" s="1"/>
  <c r="D34" s="1"/>
  <c r="I34"/>
  <c r="J34"/>
  <c r="DD34" s="1"/>
  <c r="DG34" s="1"/>
  <c r="DH34" s="1"/>
  <c r="K34"/>
  <c r="N34"/>
  <c r="O34"/>
  <c r="P34"/>
  <c r="Q34"/>
  <c r="R34" s="1"/>
  <c r="T34" s="1"/>
  <c r="AN34"/>
  <c r="AY34"/>
  <c r="H34" s="1"/>
  <c r="BA34"/>
  <c r="BF34"/>
  <c r="BG34"/>
  <c r="BH34"/>
  <c r="BI34"/>
  <c r="BJ34"/>
  <c r="CO34"/>
  <c r="CP34"/>
  <c r="CQ34"/>
  <c r="CR34"/>
  <c r="CS34"/>
  <c r="CT34"/>
  <c r="CU34"/>
  <c r="CV34"/>
  <c r="CW34"/>
  <c r="CX34"/>
  <c r="CY34"/>
  <c r="B33"/>
  <c r="C33" s="1"/>
  <c r="D33" s="1"/>
  <c r="I33"/>
  <c r="J33"/>
  <c r="DD33" s="1"/>
  <c r="DG33" s="1"/>
  <c r="DH33" s="1"/>
  <c r="K33"/>
  <c r="N33"/>
  <c r="O33"/>
  <c r="P33"/>
  <c r="Q33"/>
  <c r="R33" s="1"/>
  <c r="T33" s="1"/>
  <c r="AN33"/>
  <c r="AY33"/>
  <c r="H33" s="1"/>
  <c r="BA33"/>
  <c r="BF33"/>
  <c r="BG33"/>
  <c r="BH33" s="1"/>
  <c r="BI33"/>
  <c r="BJ33" s="1"/>
  <c r="CO33"/>
  <c r="CP33"/>
  <c r="CQ33"/>
  <c r="CR33"/>
  <c r="CS33"/>
  <c r="CT33"/>
  <c r="CU33"/>
  <c r="CV33"/>
  <c r="CW33"/>
  <c r="CX33"/>
  <c r="CY33"/>
  <c r="B32"/>
  <c r="C32" s="1"/>
  <c r="D32" s="1"/>
  <c r="I32"/>
  <c r="J32"/>
  <c r="DD32" s="1"/>
  <c r="DG32" s="1"/>
  <c r="DH32" s="1"/>
  <c r="K32"/>
  <c r="N32"/>
  <c r="O32"/>
  <c r="P32"/>
  <c r="Q32"/>
  <c r="R32" s="1"/>
  <c r="T32" s="1"/>
  <c r="AN32"/>
  <c r="AY32"/>
  <c r="H32" s="1"/>
  <c r="BA32"/>
  <c r="BF32"/>
  <c r="BG32"/>
  <c r="BH32" s="1"/>
  <c r="BI32"/>
  <c r="CO32"/>
  <c r="CP32"/>
  <c r="CQ32"/>
  <c r="CR32"/>
  <c r="CS32"/>
  <c r="CT32"/>
  <c r="CU32"/>
  <c r="CV32"/>
  <c r="CW32"/>
  <c r="CX32"/>
  <c r="CY32"/>
  <c r="B31"/>
  <c r="C31" s="1"/>
  <c r="D31" s="1"/>
  <c r="I31"/>
  <c r="J31"/>
  <c r="DD31" s="1"/>
  <c r="DG31" s="1"/>
  <c r="DH31" s="1"/>
  <c r="K31"/>
  <c r="N31"/>
  <c r="O31"/>
  <c r="P31"/>
  <c r="Q31"/>
  <c r="R31" s="1"/>
  <c r="T31" s="1"/>
  <c r="AI31"/>
  <c r="AN31"/>
  <c r="AX31"/>
  <c r="AY31"/>
  <c r="H31" s="1"/>
  <c r="BA31"/>
  <c r="BB31"/>
  <c r="BD31"/>
  <c r="BF31"/>
  <c r="BG31"/>
  <c r="BH31" s="1"/>
  <c r="BI31"/>
  <c r="CO31"/>
  <c r="CP31"/>
  <c r="CQ31"/>
  <c r="CR31"/>
  <c r="CS31"/>
  <c r="CT31"/>
  <c r="CU31"/>
  <c r="CV31"/>
  <c r="CW31"/>
  <c r="CX31"/>
  <c r="CY31"/>
  <c r="B36"/>
  <c r="C36" s="1"/>
  <c r="D36" s="1"/>
  <c r="H36"/>
  <c r="I36"/>
  <c r="J36"/>
  <c r="DD36" s="1"/>
  <c r="DG36" s="1"/>
  <c r="K36"/>
  <c r="L36"/>
  <c r="N36"/>
  <c r="O36"/>
  <c r="P36"/>
  <c r="Q36"/>
  <c r="R36" s="1"/>
  <c r="T36" s="1"/>
  <c r="U36"/>
  <c r="AI36"/>
  <c r="AN36"/>
  <c r="AX36"/>
  <c r="AY36"/>
  <c r="F36" s="1"/>
  <c r="BA36"/>
  <c r="BB36"/>
  <c r="BD36"/>
  <c r="BF36"/>
  <c r="BG36"/>
  <c r="BI36"/>
  <c r="CO36"/>
  <c r="CP36"/>
  <c r="CQ36"/>
  <c r="CR36"/>
  <c r="CS36"/>
  <c r="CT36"/>
  <c r="CU36"/>
  <c r="CV36"/>
  <c r="CW36"/>
  <c r="CX36"/>
  <c r="CY36"/>
  <c r="DH36"/>
  <c r="AZ36" s="1"/>
  <c r="B30"/>
  <c r="C30" s="1"/>
  <c r="D30" s="1"/>
  <c r="I30"/>
  <c r="J30"/>
  <c r="DD30" s="1"/>
  <c r="DG30" s="1"/>
  <c r="DH30" s="1"/>
  <c r="K30"/>
  <c r="N30"/>
  <c r="O30"/>
  <c r="P30"/>
  <c r="Q30"/>
  <c r="R30" s="1"/>
  <c r="T30" s="1"/>
  <c r="AI30"/>
  <c r="AN30"/>
  <c r="AX30"/>
  <c r="AY30"/>
  <c r="H30" s="1"/>
  <c r="BA30"/>
  <c r="BB30"/>
  <c r="BD30"/>
  <c r="BF30"/>
  <c r="BG30"/>
  <c r="BH30" s="1"/>
  <c r="BI30"/>
  <c r="CO30"/>
  <c r="CP30"/>
  <c r="CQ30"/>
  <c r="CR30"/>
  <c r="CS30"/>
  <c r="CT30"/>
  <c r="CU30"/>
  <c r="CV30"/>
  <c r="CW30"/>
  <c r="CX30"/>
  <c r="CY30"/>
  <c r="B29"/>
  <c r="C29" s="1"/>
  <c r="D29" s="1"/>
  <c r="I29"/>
  <c r="J29"/>
  <c r="DD29" s="1"/>
  <c r="DG29" s="1"/>
  <c r="DH29" s="1"/>
  <c r="K29"/>
  <c r="N29"/>
  <c r="O29"/>
  <c r="P29"/>
  <c r="Q29"/>
  <c r="R29" s="1"/>
  <c r="T29" s="1"/>
  <c r="AN29"/>
  <c r="AX29"/>
  <c r="AY29"/>
  <c r="H29" s="1"/>
  <c r="BA29"/>
  <c r="BB29"/>
  <c r="BD29"/>
  <c r="BF29"/>
  <c r="BG29"/>
  <c r="BH29" s="1"/>
  <c r="BI29"/>
  <c r="CO29"/>
  <c r="CP29"/>
  <c r="CQ29"/>
  <c r="CR29"/>
  <c r="CS29"/>
  <c r="CT29"/>
  <c r="CU29"/>
  <c r="CV29"/>
  <c r="CW29"/>
  <c r="CX29"/>
  <c r="CY29"/>
  <c r="B28"/>
  <c r="C28" s="1"/>
  <c r="D28" s="1"/>
  <c r="I28"/>
  <c r="J28"/>
  <c r="DD28" s="1"/>
  <c r="DG28" s="1"/>
  <c r="DH28" s="1"/>
  <c r="K28"/>
  <c r="N28"/>
  <c r="O28"/>
  <c r="P28"/>
  <c r="Q28"/>
  <c r="R28" s="1"/>
  <c r="T28" s="1"/>
  <c r="AN28"/>
  <c r="AX28"/>
  <c r="AY28"/>
  <c r="H28" s="1"/>
  <c r="BA28"/>
  <c r="BB28"/>
  <c r="BD28"/>
  <c r="BF28"/>
  <c r="BG28"/>
  <c r="BH28" s="1"/>
  <c r="BI28"/>
  <c r="CO28"/>
  <c r="CP28"/>
  <c r="CQ28"/>
  <c r="CR28"/>
  <c r="CS28"/>
  <c r="CT28"/>
  <c r="CU28"/>
  <c r="CV28"/>
  <c r="CW28"/>
  <c r="CX28"/>
  <c r="CY28"/>
  <c r="B27"/>
  <c r="C27" s="1"/>
  <c r="D27" s="1"/>
  <c r="I27"/>
  <c r="J27"/>
  <c r="DD27" s="1"/>
  <c r="DG27" s="1"/>
  <c r="DH27" s="1"/>
  <c r="K27"/>
  <c r="N27"/>
  <c r="O27"/>
  <c r="P27"/>
  <c r="Q27"/>
  <c r="R27" s="1"/>
  <c r="T27" s="1"/>
  <c r="AN27"/>
  <c r="AY27"/>
  <c r="H27" s="1"/>
  <c r="BA27"/>
  <c r="BB27"/>
  <c r="BD27"/>
  <c r="BF27"/>
  <c r="BG27"/>
  <c r="BH27" s="1"/>
  <c r="BI27"/>
  <c r="CO27"/>
  <c r="CP27"/>
  <c r="CQ27"/>
  <c r="CR27"/>
  <c r="CS27"/>
  <c r="CT27"/>
  <c r="CU27"/>
  <c r="CV27"/>
  <c r="CW27"/>
  <c r="CX27"/>
  <c r="CY27"/>
  <c r="B26"/>
  <c r="C26" s="1"/>
  <c r="D26" s="1"/>
  <c r="I26"/>
  <c r="J26"/>
  <c r="DD26" s="1"/>
  <c r="DG26" s="1"/>
  <c r="DH26" s="1"/>
  <c r="K26"/>
  <c r="N26"/>
  <c r="O26"/>
  <c r="P26"/>
  <c r="Q26"/>
  <c r="R26" s="1"/>
  <c r="T26" s="1"/>
  <c r="AN26"/>
  <c r="AY26"/>
  <c r="H26" s="1"/>
  <c r="BA26"/>
  <c r="BB26"/>
  <c r="BD26"/>
  <c r="BF26"/>
  <c r="BG26"/>
  <c r="BH26" s="1"/>
  <c r="BI26"/>
  <c r="CO26"/>
  <c r="CP26"/>
  <c r="CQ26"/>
  <c r="CR26"/>
  <c r="CS26"/>
  <c r="CT26"/>
  <c r="CU26"/>
  <c r="CV26"/>
  <c r="CW26"/>
  <c r="CX26"/>
  <c r="CY26"/>
  <c r="B25"/>
  <c r="C25" s="1"/>
  <c r="D25" s="1"/>
  <c r="I25"/>
  <c r="J25"/>
  <c r="DD25" s="1"/>
  <c r="DG25" s="1"/>
  <c r="DH25" s="1"/>
  <c r="K25"/>
  <c r="N25"/>
  <c r="O25"/>
  <c r="P25"/>
  <c r="Q25"/>
  <c r="R25" s="1"/>
  <c r="T25" s="1"/>
  <c r="AN25"/>
  <c r="AX25"/>
  <c r="AY25"/>
  <c r="H25" s="1"/>
  <c r="BA25"/>
  <c r="BB25"/>
  <c r="BD25"/>
  <c r="BF25"/>
  <c r="BG25"/>
  <c r="BH25" s="1"/>
  <c r="BI25"/>
  <c r="CO25"/>
  <c r="CP25"/>
  <c r="CQ25"/>
  <c r="CR25"/>
  <c r="CS25"/>
  <c r="CT25"/>
  <c r="CU25"/>
  <c r="CV25"/>
  <c r="CW25"/>
  <c r="CX25"/>
  <c r="CY25"/>
  <c r="B24"/>
  <c r="C24" s="1"/>
  <c r="D24" s="1"/>
  <c r="I24"/>
  <c r="J24"/>
  <c r="DD24" s="1"/>
  <c r="DG24" s="1"/>
  <c r="DH24" s="1"/>
  <c r="K24"/>
  <c r="N24"/>
  <c r="O24"/>
  <c r="P24"/>
  <c r="Q24"/>
  <c r="R24" s="1"/>
  <c r="T24" s="1"/>
  <c r="AI24"/>
  <c r="AN24"/>
  <c r="AX24"/>
  <c r="AY24"/>
  <c r="H24" s="1"/>
  <c r="BA24"/>
  <c r="BB24"/>
  <c r="BD24"/>
  <c r="BF24"/>
  <c r="BG24"/>
  <c r="BH24" s="1"/>
  <c r="BI24"/>
  <c r="CO24"/>
  <c r="CP24"/>
  <c r="CQ24"/>
  <c r="CR24"/>
  <c r="CS24"/>
  <c r="CT24"/>
  <c r="CU24"/>
  <c r="CV24"/>
  <c r="CW24"/>
  <c r="CX24"/>
  <c r="CY24"/>
  <c r="B23"/>
  <c r="C23" s="1"/>
  <c r="D23" s="1"/>
  <c r="I23"/>
  <c r="J23"/>
  <c r="DD23" s="1"/>
  <c r="DG23" s="1"/>
  <c r="DH23" s="1"/>
  <c r="K23"/>
  <c r="N23"/>
  <c r="O23"/>
  <c r="P23"/>
  <c r="Q23"/>
  <c r="R23" s="1"/>
  <c r="T23" s="1"/>
  <c r="AI23"/>
  <c r="AN23"/>
  <c r="AX23"/>
  <c r="AY23"/>
  <c r="H23" s="1"/>
  <c r="BA23"/>
  <c r="BB23"/>
  <c r="BD23"/>
  <c r="BF23"/>
  <c r="BG23"/>
  <c r="BH23" s="1"/>
  <c r="BI23"/>
  <c r="CO23"/>
  <c r="CP23"/>
  <c r="CQ23"/>
  <c r="CR23"/>
  <c r="CS23"/>
  <c r="CT23"/>
  <c r="CU23"/>
  <c r="CV23"/>
  <c r="CW23"/>
  <c r="CX23"/>
  <c r="CY23"/>
  <c r="B22"/>
  <c r="C22" s="1"/>
  <c r="D22" s="1"/>
  <c r="I22"/>
  <c r="J22"/>
  <c r="DD22" s="1"/>
  <c r="DG22" s="1"/>
  <c r="DH22" s="1"/>
  <c r="K22"/>
  <c r="N22"/>
  <c r="O22"/>
  <c r="P22"/>
  <c r="Q22"/>
  <c r="R22" s="1"/>
  <c r="T22" s="1"/>
  <c r="AI22"/>
  <c r="AN22"/>
  <c r="AX22"/>
  <c r="AY22"/>
  <c r="H22" s="1"/>
  <c r="BA22"/>
  <c r="BB22"/>
  <c r="BD22"/>
  <c r="BF22"/>
  <c r="BG22"/>
  <c r="BH22" s="1"/>
  <c r="BI22"/>
  <c r="CO22"/>
  <c r="CP22"/>
  <c r="CQ22"/>
  <c r="CR22"/>
  <c r="CS22"/>
  <c r="CT22"/>
  <c r="CU22"/>
  <c r="CV22"/>
  <c r="CW22"/>
  <c r="CX22"/>
  <c r="CY22"/>
  <c r="B21"/>
  <c r="C21" s="1"/>
  <c r="D21" s="1"/>
  <c r="I21"/>
  <c r="J21"/>
  <c r="DD21" s="1"/>
  <c r="DG21" s="1"/>
  <c r="DH21" s="1"/>
  <c r="K21"/>
  <c r="N21"/>
  <c r="O21"/>
  <c r="P21"/>
  <c r="Q21"/>
  <c r="R21" s="1"/>
  <c r="T21" s="1"/>
  <c r="AN21"/>
  <c r="AX21"/>
  <c r="AY21"/>
  <c r="H21" s="1"/>
  <c r="BA21"/>
  <c r="BB21"/>
  <c r="BD21"/>
  <c r="BF21"/>
  <c r="BG21"/>
  <c r="BH21" s="1"/>
  <c r="BI21"/>
  <c r="CO21"/>
  <c r="CP21"/>
  <c r="CQ21"/>
  <c r="CR21"/>
  <c r="CS21"/>
  <c r="CT21"/>
  <c r="CU21"/>
  <c r="CV21"/>
  <c r="CW21"/>
  <c r="CX21"/>
  <c r="CY21"/>
  <c r="B20"/>
  <c r="C20" s="1"/>
  <c r="D20" s="1"/>
  <c r="I20"/>
  <c r="J20"/>
  <c r="DD20" s="1"/>
  <c r="DG20" s="1"/>
  <c r="DH20" s="1"/>
  <c r="K20"/>
  <c r="N20"/>
  <c r="O20"/>
  <c r="P20"/>
  <c r="Q20"/>
  <c r="R20" s="1"/>
  <c r="T20" s="1"/>
  <c r="AN20"/>
  <c r="AY20"/>
  <c r="H20" s="1"/>
  <c r="BA20"/>
  <c r="BB20"/>
  <c r="BD20"/>
  <c r="BF20"/>
  <c r="BG20"/>
  <c r="BH20" s="1"/>
  <c r="BI20"/>
  <c r="CO20"/>
  <c r="CP20"/>
  <c r="CQ20"/>
  <c r="CR20"/>
  <c r="CS20"/>
  <c r="CT20"/>
  <c r="CU20"/>
  <c r="CV20"/>
  <c r="CW20"/>
  <c r="CX20"/>
  <c r="CY20"/>
  <c r="B19"/>
  <c r="C19" s="1"/>
  <c r="D19" s="1"/>
  <c r="I19"/>
  <c r="J19"/>
  <c r="DD19" s="1"/>
  <c r="DG19" s="1"/>
  <c r="DH19" s="1"/>
  <c r="K19"/>
  <c r="N19"/>
  <c r="O19"/>
  <c r="P19"/>
  <c r="Q19"/>
  <c r="R19" s="1"/>
  <c r="T19" s="1"/>
  <c r="AN19"/>
  <c r="AX19"/>
  <c r="AY19"/>
  <c r="H19" s="1"/>
  <c r="BA19"/>
  <c r="BB19"/>
  <c r="BD19"/>
  <c r="BF19"/>
  <c r="BG19"/>
  <c r="BH19" s="1"/>
  <c r="BI19"/>
  <c r="CO19"/>
  <c r="CP19"/>
  <c r="CQ19"/>
  <c r="CR19"/>
  <c r="CS19"/>
  <c r="CT19"/>
  <c r="CU19"/>
  <c r="CV19"/>
  <c r="CW19"/>
  <c r="CX19"/>
  <c r="CY19"/>
  <c r="B18"/>
  <c r="C18" s="1"/>
  <c r="D18" s="1"/>
  <c r="I18"/>
  <c r="J18"/>
  <c r="DD18" s="1"/>
  <c r="DG18" s="1"/>
  <c r="DH18" s="1"/>
  <c r="K18"/>
  <c r="N18"/>
  <c r="O18"/>
  <c r="P18"/>
  <c r="Q18"/>
  <c r="R18" s="1"/>
  <c r="T18" s="1"/>
  <c r="AN18"/>
  <c r="AY18"/>
  <c r="H18" s="1"/>
  <c r="BA18"/>
  <c r="BB18"/>
  <c r="BD18"/>
  <c r="BF18"/>
  <c r="BG18"/>
  <c r="BH18" s="1"/>
  <c r="BI18"/>
  <c r="CO18"/>
  <c r="CP18"/>
  <c r="CQ18"/>
  <c r="CR18"/>
  <c r="CS18"/>
  <c r="CT18"/>
  <c r="CU18"/>
  <c r="CV18"/>
  <c r="CW18"/>
  <c r="CX18"/>
  <c r="CY18"/>
  <c r="B17"/>
  <c r="C17" s="1"/>
  <c r="D17" s="1"/>
  <c r="I17"/>
  <c r="J17"/>
  <c r="DD17" s="1"/>
  <c r="DG17" s="1"/>
  <c r="DH17" s="1"/>
  <c r="K17"/>
  <c r="N17"/>
  <c r="O17"/>
  <c r="P17"/>
  <c r="Q17"/>
  <c r="R17" s="1"/>
  <c r="T17" s="1"/>
  <c r="AN17"/>
  <c r="AX17"/>
  <c r="AY17"/>
  <c r="H17" s="1"/>
  <c r="BA17"/>
  <c r="BB17"/>
  <c r="BD17"/>
  <c r="BF17"/>
  <c r="BG17"/>
  <c r="BH17" s="1"/>
  <c r="BI17"/>
  <c r="CO17"/>
  <c r="CP17"/>
  <c r="CQ17"/>
  <c r="CR17"/>
  <c r="CS17"/>
  <c r="CT17"/>
  <c r="CU17"/>
  <c r="CV17"/>
  <c r="CW17"/>
  <c r="CX17"/>
  <c r="CY17"/>
  <c r="B16"/>
  <c r="C16" s="1"/>
  <c r="D16" s="1"/>
  <c r="I16"/>
  <c r="J16"/>
  <c r="DD16" s="1"/>
  <c r="DG16" s="1"/>
  <c r="DH16" s="1"/>
  <c r="K16"/>
  <c r="N16"/>
  <c r="O16"/>
  <c r="P16"/>
  <c r="Q16"/>
  <c r="R16" s="1"/>
  <c r="T16" s="1"/>
  <c r="AI16"/>
  <c r="AN16"/>
  <c r="AX16"/>
  <c r="AY16"/>
  <c r="H16" s="1"/>
  <c r="BA16"/>
  <c r="BB16"/>
  <c r="BD16"/>
  <c r="BF16"/>
  <c r="BG16"/>
  <c r="BH16" s="1"/>
  <c r="BI16"/>
  <c r="CO16"/>
  <c r="CP16"/>
  <c r="CQ16"/>
  <c r="CR16"/>
  <c r="CS16"/>
  <c r="CT16"/>
  <c r="CU16"/>
  <c r="CV16"/>
  <c r="CW16"/>
  <c r="CX16"/>
  <c r="CY16"/>
  <c r="B15"/>
  <c r="C15" s="1"/>
  <c r="D15" s="1"/>
  <c r="I15"/>
  <c r="J15"/>
  <c r="DD15" s="1"/>
  <c r="DG15" s="1"/>
  <c r="DH15" s="1"/>
  <c r="K15"/>
  <c r="N15"/>
  <c r="O15"/>
  <c r="P15"/>
  <c r="Q15"/>
  <c r="R15" s="1"/>
  <c r="T15" s="1"/>
  <c r="AN15"/>
  <c r="AX15"/>
  <c r="AY15"/>
  <c r="H15" s="1"/>
  <c r="BA15"/>
  <c r="BB15"/>
  <c r="BD15"/>
  <c r="BF15"/>
  <c r="BG15"/>
  <c r="BH15" s="1"/>
  <c r="BI15"/>
  <c r="CO15"/>
  <c r="CP15"/>
  <c r="CQ15"/>
  <c r="CR15"/>
  <c r="CS15"/>
  <c r="CT15"/>
  <c r="CU15"/>
  <c r="CV15"/>
  <c r="CW15"/>
  <c r="CX15"/>
  <c r="CY15"/>
  <c r="B14"/>
  <c r="C14" s="1"/>
  <c r="D14" s="1"/>
  <c r="I14"/>
  <c r="J14"/>
  <c r="DD14" s="1"/>
  <c r="DG14" s="1"/>
  <c r="DH14" s="1"/>
  <c r="K14"/>
  <c r="N14"/>
  <c r="O14"/>
  <c r="P14"/>
  <c r="Q14"/>
  <c r="R14" s="1"/>
  <c r="T14" s="1"/>
  <c r="AI14"/>
  <c r="AN14"/>
  <c r="AX14"/>
  <c r="AY14"/>
  <c r="H14" s="1"/>
  <c r="BA14"/>
  <c r="BB14"/>
  <c r="BD14"/>
  <c r="BF14"/>
  <c r="BG14"/>
  <c r="BH14" s="1"/>
  <c r="BI14"/>
  <c r="CO14"/>
  <c r="CP14"/>
  <c r="CQ14"/>
  <c r="CR14"/>
  <c r="CS14"/>
  <c r="CT14"/>
  <c r="CU14"/>
  <c r="CV14"/>
  <c r="CW14"/>
  <c r="CX14"/>
  <c r="CY14"/>
  <c r="B13"/>
  <c r="C13" s="1"/>
  <c r="D13" s="1"/>
  <c r="I13"/>
  <c r="J13"/>
  <c r="DD13" s="1"/>
  <c r="DG13" s="1"/>
  <c r="DH13" s="1"/>
  <c r="K13"/>
  <c r="N13"/>
  <c r="O13"/>
  <c r="P13"/>
  <c r="Q13"/>
  <c r="R13" s="1"/>
  <c r="T13" s="1"/>
  <c r="AN13"/>
  <c r="AY13"/>
  <c r="H13" s="1"/>
  <c r="BA13"/>
  <c r="BB13"/>
  <c r="BD13"/>
  <c r="BF13"/>
  <c r="BG13"/>
  <c r="BH13" s="1"/>
  <c r="BI13"/>
  <c r="CO13"/>
  <c r="CP13"/>
  <c r="CQ13"/>
  <c r="CR13"/>
  <c r="CS13"/>
  <c r="CT13"/>
  <c r="CU13"/>
  <c r="CV13"/>
  <c r="CW13"/>
  <c r="CX13"/>
  <c r="CY13"/>
  <c r="B12"/>
  <c r="C12" s="1"/>
  <c r="D12" s="1"/>
  <c r="I12"/>
  <c r="J12"/>
  <c r="DD12" s="1"/>
  <c r="DG12" s="1"/>
  <c r="DH12" s="1"/>
  <c r="K12"/>
  <c r="N12"/>
  <c r="O12"/>
  <c r="P12"/>
  <c r="Q12"/>
  <c r="R12" s="1"/>
  <c r="T12" s="1"/>
  <c r="AN12"/>
  <c r="AX12"/>
  <c r="AY12"/>
  <c r="H12" s="1"/>
  <c r="BA12"/>
  <c r="BB12"/>
  <c r="BD12"/>
  <c r="BF12"/>
  <c r="BG12"/>
  <c r="BH12" s="1"/>
  <c r="BI12"/>
  <c r="CO12"/>
  <c r="CP12"/>
  <c r="CQ12"/>
  <c r="CR12"/>
  <c r="CS12"/>
  <c r="CT12"/>
  <c r="CU12"/>
  <c r="CV12"/>
  <c r="CW12"/>
  <c r="CX12"/>
  <c r="CY12"/>
  <c r="B11"/>
  <c r="C11" s="1"/>
  <c r="D11" s="1"/>
  <c r="I11"/>
  <c r="J11"/>
  <c r="DD11" s="1"/>
  <c r="DG11" s="1"/>
  <c r="DH11" s="1"/>
  <c r="K11"/>
  <c r="N11"/>
  <c r="O11"/>
  <c r="P11"/>
  <c r="Q11"/>
  <c r="R11" s="1"/>
  <c r="T11" s="1"/>
  <c r="AN11"/>
  <c r="AX11"/>
  <c r="AY11"/>
  <c r="H11" s="1"/>
  <c r="BA11"/>
  <c r="BB11"/>
  <c r="BD11"/>
  <c r="BF11"/>
  <c r="BG11"/>
  <c r="BH11" s="1"/>
  <c r="BI11"/>
  <c r="CO11"/>
  <c r="CP11"/>
  <c r="CQ11"/>
  <c r="CR11"/>
  <c r="CS11"/>
  <c r="CT11"/>
  <c r="CU11"/>
  <c r="CV11"/>
  <c r="CW11"/>
  <c r="CX11"/>
  <c r="CY11"/>
  <c r="B10"/>
  <c r="C10" s="1"/>
  <c r="D10" s="1"/>
  <c r="I10"/>
  <c r="J10"/>
  <c r="DD10" s="1"/>
  <c r="DG10" s="1"/>
  <c r="DH10" s="1"/>
  <c r="K10"/>
  <c r="N10"/>
  <c r="O10"/>
  <c r="P10"/>
  <c r="Q10"/>
  <c r="R10" s="1"/>
  <c r="T10" s="1"/>
  <c r="AN10"/>
  <c r="AY10"/>
  <c r="H10" s="1"/>
  <c r="BA10"/>
  <c r="BB10"/>
  <c r="BD10"/>
  <c r="BF10"/>
  <c r="BG10"/>
  <c r="BH10" s="1"/>
  <c r="BI10"/>
  <c r="CO10"/>
  <c r="CP10"/>
  <c r="CQ10"/>
  <c r="CR10"/>
  <c r="CS10"/>
  <c r="CT10"/>
  <c r="CU10"/>
  <c r="CV10"/>
  <c r="CW10"/>
  <c r="CX10"/>
  <c r="CY10"/>
  <c r="B9"/>
  <c r="C9" s="1"/>
  <c r="D9" s="1"/>
  <c r="I9"/>
  <c r="J9"/>
  <c r="DD9" s="1"/>
  <c r="DG9" s="1"/>
  <c r="DH9" s="1"/>
  <c r="K9"/>
  <c r="N9"/>
  <c r="O9"/>
  <c r="P9"/>
  <c r="Q9"/>
  <c r="R9" s="1"/>
  <c r="T9" s="1"/>
  <c r="AN9"/>
  <c r="AY9"/>
  <c r="H9" s="1"/>
  <c r="BA9"/>
  <c r="BF9"/>
  <c r="BG9"/>
  <c r="BH9"/>
  <c r="BI9"/>
  <c r="BJ9"/>
  <c r="CO9"/>
  <c r="CP9"/>
  <c r="CQ9"/>
  <c r="CR9"/>
  <c r="CS9"/>
  <c r="CT9"/>
  <c r="CU9"/>
  <c r="CV9"/>
  <c r="CW9"/>
  <c r="CX9"/>
  <c r="CY9"/>
  <c r="B8"/>
  <c r="E8" s="1"/>
  <c r="B7"/>
  <c r="C7" s="1"/>
  <c r="AT46"/>
  <c r="AT43"/>
  <c r="AS39"/>
  <c r="AQ39"/>
  <c r="AP39"/>
  <c r="AD39"/>
  <c r="AC39"/>
  <c r="Z39"/>
  <c r="Z41" s="1"/>
  <c r="Y39"/>
  <c r="CI38"/>
  <c r="CM39" s="1"/>
  <c r="CH38"/>
  <c r="CL39" s="1"/>
  <c r="CG38"/>
  <c r="CK39" s="1"/>
  <c r="CF38"/>
  <c r="CJ39" s="1"/>
  <c r="BQ38"/>
  <c r="BX39" s="1"/>
  <c r="BP38"/>
  <c r="CD39" s="1"/>
  <c r="BO38"/>
  <c r="BV39" s="1"/>
  <c r="BN38"/>
  <c r="CB39" s="1"/>
  <c r="BM38"/>
  <c r="BT39" s="1"/>
  <c r="BL38"/>
  <c r="BZ39" s="1"/>
  <c r="BK38"/>
  <c r="BR39" s="1"/>
  <c r="BG38"/>
  <c r="AW38"/>
  <c r="AW39" s="1"/>
  <c r="AV38"/>
  <c r="AV39" s="1"/>
  <c r="AU38"/>
  <c r="AU39" s="1"/>
  <c r="AT38"/>
  <c r="AT39" s="1"/>
  <c r="AM38"/>
  <c r="AM39" s="1"/>
  <c r="AL38"/>
  <c r="AL39" s="1"/>
  <c r="AJ38"/>
  <c r="AJ39" s="1"/>
  <c r="AH38"/>
  <c r="AH39" s="1"/>
  <c r="AG38"/>
  <c r="AG39" s="1"/>
  <c r="AE38"/>
  <c r="AE39" s="1"/>
  <c r="AD38"/>
  <c r="W38"/>
  <c r="W39" s="1"/>
  <c r="V38"/>
  <c r="V39" s="1"/>
  <c r="S38"/>
  <c r="S39" s="1"/>
  <c r="G38"/>
  <c r="G39" s="1"/>
  <c r="G41" s="1"/>
  <c r="DH37"/>
  <c r="AZ37" s="1"/>
  <c r="CY37"/>
  <c r="CX37"/>
  <c r="CW37"/>
  <c r="CV37"/>
  <c r="CU37"/>
  <c r="CT37"/>
  <c r="CS37"/>
  <c r="CR37"/>
  <c r="CQ37"/>
  <c r="CP37"/>
  <c r="CO37"/>
  <c r="BG37"/>
  <c r="BA37"/>
  <c r="AY37"/>
  <c r="AN37"/>
  <c r="AF37"/>
  <c r="Q37"/>
  <c r="R37" s="1"/>
  <c r="P37"/>
  <c r="O37"/>
  <c r="N37"/>
  <c r="M37"/>
  <c r="L37"/>
  <c r="K37"/>
  <c r="J37"/>
  <c r="DD37" s="1"/>
  <c r="DG37" s="1"/>
  <c r="I37"/>
  <c r="F37"/>
  <c r="B37"/>
  <c r="CY8"/>
  <c r="CX8"/>
  <c r="CW8"/>
  <c r="CV8"/>
  <c r="CU8"/>
  <c r="CT8"/>
  <c r="CT38" s="1"/>
  <c r="CS8"/>
  <c r="CR8"/>
  <c r="CQ8"/>
  <c r="CP8"/>
  <c r="CO8"/>
  <c r="BG8"/>
  <c r="BA8"/>
  <c r="AY8"/>
  <c r="BI8" s="1"/>
  <c r="AN8"/>
  <c r="AF8"/>
  <c r="Q8"/>
  <c r="R8" s="1"/>
  <c r="P8"/>
  <c r="O8"/>
  <c r="N8"/>
  <c r="M8"/>
  <c r="K8"/>
  <c r="J8"/>
  <c r="DD8" s="1"/>
  <c r="DG8" s="1"/>
  <c r="DH8" s="1"/>
  <c r="I8"/>
  <c r="CY7"/>
  <c r="CY38" s="1"/>
  <c r="CX7"/>
  <c r="CX38" s="1"/>
  <c r="CW7"/>
  <c r="CW38" s="1"/>
  <c r="CV7"/>
  <c r="CU7"/>
  <c r="CU38" s="1"/>
  <c r="CT7"/>
  <c r="CS7"/>
  <c r="CS38" s="1"/>
  <c r="CR7"/>
  <c r="CQ7"/>
  <c r="CQ38" s="1"/>
  <c r="CP7"/>
  <c r="CO7"/>
  <c r="CO38" s="1"/>
  <c r="BI7"/>
  <c r="BG7"/>
  <c r="BJ7" s="1"/>
  <c r="BB7"/>
  <c r="BA7"/>
  <c r="AY7"/>
  <c r="AX7"/>
  <c r="AN7"/>
  <c r="AI7"/>
  <c r="AF7"/>
  <c r="Q7"/>
  <c r="R7" s="1"/>
  <c r="P7"/>
  <c r="P38" s="1"/>
  <c r="P39" s="1"/>
  <c r="O7"/>
  <c r="N7"/>
  <c r="K7"/>
  <c r="J7"/>
  <c r="DD7" s="1"/>
  <c r="I7"/>
  <c r="H7"/>
  <c r="E7"/>
  <c r="DJ35" i="65" l="1"/>
  <c r="E30"/>
  <c r="AZ30" s="1"/>
  <c r="DJ31"/>
  <c r="C26"/>
  <c r="D26" s="1"/>
  <c r="E28"/>
  <c r="BB30"/>
  <c r="BI30"/>
  <c r="F30"/>
  <c r="M30"/>
  <c r="AI30"/>
  <c r="BD30"/>
  <c r="AI26"/>
  <c r="AX26"/>
  <c r="M26"/>
  <c r="M23"/>
  <c r="AI17"/>
  <c r="AX17"/>
  <c r="M17"/>
  <c r="CU38"/>
  <c r="M12"/>
  <c r="AN39"/>
  <c r="E24"/>
  <c r="BJ37" i="63"/>
  <c r="AF37"/>
  <c r="M37"/>
  <c r="F37"/>
  <c r="BB37"/>
  <c r="BD37" s="1"/>
  <c r="AX37"/>
  <c r="AI37"/>
  <c r="U37"/>
  <c r="E37"/>
  <c r="BC37" s="1"/>
  <c r="N38" i="65"/>
  <c r="N39" s="1"/>
  <c r="E7"/>
  <c r="BC7" s="1"/>
  <c r="E15"/>
  <c r="C9"/>
  <c r="D9" s="1"/>
  <c r="C17"/>
  <c r="D17" s="1"/>
  <c r="E21"/>
  <c r="C11"/>
  <c r="D11" s="1"/>
  <c r="C13"/>
  <c r="D13" s="1"/>
  <c r="E19"/>
  <c r="C23"/>
  <c r="D23" s="1"/>
  <c r="L38"/>
  <c r="L39" s="1"/>
  <c r="O38"/>
  <c r="O39" s="1"/>
  <c r="BY39"/>
  <c r="P38"/>
  <c r="P39" s="1"/>
  <c r="CP38"/>
  <c r="CO39" s="1"/>
  <c r="CX38"/>
  <c r="CT38"/>
  <c r="BW39"/>
  <c r="CC39"/>
  <c r="BU39"/>
  <c r="BS39"/>
  <c r="H15"/>
  <c r="AI15"/>
  <c r="AX15"/>
  <c r="M15"/>
  <c r="H28"/>
  <c r="M28"/>
  <c r="BJ7"/>
  <c r="M9"/>
  <c r="AF10"/>
  <c r="BB11"/>
  <c r="BD11" s="1"/>
  <c r="BI11"/>
  <c r="BB13"/>
  <c r="BD13" s="1"/>
  <c r="BI13"/>
  <c r="BB19"/>
  <c r="BD19" s="1"/>
  <c r="BI19"/>
  <c r="BB21"/>
  <c r="BD21" s="1"/>
  <c r="BI21"/>
  <c r="BB24"/>
  <c r="BD24" s="1"/>
  <c r="BI24"/>
  <c r="AF9"/>
  <c r="BB9"/>
  <c r="BB7"/>
  <c r="BD7" s="1"/>
  <c r="BJ8"/>
  <c r="BJ9" s="1"/>
  <c r="H9"/>
  <c r="AI9"/>
  <c r="AX9"/>
  <c r="BD9"/>
  <c r="H11"/>
  <c r="AI11"/>
  <c r="M11"/>
  <c r="AI13"/>
  <c r="M13"/>
  <c r="BB15"/>
  <c r="BD15" s="1"/>
  <c r="BB17"/>
  <c r="H19"/>
  <c r="AI19"/>
  <c r="M19"/>
  <c r="AI21"/>
  <c r="M21"/>
  <c r="AI24"/>
  <c r="M24"/>
  <c r="BB26"/>
  <c r="BD26" s="1"/>
  <c r="BB28"/>
  <c r="BD28" s="1"/>
  <c r="BD17"/>
  <c r="L46"/>
  <c r="DD38"/>
  <c r="DF38" s="1"/>
  <c r="DG7"/>
  <c r="U9"/>
  <c r="F7"/>
  <c r="BI10"/>
  <c r="BB10"/>
  <c r="BD10" s="1"/>
  <c r="AX10"/>
  <c r="AI10"/>
  <c r="H10"/>
  <c r="BI12"/>
  <c r="BB12"/>
  <c r="BD12" s="1"/>
  <c r="AX12"/>
  <c r="AI12"/>
  <c r="H12"/>
  <c r="BI14"/>
  <c r="BB14"/>
  <c r="BD14" s="1"/>
  <c r="AX14"/>
  <c r="AI14"/>
  <c r="H14"/>
  <c r="BI16"/>
  <c r="BB16"/>
  <c r="BD16" s="1"/>
  <c r="AX16"/>
  <c r="AI16"/>
  <c r="H16"/>
  <c r="BI18"/>
  <c r="BB18"/>
  <c r="BD18" s="1"/>
  <c r="AX18"/>
  <c r="AI18"/>
  <c r="H18"/>
  <c r="BI20"/>
  <c r="BB20"/>
  <c r="BD20" s="1"/>
  <c r="AX20"/>
  <c r="AI20"/>
  <c r="H20"/>
  <c r="BI22"/>
  <c r="BB22"/>
  <c r="BD22" s="1"/>
  <c r="AX22"/>
  <c r="AI22"/>
  <c r="H22"/>
  <c r="BI25"/>
  <c r="BB25"/>
  <c r="BD25" s="1"/>
  <c r="AX25"/>
  <c r="AI25"/>
  <c r="H25"/>
  <c r="R29"/>
  <c r="T29" s="1"/>
  <c r="R31"/>
  <c r="T31" s="1"/>
  <c r="E32"/>
  <c r="C32"/>
  <c r="D32" s="1"/>
  <c r="R33"/>
  <c r="T33" s="1"/>
  <c r="E34"/>
  <c r="C34"/>
  <c r="D34" s="1"/>
  <c r="R35"/>
  <c r="T35" s="1"/>
  <c r="E36"/>
  <c r="C36"/>
  <c r="D36" s="1"/>
  <c r="R37"/>
  <c r="T37" s="1"/>
  <c r="AY38"/>
  <c r="E10"/>
  <c r="C10"/>
  <c r="D10" s="1"/>
  <c r="E12"/>
  <c r="C12"/>
  <c r="D12" s="1"/>
  <c r="E14"/>
  <c r="C14"/>
  <c r="D14" s="1"/>
  <c r="E16"/>
  <c r="C16"/>
  <c r="D16" s="1"/>
  <c r="E18"/>
  <c r="C18"/>
  <c r="D18" s="1"/>
  <c r="E20"/>
  <c r="C20"/>
  <c r="D20" s="1"/>
  <c r="E22"/>
  <c r="C22"/>
  <c r="D22" s="1"/>
  <c r="R25"/>
  <c r="T25" s="1"/>
  <c r="E27"/>
  <c r="C27"/>
  <c r="D27" s="1"/>
  <c r="BI29"/>
  <c r="BB29"/>
  <c r="BD29" s="1"/>
  <c r="AX29"/>
  <c r="AI29"/>
  <c r="H29"/>
  <c r="BI31"/>
  <c r="BB31"/>
  <c r="BD31" s="1"/>
  <c r="AX31"/>
  <c r="AI31"/>
  <c r="H31"/>
  <c r="BI33"/>
  <c r="BB33"/>
  <c r="AX33"/>
  <c r="AI33"/>
  <c r="H33"/>
  <c r="BI35"/>
  <c r="BB35"/>
  <c r="AX35"/>
  <c r="AI35"/>
  <c r="H35"/>
  <c r="BI37"/>
  <c r="BB37"/>
  <c r="AX37"/>
  <c r="AI37"/>
  <c r="U37"/>
  <c r="H37"/>
  <c r="F37"/>
  <c r="T8"/>
  <c r="U11"/>
  <c r="U13"/>
  <c r="U15"/>
  <c r="U17"/>
  <c r="U19"/>
  <c r="U21"/>
  <c r="U24"/>
  <c r="B38"/>
  <c r="B39" s="1"/>
  <c r="J38"/>
  <c r="I38"/>
  <c r="I39" s="1"/>
  <c r="I41" s="1"/>
  <c r="K38"/>
  <c r="K39" s="1"/>
  <c r="M7"/>
  <c r="Q38"/>
  <c r="T7"/>
  <c r="BA38"/>
  <c r="BF7"/>
  <c r="BF8" s="1"/>
  <c r="BF9" s="1"/>
  <c r="BF10" s="1"/>
  <c r="BF11" s="1"/>
  <c r="BF12" s="1"/>
  <c r="BF13" s="1"/>
  <c r="BF14" s="1"/>
  <c r="BF15" s="1"/>
  <c r="BF16" s="1"/>
  <c r="BF17" s="1"/>
  <c r="BF18" s="1"/>
  <c r="BF19" s="1"/>
  <c r="BF20" s="1"/>
  <c r="BF21" s="1"/>
  <c r="BF22" s="1"/>
  <c r="BF23" s="1"/>
  <c r="BF24" s="1"/>
  <c r="BF25" s="1"/>
  <c r="BF26" s="1"/>
  <c r="BF27" s="1"/>
  <c r="BF28" s="1"/>
  <c r="BF29" s="1"/>
  <c r="BF30" s="1"/>
  <c r="BF31" s="1"/>
  <c r="BF32" s="1"/>
  <c r="BF33" s="1"/>
  <c r="BF34" s="1"/>
  <c r="BF35" s="1"/>
  <c r="BF36" s="1"/>
  <c r="BF37" s="1"/>
  <c r="BH7"/>
  <c r="BH8" s="1"/>
  <c r="BH9" s="1"/>
  <c r="BH10" s="1"/>
  <c r="BH11" s="1"/>
  <c r="BH12" s="1"/>
  <c r="BH13" s="1"/>
  <c r="BH14" s="1"/>
  <c r="BH15" s="1"/>
  <c r="BH16" s="1"/>
  <c r="BH17" s="1"/>
  <c r="BH18" s="1"/>
  <c r="BH19" s="1"/>
  <c r="BH20" s="1"/>
  <c r="BH21" s="1"/>
  <c r="BH22" s="1"/>
  <c r="CR38"/>
  <c r="CV38"/>
  <c r="CV39" s="1"/>
  <c r="C8"/>
  <c r="D8" s="1"/>
  <c r="H8"/>
  <c r="U8"/>
  <c r="AI8"/>
  <c r="AX8"/>
  <c r="BB8"/>
  <c r="BD8" s="1"/>
  <c r="T10"/>
  <c r="T12"/>
  <c r="T14"/>
  <c r="D15"/>
  <c r="T16"/>
  <c r="T18"/>
  <c r="D19"/>
  <c r="T20"/>
  <c r="D21"/>
  <c r="T22"/>
  <c r="M25"/>
  <c r="U28"/>
  <c r="BI23"/>
  <c r="BB23"/>
  <c r="BD23" s="1"/>
  <c r="AX23"/>
  <c r="AI23"/>
  <c r="U23"/>
  <c r="E25"/>
  <c r="C25"/>
  <c r="D25" s="1"/>
  <c r="BI27"/>
  <c r="BB27"/>
  <c r="BD27" s="1"/>
  <c r="AX27"/>
  <c r="AI27"/>
  <c r="U27"/>
  <c r="H27"/>
  <c r="E29"/>
  <c r="C29"/>
  <c r="D29" s="1"/>
  <c r="E31"/>
  <c r="C31"/>
  <c r="D31" s="1"/>
  <c r="BI32"/>
  <c r="BB32"/>
  <c r="BD32" s="1"/>
  <c r="AX32"/>
  <c r="AI32"/>
  <c r="U32"/>
  <c r="H32"/>
  <c r="E33"/>
  <c r="C33"/>
  <c r="D33" s="1"/>
  <c r="BI34"/>
  <c r="BB34"/>
  <c r="BD34" s="1"/>
  <c r="AX34"/>
  <c r="AI34"/>
  <c r="U34"/>
  <c r="H34"/>
  <c r="E35"/>
  <c r="C35"/>
  <c r="D35" s="1"/>
  <c r="BI36"/>
  <c r="BB36"/>
  <c r="BD36" s="1"/>
  <c r="AX36"/>
  <c r="AI36"/>
  <c r="U36"/>
  <c r="H36"/>
  <c r="E37"/>
  <c r="C37"/>
  <c r="D37" s="1"/>
  <c r="BG37"/>
  <c r="BG36"/>
  <c r="BG35"/>
  <c r="BG34"/>
  <c r="BG33"/>
  <c r="BG32"/>
  <c r="BG31"/>
  <c r="BG29"/>
  <c r="BG27"/>
  <c r="BG25"/>
  <c r="BG23"/>
  <c r="D24"/>
  <c r="T26"/>
  <c r="D28"/>
  <c r="T30"/>
  <c r="DJ32"/>
  <c r="BD33"/>
  <c r="DJ34"/>
  <c r="BD35"/>
  <c r="DJ36"/>
  <c r="BD37"/>
  <c r="CA39"/>
  <c r="CE39"/>
  <c r="AT41"/>
  <c r="L38" i="64"/>
  <c r="L39" s="1"/>
  <c r="O38"/>
  <c r="O39" s="1"/>
  <c r="E36"/>
  <c r="BC36" s="1"/>
  <c r="N38"/>
  <c r="N39" s="1"/>
  <c r="T37"/>
  <c r="AF35"/>
  <c r="M35"/>
  <c r="F35"/>
  <c r="BB35"/>
  <c r="BD35" s="1"/>
  <c r="AX35"/>
  <c r="AI35"/>
  <c r="U35"/>
  <c r="E35"/>
  <c r="BC35" s="1"/>
  <c r="AF34"/>
  <c r="M34"/>
  <c r="F34"/>
  <c r="BB34"/>
  <c r="BD34" s="1"/>
  <c r="AX34"/>
  <c r="AI34"/>
  <c r="U34"/>
  <c r="E34"/>
  <c r="AZ34" s="1"/>
  <c r="AF33"/>
  <c r="M33"/>
  <c r="F33"/>
  <c r="BB33"/>
  <c r="BD33" s="1"/>
  <c r="AX33"/>
  <c r="AI33"/>
  <c r="U33"/>
  <c r="E33"/>
  <c r="BC33" s="1"/>
  <c r="BJ32"/>
  <c r="AF32"/>
  <c r="M32"/>
  <c r="F32"/>
  <c r="BH36"/>
  <c r="BB32"/>
  <c r="BD32" s="1"/>
  <c r="AX32"/>
  <c r="AI32"/>
  <c r="U32"/>
  <c r="E32"/>
  <c r="AZ32" s="1"/>
  <c r="AF36"/>
  <c r="M36"/>
  <c r="BJ31"/>
  <c r="AF31"/>
  <c r="M31"/>
  <c r="F31"/>
  <c r="U31"/>
  <c r="E31"/>
  <c r="BC31" s="1"/>
  <c r="BJ30"/>
  <c r="AF30"/>
  <c r="M30"/>
  <c r="F30"/>
  <c r="U30"/>
  <c r="E30"/>
  <c r="BC30" s="1"/>
  <c r="BJ29"/>
  <c r="AF29"/>
  <c r="M29"/>
  <c r="F29"/>
  <c r="AI29"/>
  <c r="U29"/>
  <c r="E29"/>
  <c r="BC29" s="1"/>
  <c r="BJ28"/>
  <c r="AF28"/>
  <c r="M28"/>
  <c r="F28"/>
  <c r="AI28"/>
  <c r="U28"/>
  <c r="E28"/>
  <c r="AZ28" s="1"/>
  <c r="BJ27"/>
  <c r="AF27"/>
  <c r="M27"/>
  <c r="F27"/>
  <c r="AX27"/>
  <c r="AI27"/>
  <c r="U27"/>
  <c r="E27"/>
  <c r="BC27" s="1"/>
  <c r="BJ26"/>
  <c r="AF26"/>
  <c r="M26"/>
  <c r="F26"/>
  <c r="AX26"/>
  <c r="AI26"/>
  <c r="U26"/>
  <c r="E26"/>
  <c r="BC26" s="1"/>
  <c r="BJ25"/>
  <c r="AF25"/>
  <c r="M25"/>
  <c r="F25"/>
  <c r="AI25"/>
  <c r="U25"/>
  <c r="E25"/>
  <c r="BC25" s="1"/>
  <c r="BJ24"/>
  <c r="AF24"/>
  <c r="M24"/>
  <c r="F24"/>
  <c r="U24"/>
  <c r="E24"/>
  <c r="BC24" s="1"/>
  <c r="BJ23"/>
  <c r="AF23"/>
  <c r="M23"/>
  <c r="F23"/>
  <c r="U23"/>
  <c r="E23"/>
  <c r="BC23" s="1"/>
  <c r="BJ22"/>
  <c r="AF22"/>
  <c r="M22"/>
  <c r="F22"/>
  <c r="U22"/>
  <c r="E22"/>
  <c r="BC22" s="1"/>
  <c r="BJ21"/>
  <c r="AF21"/>
  <c r="M21"/>
  <c r="F21"/>
  <c r="AI21"/>
  <c r="U21"/>
  <c r="E21"/>
  <c r="BC21" s="1"/>
  <c r="BJ20"/>
  <c r="AF20"/>
  <c r="M20"/>
  <c r="F20"/>
  <c r="AX20"/>
  <c r="AI20"/>
  <c r="U20"/>
  <c r="E20"/>
  <c r="BC20" s="1"/>
  <c r="BJ19"/>
  <c r="AF19"/>
  <c r="M19"/>
  <c r="F19"/>
  <c r="AI19"/>
  <c r="U19"/>
  <c r="E19"/>
  <c r="BC19" s="1"/>
  <c r="BJ18"/>
  <c r="AF18"/>
  <c r="M18"/>
  <c r="F18"/>
  <c r="AX18"/>
  <c r="AI18"/>
  <c r="U18"/>
  <c r="E18"/>
  <c r="BC18" s="1"/>
  <c r="BJ17"/>
  <c r="AF17"/>
  <c r="M17"/>
  <c r="F17"/>
  <c r="AI17"/>
  <c r="U17"/>
  <c r="E17"/>
  <c r="BC17" s="1"/>
  <c r="BJ16"/>
  <c r="AF16"/>
  <c r="M16"/>
  <c r="F16"/>
  <c r="U16"/>
  <c r="E16"/>
  <c r="BC16" s="1"/>
  <c r="BJ15"/>
  <c r="AF15"/>
  <c r="M15"/>
  <c r="F15"/>
  <c r="AI15"/>
  <c r="U15"/>
  <c r="E15"/>
  <c r="BC15" s="1"/>
  <c r="AN39"/>
  <c r="BJ14"/>
  <c r="AF14"/>
  <c r="M14"/>
  <c r="F14"/>
  <c r="U14"/>
  <c r="E14"/>
  <c r="BC14" s="1"/>
  <c r="BJ13"/>
  <c r="AF13"/>
  <c r="M13"/>
  <c r="F13"/>
  <c r="AX13"/>
  <c r="AI13"/>
  <c r="U13"/>
  <c r="E13"/>
  <c r="BC13" s="1"/>
  <c r="BJ12"/>
  <c r="AF12"/>
  <c r="M12"/>
  <c r="F12"/>
  <c r="AI12"/>
  <c r="U12"/>
  <c r="E12"/>
  <c r="AZ12" s="1"/>
  <c r="BJ11"/>
  <c r="AF11"/>
  <c r="M11"/>
  <c r="F11"/>
  <c r="AI11"/>
  <c r="U11"/>
  <c r="E11"/>
  <c r="BC11" s="1"/>
  <c r="BJ10"/>
  <c r="AF10"/>
  <c r="M10"/>
  <c r="F10"/>
  <c r="AX10"/>
  <c r="AI10"/>
  <c r="U10"/>
  <c r="E10"/>
  <c r="BC10" s="1"/>
  <c r="AF9"/>
  <c r="M9"/>
  <c r="F9"/>
  <c r="BB9"/>
  <c r="BD9" s="1"/>
  <c r="AX9"/>
  <c r="AI9"/>
  <c r="U9"/>
  <c r="E9"/>
  <c r="AZ9" s="1"/>
  <c r="BW39"/>
  <c r="CC39"/>
  <c r="L46"/>
  <c r="BY39"/>
  <c r="CP38"/>
  <c r="CO39" s="1"/>
  <c r="BS39"/>
  <c r="D7"/>
  <c r="BC7" s="1"/>
  <c r="BU39"/>
  <c r="DD38"/>
  <c r="DE38" s="1"/>
  <c r="DG7"/>
  <c r="BJ8"/>
  <c r="E37"/>
  <c r="C37"/>
  <c r="D37" s="1"/>
  <c r="AY38"/>
  <c r="AB39" s="1"/>
  <c r="BD7"/>
  <c r="T8"/>
  <c r="B38"/>
  <c r="B39" s="1"/>
  <c r="J38"/>
  <c r="I38"/>
  <c r="I39" s="1"/>
  <c r="I41" s="1"/>
  <c r="K38"/>
  <c r="K39" s="1"/>
  <c r="M7"/>
  <c r="Q38"/>
  <c r="T7"/>
  <c r="BA38"/>
  <c r="BF7"/>
  <c r="BF8" s="1"/>
  <c r="BF37" s="1"/>
  <c r="BH7"/>
  <c r="BH8" s="1"/>
  <c r="CR38"/>
  <c r="CQ39" s="1"/>
  <c r="CV38"/>
  <c r="CV39" s="1"/>
  <c r="C8"/>
  <c r="D8" s="1"/>
  <c r="H8"/>
  <c r="AI8"/>
  <c r="AX8"/>
  <c r="BB8"/>
  <c r="BB38" s="1"/>
  <c r="BI38"/>
  <c r="BI37"/>
  <c r="BB37"/>
  <c r="BD37" s="1"/>
  <c r="AX37"/>
  <c r="AI37"/>
  <c r="U37"/>
  <c r="H37"/>
  <c r="CA39"/>
  <c r="CE39"/>
  <c r="AT41"/>
  <c r="BC26" i="65" l="1"/>
  <c r="AZ36"/>
  <c r="F36"/>
  <c r="AZ35"/>
  <c r="U35"/>
  <c r="F35"/>
  <c r="U31"/>
  <c r="U29"/>
  <c r="BC30"/>
  <c r="AZ34"/>
  <c r="F34"/>
  <c r="AZ33"/>
  <c r="F33"/>
  <c r="U33"/>
  <c r="AZ32"/>
  <c r="AZ31"/>
  <c r="F32"/>
  <c r="F26"/>
  <c r="F31"/>
  <c r="AZ26"/>
  <c r="U30"/>
  <c r="AZ29"/>
  <c r="F29"/>
  <c r="CQ39"/>
  <c r="F9"/>
  <c r="AZ9"/>
  <c r="AZ37" i="63"/>
  <c r="C39" i="65"/>
  <c r="BJ10"/>
  <c r="BJ11" s="1"/>
  <c r="BJ12" s="1"/>
  <c r="BJ13" s="1"/>
  <c r="BJ14" s="1"/>
  <c r="BJ15" s="1"/>
  <c r="BJ16" s="1"/>
  <c r="BJ17" s="1"/>
  <c r="BJ18" s="1"/>
  <c r="BJ19" s="1"/>
  <c r="BJ20" s="1"/>
  <c r="BJ21" s="1"/>
  <c r="BJ22" s="1"/>
  <c r="BJ23" s="1"/>
  <c r="BJ24" s="1"/>
  <c r="BJ25" s="1"/>
  <c r="BJ26" s="1"/>
  <c r="BJ27" s="1"/>
  <c r="BJ28" s="1"/>
  <c r="BJ29" s="1"/>
  <c r="BJ30" s="1"/>
  <c r="BJ31" s="1"/>
  <c r="BJ32" s="1"/>
  <c r="BJ33" s="1"/>
  <c r="BJ34" s="1"/>
  <c r="BJ35" s="1"/>
  <c r="BJ36" s="1"/>
  <c r="BJ37" s="1"/>
  <c r="AZ48" s="1"/>
  <c r="AZ51" s="1"/>
  <c r="BC9"/>
  <c r="BI38"/>
  <c r="E39"/>
  <c r="AZ27"/>
  <c r="BC27"/>
  <c r="F27"/>
  <c r="BC34"/>
  <c r="U26"/>
  <c r="BC24"/>
  <c r="F24"/>
  <c r="AZ24"/>
  <c r="BC37"/>
  <c r="BC35"/>
  <c r="BC33"/>
  <c r="BC31"/>
  <c r="BC29"/>
  <c r="AZ25"/>
  <c r="BC25"/>
  <c r="AZ23"/>
  <c r="BC23"/>
  <c r="F23"/>
  <c r="BC21"/>
  <c r="F21"/>
  <c r="AZ21"/>
  <c r="BC19"/>
  <c r="F19"/>
  <c r="AZ19"/>
  <c r="BC17"/>
  <c r="F17"/>
  <c r="AZ17"/>
  <c r="BC15"/>
  <c r="F15"/>
  <c r="AZ15"/>
  <c r="BC13"/>
  <c r="F13"/>
  <c r="AZ13"/>
  <c r="BC11"/>
  <c r="F11"/>
  <c r="AZ11"/>
  <c r="R38"/>
  <c r="Q39"/>
  <c r="J39"/>
  <c r="AZ8"/>
  <c r="BC8"/>
  <c r="F8"/>
  <c r="AZ22"/>
  <c r="BC22"/>
  <c r="AZ20"/>
  <c r="BC20"/>
  <c r="AZ18"/>
  <c r="BC18"/>
  <c r="AZ16"/>
  <c r="BC16"/>
  <c r="AZ14"/>
  <c r="BC14"/>
  <c r="AZ12"/>
  <c r="BC12"/>
  <c r="AZ10"/>
  <c r="BC10"/>
  <c r="AY39"/>
  <c r="AX39" s="1"/>
  <c r="AF39"/>
  <c r="H39"/>
  <c r="X39"/>
  <c r="AI39"/>
  <c r="M39"/>
  <c r="BC36"/>
  <c r="BC32"/>
  <c r="BC28"/>
  <c r="F28"/>
  <c r="AZ28"/>
  <c r="BH23"/>
  <c r="BH24" s="1"/>
  <c r="BH25" s="1"/>
  <c r="BH26" s="1"/>
  <c r="BH27" s="1"/>
  <c r="BH28" s="1"/>
  <c r="BH29" s="1"/>
  <c r="BH30" s="1"/>
  <c r="BH31" s="1"/>
  <c r="BH32" s="1"/>
  <c r="BH33" s="1"/>
  <c r="BH34" s="1"/>
  <c r="BH35" s="1"/>
  <c r="BH36" s="1"/>
  <c r="BH37" s="1"/>
  <c r="T38"/>
  <c r="U7"/>
  <c r="DH7"/>
  <c r="AZ7" s="1"/>
  <c r="BB38"/>
  <c r="D38"/>
  <c r="DE38"/>
  <c r="DG38" s="1"/>
  <c r="F22"/>
  <c r="F20"/>
  <c r="F18"/>
  <c r="F16"/>
  <c r="F14"/>
  <c r="F12"/>
  <c r="F10"/>
  <c r="CO40"/>
  <c r="BD38"/>
  <c r="BD39" s="1"/>
  <c r="R39"/>
  <c r="R41" s="1"/>
  <c r="AB39"/>
  <c r="F25"/>
  <c r="U25"/>
  <c r="U22"/>
  <c r="U20"/>
  <c r="U18"/>
  <c r="U16"/>
  <c r="U14"/>
  <c r="U12"/>
  <c r="U10"/>
  <c r="AZ35" i="64"/>
  <c r="BC34"/>
  <c r="AZ33"/>
  <c r="BJ36"/>
  <c r="BJ37" s="1"/>
  <c r="AZ48" s="1"/>
  <c r="AZ51" s="1"/>
  <c r="BC32"/>
  <c r="AZ31"/>
  <c r="AZ30"/>
  <c r="DF38"/>
  <c r="AZ29"/>
  <c r="BC28"/>
  <c r="AZ27"/>
  <c r="AZ26"/>
  <c r="AZ25"/>
  <c r="AZ24"/>
  <c r="AZ23"/>
  <c r="AZ22"/>
  <c r="AZ21"/>
  <c r="AZ20"/>
  <c r="AZ19"/>
  <c r="AZ18"/>
  <c r="AZ17"/>
  <c r="AZ16"/>
  <c r="AZ15"/>
  <c r="AZ14"/>
  <c r="AZ13"/>
  <c r="BC12"/>
  <c r="AZ11"/>
  <c r="AZ10"/>
  <c r="BC9"/>
  <c r="E39"/>
  <c r="F7"/>
  <c r="C39"/>
  <c r="AZ8"/>
  <c r="BC8"/>
  <c r="F8"/>
  <c r="D38"/>
  <c r="BC37"/>
  <c r="R38"/>
  <c r="Q39"/>
  <c r="J39"/>
  <c r="DG38"/>
  <c r="DH7"/>
  <c r="AZ7" s="1"/>
  <c r="BH37"/>
  <c r="T38"/>
  <c r="U7"/>
  <c r="AY39"/>
  <c r="AX39" s="1"/>
  <c r="AF39"/>
  <c r="H39"/>
  <c r="X39"/>
  <c r="AI39"/>
  <c r="M39"/>
  <c r="CO40"/>
  <c r="R39"/>
  <c r="R41" s="1"/>
  <c r="BD8"/>
  <c r="BD38" s="1"/>
  <c r="BD39" s="1"/>
  <c r="U8"/>
  <c r="DH38" i="65" l="1"/>
  <c r="BC39"/>
  <c r="D39"/>
  <c r="AZ38"/>
  <c r="AZ39" s="1"/>
  <c r="F39"/>
  <c r="F41" s="1"/>
  <c r="U39"/>
  <c r="U41" s="1"/>
  <c r="DH38" i="64"/>
  <c r="BC39"/>
  <c r="D39"/>
  <c r="AZ38"/>
  <c r="AZ39" s="1"/>
  <c r="F39"/>
  <c r="F41" s="1"/>
  <c r="U39"/>
  <c r="U41" s="1"/>
  <c r="Q8" i="62" l="1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7"/>
  <c r="Q8" i="63"/>
  <c r="R8" s="1"/>
  <c r="T8" s="1"/>
  <c r="Q9"/>
  <c r="R9" s="1"/>
  <c r="T9" s="1"/>
  <c r="Q10"/>
  <c r="R10" s="1"/>
  <c r="Q11"/>
  <c r="R11" s="1"/>
  <c r="T11" s="1"/>
  <c r="Q12"/>
  <c r="R12" s="1"/>
  <c r="Q13"/>
  <c r="R13" s="1"/>
  <c r="T13" s="1"/>
  <c r="Q14"/>
  <c r="R14" s="1"/>
  <c r="Q15"/>
  <c r="R15" s="1"/>
  <c r="T15" s="1"/>
  <c r="Q16"/>
  <c r="R16" s="1"/>
  <c r="Q17"/>
  <c r="R17" s="1"/>
  <c r="T17" s="1"/>
  <c r="Q18"/>
  <c r="R18" s="1"/>
  <c r="Q19"/>
  <c r="R19" s="1"/>
  <c r="T19" s="1"/>
  <c r="Q20"/>
  <c r="R20" s="1"/>
  <c r="Q21"/>
  <c r="R21" s="1"/>
  <c r="T21" s="1"/>
  <c r="Q22"/>
  <c r="R22" s="1"/>
  <c r="Q23"/>
  <c r="R23" s="1"/>
  <c r="T23" s="1"/>
  <c r="Q24"/>
  <c r="R24" s="1"/>
  <c r="T24" s="1"/>
  <c r="Q25"/>
  <c r="Q26"/>
  <c r="R26" s="1"/>
  <c r="Q27"/>
  <c r="Q28"/>
  <c r="R28" s="1"/>
  <c r="Q29"/>
  <c r="Q30"/>
  <c r="R30" s="1"/>
  <c r="Q31"/>
  <c r="Q32"/>
  <c r="R32" s="1"/>
  <c r="T32" s="1"/>
  <c r="Q33"/>
  <c r="Q34"/>
  <c r="R34" s="1"/>
  <c r="T34" s="1"/>
  <c r="Q35"/>
  <c r="Q36"/>
  <c r="Q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7"/>
  <c r="J8"/>
  <c r="DD8" s="1"/>
  <c r="DG8" s="1"/>
  <c r="DH8" s="1"/>
  <c r="J9"/>
  <c r="DD9" s="1"/>
  <c r="DG9" s="1"/>
  <c r="DH9" s="1"/>
  <c r="J10"/>
  <c r="DD10" s="1"/>
  <c r="DG10" s="1"/>
  <c r="DH10" s="1"/>
  <c r="J11"/>
  <c r="DD11" s="1"/>
  <c r="DG11" s="1"/>
  <c r="DH11" s="1"/>
  <c r="J12"/>
  <c r="DD12" s="1"/>
  <c r="DG12" s="1"/>
  <c r="DH12" s="1"/>
  <c r="J13"/>
  <c r="DD13" s="1"/>
  <c r="DG13" s="1"/>
  <c r="DH13" s="1"/>
  <c r="J14"/>
  <c r="DD14" s="1"/>
  <c r="DG14" s="1"/>
  <c r="DH14" s="1"/>
  <c r="J15"/>
  <c r="DD15" s="1"/>
  <c r="DG15" s="1"/>
  <c r="DH15" s="1"/>
  <c r="J16"/>
  <c r="DD16" s="1"/>
  <c r="DG16" s="1"/>
  <c r="DH16" s="1"/>
  <c r="J17"/>
  <c r="DD17" s="1"/>
  <c r="DG17" s="1"/>
  <c r="DH17" s="1"/>
  <c r="J18"/>
  <c r="J19"/>
  <c r="DD19" s="1"/>
  <c r="DG19" s="1"/>
  <c r="DH19" s="1"/>
  <c r="J20"/>
  <c r="DD20" s="1"/>
  <c r="DG20" s="1"/>
  <c r="DH20" s="1"/>
  <c r="J21"/>
  <c r="DD21" s="1"/>
  <c r="DG21" s="1"/>
  <c r="DH21" s="1"/>
  <c r="J22"/>
  <c r="DD22" s="1"/>
  <c r="DG22" s="1"/>
  <c r="DH22" s="1"/>
  <c r="J23"/>
  <c r="DD23" s="1"/>
  <c r="DG23" s="1"/>
  <c r="DH23" s="1"/>
  <c r="J24"/>
  <c r="DD24" s="1"/>
  <c r="DG24" s="1"/>
  <c r="DH24" s="1"/>
  <c r="J25"/>
  <c r="DD25" s="1"/>
  <c r="DG25" s="1"/>
  <c r="DH25" s="1"/>
  <c r="J26"/>
  <c r="DD26" s="1"/>
  <c r="DG26" s="1"/>
  <c r="DH26" s="1"/>
  <c r="J27"/>
  <c r="DD27" s="1"/>
  <c r="DG27" s="1"/>
  <c r="DH27" s="1"/>
  <c r="J28"/>
  <c r="DD28" s="1"/>
  <c r="DG28" s="1"/>
  <c r="DH28" s="1"/>
  <c r="J29"/>
  <c r="DD29" s="1"/>
  <c r="DG29" s="1"/>
  <c r="DH29" s="1"/>
  <c r="J30"/>
  <c r="DD30" s="1"/>
  <c r="DG30" s="1"/>
  <c r="DH30" s="1"/>
  <c r="J31"/>
  <c r="DD31" s="1"/>
  <c r="DG31" s="1"/>
  <c r="DH31" s="1"/>
  <c r="J32"/>
  <c r="DD32" s="1"/>
  <c r="DG32" s="1"/>
  <c r="DH32" s="1"/>
  <c r="J33"/>
  <c r="DD33" s="1"/>
  <c r="DG33" s="1"/>
  <c r="DH33" s="1"/>
  <c r="J34"/>
  <c r="DD34" s="1"/>
  <c r="DG34" s="1"/>
  <c r="DH34" s="1"/>
  <c r="J35"/>
  <c r="DD35" s="1"/>
  <c r="DG35" s="1"/>
  <c r="DH35" s="1"/>
  <c r="J36"/>
  <c r="DD36" s="1"/>
  <c r="DG36" s="1"/>
  <c r="DH36" s="1"/>
  <c r="J7"/>
  <c r="DD7" s="1"/>
  <c r="B8"/>
  <c r="C8" s="1"/>
  <c r="D8" s="1"/>
  <c r="B9"/>
  <c r="E9" s="1"/>
  <c r="B10"/>
  <c r="B11"/>
  <c r="E11" s="1"/>
  <c r="B12"/>
  <c r="B13"/>
  <c r="C13" s="1"/>
  <c r="B14"/>
  <c r="B15"/>
  <c r="C15" s="1"/>
  <c r="B16"/>
  <c r="B17"/>
  <c r="E17" s="1"/>
  <c r="B18"/>
  <c r="B19"/>
  <c r="E19" s="1"/>
  <c r="B20"/>
  <c r="B21"/>
  <c r="C21" s="1"/>
  <c r="B22"/>
  <c r="B23"/>
  <c r="B24"/>
  <c r="E24" s="1"/>
  <c r="B25"/>
  <c r="B26"/>
  <c r="E26" s="1"/>
  <c r="B27"/>
  <c r="B28"/>
  <c r="E28" s="1"/>
  <c r="B29"/>
  <c r="B30"/>
  <c r="E30" s="1"/>
  <c r="B31"/>
  <c r="B32"/>
  <c r="B33"/>
  <c r="B34"/>
  <c r="B35"/>
  <c r="B36"/>
  <c r="B7"/>
  <c r="E7" s="1"/>
  <c r="AT46"/>
  <c r="AT43"/>
  <c r="AS39"/>
  <c r="AQ39"/>
  <c r="AP39"/>
  <c r="AD39"/>
  <c r="AC39"/>
  <c r="Z39"/>
  <c r="Z41" s="1"/>
  <c r="Y39"/>
  <c r="CI38"/>
  <c r="CM39" s="1"/>
  <c r="CH38"/>
  <c r="CL39" s="1"/>
  <c r="CG38"/>
  <c r="CK39" s="1"/>
  <c r="CF38"/>
  <c r="CJ39" s="1"/>
  <c r="BQ38"/>
  <c r="BX39" s="1"/>
  <c r="BP38"/>
  <c r="CD39" s="1"/>
  <c r="BO38"/>
  <c r="BV39" s="1"/>
  <c r="BN38"/>
  <c r="CB39" s="1"/>
  <c r="BM38"/>
  <c r="BT39" s="1"/>
  <c r="BL38"/>
  <c r="BZ39" s="1"/>
  <c r="BK38"/>
  <c r="BR39" s="1"/>
  <c r="BG38"/>
  <c r="AW38"/>
  <c r="AW39" s="1"/>
  <c r="AV38"/>
  <c r="AV39" s="1"/>
  <c r="AU38"/>
  <c r="AU39" s="1"/>
  <c r="AT38"/>
  <c r="AT39" s="1"/>
  <c r="AM38"/>
  <c r="AM39" s="1"/>
  <c r="AL38"/>
  <c r="AL39" s="1"/>
  <c r="AJ38"/>
  <c r="AJ39" s="1"/>
  <c r="AH38"/>
  <c r="AH39" s="1"/>
  <c r="AG38"/>
  <c r="AG39" s="1"/>
  <c r="AE38"/>
  <c r="AE39" s="1"/>
  <c r="AD38"/>
  <c r="W38"/>
  <c r="W39" s="1"/>
  <c r="V38"/>
  <c r="V39" s="1"/>
  <c r="S38"/>
  <c r="S39" s="1"/>
  <c r="G38"/>
  <c r="G39" s="1"/>
  <c r="G41" s="1"/>
  <c r="CY36"/>
  <c r="CX36"/>
  <c r="CW36"/>
  <c r="CV36"/>
  <c r="CU36"/>
  <c r="CT36"/>
  <c r="CS36"/>
  <c r="CR36"/>
  <c r="CQ36"/>
  <c r="CP36"/>
  <c r="CO36"/>
  <c r="BG36"/>
  <c r="BA36"/>
  <c r="AY36"/>
  <c r="M36" s="1"/>
  <c r="AN36"/>
  <c r="AF36"/>
  <c r="R36"/>
  <c r="T36" s="1"/>
  <c r="P36"/>
  <c r="K36"/>
  <c r="I36"/>
  <c r="CY35"/>
  <c r="CX35"/>
  <c r="CW35"/>
  <c r="CV35"/>
  <c r="CU35"/>
  <c r="CT35"/>
  <c r="CS35"/>
  <c r="CR35"/>
  <c r="CQ35"/>
  <c r="CP35"/>
  <c r="CO35"/>
  <c r="DJ35" s="1"/>
  <c r="BA35"/>
  <c r="AY35"/>
  <c r="AN35"/>
  <c r="AF35"/>
  <c r="P35"/>
  <c r="M35"/>
  <c r="K35"/>
  <c r="I35"/>
  <c r="CY34"/>
  <c r="CX34"/>
  <c r="CW34"/>
  <c r="CV34"/>
  <c r="CU34"/>
  <c r="CT34"/>
  <c r="CS34"/>
  <c r="CR34"/>
  <c r="CQ34"/>
  <c r="CP34"/>
  <c r="CO34"/>
  <c r="BA34"/>
  <c r="AY34"/>
  <c r="AN34"/>
  <c r="AF34"/>
  <c r="P34"/>
  <c r="M34"/>
  <c r="K34"/>
  <c r="I34"/>
  <c r="CY33"/>
  <c r="CX33"/>
  <c r="CW33"/>
  <c r="CV33"/>
  <c r="CU33"/>
  <c r="CT33"/>
  <c r="CS33"/>
  <c r="CR33"/>
  <c r="CQ33"/>
  <c r="CP33"/>
  <c r="CO33"/>
  <c r="BA33"/>
  <c r="AY33"/>
  <c r="AN33"/>
  <c r="AF33"/>
  <c r="P33"/>
  <c r="M33"/>
  <c r="K33"/>
  <c r="I33"/>
  <c r="CY32"/>
  <c r="CX32"/>
  <c r="CW32"/>
  <c r="CV32"/>
  <c r="CU32"/>
  <c r="CT32"/>
  <c r="CS32"/>
  <c r="CR32"/>
  <c r="CQ32"/>
  <c r="CP32"/>
  <c r="CO32"/>
  <c r="BA32"/>
  <c r="AY32"/>
  <c r="M32" s="1"/>
  <c r="AN32"/>
  <c r="AF32"/>
  <c r="P32"/>
  <c r="K32"/>
  <c r="I32"/>
  <c r="CY31"/>
  <c r="CX31"/>
  <c r="CW31"/>
  <c r="CV31"/>
  <c r="CU31"/>
  <c r="CT31"/>
  <c r="CS31"/>
  <c r="CR31"/>
  <c r="CQ31"/>
  <c r="CP31"/>
  <c r="CO31"/>
  <c r="BA31"/>
  <c r="AY31"/>
  <c r="AN31"/>
  <c r="AF31"/>
  <c r="P31"/>
  <c r="M31"/>
  <c r="K31"/>
  <c r="I31"/>
  <c r="CY30"/>
  <c r="CX30"/>
  <c r="CW30"/>
  <c r="CV30"/>
  <c r="CU30"/>
  <c r="CT30"/>
  <c r="CS30"/>
  <c r="CR30"/>
  <c r="CQ30"/>
  <c r="CP30"/>
  <c r="CO30"/>
  <c r="BG30"/>
  <c r="BA30"/>
  <c r="AY30"/>
  <c r="BI30" s="1"/>
  <c r="AN30"/>
  <c r="AF30"/>
  <c r="P30"/>
  <c r="K30"/>
  <c r="I30"/>
  <c r="H30"/>
  <c r="CY29"/>
  <c r="CX29"/>
  <c r="CW29"/>
  <c r="CV29"/>
  <c r="CU29"/>
  <c r="CT29"/>
  <c r="CS29"/>
  <c r="CR29"/>
  <c r="CQ29"/>
  <c r="CP29"/>
  <c r="CO29"/>
  <c r="BA29"/>
  <c r="AY29"/>
  <c r="AN29"/>
  <c r="AF29"/>
  <c r="P29"/>
  <c r="M29"/>
  <c r="K29"/>
  <c r="I29"/>
  <c r="CY28"/>
  <c r="CX28"/>
  <c r="CW28"/>
  <c r="CV28"/>
  <c r="CU28"/>
  <c r="CT28"/>
  <c r="CS28"/>
  <c r="CR28"/>
  <c r="CQ28"/>
  <c r="CP28"/>
  <c r="CO28"/>
  <c r="BG28"/>
  <c r="BA28"/>
  <c r="AY28"/>
  <c r="AX28" s="1"/>
  <c r="AN28"/>
  <c r="AF28"/>
  <c r="P28"/>
  <c r="K28"/>
  <c r="I28"/>
  <c r="CY27"/>
  <c r="CX27"/>
  <c r="CW27"/>
  <c r="CV27"/>
  <c r="CU27"/>
  <c r="CT27"/>
  <c r="CS27"/>
  <c r="CR27"/>
  <c r="CQ27"/>
  <c r="CP27"/>
  <c r="CO27"/>
  <c r="BA27"/>
  <c r="AY27"/>
  <c r="AN27"/>
  <c r="AF27"/>
  <c r="P27"/>
  <c r="M27"/>
  <c r="K27"/>
  <c r="I27"/>
  <c r="CY26"/>
  <c r="CX26"/>
  <c r="CW26"/>
  <c r="CV26"/>
  <c r="CU26"/>
  <c r="CT26"/>
  <c r="CS26"/>
  <c r="CR26"/>
  <c r="CQ26"/>
  <c r="CP26"/>
  <c r="CO26"/>
  <c r="BG26"/>
  <c r="BA26"/>
  <c r="AY26"/>
  <c r="BI26" s="1"/>
  <c r="AX26"/>
  <c r="AN26"/>
  <c r="AI26"/>
  <c r="AF26"/>
  <c r="P26"/>
  <c r="M26"/>
  <c r="K26"/>
  <c r="I26"/>
  <c r="H26"/>
  <c r="CY25"/>
  <c r="CX25"/>
  <c r="CW25"/>
  <c r="CV25"/>
  <c r="CU25"/>
  <c r="CT25"/>
  <c r="CS25"/>
  <c r="CR25"/>
  <c r="CQ25"/>
  <c r="CP25"/>
  <c r="CO25"/>
  <c r="BA25"/>
  <c r="AY25"/>
  <c r="AN25"/>
  <c r="AF25"/>
  <c r="P25"/>
  <c r="K25"/>
  <c r="I25"/>
  <c r="CY24"/>
  <c r="CX24"/>
  <c r="CW24"/>
  <c r="CV24"/>
  <c r="CU24"/>
  <c r="CT24"/>
  <c r="CS24"/>
  <c r="CR24"/>
  <c r="CQ24"/>
  <c r="CP24"/>
  <c r="CO24"/>
  <c r="BG24"/>
  <c r="BA24"/>
  <c r="AY24"/>
  <c r="AX24" s="1"/>
  <c r="AN24"/>
  <c r="AF24"/>
  <c r="P24"/>
  <c r="K24"/>
  <c r="I24"/>
  <c r="CY23"/>
  <c r="CX23"/>
  <c r="CW23"/>
  <c r="CV23"/>
  <c r="CU23"/>
  <c r="CT23"/>
  <c r="CS23"/>
  <c r="CR23"/>
  <c r="CQ23"/>
  <c r="CP23"/>
  <c r="CO23"/>
  <c r="BA23"/>
  <c r="AY23"/>
  <c r="AN23"/>
  <c r="AF23"/>
  <c r="P23"/>
  <c r="K23"/>
  <c r="I23"/>
  <c r="CY22"/>
  <c r="CX22"/>
  <c r="CW22"/>
  <c r="CV22"/>
  <c r="CU22"/>
  <c r="CT22"/>
  <c r="CS22"/>
  <c r="CR22"/>
  <c r="CQ22"/>
  <c r="CP22"/>
  <c r="CO22"/>
  <c r="BG22"/>
  <c r="BA22"/>
  <c r="AY22"/>
  <c r="M22" s="1"/>
  <c r="AN22"/>
  <c r="AF22"/>
  <c r="P22"/>
  <c r="K22"/>
  <c r="I22"/>
  <c r="CY21"/>
  <c r="CX21"/>
  <c r="CW21"/>
  <c r="CV21"/>
  <c r="CU21"/>
  <c r="CT21"/>
  <c r="CS21"/>
  <c r="CR21"/>
  <c r="CQ21"/>
  <c r="CP21"/>
  <c r="CO21"/>
  <c r="BG21"/>
  <c r="BA21"/>
  <c r="AY21"/>
  <c r="AX21" s="1"/>
  <c r="AN21"/>
  <c r="AF21"/>
  <c r="P21"/>
  <c r="K21"/>
  <c r="I21"/>
  <c r="CY20"/>
  <c r="CX20"/>
  <c r="CW20"/>
  <c r="CV20"/>
  <c r="CU20"/>
  <c r="CT20"/>
  <c r="CS20"/>
  <c r="CR20"/>
  <c r="CQ20"/>
  <c r="CP20"/>
  <c r="CO20"/>
  <c r="BG20"/>
  <c r="BA20"/>
  <c r="AY20"/>
  <c r="M20" s="1"/>
  <c r="AN20"/>
  <c r="AF20"/>
  <c r="P20"/>
  <c r="K20"/>
  <c r="I20"/>
  <c r="CY19"/>
  <c r="CX19"/>
  <c r="CW19"/>
  <c r="CV19"/>
  <c r="CU19"/>
  <c r="CT19"/>
  <c r="CS19"/>
  <c r="CR19"/>
  <c r="CQ19"/>
  <c r="CP19"/>
  <c r="CO19"/>
  <c r="BG19"/>
  <c r="BA19"/>
  <c r="AY19"/>
  <c r="BI19" s="1"/>
  <c r="AN19"/>
  <c r="AF19"/>
  <c r="P19"/>
  <c r="K19"/>
  <c r="I19"/>
  <c r="H19"/>
  <c r="CY18"/>
  <c r="CX18"/>
  <c r="CW18"/>
  <c r="CV18"/>
  <c r="CU18"/>
  <c r="CT18"/>
  <c r="CS18"/>
  <c r="CR18"/>
  <c r="CQ18"/>
  <c r="CP18"/>
  <c r="CO18"/>
  <c r="BG18"/>
  <c r="BA18"/>
  <c r="AY18"/>
  <c r="M18" s="1"/>
  <c r="AN18"/>
  <c r="AF18"/>
  <c r="P18"/>
  <c r="K18"/>
  <c r="I18"/>
  <c r="CY17"/>
  <c r="CX17"/>
  <c r="CW17"/>
  <c r="CV17"/>
  <c r="CU17"/>
  <c r="CT17"/>
  <c r="CS17"/>
  <c r="CR17"/>
  <c r="CQ17"/>
  <c r="CP17"/>
  <c r="CO17"/>
  <c r="BG17"/>
  <c r="BA17"/>
  <c r="AY17"/>
  <c r="BI17" s="1"/>
  <c r="AN17"/>
  <c r="AF17"/>
  <c r="P17"/>
  <c r="K17"/>
  <c r="I17"/>
  <c r="CY16"/>
  <c r="CX16"/>
  <c r="CW16"/>
  <c r="CV16"/>
  <c r="CU16"/>
  <c r="CT16"/>
  <c r="CS16"/>
  <c r="CR16"/>
  <c r="CQ16"/>
  <c r="CP16"/>
  <c r="CO16"/>
  <c r="BG16"/>
  <c r="BA16"/>
  <c r="AY16"/>
  <c r="M16" s="1"/>
  <c r="AN16"/>
  <c r="AF16"/>
  <c r="P16"/>
  <c r="K16"/>
  <c r="I16"/>
  <c r="CY15"/>
  <c r="CX15"/>
  <c r="CW15"/>
  <c r="CV15"/>
  <c r="CU15"/>
  <c r="CT15"/>
  <c r="CS15"/>
  <c r="CR15"/>
  <c r="CQ15"/>
  <c r="CP15"/>
  <c r="CO15"/>
  <c r="BG15"/>
  <c r="BA15"/>
  <c r="AY15"/>
  <c r="AX15" s="1"/>
  <c r="AN15"/>
  <c r="AF15"/>
  <c r="P15"/>
  <c r="K15"/>
  <c r="I15"/>
  <c r="CY14"/>
  <c r="CX14"/>
  <c r="CW14"/>
  <c r="CV14"/>
  <c r="CU14"/>
  <c r="CT14"/>
  <c r="CS14"/>
  <c r="CR14"/>
  <c r="CQ14"/>
  <c r="CP14"/>
  <c r="CO14"/>
  <c r="BG14"/>
  <c r="BA14"/>
  <c r="AY14"/>
  <c r="M14" s="1"/>
  <c r="AN14"/>
  <c r="AF14"/>
  <c r="P14"/>
  <c r="K14"/>
  <c r="I14"/>
  <c r="CY13"/>
  <c r="CX13"/>
  <c r="CW13"/>
  <c r="CV13"/>
  <c r="CU13"/>
  <c r="CT13"/>
  <c r="CS13"/>
  <c r="CR13"/>
  <c r="CQ13"/>
  <c r="CP13"/>
  <c r="CO13"/>
  <c r="BG13"/>
  <c r="BA13"/>
  <c r="AY13"/>
  <c r="AX13" s="1"/>
  <c r="AN13"/>
  <c r="AF13"/>
  <c r="P13"/>
  <c r="K13"/>
  <c r="I13"/>
  <c r="CY12"/>
  <c r="CX12"/>
  <c r="CW12"/>
  <c r="CV12"/>
  <c r="CU12"/>
  <c r="CT12"/>
  <c r="CS12"/>
  <c r="CR12"/>
  <c r="CQ12"/>
  <c r="CP12"/>
  <c r="CO12"/>
  <c r="BG12"/>
  <c r="BA12"/>
  <c r="AY12"/>
  <c r="M12" s="1"/>
  <c r="AN12"/>
  <c r="AF12"/>
  <c r="P12"/>
  <c r="K12"/>
  <c r="I12"/>
  <c r="CY11"/>
  <c r="CX11"/>
  <c r="CW11"/>
  <c r="CV11"/>
  <c r="CU11"/>
  <c r="CT11"/>
  <c r="CS11"/>
  <c r="CR11"/>
  <c r="CQ11"/>
  <c r="CP11"/>
  <c r="CO11"/>
  <c r="BG11"/>
  <c r="BA11"/>
  <c r="AY11"/>
  <c r="BI11" s="1"/>
  <c r="AN11"/>
  <c r="AF11"/>
  <c r="P11"/>
  <c r="K11"/>
  <c r="I11"/>
  <c r="H11"/>
  <c r="CY10"/>
  <c r="CX10"/>
  <c r="CW10"/>
  <c r="CV10"/>
  <c r="CU10"/>
  <c r="CT10"/>
  <c r="CS10"/>
  <c r="CR10"/>
  <c r="CQ10"/>
  <c r="CP10"/>
  <c r="CO10"/>
  <c r="BG10"/>
  <c r="BA10"/>
  <c r="AY10"/>
  <c r="M10" s="1"/>
  <c r="AN10"/>
  <c r="AF10"/>
  <c r="P10"/>
  <c r="K10"/>
  <c r="I10"/>
  <c r="CY9"/>
  <c r="CX9"/>
  <c r="CW9"/>
  <c r="CV9"/>
  <c r="CU9"/>
  <c r="CT9"/>
  <c r="CS9"/>
  <c r="CR9"/>
  <c r="CQ9"/>
  <c r="CP9"/>
  <c r="CO9"/>
  <c r="BG9"/>
  <c r="BA9"/>
  <c r="AY9"/>
  <c r="BI9" s="1"/>
  <c r="AN9"/>
  <c r="AF9"/>
  <c r="P9"/>
  <c r="K9"/>
  <c r="I9"/>
  <c r="H9"/>
  <c r="CY8"/>
  <c r="CX8"/>
  <c r="CW8"/>
  <c r="CV8"/>
  <c r="CU8"/>
  <c r="CT8"/>
  <c r="CS8"/>
  <c r="CR8"/>
  <c r="CQ8"/>
  <c r="CP8"/>
  <c r="CO8"/>
  <c r="BG8"/>
  <c r="BA8"/>
  <c r="AY8"/>
  <c r="BI8" s="1"/>
  <c r="AX8"/>
  <c r="AN8"/>
  <c r="AI8"/>
  <c r="AF8"/>
  <c r="P8"/>
  <c r="K8"/>
  <c r="I8"/>
  <c r="H8"/>
  <c r="CY7"/>
  <c r="CX7"/>
  <c r="CW7"/>
  <c r="CV7"/>
  <c r="CU7"/>
  <c r="CT7"/>
  <c r="CS7"/>
  <c r="CR7"/>
  <c r="CQ7"/>
  <c r="CP7"/>
  <c r="CO7"/>
  <c r="BH7"/>
  <c r="BG7"/>
  <c r="BA7"/>
  <c r="AY7"/>
  <c r="AF7" s="1"/>
  <c r="AN7"/>
  <c r="P7"/>
  <c r="M7"/>
  <c r="K7"/>
  <c r="I7"/>
  <c r="BL38" i="61"/>
  <c r="BS39" s="1"/>
  <c r="AY21"/>
  <c r="AX21" s="1"/>
  <c r="AT46" i="62"/>
  <c r="AT43"/>
  <c r="AS39"/>
  <c r="AQ39"/>
  <c r="AP39"/>
  <c r="AD39"/>
  <c r="AC39"/>
  <c r="Z39"/>
  <c r="Z41" s="1"/>
  <c r="Y39"/>
  <c r="CI38"/>
  <c r="CM39" s="1"/>
  <c r="CH38"/>
  <c r="CL39" s="1"/>
  <c r="CG38"/>
  <c r="CK39" s="1"/>
  <c r="CF38"/>
  <c r="CJ39" s="1"/>
  <c r="BQ38"/>
  <c r="BX39" s="1"/>
  <c r="BP38"/>
  <c r="CD39" s="1"/>
  <c r="BO38"/>
  <c r="BV39" s="1"/>
  <c r="BN38"/>
  <c r="CB39" s="1"/>
  <c r="BM38"/>
  <c r="BT39" s="1"/>
  <c r="BL38"/>
  <c r="BZ39" s="1"/>
  <c r="BK38"/>
  <c r="BR39" s="1"/>
  <c r="BG38"/>
  <c r="AW38"/>
  <c r="AW39" s="1"/>
  <c r="AV38"/>
  <c r="AV39" s="1"/>
  <c r="AU38"/>
  <c r="AU39" s="1"/>
  <c r="AT38"/>
  <c r="L46" s="1"/>
  <c r="AM38"/>
  <c r="AM39" s="1"/>
  <c r="AL38"/>
  <c r="AL39" s="1"/>
  <c r="AJ38"/>
  <c r="AJ39" s="1"/>
  <c r="AH38"/>
  <c r="AH39" s="1"/>
  <c r="AG38"/>
  <c r="AG39" s="1"/>
  <c r="AE38"/>
  <c r="AE39" s="1"/>
  <c r="AD38"/>
  <c r="W38"/>
  <c r="W39" s="1"/>
  <c r="V38"/>
  <c r="V39" s="1"/>
  <c r="S38"/>
  <c r="S39" s="1"/>
  <c r="G38"/>
  <c r="G39" s="1"/>
  <c r="G41" s="1"/>
  <c r="CY37"/>
  <c r="CX37"/>
  <c r="CW37"/>
  <c r="CV37"/>
  <c r="CU37"/>
  <c r="CT37"/>
  <c r="CS37"/>
  <c r="CR37"/>
  <c r="CQ37"/>
  <c r="CP37"/>
  <c r="CO37"/>
  <c r="BG37"/>
  <c r="BA37"/>
  <c r="AY37"/>
  <c r="BI37" s="1"/>
  <c r="AN37"/>
  <c r="AF37"/>
  <c r="P37"/>
  <c r="O37"/>
  <c r="N37"/>
  <c r="M37"/>
  <c r="L37"/>
  <c r="K37"/>
  <c r="J37"/>
  <c r="DD37" s="1"/>
  <c r="DG37" s="1"/>
  <c r="DH37" s="1"/>
  <c r="I37"/>
  <c r="H37"/>
  <c r="B37"/>
  <c r="CY36"/>
  <c r="CX36"/>
  <c r="CW36"/>
  <c r="CV36"/>
  <c r="CU36"/>
  <c r="CT36"/>
  <c r="CS36"/>
  <c r="CR36"/>
  <c r="CQ36"/>
  <c r="CP36"/>
  <c r="CO36"/>
  <c r="BG36"/>
  <c r="BB36"/>
  <c r="BD36" s="1"/>
  <c r="BA36"/>
  <c r="AY36"/>
  <c r="BI36" s="1"/>
  <c r="AX36"/>
  <c r="AN36"/>
  <c r="AI36"/>
  <c r="AF36"/>
  <c r="R36"/>
  <c r="P36"/>
  <c r="O36"/>
  <c r="N36"/>
  <c r="M36"/>
  <c r="L36"/>
  <c r="K36"/>
  <c r="J36"/>
  <c r="DD36" s="1"/>
  <c r="DG36" s="1"/>
  <c r="DH36" s="1"/>
  <c r="I36"/>
  <c r="H36"/>
  <c r="E36"/>
  <c r="C36"/>
  <c r="B36"/>
  <c r="D36" s="1"/>
  <c r="CY35"/>
  <c r="CX35"/>
  <c r="CW35"/>
  <c r="CV35"/>
  <c r="CU35"/>
  <c r="CT35"/>
  <c r="CS35"/>
  <c r="CR35"/>
  <c r="CQ35"/>
  <c r="CP35"/>
  <c r="CO35"/>
  <c r="BG35"/>
  <c r="BA35"/>
  <c r="AY35"/>
  <c r="BI35" s="1"/>
  <c r="AN35"/>
  <c r="AF35"/>
  <c r="P35"/>
  <c r="O35"/>
  <c r="N35"/>
  <c r="M35"/>
  <c r="L35"/>
  <c r="K35"/>
  <c r="J35"/>
  <c r="DD35" s="1"/>
  <c r="DG35" s="1"/>
  <c r="DH35" s="1"/>
  <c r="I35"/>
  <c r="B35"/>
  <c r="CY34"/>
  <c r="CX34"/>
  <c r="CW34"/>
  <c r="CV34"/>
  <c r="CU34"/>
  <c r="M34" s="1"/>
  <c r="CT34"/>
  <c r="CS34"/>
  <c r="CR34"/>
  <c r="CQ34"/>
  <c r="CP34"/>
  <c r="CO34"/>
  <c r="BI34"/>
  <c r="BG34"/>
  <c r="BB34"/>
  <c r="BD34" s="1"/>
  <c r="BA34"/>
  <c r="AY34"/>
  <c r="AX34"/>
  <c r="AN34"/>
  <c r="AI34"/>
  <c r="AF34"/>
  <c r="R34"/>
  <c r="P34"/>
  <c r="O34"/>
  <c r="N34"/>
  <c r="L34"/>
  <c r="K34"/>
  <c r="J34"/>
  <c r="DD34" s="1"/>
  <c r="DG34" s="1"/>
  <c r="DH34" s="1"/>
  <c r="AZ34" s="1"/>
  <c r="I34"/>
  <c r="H34"/>
  <c r="E34"/>
  <c r="C34"/>
  <c r="B34"/>
  <c r="D34" s="1"/>
  <c r="CY33"/>
  <c r="CX33"/>
  <c r="CW33"/>
  <c r="CV33"/>
  <c r="CU33"/>
  <c r="CT33"/>
  <c r="CS33"/>
  <c r="CR33"/>
  <c r="CQ33"/>
  <c r="CP33"/>
  <c r="CO33"/>
  <c r="BG33"/>
  <c r="BA33"/>
  <c r="AY33"/>
  <c r="BI33" s="1"/>
  <c r="AN33"/>
  <c r="AF33"/>
  <c r="P33"/>
  <c r="O33"/>
  <c r="N33"/>
  <c r="M33"/>
  <c r="L33"/>
  <c r="K33"/>
  <c r="J33"/>
  <c r="DD33" s="1"/>
  <c r="DG33" s="1"/>
  <c r="DH33" s="1"/>
  <c r="I33"/>
  <c r="B33"/>
  <c r="CY32"/>
  <c r="CX32"/>
  <c r="CW32"/>
  <c r="CV32"/>
  <c r="CU32"/>
  <c r="M32" s="1"/>
  <c r="CT32"/>
  <c r="CS32"/>
  <c r="CR32"/>
  <c r="CQ32"/>
  <c r="CP32"/>
  <c r="CO32"/>
  <c r="BI32"/>
  <c r="BG32"/>
  <c r="BB32"/>
  <c r="BD32" s="1"/>
  <c r="BA32"/>
  <c r="AY32"/>
  <c r="AX32"/>
  <c r="AN32"/>
  <c r="AI32"/>
  <c r="AF32"/>
  <c r="R32"/>
  <c r="P32"/>
  <c r="O32"/>
  <c r="N32"/>
  <c r="L32"/>
  <c r="K32"/>
  <c r="J32"/>
  <c r="DD32" s="1"/>
  <c r="DG32" s="1"/>
  <c r="DH32" s="1"/>
  <c r="AZ32" s="1"/>
  <c r="I32"/>
  <c r="H32"/>
  <c r="E32"/>
  <c r="C32"/>
  <c r="B32"/>
  <c r="D32" s="1"/>
  <c r="CY31"/>
  <c r="CX31"/>
  <c r="CW31"/>
  <c r="CV31"/>
  <c r="CU31"/>
  <c r="CT31"/>
  <c r="CS31"/>
  <c r="CR31"/>
  <c r="CQ31"/>
  <c r="CP31"/>
  <c r="CO31"/>
  <c r="BG31"/>
  <c r="BA31"/>
  <c r="AY31"/>
  <c r="BI31" s="1"/>
  <c r="AN31"/>
  <c r="AF31"/>
  <c r="P31"/>
  <c r="O31"/>
  <c r="N31"/>
  <c r="M31"/>
  <c r="L31"/>
  <c r="K31"/>
  <c r="J31"/>
  <c r="DD31" s="1"/>
  <c r="DG31" s="1"/>
  <c r="DH31" s="1"/>
  <c r="I31"/>
  <c r="B31"/>
  <c r="CY30"/>
  <c r="CX30"/>
  <c r="CW30"/>
  <c r="CV30"/>
  <c r="CU30"/>
  <c r="M30" s="1"/>
  <c r="CT30"/>
  <c r="CS30"/>
  <c r="CR30"/>
  <c r="CQ30"/>
  <c r="CP30"/>
  <c r="CO30"/>
  <c r="BI30"/>
  <c r="BG30"/>
  <c r="BB30"/>
  <c r="BD30" s="1"/>
  <c r="BA30"/>
  <c r="AY30"/>
  <c r="AX30"/>
  <c r="AN30"/>
  <c r="AI30"/>
  <c r="AF30"/>
  <c r="R30"/>
  <c r="P30"/>
  <c r="O30"/>
  <c r="N30"/>
  <c r="L30"/>
  <c r="K30"/>
  <c r="J30"/>
  <c r="DD30" s="1"/>
  <c r="DG30" s="1"/>
  <c r="DH30" s="1"/>
  <c r="AZ30" s="1"/>
  <c r="I30"/>
  <c r="H30"/>
  <c r="E30"/>
  <c r="C30"/>
  <c r="B30"/>
  <c r="D30" s="1"/>
  <c r="CY29"/>
  <c r="CX29"/>
  <c r="CW29"/>
  <c r="CV29"/>
  <c r="CU29"/>
  <c r="CT29"/>
  <c r="CS29"/>
  <c r="CR29"/>
  <c r="CQ29"/>
  <c r="CP29"/>
  <c r="CO29"/>
  <c r="BG29"/>
  <c r="BA29"/>
  <c r="AY29"/>
  <c r="BI29" s="1"/>
  <c r="AN29"/>
  <c r="AF29"/>
  <c r="P29"/>
  <c r="O29"/>
  <c r="N29"/>
  <c r="M29"/>
  <c r="L29"/>
  <c r="K29"/>
  <c r="J29"/>
  <c r="DD29" s="1"/>
  <c r="DG29" s="1"/>
  <c r="DH29" s="1"/>
  <c r="I29"/>
  <c r="B29"/>
  <c r="CY28"/>
  <c r="CX28"/>
  <c r="CW28"/>
  <c r="CV28"/>
  <c r="CU28"/>
  <c r="M28" s="1"/>
  <c r="CT28"/>
  <c r="CS28"/>
  <c r="CR28"/>
  <c r="CQ28"/>
  <c r="CP28"/>
  <c r="CO28"/>
  <c r="BI28"/>
  <c r="BG28"/>
  <c r="BB28"/>
  <c r="BD28" s="1"/>
  <c r="BA28"/>
  <c r="AY28"/>
  <c r="AX28"/>
  <c r="AN28"/>
  <c r="AI28"/>
  <c r="AF28"/>
  <c r="R28"/>
  <c r="P28"/>
  <c r="O28"/>
  <c r="N28"/>
  <c r="L28"/>
  <c r="K28"/>
  <c r="J28"/>
  <c r="DD28" s="1"/>
  <c r="DG28" s="1"/>
  <c r="DH28" s="1"/>
  <c r="AZ28" s="1"/>
  <c r="I28"/>
  <c r="H28"/>
  <c r="E28"/>
  <c r="C28"/>
  <c r="B28"/>
  <c r="D28" s="1"/>
  <c r="CY27"/>
  <c r="CX27"/>
  <c r="CW27"/>
  <c r="CV27"/>
  <c r="CU27"/>
  <c r="CT27"/>
  <c r="CS27"/>
  <c r="CR27"/>
  <c r="CQ27"/>
  <c r="CP27"/>
  <c r="CO27"/>
  <c r="BG27"/>
  <c r="BA27"/>
  <c r="AY27"/>
  <c r="BI27" s="1"/>
  <c r="AN27"/>
  <c r="AF27"/>
  <c r="P27"/>
  <c r="O27"/>
  <c r="N27"/>
  <c r="M27"/>
  <c r="L27"/>
  <c r="K27"/>
  <c r="J27"/>
  <c r="DD27" s="1"/>
  <c r="DG27" s="1"/>
  <c r="DH27" s="1"/>
  <c r="I27"/>
  <c r="B27"/>
  <c r="CY26"/>
  <c r="CX26"/>
  <c r="CW26"/>
  <c r="CV26"/>
  <c r="CU26"/>
  <c r="M26" s="1"/>
  <c r="CT26"/>
  <c r="CS26"/>
  <c r="CR26"/>
  <c r="CQ26"/>
  <c r="CP26"/>
  <c r="CO26"/>
  <c r="BI26"/>
  <c r="BG26"/>
  <c r="BB26"/>
  <c r="BD26" s="1"/>
  <c r="BA26"/>
  <c r="AY26"/>
  <c r="AX26"/>
  <c r="AN26"/>
  <c r="AI26"/>
  <c r="AF26"/>
  <c r="R26"/>
  <c r="P26"/>
  <c r="O26"/>
  <c r="N26"/>
  <c r="L26"/>
  <c r="K26"/>
  <c r="J26"/>
  <c r="DD26" s="1"/>
  <c r="DG26" s="1"/>
  <c r="DH26" s="1"/>
  <c r="AZ26" s="1"/>
  <c r="I26"/>
  <c r="H26"/>
  <c r="E26"/>
  <c r="C26"/>
  <c r="B26"/>
  <c r="D26" s="1"/>
  <c r="CY25"/>
  <c r="CX25"/>
  <c r="CW25"/>
  <c r="CV25"/>
  <c r="CU25"/>
  <c r="CT25"/>
  <c r="CS25"/>
  <c r="CR25"/>
  <c r="CQ25"/>
  <c r="CP25"/>
  <c r="CO25"/>
  <c r="BG25"/>
  <c r="BA25"/>
  <c r="AY25"/>
  <c r="BI25" s="1"/>
  <c r="AN25"/>
  <c r="AF25"/>
  <c r="P25"/>
  <c r="O25"/>
  <c r="N25"/>
  <c r="M25"/>
  <c r="L25"/>
  <c r="K25"/>
  <c r="J25"/>
  <c r="DD25" s="1"/>
  <c r="DG25" s="1"/>
  <c r="DH25" s="1"/>
  <c r="I25"/>
  <c r="B25"/>
  <c r="CY24"/>
  <c r="CX24"/>
  <c r="CW24"/>
  <c r="CV24"/>
  <c r="CU24"/>
  <c r="M24" s="1"/>
  <c r="CT24"/>
  <c r="CS24"/>
  <c r="CR24"/>
  <c r="CQ24"/>
  <c r="CP24"/>
  <c r="CO24"/>
  <c r="BI24"/>
  <c r="BG24"/>
  <c r="BB24"/>
  <c r="BD24" s="1"/>
  <c r="BA24"/>
  <c r="AY24"/>
  <c r="AX24"/>
  <c r="AN24"/>
  <c r="AI24"/>
  <c r="AF24"/>
  <c r="R24"/>
  <c r="P24"/>
  <c r="O24"/>
  <c r="N24"/>
  <c r="L24"/>
  <c r="K24"/>
  <c r="J24"/>
  <c r="DD24" s="1"/>
  <c r="DG24" s="1"/>
  <c r="DH24" s="1"/>
  <c r="I24"/>
  <c r="H24"/>
  <c r="E24"/>
  <c r="C24"/>
  <c r="B24"/>
  <c r="D24" s="1"/>
  <c r="CY23"/>
  <c r="CX23"/>
  <c r="CW23"/>
  <c r="CV23"/>
  <c r="CU23"/>
  <c r="CT23"/>
  <c r="CS23"/>
  <c r="CR23"/>
  <c r="CQ23"/>
  <c r="CP23"/>
  <c r="CO23"/>
  <c r="BG23"/>
  <c r="BA23"/>
  <c r="AY23"/>
  <c r="AN23"/>
  <c r="AF23"/>
  <c r="R23"/>
  <c r="T23" s="1"/>
  <c r="P23"/>
  <c r="O23"/>
  <c r="N23"/>
  <c r="M23"/>
  <c r="L23"/>
  <c r="K23"/>
  <c r="J23"/>
  <c r="DD23" s="1"/>
  <c r="DG23" s="1"/>
  <c r="DH23" s="1"/>
  <c r="I23"/>
  <c r="B23"/>
  <c r="CY22"/>
  <c r="CX22"/>
  <c r="CW22"/>
  <c r="CV22"/>
  <c r="CU22"/>
  <c r="M22" s="1"/>
  <c r="CT22"/>
  <c r="CS22"/>
  <c r="CR22"/>
  <c r="CQ22"/>
  <c r="CP22"/>
  <c r="CO22"/>
  <c r="BI22"/>
  <c r="BG22"/>
  <c r="BD22"/>
  <c r="BB22"/>
  <c r="BA22"/>
  <c r="AY22"/>
  <c r="AX22"/>
  <c r="AN22"/>
  <c r="AI22"/>
  <c r="AF22"/>
  <c r="R22"/>
  <c r="P22"/>
  <c r="O22"/>
  <c r="N22"/>
  <c r="L22"/>
  <c r="K22"/>
  <c r="J22"/>
  <c r="DD22" s="1"/>
  <c r="DG22" s="1"/>
  <c r="DH22" s="1"/>
  <c r="I22"/>
  <c r="H22"/>
  <c r="E22"/>
  <c r="C22"/>
  <c r="B22"/>
  <c r="CY21"/>
  <c r="CX21"/>
  <c r="CW21"/>
  <c r="CV21"/>
  <c r="CU21"/>
  <c r="CT21"/>
  <c r="CS21"/>
  <c r="CR21"/>
  <c r="CQ21"/>
  <c r="CP21"/>
  <c r="CO21"/>
  <c r="BG21"/>
  <c r="BA21"/>
  <c r="AY21"/>
  <c r="AN21"/>
  <c r="AF21"/>
  <c r="R21"/>
  <c r="P21"/>
  <c r="O21"/>
  <c r="N21"/>
  <c r="M21"/>
  <c r="L21"/>
  <c r="K21"/>
  <c r="J21"/>
  <c r="DD21" s="1"/>
  <c r="DG21" s="1"/>
  <c r="DH21" s="1"/>
  <c r="I21"/>
  <c r="B21"/>
  <c r="CY20"/>
  <c r="CX20"/>
  <c r="CW20"/>
  <c r="CV20"/>
  <c r="CU20"/>
  <c r="CT20"/>
  <c r="CS20"/>
  <c r="CR20"/>
  <c r="CQ20"/>
  <c r="CP20"/>
  <c r="CO20"/>
  <c r="BI20"/>
  <c r="BG20"/>
  <c r="BB20"/>
  <c r="BD20" s="1"/>
  <c r="BA20"/>
  <c r="AY20"/>
  <c r="AX20"/>
  <c r="AN20"/>
  <c r="AI20"/>
  <c r="AF20"/>
  <c r="R20"/>
  <c r="P20"/>
  <c r="O20"/>
  <c r="N20"/>
  <c r="M20"/>
  <c r="L20"/>
  <c r="K20"/>
  <c r="J20"/>
  <c r="DD20" s="1"/>
  <c r="DG20" s="1"/>
  <c r="DH20" s="1"/>
  <c r="I20"/>
  <c r="H20"/>
  <c r="E20"/>
  <c r="C20"/>
  <c r="B20"/>
  <c r="D20" s="1"/>
  <c r="CY19"/>
  <c r="CX19"/>
  <c r="CW19"/>
  <c r="CV19"/>
  <c r="CU19"/>
  <c r="CT19"/>
  <c r="CS19"/>
  <c r="CR19"/>
  <c r="CQ19"/>
  <c r="CP19"/>
  <c r="CO19"/>
  <c r="BG19"/>
  <c r="BA19"/>
  <c r="AY19"/>
  <c r="BI19" s="1"/>
  <c r="AN19"/>
  <c r="AF19"/>
  <c r="R19"/>
  <c r="P19"/>
  <c r="O19"/>
  <c r="N19"/>
  <c r="M19"/>
  <c r="L19"/>
  <c r="K19"/>
  <c r="J19"/>
  <c r="DD19" s="1"/>
  <c r="DG19" s="1"/>
  <c r="DH19" s="1"/>
  <c r="I19"/>
  <c r="B19"/>
  <c r="E19" s="1"/>
  <c r="CY18"/>
  <c r="CX18"/>
  <c r="CW18"/>
  <c r="CV18"/>
  <c r="CU18"/>
  <c r="M18" s="1"/>
  <c r="CT18"/>
  <c r="CS18"/>
  <c r="CR18"/>
  <c r="CQ18"/>
  <c r="CP18"/>
  <c r="CO18"/>
  <c r="BI18"/>
  <c r="BG18"/>
  <c r="BB18"/>
  <c r="BD18" s="1"/>
  <c r="BA18"/>
  <c r="AY18"/>
  <c r="AX18"/>
  <c r="AN18"/>
  <c r="AI18"/>
  <c r="AF18"/>
  <c r="R18"/>
  <c r="P18"/>
  <c r="O18"/>
  <c r="N18"/>
  <c r="L18"/>
  <c r="K18"/>
  <c r="J18"/>
  <c r="DD18" s="1"/>
  <c r="DG18" s="1"/>
  <c r="DH18" s="1"/>
  <c r="AZ18" s="1"/>
  <c r="I18"/>
  <c r="H18"/>
  <c r="E18"/>
  <c r="C18"/>
  <c r="B18"/>
  <c r="D18" s="1"/>
  <c r="CY17"/>
  <c r="CX17"/>
  <c r="CW17"/>
  <c r="CV17"/>
  <c r="CU17"/>
  <c r="CT17"/>
  <c r="CS17"/>
  <c r="CR17"/>
  <c r="CQ17"/>
  <c r="CP17"/>
  <c r="CO17"/>
  <c r="BG17"/>
  <c r="BA17"/>
  <c r="AY17"/>
  <c r="BI17" s="1"/>
  <c r="AN17"/>
  <c r="AF17"/>
  <c r="R17"/>
  <c r="P17"/>
  <c r="O17"/>
  <c r="N17"/>
  <c r="M17"/>
  <c r="L17"/>
  <c r="K17"/>
  <c r="J17"/>
  <c r="DD17" s="1"/>
  <c r="DG17" s="1"/>
  <c r="DH17" s="1"/>
  <c r="I17"/>
  <c r="B17"/>
  <c r="E17" s="1"/>
  <c r="CY16"/>
  <c r="CX16"/>
  <c r="CW16"/>
  <c r="CV16"/>
  <c r="CU16"/>
  <c r="M16" s="1"/>
  <c r="CT16"/>
  <c r="CS16"/>
  <c r="CR16"/>
  <c r="CQ16"/>
  <c r="CP16"/>
  <c r="CO16"/>
  <c r="BI16"/>
  <c r="BG16"/>
  <c r="BB16"/>
  <c r="BD16" s="1"/>
  <c r="BA16"/>
  <c r="AY16"/>
  <c r="AX16"/>
  <c r="AN16"/>
  <c r="AI16"/>
  <c r="AF16"/>
  <c r="R16"/>
  <c r="P16"/>
  <c r="O16"/>
  <c r="N16"/>
  <c r="L16"/>
  <c r="K16"/>
  <c r="J16"/>
  <c r="DD16" s="1"/>
  <c r="DG16" s="1"/>
  <c r="DH16" s="1"/>
  <c r="AZ16" s="1"/>
  <c r="I16"/>
  <c r="H16"/>
  <c r="E16"/>
  <c r="C16"/>
  <c r="B16"/>
  <c r="D16" s="1"/>
  <c r="CY15"/>
  <c r="CX15"/>
  <c r="CW15"/>
  <c r="CV15"/>
  <c r="CU15"/>
  <c r="CT15"/>
  <c r="CS15"/>
  <c r="CR15"/>
  <c r="CQ15"/>
  <c r="CP15"/>
  <c r="CO15"/>
  <c r="BG15"/>
  <c r="BA15"/>
  <c r="AY15"/>
  <c r="BI15" s="1"/>
  <c r="AN15"/>
  <c r="AF15"/>
  <c r="R15"/>
  <c r="P15"/>
  <c r="O15"/>
  <c r="N15"/>
  <c r="M15"/>
  <c r="L15"/>
  <c r="K15"/>
  <c r="J15"/>
  <c r="DD15" s="1"/>
  <c r="DG15" s="1"/>
  <c r="DH15" s="1"/>
  <c r="I15"/>
  <c r="B15"/>
  <c r="E15" s="1"/>
  <c r="CY14"/>
  <c r="CX14"/>
  <c r="CW14"/>
  <c r="CV14"/>
  <c r="CU14"/>
  <c r="M14" s="1"/>
  <c r="CT14"/>
  <c r="CS14"/>
  <c r="CR14"/>
  <c r="CQ14"/>
  <c r="CP14"/>
  <c r="CO14"/>
  <c r="BI14"/>
  <c r="BG14"/>
  <c r="BB14"/>
  <c r="BD14" s="1"/>
  <c r="BA14"/>
  <c r="AY14"/>
  <c r="AX14"/>
  <c r="AN14"/>
  <c r="AI14"/>
  <c r="AF14"/>
  <c r="R14"/>
  <c r="P14"/>
  <c r="O14"/>
  <c r="N14"/>
  <c r="L14"/>
  <c r="K14"/>
  <c r="J14"/>
  <c r="DD14" s="1"/>
  <c r="DG14" s="1"/>
  <c r="DH14" s="1"/>
  <c r="AZ14" s="1"/>
  <c r="I14"/>
  <c r="H14"/>
  <c r="E14"/>
  <c r="C14"/>
  <c r="B14"/>
  <c r="D14" s="1"/>
  <c r="CY13"/>
  <c r="CX13"/>
  <c r="CW13"/>
  <c r="CV13"/>
  <c r="CU13"/>
  <c r="CT13"/>
  <c r="CS13"/>
  <c r="CR13"/>
  <c r="CQ13"/>
  <c r="CP13"/>
  <c r="CO13"/>
  <c r="BG13"/>
  <c r="BA13"/>
  <c r="AY13"/>
  <c r="BI13" s="1"/>
  <c r="AN13"/>
  <c r="AF13"/>
  <c r="R13"/>
  <c r="P13"/>
  <c r="O13"/>
  <c r="N13"/>
  <c r="M13"/>
  <c r="L13"/>
  <c r="K13"/>
  <c r="J13"/>
  <c r="DD13" s="1"/>
  <c r="DG13" s="1"/>
  <c r="DH13" s="1"/>
  <c r="I13"/>
  <c r="B13"/>
  <c r="E13" s="1"/>
  <c r="CY12"/>
  <c r="CX12"/>
  <c r="CW12"/>
  <c r="CV12"/>
  <c r="CU12"/>
  <c r="M12" s="1"/>
  <c r="CT12"/>
  <c r="CS12"/>
  <c r="CR12"/>
  <c r="CQ12"/>
  <c r="CP12"/>
  <c r="CO12"/>
  <c r="BI12"/>
  <c r="BG12"/>
  <c r="BB12"/>
  <c r="BD12" s="1"/>
  <c r="BA12"/>
  <c r="AY12"/>
  <c r="AX12"/>
  <c r="AN12"/>
  <c r="AI12"/>
  <c r="AF12"/>
  <c r="R12"/>
  <c r="P12"/>
  <c r="O12"/>
  <c r="N12"/>
  <c r="L12"/>
  <c r="K12"/>
  <c r="J12"/>
  <c r="DD12" s="1"/>
  <c r="DG12" s="1"/>
  <c r="DH12" s="1"/>
  <c r="AZ12" s="1"/>
  <c r="I12"/>
  <c r="H12"/>
  <c r="E12"/>
  <c r="C12"/>
  <c r="B12"/>
  <c r="D12" s="1"/>
  <c r="CY11"/>
  <c r="CX11"/>
  <c r="CW11"/>
  <c r="CV11"/>
  <c r="CU11"/>
  <c r="CT11"/>
  <c r="CS11"/>
  <c r="CR11"/>
  <c r="CQ11"/>
  <c r="CP11"/>
  <c r="CO11"/>
  <c r="BG11"/>
  <c r="BA11"/>
  <c r="AY11"/>
  <c r="BI11" s="1"/>
  <c r="AN11"/>
  <c r="AF11"/>
  <c r="R11"/>
  <c r="P11"/>
  <c r="O11"/>
  <c r="N11"/>
  <c r="M11"/>
  <c r="L11"/>
  <c r="K11"/>
  <c r="J11"/>
  <c r="DD11" s="1"/>
  <c r="DG11" s="1"/>
  <c r="DH11" s="1"/>
  <c r="I11"/>
  <c r="B11"/>
  <c r="E11" s="1"/>
  <c r="CY10"/>
  <c r="CX10"/>
  <c r="CW10"/>
  <c r="CV10"/>
  <c r="CU10"/>
  <c r="M10" s="1"/>
  <c r="CT10"/>
  <c r="CS10"/>
  <c r="CR10"/>
  <c r="CQ10"/>
  <c r="CP10"/>
  <c r="CO10"/>
  <c r="BI10"/>
  <c r="BG10"/>
  <c r="BB10"/>
  <c r="BD10" s="1"/>
  <c r="BA10"/>
  <c r="AY10"/>
  <c r="AX10"/>
  <c r="AN10"/>
  <c r="AI10"/>
  <c r="AF10"/>
  <c r="R10"/>
  <c r="P10"/>
  <c r="O10"/>
  <c r="N10"/>
  <c r="L10"/>
  <c r="K10"/>
  <c r="J10"/>
  <c r="DD10" s="1"/>
  <c r="DG10" s="1"/>
  <c r="DH10" s="1"/>
  <c r="AZ10" s="1"/>
  <c r="I10"/>
  <c r="H10"/>
  <c r="E10"/>
  <c r="C10"/>
  <c r="B10"/>
  <c r="D10" s="1"/>
  <c r="CY9"/>
  <c r="CX9"/>
  <c r="CW9"/>
  <c r="CV9"/>
  <c r="CU9"/>
  <c r="CT9"/>
  <c r="CS9"/>
  <c r="CR9"/>
  <c r="CQ9"/>
  <c r="CP9"/>
  <c r="CO9"/>
  <c r="BG9"/>
  <c r="BA9"/>
  <c r="AY9"/>
  <c r="BI9" s="1"/>
  <c r="AN9"/>
  <c r="AF9"/>
  <c r="R9"/>
  <c r="P9"/>
  <c r="O9"/>
  <c r="N9"/>
  <c r="M9"/>
  <c r="L9"/>
  <c r="K9"/>
  <c r="J9"/>
  <c r="DD9" s="1"/>
  <c r="DG9" s="1"/>
  <c r="DH9" s="1"/>
  <c r="I9"/>
  <c r="B9"/>
  <c r="E9" s="1"/>
  <c r="CY8"/>
  <c r="CX8"/>
  <c r="CW8"/>
  <c r="CV8"/>
  <c r="CU8"/>
  <c r="M8" s="1"/>
  <c r="CT8"/>
  <c r="CS8"/>
  <c r="CR8"/>
  <c r="CQ8"/>
  <c r="CP8"/>
  <c r="CO8"/>
  <c r="BI8"/>
  <c r="BG8"/>
  <c r="BB8"/>
  <c r="BD8" s="1"/>
  <c r="BA8"/>
  <c r="AY8"/>
  <c r="AX8"/>
  <c r="AN8"/>
  <c r="AI8"/>
  <c r="AF8"/>
  <c r="R8"/>
  <c r="P8"/>
  <c r="O8"/>
  <c r="N8"/>
  <c r="L8"/>
  <c r="K8"/>
  <c r="J8"/>
  <c r="DD8" s="1"/>
  <c r="DG8" s="1"/>
  <c r="DH8" s="1"/>
  <c r="AZ8" s="1"/>
  <c r="I8"/>
  <c r="H8"/>
  <c r="E8"/>
  <c r="C8"/>
  <c r="B8"/>
  <c r="D8" s="1"/>
  <c r="CY7"/>
  <c r="CX7"/>
  <c r="CX38" s="1"/>
  <c r="CW7"/>
  <c r="CV7"/>
  <c r="CU7"/>
  <c r="CT7"/>
  <c r="CT38" s="1"/>
  <c r="CS7"/>
  <c r="CR7"/>
  <c r="CR38" s="1"/>
  <c r="CQ7"/>
  <c r="CP7"/>
  <c r="CP38" s="1"/>
  <c r="CO7"/>
  <c r="BH7"/>
  <c r="BG7"/>
  <c r="BA7"/>
  <c r="BA38" s="1"/>
  <c r="AY7"/>
  <c r="AN7"/>
  <c r="AF7"/>
  <c r="Q38"/>
  <c r="P7"/>
  <c r="O7"/>
  <c r="N7"/>
  <c r="M7"/>
  <c r="L7"/>
  <c r="K7"/>
  <c r="J7"/>
  <c r="DD7" s="1"/>
  <c r="I7"/>
  <c r="B7"/>
  <c r="B38" s="1"/>
  <c r="B39" s="1"/>
  <c r="Q8" i="61"/>
  <c r="R8" s="1"/>
  <c r="Q9"/>
  <c r="R9" s="1"/>
  <c r="T9" s="1"/>
  <c r="Q10"/>
  <c r="R10" s="1"/>
  <c r="T10" s="1"/>
  <c r="Q11"/>
  <c r="R11" s="1"/>
  <c r="Q12"/>
  <c r="R12" s="1"/>
  <c r="T12" s="1"/>
  <c r="Q13"/>
  <c r="R13" s="1"/>
  <c r="Q14"/>
  <c r="R14" s="1"/>
  <c r="T14" s="1"/>
  <c r="Q15"/>
  <c r="R15" s="1"/>
  <c r="Q16"/>
  <c r="R16" s="1"/>
  <c r="T16" s="1"/>
  <c r="Q17"/>
  <c r="R17" s="1"/>
  <c r="Q18"/>
  <c r="R18" s="1"/>
  <c r="T18" s="1"/>
  <c r="Q19"/>
  <c r="R19" s="1"/>
  <c r="Q20"/>
  <c r="R20" s="1"/>
  <c r="T20" s="1"/>
  <c r="Q21"/>
  <c r="R21" s="1"/>
  <c r="Q22"/>
  <c r="R22" s="1"/>
  <c r="T22" s="1"/>
  <c r="Q23"/>
  <c r="R23" s="1"/>
  <c r="T23" s="1"/>
  <c r="Q24"/>
  <c r="R24" s="1"/>
  <c r="T24" s="1"/>
  <c r="Q25"/>
  <c r="R25" s="1"/>
  <c r="Q26"/>
  <c r="R26" s="1"/>
  <c r="Q27"/>
  <c r="R27" s="1"/>
  <c r="T27" s="1"/>
  <c r="Q28"/>
  <c r="R28" s="1"/>
  <c r="T28" s="1"/>
  <c r="Q29"/>
  <c r="Q30"/>
  <c r="R30" s="1"/>
  <c r="Q31"/>
  <c r="Q32"/>
  <c r="R32" s="1"/>
  <c r="T32" s="1"/>
  <c r="Q33"/>
  <c r="Q34"/>
  <c r="R34" s="1"/>
  <c r="T34" s="1"/>
  <c r="Q35"/>
  <c r="Q36"/>
  <c r="R36" s="1"/>
  <c r="T36" s="1"/>
  <c r="Q37"/>
  <c r="Q7"/>
  <c r="R7" s="1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7"/>
  <c r="J8"/>
  <c r="DD8" s="1"/>
  <c r="DG8" s="1"/>
  <c r="DH8" s="1"/>
  <c r="J9"/>
  <c r="DD9" s="1"/>
  <c r="DG9" s="1"/>
  <c r="DH9" s="1"/>
  <c r="J10"/>
  <c r="DD10" s="1"/>
  <c r="DG10" s="1"/>
  <c r="DH10" s="1"/>
  <c r="J11"/>
  <c r="DD11" s="1"/>
  <c r="DG11" s="1"/>
  <c r="DH11" s="1"/>
  <c r="J12"/>
  <c r="DD12" s="1"/>
  <c r="DG12" s="1"/>
  <c r="DH12" s="1"/>
  <c r="J13"/>
  <c r="DD13" s="1"/>
  <c r="DG13" s="1"/>
  <c r="DH13" s="1"/>
  <c r="J14"/>
  <c r="DD14" s="1"/>
  <c r="DG14" s="1"/>
  <c r="DH14" s="1"/>
  <c r="J15"/>
  <c r="DD15" s="1"/>
  <c r="DG15" s="1"/>
  <c r="DH15" s="1"/>
  <c r="J16"/>
  <c r="DD16" s="1"/>
  <c r="DG16" s="1"/>
  <c r="DH16" s="1"/>
  <c r="J17"/>
  <c r="DD17" s="1"/>
  <c r="DG17" s="1"/>
  <c r="DH17" s="1"/>
  <c r="J18"/>
  <c r="DD18" s="1"/>
  <c r="DG18" s="1"/>
  <c r="DH18" s="1"/>
  <c r="J19"/>
  <c r="DD19" s="1"/>
  <c r="DG19" s="1"/>
  <c r="DH19" s="1"/>
  <c r="J20"/>
  <c r="DD20" s="1"/>
  <c r="DG20" s="1"/>
  <c r="DH20" s="1"/>
  <c r="J21"/>
  <c r="DD21" s="1"/>
  <c r="DG21" s="1"/>
  <c r="DH21" s="1"/>
  <c r="J22"/>
  <c r="DD22" s="1"/>
  <c r="DG22" s="1"/>
  <c r="DH22" s="1"/>
  <c r="J23"/>
  <c r="DD23" s="1"/>
  <c r="DG23" s="1"/>
  <c r="DH23" s="1"/>
  <c r="J24"/>
  <c r="DD24" s="1"/>
  <c r="DG24" s="1"/>
  <c r="DH24" s="1"/>
  <c r="J25"/>
  <c r="DD25" s="1"/>
  <c r="DG25" s="1"/>
  <c r="DH25" s="1"/>
  <c r="J26"/>
  <c r="DD26" s="1"/>
  <c r="DG26" s="1"/>
  <c r="DH26" s="1"/>
  <c r="J27"/>
  <c r="DD27" s="1"/>
  <c r="DG27" s="1"/>
  <c r="DH27" s="1"/>
  <c r="J28"/>
  <c r="DD28" s="1"/>
  <c r="DG28" s="1"/>
  <c r="DH28" s="1"/>
  <c r="J29"/>
  <c r="DD29" s="1"/>
  <c r="DG29" s="1"/>
  <c r="DH29" s="1"/>
  <c r="J30"/>
  <c r="DD30" s="1"/>
  <c r="DG30" s="1"/>
  <c r="DH30" s="1"/>
  <c r="J31"/>
  <c r="DD31" s="1"/>
  <c r="DG31" s="1"/>
  <c r="DH31" s="1"/>
  <c r="J32"/>
  <c r="DD32" s="1"/>
  <c r="DG32" s="1"/>
  <c r="DH32" s="1"/>
  <c r="J33"/>
  <c r="DD33" s="1"/>
  <c r="DG33" s="1"/>
  <c r="DH33" s="1"/>
  <c r="J34"/>
  <c r="DD34" s="1"/>
  <c r="DG34" s="1"/>
  <c r="J35"/>
  <c r="DD35" s="1"/>
  <c r="DG35" s="1"/>
  <c r="J36"/>
  <c r="DD36" s="1"/>
  <c r="DG36" s="1"/>
  <c r="J37"/>
  <c r="DD37" s="1"/>
  <c r="DG37" s="1"/>
  <c r="J7"/>
  <c r="DD7" s="1"/>
  <c r="B8"/>
  <c r="E8" s="1"/>
  <c r="B9"/>
  <c r="E9" s="1"/>
  <c r="B10"/>
  <c r="B11"/>
  <c r="C11" s="1"/>
  <c r="D11" s="1"/>
  <c r="B12"/>
  <c r="B13"/>
  <c r="C13" s="1"/>
  <c r="D13" s="1"/>
  <c r="B14"/>
  <c r="B15"/>
  <c r="C15" s="1"/>
  <c r="D15" s="1"/>
  <c r="B16"/>
  <c r="B17"/>
  <c r="E17" s="1"/>
  <c r="B18"/>
  <c r="B19"/>
  <c r="C19" s="1"/>
  <c r="D19" s="1"/>
  <c r="B20"/>
  <c r="B21"/>
  <c r="C21" s="1"/>
  <c r="D21" s="1"/>
  <c r="B22"/>
  <c r="B23"/>
  <c r="C23" s="1"/>
  <c r="D23" s="1"/>
  <c r="B24"/>
  <c r="E24" s="1"/>
  <c r="B25"/>
  <c r="B26"/>
  <c r="C26" s="1"/>
  <c r="D26" s="1"/>
  <c r="B27"/>
  <c r="B28"/>
  <c r="C28" s="1"/>
  <c r="B29"/>
  <c r="B30"/>
  <c r="C30" s="1"/>
  <c r="D30" s="1"/>
  <c r="B31"/>
  <c r="B32"/>
  <c r="B33"/>
  <c r="B34"/>
  <c r="B35"/>
  <c r="B36"/>
  <c r="B37"/>
  <c r="B7"/>
  <c r="C7" s="1"/>
  <c r="D7" s="1"/>
  <c r="AT46"/>
  <c r="AT43"/>
  <c r="AV39"/>
  <c r="AS39"/>
  <c r="AQ39"/>
  <c r="AP39"/>
  <c r="AD39"/>
  <c r="AC39"/>
  <c r="Z39"/>
  <c r="Z41" s="1"/>
  <c r="Y39"/>
  <c r="CI38"/>
  <c r="CM39" s="1"/>
  <c r="CH38"/>
  <c r="CL39" s="1"/>
  <c r="CG38"/>
  <c r="CK39" s="1"/>
  <c r="CF38"/>
  <c r="CJ39" s="1"/>
  <c r="BQ38"/>
  <c r="BX39" s="1"/>
  <c r="BP38"/>
  <c r="CD39" s="1"/>
  <c r="BO38"/>
  <c r="BV39" s="1"/>
  <c r="BN38"/>
  <c r="CB39" s="1"/>
  <c r="BM38"/>
  <c r="BT39" s="1"/>
  <c r="BK38"/>
  <c r="BR39" s="1"/>
  <c r="BG38"/>
  <c r="AW38"/>
  <c r="AW39" s="1"/>
  <c r="AV38"/>
  <c r="AU38"/>
  <c r="AU39" s="1"/>
  <c r="AT38"/>
  <c r="AT39" s="1"/>
  <c r="AM38"/>
  <c r="AM39" s="1"/>
  <c r="AL38"/>
  <c r="AL39" s="1"/>
  <c r="AJ38"/>
  <c r="AJ39" s="1"/>
  <c r="AH38"/>
  <c r="AH39" s="1"/>
  <c r="AG38"/>
  <c r="AG39" s="1"/>
  <c r="AE38"/>
  <c r="AE39" s="1"/>
  <c r="AD38"/>
  <c r="W38"/>
  <c r="W39" s="1"/>
  <c r="V38"/>
  <c r="V39" s="1"/>
  <c r="S38"/>
  <c r="S39" s="1"/>
  <c r="G38"/>
  <c r="G39" s="1"/>
  <c r="G41" s="1"/>
  <c r="DH37"/>
  <c r="AZ37" s="1"/>
  <c r="CY37"/>
  <c r="CX37"/>
  <c r="CW37"/>
  <c r="CV37"/>
  <c r="CU37"/>
  <c r="CT37"/>
  <c r="CS37"/>
  <c r="CR37"/>
  <c r="CQ37"/>
  <c r="CP37"/>
  <c r="CO37"/>
  <c r="DJ37" s="1"/>
  <c r="BA37"/>
  <c r="AY37"/>
  <c r="AN37"/>
  <c r="AF37"/>
  <c r="P37"/>
  <c r="M37"/>
  <c r="K37"/>
  <c r="I37"/>
  <c r="DH36"/>
  <c r="AZ36" s="1"/>
  <c r="CY36"/>
  <c r="CX36"/>
  <c r="CW36"/>
  <c r="CV36"/>
  <c r="CU36"/>
  <c r="CT36"/>
  <c r="CS36"/>
  <c r="CR36"/>
  <c r="CQ36"/>
  <c r="CP36"/>
  <c r="CO36"/>
  <c r="BA36"/>
  <c r="AY36"/>
  <c r="AN36"/>
  <c r="AF36"/>
  <c r="P36"/>
  <c r="M36"/>
  <c r="K36"/>
  <c r="I36"/>
  <c r="F36"/>
  <c r="DH35"/>
  <c r="CY35"/>
  <c r="CX35"/>
  <c r="CW35"/>
  <c r="CV35"/>
  <c r="CU35"/>
  <c r="CT35"/>
  <c r="CS35"/>
  <c r="CR35"/>
  <c r="M35" s="1"/>
  <c r="CQ35"/>
  <c r="CP35"/>
  <c r="CO35"/>
  <c r="BA35"/>
  <c r="AY35"/>
  <c r="AN35"/>
  <c r="AF35"/>
  <c r="P35"/>
  <c r="K35"/>
  <c r="I35"/>
  <c r="DH34"/>
  <c r="CY34"/>
  <c r="CX34"/>
  <c r="CW34"/>
  <c r="CV34"/>
  <c r="CU34"/>
  <c r="CT34"/>
  <c r="CS34"/>
  <c r="CR34"/>
  <c r="CQ34"/>
  <c r="CP34"/>
  <c r="CO34"/>
  <c r="BA34"/>
  <c r="AY34"/>
  <c r="AN34"/>
  <c r="AF34"/>
  <c r="P34"/>
  <c r="M34"/>
  <c r="K34"/>
  <c r="I34"/>
  <c r="CY33"/>
  <c r="CX33"/>
  <c r="CW33"/>
  <c r="CV33"/>
  <c r="CU33"/>
  <c r="CT33"/>
  <c r="CS33"/>
  <c r="CR33"/>
  <c r="CQ33"/>
  <c r="CP33"/>
  <c r="CO33"/>
  <c r="BA33"/>
  <c r="AY33"/>
  <c r="AN33"/>
  <c r="AF33"/>
  <c r="P33"/>
  <c r="M33"/>
  <c r="K33"/>
  <c r="I33"/>
  <c r="CY32"/>
  <c r="CX32"/>
  <c r="CW32"/>
  <c r="CV32"/>
  <c r="CU32"/>
  <c r="CT32"/>
  <c r="CS32"/>
  <c r="CR32"/>
  <c r="CQ32"/>
  <c r="CP32"/>
  <c r="CO32"/>
  <c r="BA32"/>
  <c r="AY32"/>
  <c r="AN32"/>
  <c r="AF32"/>
  <c r="P32"/>
  <c r="K32"/>
  <c r="I32"/>
  <c r="CY31"/>
  <c r="CX31"/>
  <c r="CW31"/>
  <c r="CV31"/>
  <c r="CU31"/>
  <c r="CT31"/>
  <c r="CS31"/>
  <c r="CR31"/>
  <c r="CQ31"/>
  <c r="CP31"/>
  <c r="CO31"/>
  <c r="BA31"/>
  <c r="AY31"/>
  <c r="AN31"/>
  <c r="AF31"/>
  <c r="P31"/>
  <c r="K31"/>
  <c r="I31"/>
  <c r="CY30"/>
  <c r="CX30"/>
  <c r="CW30"/>
  <c r="CV30"/>
  <c r="CU30"/>
  <c r="CT30"/>
  <c r="CS30"/>
  <c r="CR30"/>
  <c r="CQ30"/>
  <c r="CP30"/>
  <c r="CO30"/>
  <c r="BG30"/>
  <c r="BA30"/>
  <c r="AY30"/>
  <c r="AX30" s="1"/>
  <c r="AN30"/>
  <c r="AF30"/>
  <c r="P30"/>
  <c r="K30"/>
  <c r="I30"/>
  <c r="H30"/>
  <c r="CY29"/>
  <c r="CX29"/>
  <c r="CW29"/>
  <c r="CV29"/>
  <c r="CU29"/>
  <c r="CT29"/>
  <c r="CS29"/>
  <c r="CR29"/>
  <c r="CQ29"/>
  <c r="CP29"/>
  <c r="CO29"/>
  <c r="BA29"/>
  <c r="AY29"/>
  <c r="AN29"/>
  <c r="AF29"/>
  <c r="P29"/>
  <c r="K29"/>
  <c r="I29"/>
  <c r="CY28"/>
  <c r="CX28"/>
  <c r="CW28"/>
  <c r="CV28"/>
  <c r="CU28"/>
  <c r="CT28"/>
  <c r="CS28"/>
  <c r="CR28"/>
  <c r="CQ28"/>
  <c r="CP28"/>
  <c r="CO28"/>
  <c r="BG28"/>
  <c r="BA28"/>
  <c r="AY28"/>
  <c r="AX28" s="1"/>
  <c r="AN28"/>
  <c r="AF28"/>
  <c r="P28"/>
  <c r="K28"/>
  <c r="I28"/>
  <c r="CY27"/>
  <c r="CX27"/>
  <c r="CW27"/>
  <c r="CV27"/>
  <c r="CU27"/>
  <c r="CT27"/>
  <c r="CS27"/>
  <c r="CR27"/>
  <c r="CQ27"/>
  <c r="CP27"/>
  <c r="CO27"/>
  <c r="BA27"/>
  <c r="AY27"/>
  <c r="AN27"/>
  <c r="AF27"/>
  <c r="P27"/>
  <c r="K27"/>
  <c r="I27"/>
  <c r="CY26"/>
  <c r="CX26"/>
  <c r="CW26"/>
  <c r="CV26"/>
  <c r="CU26"/>
  <c r="CT26"/>
  <c r="CS26"/>
  <c r="CR26"/>
  <c r="CQ26"/>
  <c r="CP26"/>
  <c r="CO26"/>
  <c r="BG26"/>
  <c r="BA26"/>
  <c r="AY26"/>
  <c r="AX26" s="1"/>
  <c r="AN26"/>
  <c r="AF26"/>
  <c r="P26"/>
  <c r="K26"/>
  <c r="I26"/>
  <c r="H26"/>
  <c r="CY25"/>
  <c r="CX25"/>
  <c r="CW25"/>
  <c r="CV25"/>
  <c r="CU25"/>
  <c r="CT25"/>
  <c r="CS25"/>
  <c r="CR25"/>
  <c r="CQ25"/>
  <c r="CP25"/>
  <c r="CO25"/>
  <c r="BA25"/>
  <c r="AY25"/>
  <c r="AN25"/>
  <c r="AF25"/>
  <c r="P25"/>
  <c r="M25"/>
  <c r="K25"/>
  <c r="I25"/>
  <c r="CY24"/>
  <c r="CX24"/>
  <c r="CW24"/>
  <c r="CV24"/>
  <c r="CU24"/>
  <c r="CT24"/>
  <c r="CS24"/>
  <c r="CR24"/>
  <c r="CQ24"/>
  <c r="CP24"/>
  <c r="CO24"/>
  <c r="BG24"/>
  <c r="BA24"/>
  <c r="AY24"/>
  <c r="BI24" s="1"/>
  <c r="AN24"/>
  <c r="AF24"/>
  <c r="P24"/>
  <c r="K24"/>
  <c r="I24"/>
  <c r="CY23"/>
  <c r="CX23"/>
  <c r="CW23"/>
  <c r="CV23"/>
  <c r="CU23"/>
  <c r="CT23"/>
  <c r="CS23"/>
  <c r="CR23"/>
  <c r="CQ23"/>
  <c r="CP23"/>
  <c r="CO23"/>
  <c r="BA23"/>
  <c r="AY23"/>
  <c r="AN23"/>
  <c r="AF23"/>
  <c r="P23"/>
  <c r="K23"/>
  <c r="I23"/>
  <c r="CY22"/>
  <c r="CX22"/>
  <c r="CW22"/>
  <c r="CV22"/>
  <c r="CU22"/>
  <c r="CT22"/>
  <c r="CS22"/>
  <c r="CR22"/>
  <c r="CQ22"/>
  <c r="CP22"/>
  <c r="CO22"/>
  <c r="BG22"/>
  <c r="BA22"/>
  <c r="AY22"/>
  <c r="M22" s="1"/>
  <c r="AN22"/>
  <c r="AF22"/>
  <c r="P22"/>
  <c r="K22"/>
  <c r="I22"/>
  <c r="CY21"/>
  <c r="CX21"/>
  <c r="CW21"/>
  <c r="CV21"/>
  <c r="CU21"/>
  <c r="CT21"/>
  <c r="CS21"/>
  <c r="CR21"/>
  <c r="CQ21"/>
  <c r="CP21"/>
  <c r="CO21"/>
  <c r="BG21"/>
  <c r="BA21"/>
  <c r="AN21"/>
  <c r="P21"/>
  <c r="K21"/>
  <c r="I21"/>
  <c r="CY20"/>
  <c r="CX20"/>
  <c r="CW20"/>
  <c r="CV20"/>
  <c r="CU20"/>
  <c r="CT20"/>
  <c r="CS20"/>
  <c r="CR20"/>
  <c r="CQ20"/>
  <c r="CP20"/>
  <c r="CO20"/>
  <c r="BG20"/>
  <c r="BA20"/>
  <c r="AY20"/>
  <c r="M20" s="1"/>
  <c r="AN20"/>
  <c r="AF20"/>
  <c r="P20"/>
  <c r="K20"/>
  <c r="I20"/>
  <c r="CY19"/>
  <c r="CX19"/>
  <c r="CW19"/>
  <c r="CV19"/>
  <c r="CU19"/>
  <c r="CT19"/>
  <c r="CS19"/>
  <c r="CR19"/>
  <c r="CQ19"/>
  <c r="CP19"/>
  <c r="CO19"/>
  <c r="BG19"/>
  <c r="BA19"/>
  <c r="AY19"/>
  <c r="AX19" s="1"/>
  <c r="AN19"/>
  <c r="AF19"/>
  <c r="P19"/>
  <c r="K19"/>
  <c r="I19"/>
  <c r="H19"/>
  <c r="CY18"/>
  <c r="CX18"/>
  <c r="CW18"/>
  <c r="CV18"/>
  <c r="CU18"/>
  <c r="CT18"/>
  <c r="CS18"/>
  <c r="CR18"/>
  <c r="CQ18"/>
  <c r="CP18"/>
  <c r="CO18"/>
  <c r="BG18"/>
  <c r="BA18"/>
  <c r="AY18"/>
  <c r="AN18"/>
  <c r="AF18"/>
  <c r="P18"/>
  <c r="M18"/>
  <c r="K18"/>
  <c r="I18"/>
  <c r="CY17"/>
  <c r="CX17"/>
  <c r="CW17"/>
  <c r="CV17"/>
  <c r="CU17"/>
  <c r="CT17"/>
  <c r="CS17"/>
  <c r="CR17"/>
  <c r="CQ17"/>
  <c r="CP17"/>
  <c r="CO17"/>
  <c r="BG17"/>
  <c r="BA17"/>
  <c r="AY17"/>
  <c r="AX17" s="1"/>
  <c r="AN17"/>
  <c r="AF17"/>
  <c r="P17"/>
  <c r="K17"/>
  <c r="I17"/>
  <c r="H17"/>
  <c r="CY16"/>
  <c r="CX16"/>
  <c r="CW16"/>
  <c r="CV16"/>
  <c r="CU16"/>
  <c r="CT16"/>
  <c r="CS16"/>
  <c r="CR16"/>
  <c r="CQ16"/>
  <c r="CP16"/>
  <c r="CO16"/>
  <c r="BG16"/>
  <c r="BA16"/>
  <c r="AY16"/>
  <c r="AN16"/>
  <c r="AF16"/>
  <c r="P16"/>
  <c r="M16"/>
  <c r="K16"/>
  <c r="I16"/>
  <c r="CY15"/>
  <c r="CX15"/>
  <c r="CW15"/>
  <c r="CV15"/>
  <c r="CU15"/>
  <c r="CT15"/>
  <c r="CS15"/>
  <c r="CR15"/>
  <c r="CQ15"/>
  <c r="CP15"/>
  <c r="CO15"/>
  <c r="BG15"/>
  <c r="BA15"/>
  <c r="AY15"/>
  <c r="BI15" s="1"/>
  <c r="AN15"/>
  <c r="AF15"/>
  <c r="P15"/>
  <c r="K15"/>
  <c r="I15"/>
  <c r="H15"/>
  <c r="CY14"/>
  <c r="CX14"/>
  <c r="CW14"/>
  <c r="CV14"/>
  <c r="CU14"/>
  <c r="CT14"/>
  <c r="CS14"/>
  <c r="CR14"/>
  <c r="CQ14"/>
  <c r="CP14"/>
  <c r="CO14"/>
  <c r="BG14"/>
  <c r="BA14"/>
  <c r="AY14"/>
  <c r="M14" s="1"/>
  <c r="AN14"/>
  <c r="AF14"/>
  <c r="P14"/>
  <c r="K14"/>
  <c r="I14"/>
  <c r="CY13"/>
  <c r="CX13"/>
  <c r="CW13"/>
  <c r="CV13"/>
  <c r="CU13"/>
  <c r="CT13"/>
  <c r="CS13"/>
  <c r="CR13"/>
  <c r="CQ13"/>
  <c r="CP13"/>
  <c r="CO13"/>
  <c r="BG13"/>
  <c r="BA13"/>
  <c r="AY13"/>
  <c r="AX13" s="1"/>
  <c r="AN13"/>
  <c r="AF13"/>
  <c r="P13"/>
  <c r="K13"/>
  <c r="I13"/>
  <c r="CY12"/>
  <c r="CX12"/>
  <c r="CW12"/>
  <c r="CV12"/>
  <c r="CU12"/>
  <c r="CT12"/>
  <c r="CS12"/>
  <c r="CR12"/>
  <c r="CQ12"/>
  <c r="CP12"/>
  <c r="CO12"/>
  <c r="BG12"/>
  <c r="BA12"/>
  <c r="AY12"/>
  <c r="M12" s="1"/>
  <c r="AN12"/>
  <c r="AF12"/>
  <c r="P12"/>
  <c r="K12"/>
  <c r="I12"/>
  <c r="CY11"/>
  <c r="CX11"/>
  <c r="CW11"/>
  <c r="CV11"/>
  <c r="CU11"/>
  <c r="CT11"/>
  <c r="CS11"/>
  <c r="CR11"/>
  <c r="CQ11"/>
  <c r="CP11"/>
  <c r="CO11"/>
  <c r="BG11"/>
  <c r="BA11"/>
  <c r="AY11"/>
  <c r="AX11" s="1"/>
  <c r="AN11"/>
  <c r="AF11"/>
  <c r="P11"/>
  <c r="K11"/>
  <c r="I11"/>
  <c r="H11"/>
  <c r="CY10"/>
  <c r="CX10"/>
  <c r="CW10"/>
  <c r="CV10"/>
  <c r="CU10"/>
  <c r="CT10"/>
  <c r="CS10"/>
  <c r="CR10"/>
  <c r="CQ10"/>
  <c r="CP10"/>
  <c r="CO10"/>
  <c r="BG10"/>
  <c r="BA10"/>
  <c r="AY10"/>
  <c r="AN10"/>
  <c r="AF10"/>
  <c r="P10"/>
  <c r="M10"/>
  <c r="K10"/>
  <c r="I10"/>
  <c r="CY9"/>
  <c r="CX9"/>
  <c r="CW9"/>
  <c r="CV9"/>
  <c r="CU9"/>
  <c r="CT9"/>
  <c r="CS9"/>
  <c r="CR9"/>
  <c r="CQ9"/>
  <c r="CP9"/>
  <c r="CO9"/>
  <c r="BG9"/>
  <c r="BA9"/>
  <c r="AY9"/>
  <c r="AX9" s="1"/>
  <c r="AN9"/>
  <c r="AF9"/>
  <c r="P9"/>
  <c r="K9"/>
  <c r="I9"/>
  <c r="CY8"/>
  <c r="CX8"/>
  <c r="CW8"/>
  <c r="CV8"/>
  <c r="CU8"/>
  <c r="CT8"/>
  <c r="CT38" s="1"/>
  <c r="CS8"/>
  <c r="CR8"/>
  <c r="CQ8"/>
  <c r="CP8"/>
  <c r="CO8"/>
  <c r="BG8"/>
  <c r="BA8"/>
  <c r="AY8"/>
  <c r="BI8" s="1"/>
  <c r="AN8"/>
  <c r="AF8"/>
  <c r="P8"/>
  <c r="K8"/>
  <c r="I8"/>
  <c r="CY7"/>
  <c r="CY38" s="1"/>
  <c r="CX7"/>
  <c r="CW7"/>
  <c r="CW38" s="1"/>
  <c r="CV7"/>
  <c r="CU7"/>
  <c r="CU38" s="1"/>
  <c r="CT7"/>
  <c r="CS7"/>
  <c r="CS38" s="1"/>
  <c r="CR7"/>
  <c r="CQ7"/>
  <c r="CQ38" s="1"/>
  <c r="CP7"/>
  <c r="CO7"/>
  <c r="CO38" s="1"/>
  <c r="BG7"/>
  <c r="BA7"/>
  <c r="AY7"/>
  <c r="BI7" s="1"/>
  <c r="AN7"/>
  <c r="AF7"/>
  <c r="P7"/>
  <c r="K7"/>
  <c r="I7"/>
  <c r="H7"/>
  <c r="Q8" i="60"/>
  <c r="Q9"/>
  <c r="Q10"/>
  <c r="Q11"/>
  <c r="Q12"/>
  <c r="Q13"/>
  <c r="R13" s="1"/>
  <c r="T13" s="1"/>
  <c r="Q14"/>
  <c r="R14" s="1"/>
  <c r="T14" s="1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7"/>
  <c r="J8"/>
  <c r="J9"/>
  <c r="J10"/>
  <c r="J11"/>
  <c r="J12"/>
  <c r="J13"/>
  <c r="DD13" s="1"/>
  <c r="DG13" s="1"/>
  <c r="DH13" s="1"/>
  <c r="J14"/>
  <c r="DD14" s="1"/>
  <c r="DG14" s="1"/>
  <c r="DH14" s="1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7"/>
  <c r="B8"/>
  <c r="B9"/>
  <c r="B10"/>
  <c r="B11"/>
  <c r="B12"/>
  <c r="B13"/>
  <c r="C13" s="1"/>
  <c r="D13" s="1"/>
  <c r="B14"/>
  <c r="C14" s="1"/>
  <c r="D14" s="1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7"/>
  <c r="I14"/>
  <c r="K14"/>
  <c r="P14"/>
  <c r="AN14"/>
  <c r="AY14"/>
  <c r="BA14"/>
  <c r="BG14"/>
  <c r="BH14" s="1"/>
  <c r="CO14"/>
  <c r="CP14"/>
  <c r="CQ14"/>
  <c r="CR14"/>
  <c r="CS14"/>
  <c r="CT14"/>
  <c r="CU14"/>
  <c r="CV14"/>
  <c r="CW14"/>
  <c r="CX14"/>
  <c r="CY14"/>
  <c r="I13"/>
  <c r="K13"/>
  <c r="P13"/>
  <c r="AN13"/>
  <c r="AY13"/>
  <c r="H13" s="1"/>
  <c r="BA13"/>
  <c r="BG13"/>
  <c r="BH13" s="1"/>
  <c r="CO13"/>
  <c r="CP13"/>
  <c r="CQ13"/>
  <c r="CR13"/>
  <c r="CS13"/>
  <c r="CT13"/>
  <c r="CU13"/>
  <c r="CV13"/>
  <c r="CW13"/>
  <c r="CX13"/>
  <c r="CY13"/>
  <c r="O38" i="62" l="1"/>
  <c r="O39" s="1"/>
  <c r="I38"/>
  <c r="I39" s="1"/>
  <c r="I41" s="1"/>
  <c r="K38"/>
  <c r="K39" s="1"/>
  <c r="DJ36" i="63"/>
  <c r="M30"/>
  <c r="AI30"/>
  <c r="AX30"/>
  <c r="BB30"/>
  <c r="BD30" s="1"/>
  <c r="E21"/>
  <c r="H28"/>
  <c r="M28"/>
  <c r="BB28"/>
  <c r="BD28" s="1"/>
  <c r="BI28"/>
  <c r="AI28"/>
  <c r="BB26"/>
  <c r="BD26" s="1"/>
  <c r="AI19"/>
  <c r="AX19"/>
  <c r="M19"/>
  <c r="E15"/>
  <c r="DD18"/>
  <c r="DG18" s="1"/>
  <c r="DH18" s="1"/>
  <c r="C9"/>
  <c r="D9" s="1"/>
  <c r="E13"/>
  <c r="H15"/>
  <c r="AI11"/>
  <c r="AX11"/>
  <c r="CT38"/>
  <c r="CX38"/>
  <c r="CV38"/>
  <c r="CR38"/>
  <c r="CP38"/>
  <c r="BA38"/>
  <c r="AN39"/>
  <c r="E26" i="61"/>
  <c r="BC26" s="1"/>
  <c r="DJ35"/>
  <c r="DJ33"/>
  <c r="M32"/>
  <c r="BH8" i="63"/>
  <c r="M31" i="61"/>
  <c r="C24" i="63"/>
  <c r="D24" s="1"/>
  <c r="C26"/>
  <c r="D26" s="1"/>
  <c r="C30"/>
  <c r="D30" s="1"/>
  <c r="DJ31" i="61"/>
  <c r="BB30"/>
  <c r="BD30" s="1"/>
  <c r="BI30"/>
  <c r="F30"/>
  <c r="M30"/>
  <c r="AI30"/>
  <c r="BZ39"/>
  <c r="E8" i="63"/>
  <c r="BC8" s="1"/>
  <c r="C28"/>
  <c r="D28" s="1"/>
  <c r="Q38"/>
  <c r="R38" s="1"/>
  <c r="C11"/>
  <c r="D11" s="1"/>
  <c r="C17"/>
  <c r="D17" s="1"/>
  <c r="C19"/>
  <c r="D19" s="1"/>
  <c r="CV38" i="62"/>
  <c r="T36"/>
  <c r="T34"/>
  <c r="T32"/>
  <c r="T30"/>
  <c r="T28"/>
  <c r="T26"/>
  <c r="T20"/>
  <c r="T18"/>
  <c r="T16"/>
  <c r="T14"/>
  <c r="T12"/>
  <c r="T10"/>
  <c r="T8"/>
  <c r="K38" i="63"/>
  <c r="K39" s="1"/>
  <c r="I38"/>
  <c r="I39" s="1"/>
  <c r="I41" s="1"/>
  <c r="O38"/>
  <c r="O39" s="1"/>
  <c r="BY39"/>
  <c r="BW39"/>
  <c r="CC39"/>
  <c r="BU39"/>
  <c r="BS39"/>
  <c r="M11"/>
  <c r="H17"/>
  <c r="AI17"/>
  <c r="AX17"/>
  <c r="M17"/>
  <c r="M23"/>
  <c r="M8"/>
  <c r="AI9"/>
  <c r="AX9"/>
  <c r="M9"/>
  <c r="BB13"/>
  <c r="BI13"/>
  <c r="BB15"/>
  <c r="BD15" s="1"/>
  <c r="BI15"/>
  <c r="BB21"/>
  <c r="BI21"/>
  <c r="BB24"/>
  <c r="BI24"/>
  <c r="BB8"/>
  <c r="BB9"/>
  <c r="BD9" s="1"/>
  <c r="BB11"/>
  <c r="BD11" s="1"/>
  <c r="H13"/>
  <c r="AI13"/>
  <c r="M13"/>
  <c r="AI15"/>
  <c r="M15"/>
  <c r="BB17"/>
  <c r="BD17" s="1"/>
  <c r="BB19"/>
  <c r="BD19" s="1"/>
  <c r="H21"/>
  <c r="AI21"/>
  <c r="M21"/>
  <c r="H24"/>
  <c r="AI24"/>
  <c r="M24"/>
  <c r="BD13"/>
  <c r="BD21"/>
  <c r="BD24"/>
  <c r="BD8"/>
  <c r="L46"/>
  <c r="U8"/>
  <c r="F8"/>
  <c r="AY38"/>
  <c r="AB39" s="1"/>
  <c r="BH9"/>
  <c r="BH10" s="1"/>
  <c r="BI10"/>
  <c r="BB10"/>
  <c r="AX10"/>
  <c r="AI10"/>
  <c r="H10"/>
  <c r="BH11"/>
  <c r="BH12" s="1"/>
  <c r="BI12"/>
  <c r="BB12"/>
  <c r="AX12"/>
  <c r="AI12"/>
  <c r="H12"/>
  <c r="BH13"/>
  <c r="BH14" s="1"/>
  <c r="BI14"/>
  <c r="BB14"/>
  <c r="BD14" s="1"/>
  <c r="AX14"/>
  <c r="AI14"/>
  <c r="H14"/>
  <c r="BH15"/>
  <c r="BH16" s="1"/>
  <c r="BI16"/>
  <c r="BB16"/>
  <c r="BD16" s="1"/>
  <c r="AX16"/>
  <c r="AI16"/>
  <c r="H16"/>
  <c r="BH17"/>
  <c r="BH18" s="1"/>
  <c r="BI18"/>
  <c r="BB18"/>
  <c r="AX18"/>
  <c r="AI18"/>
  <c r="H18"/>
  <c r="BH19"/>
  <c r="BH20" s="1"/>
  <c r="BI20"/>
  <c r="BB20"/>
  <c r="AX20"/>
  <c r="AI20"/>
  <c r="H20"/>
  <c r="BH21"/>
  <c r="BB22"/>
  <c r="BD22" s="1"/>
  <c r="AX22"/>
  <c r="AI22"/>
  <c r="H22"/>
  <c r="E23"/>
  <c r="C23"/>
  <c r="D23" s="1"/>
  <c r="BI25"/>
  <c r="BB25"/>
  <c r="AX25"/>
  <c r="AI25"/>
  <c r="H25"/>
  <c r="R27"/>
  <c r="T27" s="1"/>
  <c r="R29"/>
  <c r="T29" s="1"/>
  <c r="R31"/>
  <c r="T31" s="1"/>
  <c r="E32"/>
  <c r="C32"/>
  <c r="D32" s="1"/>
  <c r="R33"/>
  <c r="T33" s="1"/>
  <c r="E34"/>
  <c r="C34"/>
  <c r="D34" s="1"/>
  <c r="R35"/>
  <c r="T35" s="1"/>
  <c r="E36"/>
  <c r="C36"/>
  <c r="D36" s="1"/>
  <c r="E10"/>
  <c r="C10"/>
  <c r="D10" s="1"/>
  <c r="E12"/>
  <c r="C12"/>
  <c r="D12" s="1"/>
  <c r="E14"/>
  <c r="C14"/>
  <c r="D14" s="1"/>
  <c r="E16"/>
  <c r="C16"/>
  <c r="D16" s="1"/>
  <c r="E18"/>
  <c r="C18"/>
  <c r="D18" s="1"/>
  <c r="E20"/>
  <c r="C20"/>
  <c r="D20" s="1"/>
  <c r="E22"/>
  <c r="C22"/>
  <c r="D22" s="1"/>
  <c r="R25"/>
  <c r="T25" s="1"/>
  <c r="BI27"/>
  <c r="BB27"/>
  <c r="BD27" s="1"/>
  <c r="AX27"/>
  <c r="AI27"/>
  <c r="U27"/>
  <c r="H27"/>
  <c r="BI29"/>
  <c r="BB29"/>
  <c r="AX29"/>
  <c r="AI29"/>
  <c r="H29"/>
  <c r="BI31"/>
  <c r="BB31"/>
  <c r="BD31" s="1"/>
  <c r="AX31"/>
  <c r="AI31"/>
  <c r="H31"/>
  <c r="BI33"/>
  <c r="BB33"/>
  <c r="AX33"/>
  <c r="AI33"/>
  <c r="H33"/>
  <c r="BI35"/>
  <c r="BB35"/>
  <c r="BD35" s="1"/>
  <c r="AX35"/>
  <c r="AI35"/>
  <c r="H35"/>
  <c r="BF7"/>
  <c r="BF8" s="1"/>
  <c r="BF9" s="1"/>
  <c r="BF10" s="1"/>
  <c r="BF11" s="1"/>
  <c r="BF12" s="1"/>
  <c r="BF13" s="1"/>
  <c r="BF14" s="1"/>
  <c r="BF15" s="1"/>
  <c r="BF16" s="1"/>
  <c r="BF17" s="1"/>
  <c r="BF18" s="1"/>
  <c r="BF19" s="1"/>
  <c r="BF20" s="1"/>
  <c r="BF21" s="1"/>
  <c r="BF22" s="1"/>
  <c r="BF23" s="1"/>
  <c r="BF24" s="1"/>
  <c r="BF25" s="1"/>
  <c r="BF26" s="1"/>
  <c r="BF27" s="1"/>
  <c r="BF28" s="1"/>
  <c r="BF29" s="1"/>
  <c r="BF30" s="1"/>
  <c r="BF31" s="1"/>
  <c r="BF32" s="1"/>
  <c r="BF33" s="1"/>
  <c r="BF34" s="1"/>
  <c r="BF35" s="1"/>
  <c r="BF36" s="1"/>
  <c r="U9"/>
  <c r="U11"/>
  <c r="U13"/>
  <c r="U15"/>
  <c r="U17"/>
  <c r="U19"/>
  <c r="U21"/>
  <c r="U24"/>
  <c r="B38"/>
  <c r="B39" s="1"/>
  <c r="J38"/>
  <c r="C7"/>
  <c r="D7" s="1"/>
  <c r="H7"/>
  <c r="L38"/>
  <c r="L39" s="1"/>
  <c r="N38"/>
  <c r="N39" s="1"/>
  <c r="P38"/>
  <c r="P39" s="1"/>
  <c r="R7"/>
  <c r="AI7"/>
  <c r="AX7"/>
  <c r="BB7"/>
  <c r="BI7"/>
  <c r="CO38"/>
  <c r="CQ38"/>
  <c r="CS38"/>
  <c r="CU38"/>
  <c r="CW38"/>
  <c r="CY38"/>
  <c r="DG7"/>
  <c r="T10"/>
  <c r="BD10"/>
  <c r="T12"/>
  <c r="BD12"/>
  <c r="D13"/>
  <c r="T14"/>
  <c r="D15"/>
  <c r="T16"/>
  <c r="T18"/>
  <c r="BD18"/>
  <c r="T20"/>
  <c r="BD20"/>
  <c r="D21"/>
  <c r="T22"/>
  <c r="BI22"/>
  <c r="M25"/>
  <c r="BH22"/>
  <c r="BI23"/>
  <c r="BB23"/>
  <c r="BD23" s="1"/>
  <c r="AX23"/>
  <c r="AI23"/>
  <c r="U23"/>
  <c r="H23"/>
  <c r="E25"/>
  <c r="C25"/>
  <c r="D25" s="1"/>
  <c r="E27"/>
  <c r="C27"/>
  <c r="D27" s="1"/>
  <c r="E29"/>
  <c r="C29"/>
  <c r="D29" s="1"/>
  <c r="E31"/>
  <c r="C31"/>
  <c r="D31" s="1"/>
  <c r="BI32"/>
  <c r="BB32"/>
  <c r="BD32" s="1"/>
  <c r="AX32"/>
  <c r="AI32"/>
  <c r="U32"/>
  <c r="H32"/>
  <c r="E33"/>
  <c r="C33"/>
  <c r="D33" s="1"/>
  <c r="BI34"/>
  <c r="BB34"/>
  <c r="BD34" s="1"/>
  <c r="AX34"/>
  <c r="AI34"/>
  <c r="U34"/>
  <c r="H34"/>
  <c r="E35"/>
  <c r="C35"/>
  <c r="D35" s="1"/>
  <c r="BI36"/>
  <c r="BB36"/>
  <c r="BD36" s="1"/>
  <c r="AX36"/>
  <c r="AI36"/>
  <c r="U36"/>
  <c r="H36"/>
  <c r="BG35"/>
  <c r="BG34"/>
  <c r="BG33"/>
  <c r="BG32"/>
  <c r="BG31"/>
  <c r="BG29"/>
  <c r="BG27"/>
  <c r="BG25"/>
  <c r="BG23"/>
  <c r="BD25"/>
  <c r="T26"/>
  <c r="T28"/>
  <c r="BD29"/>
  <c r="T30"/>
  <c r="BD33"/>
  <c r="DJ34"/>
  <c r="CA39"/>
  <c r="CE39"/>
  <c r="AT41"/>
  <c r="H21" i="61"/>
  <c r="AF21"/>
  <c r="H13"/>
  <c r="BC8" i="62"/>
  <c r="F8"/>
  <c r="BC10"/>
  <c r="F10"/>
  <c r="BC12"/>
  <c r="F12"/>
  <c r="BC14"/>
  <c r="F14"/>
  <c r="BC16"/>
  <c r="F16"/>
  <c r="BC18"/>
  <c r="F18"/>
  <c r="AZ20"/>
  <c r="U8"/>
  <c r="U10"/>
  <c r="U12"/>
  <c r="U14"/>
  <c r="U16"/>
  <c r="U18"/>
  <c r="BC20"/>
  <c r="F20"/>
  <c r="U20"/>
  <c r="R38"/>
  <c r="Q39"/>
  <c r="AB39"/>
  <c r="AY38"/>
  <c r="X39"/>
  <c r="DD38"/>
  <c r="DE38" s="1"/>
  <c r="BI21"/>
  <c r="BB21"/>
  <c r="AX21"/>
  <c r="AI21"/>
  <c r="H21"/>
  <c r="BI23"/>
  <c r="BB23"/>
  <c r="AX23"/>
  <c r="AI23"/>
  <c r="U23"/>
  <c r="H23"/>
  <c r="BC26"/>
  <c r="F26"/>
  <c r="BC28"/>
  <c r="F28"/>
  <c r="BC30"/>
  <c r="F30"/>
  <c r="BC32"/>
  <c r="F32"/>
  <c r="BC34"/>
  <c r="F34"/>
  <c r="BF7"/>
  <c r="BF8" s="1"/>
  <c r="BF9" s="1"/>
  <c r="BF10" s="1"/>
  <c r="BF11" s="1"/>
  <c r="BF12" s="1"/>
  <c r="BF13" s="1"/>
  <c r="BF14" s="1"/>
  <c r="BF15" s="1"/>
  <c r="BF16" s="1"/>
  <c r="BF17" s="1"/>
  <c r="BF18" s="1"/>
  <c r="BF19" s="1"/>
  <c r="BF20" s="1"/>
  <c r="BF21" s="1"/>
  <c r="BF22" s="1"/>
  <c r="BF23" s="1"/>
  <c r="BF24" s="1"/>
  <c r="BF25" s="1"/>
  <c r="BF26" s="1"/>
  <c r="BF27" s="1"/>
  <c r="BF28" s="1"/>
  <c r="BF29" s="1"/>
  <c r="BF30" s="1"/>
  <c r="BF31" s="1"/>
  <c r="BF32" s="1"/>
  <c r="BF33" s="1"/>
  <c r="BF34" s="1"/>
  <c r="BF35" s="1"/>
  <c r="BF36" s="1"/>
  <c r="BF37" s="1"/>
  <c r="T9"/>
  <c r="T11"/>
  <c r="T13"/>
  <c r="T15"/>
  <c r="T17"/>
  <c r="T19"/>
  <c r="T22"/>
  <c r="AZ24"/>
  <c r="T24"/>
  <c r="AZ36"/>
  <c r="E21"/>
  <c r="C21"/>
  <c r="D21" s="1"/>
  <c r="AZ21" s="1"/>
  <c r="E23"/>
  <c r="C23"/>
  <c r="D23" s="1"/>
  <c r="BC24"/>
  <c r="F24"/>
  <c r="U26"/>
  <c r="U28"/>
  <c r="U30"/>
  <c r="U32"/>
  <c r="U34"/>
  <c r="BC36"/>
  <c r="F36"/>
  <c r="C7"/>
  <c r="D7" s="1"/>
  <c r="E7"/>
  <c r="H7"/>
  <c r="J38"/>
  <c r="L38"/>
  <c r="L39" s="1"/>
  <c r="N38"/>
  <c r="N39" s="1"/>
  <c r="P38"/>
  <c r="P39" s="1"/>
  <c r="R7"/>
  <c r="AI7"/>
  <c r="AX7"/>
  <c r="BB7"/>
  <c r="BD7" s="1"/>
  <c r="BI7"/>
  <c r="CO38"/>
  <c r="CO39" s="1"/>
  <c r="CQ38"/>
  <c r="CS38"/>
  <c r="CU38"/>
  <c r="CW38"/>
  <c r="CY38"/>
  <c r="CV39" s="1"/>
  <c r="DG7"/>
  <c r="BH8"/>
  <c r="BH9" s="1"/>
  <c r="BH10" s="1"/>
  <c r="BH11" s="1"/>
  <c r="BH12" s="1"/>
  <c r="BH13" s="1"/>
  <c r="BH14" s="1"/>
  <c r="BH15" s="1"/>
  <c r="BH16" s="1"/>
  <c r="BH17" s="1"/>
  <c r="BH18" s="1"/>
  <c r="BH19" s="1"/>
  <c r="BH20" s="1"/>
  <c r="BH21" s="1"/>
  <c r="BH22" s="1"/>
  <c r="BH23" s="1"/>
  <c r="BH24" s="1"/>
  <c r="BH25" s="1"/>
  <c r="BH26" s="1"/>
  <c r="BH27" s="1"/>
  <c r="BH28" s="1"/>
  <c r="BH29" s="1"/>
  <c r="BH30" s="1"/>
  <c r="BH31" s="1"/>
  <c r="BH32" s="1"/>
  <c r="BH33" s="1"/>
  <c r="BH34" s="1"/>
  <c r="BH35" s="1"/>
  <c r="BH36" s="1"/>
  <c r="BH37" s="1"/>
  <c r="C9"/>
  <c r="D9" s="1"/>
  <c r="H9"/>
  <c r="U9"/>
  <c r="AI9"/>
  <c r="AX9"/>
  <c r="BB9"/>
  <c r="BD9" s="1"/>
  <c r="C11"/>
  <c r="D11" s="1"/>
  <c r="H11"/>
  <c r="AI11"/>
  <c r="AX11"/>
  <c r="BB11"/>
  <c r="BD11" s="1"/>
  <c r="C13"/>
  <c r="D13" s="1"/>
  <c r="H13"/>
  <c r="AI13"/>
  <c r="AX13"/>
  <c r="BB13"/>
  <c r="BD13" s="1"/>
  <c r="C15"/>
  <c r="D15" s="1"/>
  <c r="H15"/>
  <c r="AI15"/>
  <c r="AX15"/>
  <c r="BB15"/>
  <c r="BD15" s="1"/>
  <c r="C17"/>
  <c r="D17" s="1"/>
  <c r="H17"/>
  <c r="AI17"/>
  <c r="AX17"/>
  <c r="BB17"/>
  <c r="BD17" s="1"/>
  <c r="C19"/>
  <c r="D19" s="1"/>
  <c r="H19"/>
  <c r="AI19"/>
  <c r="AX19"/>
  <c r="BB19"/>
  <c r="BD19" s="1"/>
  <c r="F21"/>
  <c r="T21"/>
  <c r="BD21"/>
  <c r="D22"/>
  <c r="BD23"/>
  <c r="AN39"/>
  <c r="C25"/>
  <c r="D25" s="1"/>
  <c r="E25"/>
  <c r="H25"/>
  <c r="R25"/>
  <c r="T25" s="1"/>
  <c r="AI25"/>
  <c r="AX25"/>
  <c r="BB25"/>
  <c r="BD25" s="1"/>
  <c r="C27"/>
  <c r="D27" s="1"/>
  <c r="E27"/>
  <c r="H27"/>
  <c r="R27"/>
  <c r="T27" s="1"/>
  <c r="AI27"/>
  <c r="AX27"/>
  <c r="BB27"/>
  <c r="BD27" s="1"/>
  <c r="C29"/>
  <c r="D29" s="1"/>
  <c r="E29"/>
  <c r="H29"/>
  <c r="R29"/>
  <c r="T29" s="1"/>
  <c r="AI29"/>
  <c r="AX29"/>
  <c r="BB29"/>
  <c r="BD29" s="1"/>
  <c r="C31"/>
  <c r="D31" s="1"/>
  <c r="E31"/>
  <c r="H31"/>
  <c r="R31"/>
  <c r="T31" s="1"/>
  <c r="AI31"/>
  <c r="AX31"/>
  <c r="BB31"/>
  <c r="BD31" s="1"/>
  <c r="C33"/>
  <c r="D33" s="1"/>
  <c r="E33"/>
  <c r="H33"/>
  <c r="R33"/>
  <c r="T33" s="1"/>
  <c r="AI33"/>
  <c r="AX33"/>
  <c r="BB33"/>
  <c r="BD33" s="1"/>
  <c r="C35"/>
  <c r="D35" s="1"/>
  <c r="E35"/>
  <c r="H35"/>
  <c r="R35"/>
  <c r="T35" s="1"/>
  <c r="AI35"/>
  <c r="AX35"/>
  <c r="BB35"/>
  <c r="BD35" s="1"/>
  <c r="C37"/>
  <c r="D37" s="1"/>
  <c r="E37"/>
  <c r="R37"/>
  <c r="T37" s="1"/>
  <c r="AI37"/>
  <c r="AX37"/>
  <c r="BB37"/>
  <c r="BD37" s="1"/>
  <c r="AT39"/>
  <c r="BS39"/>
  <c r="C39" s="1"/>
  <c r="BU39"/>
  <c r="BW39"/>
  <c r="BY39"/>
  <c r="CA39"/>
  <c r="E39" s="1"/>
  <c r="CC39"/>
  <c r="CE39"/>
  <c r="AT41"/>
  <c r="C24" i="61"/>
  <c r="D24" s="1"/>
  <c r="P38"/>
  <c r="P39" s="1"/>
  <c r="AN39"/>
  <c r="C9"/>
  <c r="D9" s="1"/>
  <c r="E7"/>
  <c r="BC7" s="1"/>
  <c r="E28"/>
  <c r="E30"/>
  <c r="BC30" s="1"/>
  <c r="E11"/>
  <c r="BC11" s="1"/>
  <c r="E15"/>
  <c r="BC15" s="1"/>
  <c r="E13"/>
  <c r="BC13" s="1"/>
  <c r="C17"/>
  <c r="D17" s="1"/>
  <c r="E19"/>
  <c r="BC19" s="1"/>
  <c r="E21"/>
  <c r="BC21" s="1"/>
  <c r="E23"/>
  <c r="BC23" s="1"/>
  <c r="N38"/>
  <c r="N39" s="1"/>
  <c r="L38"/>
  <c r="L39" s="1"/>
  <c r="O38"/>
  <c r="O39" s="1"/>
  <c r="CP38"/>
  <c r="CO39" s="1"/>
  <c r="CX38"/>
  <c r="BW39"/>
  <c r="CC39"/>
  <c r="BY39"/>
  <c r="BU39"/>
  <c r="AI7"/>
  <c r="AX7"/>
  <c r="M8"/>
  <c r="AI15"/>
  <c r="AX15"/>
  <c r="M15"/>
  <c r="AI24"/>
  <c r="AX24"/>
  <c r="H24"/>
  <c r="M24"/>
  <c r="M27"/>
  <c r="BJ7"/>
  <c r="BB9"/>
  <c r="BI9"/>
  <c r="BB11"/>
  <c r="BI11"/>
  <c r="BB13"/>
  <c r="BD13" s="1"/>
  <c r="BI13"/>
  <c r="BB17"/>
  <c r="BI17"/>
  <c r="BB19"/>
  <c r="BI19"/>
  <c r="BB21"/>
  <c r="BI21"/>
  <c r="BB26"/>
  <c r="BI26"/>
  <c r="BB28"/>
  <c r="BD28" s="1"/>
  <c r="BI28"/>
  <c r="BB7"/>
  <c r="BD7" s="1"/>
  <c r="BJ8"/>
  <c r="BJ9" s="1"/>
  <c r="H9"/>
  <c r="M9"/>
  <c r="AI9"/>
  <c r="AI11"/>
  <c r="BD11"/>
  <c r="M11"/>
  <c r="AI13"/>
  <c r="M13"/>
  <c r="BB15"/>
  <c r="BD15" s="1"/>
  <c r="AI17"/>
  <c r="BD17"/>
  <c r="M17"/>
  <c r="AI19"/>
  <c r="BD19"/>
  <c r="M19"/>
  <c r="AI21"/>
  <c r="BD21"/>
  <c r="M21"/>
  <c r="H23"/>
  <c r="M23"/>
  <c r="BB24"/>
  <c r="BD24" s="1"/>
  <c r="AI26"/>
  <c r="BD26"/>
  <c r="M26"/>
  <c r="H28"/>
  <c r="AI28"/>
  <c r="M28"/>
  <c r="BD9"/>
  <c r="L46"/>
  <c r="DD38"/>
  <c r="DF38" s="1"/>
  <c r="DG7"/>
  <c r="F7"/>
  <c r="U9"/>
  <c r="E10"/>
  <c r="C10"/>
  <c r="D10" s="1"/>
  <c r="F11"/>
  <c r="E12"/>
  <c r="C12"/>
  <c r="D12" s="1"/>
  <c r="F13"/>
  <c r="E14"/>
  <c r="C14"/>
  <c r="D14" s="1"/>
  <c r="F15"/>
  <c r="E16"/>
  <c r="C16"/>
  <c r="D16" s="1"/>
  <c r="E18"/>
  <c r="C18"/>
  <c r="D18" s="1"/>
  <c r="F19"/>
  <c r="E20"/>
  <c r="C20"/>
  <c r="D20" s="1"/>
  <c r="F21"/>
  <c r="E22"/>
  <c r="C22"/>
  <c r="D22" s="1"/>
  <c r="F23"/>
  <c r="T25"/>
  <c r="E27"/>
  <c r="C27"/>
  <c r="D27" s="1"/>
  <c r="BI29"/>
  <c r="BB29"/>
  <c r="AX29"/>
  <c r="AI29"/>
  <c r="H29"/>
  <c r="R31"/>
  <c r="T31" s="1"/>
  <c r="E32"/>
  <c r="C32"/>
  <c r="D32" s="1"/>
  <c r="R33"/>
  <c r="T33" s="1"/>
  <c r="E34"/>
  <c r="C34"/>
  <c r="D34" s="1"/>
  <c r="R35"/>
  <c r="T35" s="1"/>
  <c r="E36"/>
  <c r="C36"/>
  <c r="D36" s="1"/>
  <c r="R37"/>
  <c r="T37" s="1"/>
  <c r="AY38"/>
  <c r="BI10"/>
  <c r="BB10"/>
  <c r="BD10" s="1"/>
  <c r="AX10"/>
  <c r="AI10"/>
  <c r="U10"/>
  <c r="H10"/>
  <c r="BI12"/>
  <c r="BB12"/>
  <c r="AX12"/>
  <c r="AI12"/>
  <c r="U12"/>
  <c r="H12"/>
  <c r="BI14"/>
  <c r="BB14"/>
  <c r="BD14" s="1"/>
  <c r="AX14"/>
  <c r="AI14"/>
  <c r="U14"/>
  <c r="H14"/>
  <c r="BI16"/>
  <c r="BB16"/>
  <c r="AX16"/>
  <c r="AI16"/>
  <c r="U16"/>
  <c r="H16"/>
  <c r="BI18"/>
  <c r="BB18"/>
  <c r="BD18" s="1"/>
  <c r="AX18"/>
  <c r="AI18"/>
  <c r="U18"/>
  <c r="H18"/>
  <c r="BI20"/>
  <c r="BB20"/>
  <c r="AX20"/>
  <c r="AI20"/>
  <c r="U20"/>
  <c r="H20"/>
  <c r="BI22"/>
  <c r="BB22"/>
  <c r="BD22" s="1"/>
  <c r="AX22"/>
  <c r="AI22"/>
  <c r="U22"/>
  <c r="H22"/>
  <c r="BI25"/>
  <c r="BB25"/>
  <c r="BD25" s="1"/>
  <c r="AX25"/>
  <c r="AI25"/>
  <c r="H25"/>
  <c r="F26"/>
  <c r="R29"/>
  <c r="T29" s="1"/>
  <c r="BI31"/>
  <c r="BB31"/>
  <c r="AX31"/>
  <c r="AI31"/>
  <c r="U31"/>
  <c r="H31"/>
  <c r="BI33"/>
  <c r="BB33"/>
  <c r="AX33"/>
  <c r="AI33"/>
  <c r="H33"/>
  <c r="BI35"/>
  <c r="BB35"/>
  <c r="BD35" s="1"/>
  <c r="AX35"/>
  <c r="AI35"/>
  <c r="H35"/>
  <c r="BI37"/>
  <c r="BB37"/>
  <c r="AX37"/>
  <c r="AI37"/>
  <c r="U37"/>
  <c r="H37"/>
  <c r="F37"/>
  <c r="T8"/>
  <c r="BD12"/>
  <c r="BD16"/>
  <c r="BD20"/>
  <c r="U28"/>
  <c r="B38"/>
  <c r="B39" s="1"/>
  <c r="J38"/>
  <c r="I38"/>
  <c r="I39" s="1"/>
  <c r="I41" s="1"/>
  <c r="K38"/>
  <c r="K39" s="1"/>
  <c r="M7"/>
  <c r="Q38"/>
  <c r="T7"/>
  <c r="BA38"/>
  <c r="BF7"/>
  <c r="BF8" s="1"/>
  <c r="BF9" s="1"/>
  <c r="BF10" s="1"/>
  <c r="BF11" s="1"/>
  <c r="BF12" s="1"/>
  <c r="BF13" s="1"/>
  <c r="BF14" s="1"/>
  <c r="BF15" s="1"/>
  <c r="BF16" s="1"/>
  <c r="BF17" s="1"/>
  <c r="BF18" s="1"/>
  <c r="BF19" s="1"/>
  <c r="BF20" s="1"/>
  <c r="BF21" s="1"/>
  <c r="BF22" s="1"/>
  <c r="BF23" s="1"/>
  <c r="BF24" s="1"/>
  <c r="BF25" s="1"/>
  <c r="BF26" s="1"/>
  <c r="BF27" s="1"/>
  <c r="BF28" s="1"/>
  <c r="BF29" s="1"/>
  <c r="BF30" s="1"/>
  <c r="BF31" s="1"/>
  <c r="BF32" s="1"/>
  <c r="BF33" s="1"/>
  <c r="BF34" s="1"/>
  <c r="BF35" s="1"/>
  <c r="BF36" s="1"/>
  <c r="BF37" s="1"/>
  <c r="BH7"/>
  <c r="BH8" s="1"/>
  <c r="BH9" s="1"/>
  <c r="BH10" s="1"/>
  <c r="BH11" s="1"/>
  <c r="BH12" s="1"/>
  <c r="BH13" s="1"/>
  <c r="BH14" s="1"/>
  <c r="BH15" s="1"/>
  <c r="BH16" s="1"/>
  <c r="BH17" s="1"/>
  <c r="BH18" s="1"/>
  <c r="BH19" s="1"/>
  <c r="BH20" s="1"/>
  <c r="BH21" s="1"/>
  <c r="BH22" s="1"/>
  <c r="CR38"/>
  <c r="CQ39" s="1"/>
  <c r="CV38"/>
  <c r="C8"/>
  <c r="D8" s="1"/>
  <c r="H8"/>
  <c r="AI8"/>
  <c r="AX8"/>
  <c r="BB8"/>
  <c r="T11"/>
  <c r="T13"/>
  <c r="T15"/>
  <c r="T17"/>
  <c r="T19"/>
  <c r="T21"/>
  <c r="U24"/>
  <c r="M29"/>
  <c r="BI23"/>
  <c r="BB23"/>
  <c r="BD23" s="1"/>
  <c r="AX23"/>
  <c r="AI23"/>
  <c r="U23"/>
  <c r="E25"/>
  <c r="C25"/>
  <c r="D25" s="1"/>
  <c r="BI27"/>
  <c r="BB27"/>
  <c r="BD27" s="1"/>
  <c r="AX27"/>
  <c r="AI27"/>
  <c r="U27"/>
  <c r="H27"/>
  <c r="E29"/>
  <c r="C29"/>
  <c r="D29" s="1"/>
  <c r="E31"/>
  <c r="C31"/>
  <c r="D31" s="1"/>
  <c r="BI32"/>
  <c r="BB32"/>
  <c r="BD32" s="1"/>
  <c r="AX32"/>
  <c r="AI32"/>
  <c r="U32"/>
  <c r="H32"/>
  <c r="E33"/>
  <c r="C33"/>
  <c r="D33" s="1"/>
  <c r="BI34"/>
  <c r="BB34"/>
  <c r="BD34" s="1"/>
  <c r="AX34"/>
  <c r="AI34"/>
  <c r="U34"/>
  <c r="H34"/>
  <c r="E35"/>
  <c r="C35"/>
  <c r="D35" s="1"/>
  <c r="BI36"/>
  <c r="BB36"/>
  <c r="BD36" s="1"/>
  <c r="AX36"/>
  <c r="AI36"/>
  <c r="U36"/>
  <c r="H36"/>
  <c r="E37"/>
  <c r="C37"/>
  <c r="D37" s="1"/>
  <c r="BG37"/>
  <c r="BG36"/>
  <c r="BG35"/>
  <c r="BG34"/>
  <c r="BG33"/>
  <c r="BG32"/>
  <c r="BG31"/>
  <c r="BG29"/>
  <c r="BG27"/>
  <c r="BG25"/>
  <c r="BG23"/>
  <c r="T26"/>
  <c r="D28"/>
  <c r="BD29"/>
  <c r="T30"/>
  <c r="BD31"/>
  <c r="DJ32"/>
  <c r="BD33"/>
  <c r="DJ34"/>
  <c r="DJ36"/>
  <c r="BD37"/>
  <c r="CA39"/>
  <c r="CE39"/>
  <c r="AT41"/>
  <c r="H14" i="60"/>
  <c r="BI14"/>
  <c r="BI13"/>
  <c r="AF14"/>
  <c r="M14"/>
  <c r="F14"/>
  <c r="BB14"/>
  <c r="BD14" s="1"/>
  <c r="AX14"/>
  <c r="AI14"/>
  <c r="U14"/>
  <c r="E14"/>
  <c r="BC14" s="1"/>
  <c r="AF13"/>
  <c r="M13"/>
  <c r="F13"/>
  <c r="BB13"/>
  <c r="BD13" s="1"/>
  <c r="AX13"/>
  <c r="AI13"/>
  <c r="U13"/>
  <c r="E13"/>
  <c r="BC13" s="1"/>
  <c r="R8"/>
  <c r="T8" s="1"/>
  <c r="R9"/>
  <c r="R10"/>
  <c r="R11"/>
  <c r="T11" s="1"/>
  <c r="R12"/>
  <c r="R15"/>
  <c r="T15" s="1"/>
  <c r="R16"/>
  <c r="R17"/>
  <c r="T17" s="1"/>
  <c r="R18"/>
  <c r="R19"/>
  <c r="R20"/>
  <c r="T20" s="1"/>
  <c r="R21"/>
  <c r="T21" s="1"/>
  <c r="R22"/>
  <c r="T22" s="1"/>
  <c r="R24"/>
  <c r="T24" s="1"/>
  <c r="R26"/>
  <c r="T26" s="1"/>
  <c r="R28"/>
  <c r="T28" s="1"/>
  <c r="R29"/>
  <c r="T29" s="1"/>
  <c r="R30"/>
  <c r="T30" s="1"/>
  <c r="R31"/>
  <c r="T31" s="1"/>
  <c r="R32"/>
  <c r="T32" s="1"/>
  <c r="R34"/>
  <c r="T34" s="1"/>
  <c r="R35"/>
  <c r="T35" s="1"/>
  <c r="R36"/>
  <c r="T36" s="1"/>
  <c r="R37"/>
  <c r="DD8"/>
  <c r="DG8" s="1"/>
  <c r="DH8" s="1"/>
  <c r="DD9"/>
  <c r="DG9" s="1"/>
  <c r="DH9" s="1"/>
  <c r="DD10"/>
  <c r="DG10" s="1"/>
  <c r="DH10" s="1"/>
  <c r="DD11"/>
  <c r="DG11" s="1"/>
  <c r="DH11" s="1"/>
  <c r="DD12"/>
  <c r="DG12" s="1"/>
  <c r="DH12" s="1"/>
  <c r="DD15"/>
  <c r="DG15" s="1"/>
  <c r="DH15" s="1"/>
  <c r="DD16"/>
  <c r="DG16" s="1"/>
  <c r="DH16" s="1"/>
  <c r="DD17"/>
  <c r="DG17" s="1"/>
  <c r="DH17" s="1"/>
  <c r="DD18"/>
  <c r="DG18" s="1"/>
  <c r="DH18" s="1"/>
  <c r="DD19"/>
  <c r="DG19" s="1"/>
  <c r="DH19" s="1"/>
  <c r="DD20"/>
  <c r="DG20" s="1"/>
  <c r="DH20" s="1"/>
  <c r="DD21"/>
  <c r="DG21" s="1"/>
  <c r="DH21" s="1"/>
  <c r="DD22"/>
  <c r="DG22" s="1"/>
  <c r="DH22" s="1"/>
  <c r="DD23"/>
  <c r="DG23" s="1"/>
  <c r="DH23" s="1"/>
  <c r="DD24"/>
  <c r="DG24" s="1"/>
  <c r="DH24" s="1"/>
  <c r="DD25"/>
  <c r="DG25" s="1"/>
  <c r="DH25" s="1"/>
  <c r="DD26"/>
  <c r="DG26" s="1"/>
  <c r="DH26" s="1"/>
  <c r="DD27"/>
  <c r="DG27" s="1"/>
  <c r="DH27" s="1"/>
  <c r="DD28"/>
  <c r="DG28" s="1"/>
  <c r="DH28" s="1"/>
  <c r="DD29"/>
  <c r="DG29" s="1"/>
  <c r="DH29" s="1"/>
  <c r="DD30"/>
  <c r="DG30" s="1"/>
  <c r="DH30" s="1"/>
  <c r="DD31"/>
  <c r="DG31" s="1"/>
  <c r="DH31" s="1"/>
  <c r="DD32"/>
  <c r="DG32" s="1"/>
  <c r="DH32" s="1"/>
  <c r="DD34"/>
  <c r="DG34" s="1"/>
  <c r="DH34" s="1"/>
  <c r="DD35"/>
  <c r="DG35" s="1"/>
  <c r="DH35" s="1"/>
  <c r="DD36"/>
  <c r="DG36" s="1"/>
  <c r="DH36" s="1"/>
  <c r="DD37"/>
  <c r="DG37" s="1"/>
  <c r="DH37" s="1"/>
  <c r="DD7"/>
  <c r="C8"/>
  <c r="D8" s="1"/>
  <c r="E9"/>
  <c r="E10"/>
  <c r="E11"/>
  <c r="E12"/>
  <c r="E15"/>
  <c r="E16"/>
  <c r="E17"/>
  <c r="E18"/>
  <c r="E20"/>
  <c r="C22"/>
  <c r="D22" s="1"/>
  <c r="C24"/>
  <c r="D24" s="1"/>
  <c r="E26"/>
  <c r="C28"/>
  <c r="D28" s="1"/>
  <c r="E29"/>
  <c r="C30"/>
  <c r="D30" s="1"/>
  <c r="E31"/>
  <c r="E32"/>
  <c r="E33"/>
  <c r="E34"/>
  <c r="C35"/>
  <c r="D35" s="1"/>
  <c r="E36"/>
  <c r="E37"/>
  <c r="AT46"/>
  <c r="AT43"/>
  <c r="BG37" s="1"/>
  <c r="AS39"/>
  <c r="AQ39"/>
  <c r="AP39"/>
  <c r="AD39"/>
  <c r="AC39"/>
  <c r="Z39"/>
  <c r="Z41" s="1"/>
  <c r="Y39"/>
  <c r="CI38"/>
  <c r="CM39" s="1"/>
  <c r="CH38"/>
  <c r="CL39" s="1"/>
  <c r="CG38"/>
  <c r="CK39" s="1"/>
  <c r="CF38"/>
  <c r="CJ39" s="1"/>
  <c r="BQ38"/>
  <c r="BX39" s="1"/>
  <c r="BP38"/>
  <c r="CD39" s="1"/>
  <c r="BO38"/>
  <c r="BV39" s="1"/>
  <c r="BN38"/>
  <c r="CB39" s="1"/>
  <c r="BM38"/>
  <c r="BT39" s="1"/>
  <c r="BL38"/>
  <c r="BZ39" s="1"/>
  <c r="BK38"/>
  <c r="BR39" s="1"/>
  <c r="BG38"/>
  <c r="AW38"/>
  <c r="AW39" s="1"/>
  <c r="AV38"/>
  <c r="AV39" s="1"/>
  <c r="AU38"/>
  <c r="AU39" s="1"/>
  <c r="AT38"/>
  <c r="AM38"/>
  <c r="AM39" s="1"/>
  <c r="AL38"/>
  <c r="AL39" s="1"/>
  <c r="AJ38"/>
  <c r="AJ39" s="1"/>
  <c r="AH38"/>
  <c r="AH39" s="1"/>
  <c r="AG38"/>
  <c r="AG39" s="1"/>
  <c r="AE38"/>
  <c r="AE39" s="1"/>
  <c r="AD38"/>
  <c r="W38"/>
  <c r="W39" s="1"/>
  <c r="V38"/>
  <c r="V39" s="1"/>
  <c r="S38"/>
  <c r="S39" s="1"/>
  <c r="G38"/>
  <c r="G39" s="1"/>
  <c r="G41" s="1"/>
  <c r="CY37"/>
  <c r="CX37"/>
  <c r="CW37"/>
  <c r="CV37"/>
  <c r="CU37"/>
  <c r="CT37"/>
  <c r="CS37"/>
  <c r="CR37"/>
  <c r="CQ37"/>
  <c r="CP37"/>
  <c r="CO37"/>
  <c r="BB37"/>
  <c r="BD37" s="1"/>
  <c r="BA37"/>
  <c r="AY37"/>
  <c r="BI37" s="1"/>
  <c r="AX37"/>
  <c r="AN37"/>
  <c r="AI37"/>
  <c r="AF37"/>
  <c r="P37"/>
  <c r="M37"/>
  <c r="K37"/>
  <c r="I37"/>
  <c r="H37"/>
  <c r="CY36"/>
  <c r="CX36"/>
  <c r="CW36"/>
  <c r="CV36"/>
  <c r="CU36"/>
  <c r="CT36"/>
  <c r="CS36"/>
  <c r="CR36"/>
  <c r="CQ36"/>
  <c r="CP36"/>
  <c r="CO36"/>
  <c r="BG36"/>
  <c r="BA36"/>
  <c r="AY36"/>
  <c r="BI36" s="1"/>
  <c r="AN36"/>
  <c r="AF36"/>
  <c r="P36"/>
  <c r="K36"/>
  <c r="I36"/>
  <c r="H36"/>
  <c r="CY35"/>
  <c r="CX35"/>
  <c r="CW35"/>
  <c r="CV35"/>
  <c r="CU35"/>
  <c r="CT35"/>
  <c r="CS35"/>
  <c r="CR35"/>
  <c r="CQ35"/>
  <c r="CP35"/>
  <c r="CO35"/>
  <c r="BI35"/>
  <c r="BG35"/>
  <c r="BB35"/>
  <c r="BD35" s="1"/>
  <c r="BA35"/>
  <c r="AY35"/>
  <c r="AX35"/>
  <c r="AN35"/>
  <c r="AI35"/>
  <c r="AF35"/>
  <c r="P35"/>
  <c r="M35"/>
  <c r="K35"/>
  <c r="I35"/>
  <c r="CY34"/>
  <c r="CX34"/>
  <c r="CW34"/>
  <c r="CV34"/>
  <c r="CU34"/>
  <c r="CT34"/>
  <c r="CS34"/>
  <c r="CR34"/>
  <c r="CQ34"/>
  <c r="CP34"/>
  <c r="H34" s="1"/>
  <c r="CO34"/>
  <c r="BA34"/>
  <c r="AY34"/>
  <c r="BI34" s="1"/>
  <c r="AN34"/>
  <c r="AF34"/>
  <c r="P34"/>
  <c r="K34"/>
  <c r="I34"/>
  <c r="CY33"/>
  <c r="CX33"/>
  <c r="CW33"/>
  <c r="CV33"/>
  <c r="CU33"/>
  <c r="CT33"/>
  <c r="CS33"/>
  <c r="CR33"/>
  <c r="CQ33"/>
  <c r="CP33"/>
  <c r="CO33"/>
  <c r="BG33"/>
  <c r="BA33"/>
  <c r="AY33"/>
  <c r="BI33" s="1"/>
  <c r="AN33"/>
  <c r="AF33"/>
  <c r="R33"/>
  <c r="T33" s="1"/>
  <c r="P33"/>
  <c r="K33"/>
  <c r="DD33"/>
  <c r="DG33" s="1"/>
  <c r="DH33" s="1"/>
  <c r="I33"/>
  <c r="CY32"/>
  <c r="CX32"/>
  <c r="CW32"/>
  <c r="CV32"/>
  <c r="CU32"/>
  <c r="CT32"/>
  <c r="CS32"/>
  <c r="CR32"/>
  <c r="CQ32"/>
  <c r="CP32"/>
  <c r="CO32"/>
  <c r="BA32"/>
  <c r="AY32"/>
  <c r="BI32" s="1"/>
  <c r="AN32"/>
  <c r="AF32"/>
  <c r="P32"/>
  <c r="K32"/>
  <c r="I32"/>
  <c r="H32"/>
  <c r="CY31"/>
  <c r="CX31"/>
  <c r="CW31"/>
  <c r="CV31"/>
  <c r="CU31"/>
  <c r="CT31"/>
  <c r="CS31"/>
  <c r="CR31"/>
  <c r="CQ31"/>
  <c r="CP31"/>
  <c r="H31" s="1"/>
  <c r="CO31"/>
  <c r="BI31"/>
  <c r="BG31"/>
  <c r="BB31"/>
  <c r="BD31" s="1"/>
  <c r="BA31"/>
  <c r="AY31"/>
  <c r="AX31"/>
  <c r="AN31"/>
  <c r="AI31"/>
  <c r="AF31"/>
  <c r="P31"/>
  <c r="K31"/>
  <c r="I31"/>
  <c r="CY30"/>
  <c r="CX30"/>
  <c r="CW30"/>
  <c r="CV30"/>
  <c r="CU30"/>
  <c r="CT30"/>
  <c r="CS30"/>
  <c r="CR30"/>
  <c r="CQ30"/>
  <c r="CP30"/>
  <c r="CO30"/>
  <c r="BA30"/>
  <c r="AY30"/>
  <c r="BI30" s="1"/>
  <c r="AN30"/>
  <c r="AF30"/>
  <c r="P30"/>
  <c r="K30"/>
  <c r="I30"/>
  <c r="H30"/>
  <c r="CY29"/>
  <c r="CX29"/>
  <c r="CW29"/>
  <c r="CV29"/>
  <c r="CU29"/>
  <c r="CT29"/>
  <c r="CS29"/>
  <c r="CR29"/>
  <c r="CQ29"/>
  <c r="CP29"/>
  <c r="CO29"/>
  <c r="BA29"/>
  <c r="AY29"/>
  <c r="BI29" s="1"/>
  <c r="AX29"/>
  <c r="AN29"/>
  <c r="AI29"/>
  <c r="AF29"/>
  <c r="P29"/>
  <c r="K29"/>
  <c r="I29"/>
  <c r="H29"/>
  <c r="CY28"/>
  <c r="CX28"/>
  <c r="CW28"/>
  <c r="CV28"/>
  <c r="CU28"/>
  <c r="CT28"/>
  <c r="CS28"/>
  <c r="CR28"/>
  <c r="CQ28"/>
  <c r="CP28"/>
  <c r="CO28"/>
  <c r="BG28"/>
  <c r="BA28"/>
  <c r="AY28"/>
  <c r="BI28" s="1"/>
  <c r="AX28"/>
  <c r="AN28"/>
  <c r="AI28"/>
  <c r="AF28"/>
  <c r="P28"/>
  <c r="K28"/>
  <c r="I28"/>
  <c r="H28"/>
  <c r="CY27"/>
  <c r="CX27"/>
  <c r="CW27"/>
  <c r="CV27"/>
  <c r="CU27"/>
  <c r="CT27"/>
  <c r="CS27"/>
  <c r="CR27"/>
  <c r="CQ27"/>
  <c r="CP27"/>
  <c r="CO27"/>
  <c r="BG27"/>
  <c r="BA27"/>
  <c r="AY27"/>
  <c r="BI27" s="1"/>
  <c r="AN27"/>
  <c r="AF27"/>
  <c r="P27"/>
  <c r="K27"/>
  <c r="I27"/>
  <c r="CY26"/>
  <c r="CX26"/>
  <c r="CW26"/>
  <c r="CV26"/>
  <c r="CU26"/>
  <c r="CT26"/>
  <c r="CS26"/>
  <c r="CR26"/>
  <c r="CQ26"/>
  <c r="CP26"/>
  <c r="CO26"/>
  <c r="H26" s="1"/>
  <c r="BG26"/>
  <c r="BA26"/>
  <c r="AY26"/>
  <c r="BI26" s="1"/>
  <c r="AN26"/>
  <c r="AF26"/>
  <c r="P26"/>
  <c r="K26"/>
  <c r="I26"/>
  <c r="CY25"/>
  <c r="CX25"/>
  <c r="CW25"/>
  <c r="CV25"/>
  <c r="CU25"/>
  <c r="CT25"/>
  <c r="CS25"/>
  <c r="CR25"/>
  <c r="CQ25"/>
  <c r="CP25"/>
  <c r="CO25"/>
  <c r="BG25"/>
  <c r="BA25"/>
  <c r="AY25"/>
  <c r="BI25" s="1"/>
  <c r="AN25"/>
  <c r="AF25"/>
  <c r="P25"/>
  <c r="K25"/>
  <c r="I25"/>
  <c r="CY24"/>
  <c r="CX24"/>
  <c r="CW24"/>
  <c r="CV24"/>
  <c r="CU24"/>
  <c r="M24" s="1"/>
  <c r="CT24"/>
  <c r="CS24"/>
  <c r="CR24"/>
  <c r="CQ24"/>
  <c r="CP24"/>
  <c r="CO24"/>
  <c r="BG24"/>
  <c r="BA24"/>
  <c r="AY24"/>
  <c r="BI24" s="1"/>
  <c r="AX24"/>
  <c r="AN24"/>
  <c r="AI24"/>
  <c r="AF24"/>
  <c r="P24"/>
  <c r="K24"/>
  <c r="I24"/>
  <c r="H24"/>
  <c r="CY23"/>
  <c r="CX23"/>
  <c r="CW23"/>
  <c r="CV23"/>
  <c r="CU23"/>
  <c r="M23" s="1"/>
  <c r="CT23"/>
  <c r="CS23"/>
  <c r="CR23"/>
  <c r="CQ23"/>
  <c r="CP23"/>
  <c r="CO23"/>
  <c r="BG23"/>
  <c r="BA23"/>
  <c r="AY23"/>
  <c r="BI23" s="1"/>
  <c r="AN23"/>
  <c r="AF23"/>
  <c r="P23"/>
  <c r="K23"/>
  <c r="I23"/>
  <c r="CY22"/>
  <c r="CX22"/>
  <c r="CW22"/>
  <c r="CV22"/>
  <c r="CU22"/>
  <c r="CT22"/>
  <c r="CS22"/>
  <c r="CR22"/>
  <c r="CQ22"/>
  <c r="CP22"/>
  <c r="CO22"/>
  <c r="H22" s="1"/>
  <c r="BG22"/>
  <c r="BA22"/>
  <c r="AY22"/>
  <c r="AX22" s="1"/>
  <c r="AN22"/>
  <c r="AF22"/>
  <c r="P22"/>
  <c r="K22"/>
  <c r="I22"/>
  <c r="CY21"/>
  <c r="CX21"/>
  <c r="CW21"/>
  <c r="CV21"/>
  <c r="CU21"/>
  <c r="CT21"/>
  <c r="CS21"/>
  <c r="CR21"/>
  <c r="CQ21"/>
  <c r="CP21"/>
  <c r="CO21"/>
  <c r="BG21"/>
  <c r="BA21"/>
  <c r="AY21"/>
  <c r="AN21"/>
  <c r="AF21"/>
  <c r="P21"/>
  <c r="M21"/>
  <c r="K21"/>
  <c r="I21"/>
  <c r="CY20"/>
  <c r="CX20"/>
  <c r="CW20"/>
  <c r="CV20"/>
  <c r="CU20"/>
  <c r="CT20"/>
  <c r="CS20"/>
  <c r="CR20"/>
  <c r="CQ20"/>
  <c r="CP20"/>
  <c r="CO20"/>
  <c r="BG20"/>
  <c r="BA20"/>
  <c r="AY20"/>
  <c r="BI20" s="1"/>
  <c r="AN20"/>
  <c r="AF20"/>
  <c r="P20"/>
  <c r="K20"/>
  <c r="I20"/>
  <c r="CY19"/>
  <c r="CX19"/>
  <c r="CW19"/>
  <c r="CV19"/>
  <c r="CU19"/>
  <c r="CT19"/>
  <c r="CS19"/>
  <c r="CR19"/>
  <c r="CQ19"/>
  <c r="CP19"/>
  <c r="CO19"/>
  <c r="BA19"/>
  <c r="AY19"/>
  <c r="AN19"/>
  <c r="AF19"/>
  <c r="P19"/>
  <c r="K19"/>
  <c r="I19"/>
  <c r="CY18"/>
  <c r="CX18"/>
  <c r="CW18"/>
  <c r="CV18"/>
  <c r="CU18"/>
  <c r="CT18"/>
  <c r="CS18"/>
  <c r="CR18"/>
  <c r="CQ18"/>
  <c r="CP18"/>
  <c r="CO18"/>
  <c r="BG18"/>
  <c r="BA18"/>
  <c r="AY18"/>
  <c r="BI18" s="1"/>
  <c r="AN18"/>
  <c r="AF18"/>
  <c r="P18"/>
  <c r="K18"/>
  <c r="I18"/>
  <c r="CY17"/>
  <c r="CX17"/>
  <c r="CW17"/>
  <c r="CV17"/>
  <c r="CU17"/>
  <c r="CT17"/>
  <c r="CS17"/>
  <c r="CR17"/>
  <c r="CQ17"/>
  <c r="CP17"/>
  <c r="CO17"/>
  <c r="BG17"/>
  <c r="BA17"/>
  <c r="AY17"/>
  <c r="BI17" s="1"/>
  <c r="AN17"/>
  <c r="P17"/>
  <c r="K17"/>
  <c r="I17"/>
  <c r="CY16"/>
  <c r="CX16"/>
  <c r="CW16"/>
  <c r="CV16"/>
  <c r="CU16"/>
  <c r="CT16"/>
  <c r="CS16"/>
  <c r="CR16"/>
  <c r="CQ16"/>
  <c r="CP16"/>
  <c r="CO16"/>
  <c r="BG16"/>
  <c r="BA16"/>
  <c r="AY16"/>
  <c r="BI16" s="1"/>
  <c r="AN16"/>
  <c r="P16"/>
  <c r="K16"/>
  <c r="I16"/>
  <c r="CY15"/>
  <c r="CX15"/>
  <c r="CW15"/>
  <c r="CV15"/>
  <c r="CU15"/>
  <c r="CT15"/>
  <c r="CS15"/>
  <c r="CR15"/>
  <c r="CQ15"/>
  <c r="CP15"/>
  <c r="CO15"/>
  <c r="BG15"/>
  <c r="BA15"/>
  <c r="AY15"/>
  <c r="BI15" s="1"/>
  <c r="AN15"/>
  <c r="P15"/>
  <c r="K15"/>
  <c r="I15"/>
  <c r="CY12"/>
  <c r="CX12"/>
  <c r="CW12"/>
  <c r="CV12"/>
  <c r="CU12"/>
  <c r="CT12"/>
  <c r="CS12"/>
  <c r="CR12"/>
  <c r="CQ12"/>
  <c r="CP12"/>
  <c r="CO12"/>
  <c r="BG12"/>
  <c r="BA12"/>
  <c r="AY12"/>
  <c r="BI12" s="1"/>
  <c r="AN12"/>
  <c r="P12"/>
  <c r="K12"/>
  <c r="I12"/>
  <c r="CY11"/>
  <c r="CX11"/>
  <c r="CW11"/>
  <c r="CV11"/>
  <c r="CU11"/>
  <c r="CT11"/>
  <c r="CS11"/>
  <c r="CR11"/>
  <c r="CQ11"/>
  <c r="CP11"/>
  <c r="CO11"/>
  <c r="BG11"/>
  <c r="BA11"/>
  <c r="AY11"/>
  <c r="BI11" s="1"/>
  <c r="AN11"/>
  <c r="P11"/>
  <c r="K11"/>
  <c r="I11"/>
  <c r="CY10"/>
  <c r="CX10"/>
  <c r="CW10"/>
  <c r="CV10"/>
  <c r="CU10"/>
  <c r="CT10"/>
  <c r="CS10"/>
  <c r="CR10"/>
  <c r="CQ10"/>
  <c r="CP10"/>
  <c r="CO10"/>
  <c r="BG10"/>
  <c r="BA10"/>
  <c r="AY10"/>
  <c r="BI10" s="1"/>
  <c r="AN10"/>
  <c r="P10"/>
  <c r="K10"/>
  <c r="I10"/>
  <c r="CY9"/>
  <c r="CX9"/>
  <c r="CW9"/>
  <c r="CV9"/>
  <c r="CU9"/>
  <c r="CT9"/>
  <c r="CS9"/>
  <c r="CR9"/>
  <c r="CQ9"/>
  <c r="CP9"/>
  <c r="CO9"/>
  <c r="BA9"/>
  <c r="AY9"/>
  <c r="BI9" s="1"/>
  <c r="AN9"/>
  <c r="P9"/>
  <c r="K9"/>
  <c r="I9"/>
  <c r="CY8"/>
  <c r="CX8"/>
  <c r="CW8"/>
  <c r="CV8"/>
  <c r="CU8"/>
  <c r="CT8"/>
  <c r="CS8"/>
  <c r="CR8"/>
  <c r="CQ8"/>
  <c r="CP8"/>
  <c r="CO8"/>
  <c r="BA8"/>
  <c r="AY8"/>
  <c r="BI8" s="1"/>
  <c r="AN8"/>
  <c r="P8"/>
  <c r="K8"/>
  <c r="I8"/>
  <c r="CY7"/>
  <c r="CX7"/>
  <c r="CW7"/>
  <c r="CV7"/>
  <c r="CU7"/>
  <c r="CT7"/>
  <c r="CT38" s="1"/>
  <c r="CS7"/>
  <c r="CR7"/>
  <c r="CQ7"/>
  <c r="CP7"/>
  <c r="CO7"/>
  <c r="BA7"/>
  <c r="AY7"/>
  <c r="M7" s="1"/>
  <c r="AN7"/>
  <c r="P7"/>
  <c r="K7"/>
  <c r="I7"/>
  <c r="U35" l="1"/>
  <c r="AZ26" i="63"/>
  <c r="DF38" i="62"/>
  <c r="AZ36" i="63"/>
  <c r="F36"/>
  <c r="AZ35"/>
  <c r="U35"/>
  <c r="F35"/>
  <c r="AZ34"/>
  <c r="F34"/>
  <c r="U33"/>
  <c r="F33"/>
  <c r="AZ33"/>
  <c r="AZ32"/>
  <c r="F32"/>
  <c r="AZ31"/>
  <c r="U31"/>
  <c r="F31"/>
  <c r="AZ30"/>
  <c r="U30"/>
  <c r="F30"/>
  <c r="AZ29"/>
  <c r="F29"/>
  <c r="U29"/>
  <c r="AZ28"/>
  <c r="F28"/>
  <c r="U28"/>
  <c r="AZ27"/>
  <c r="F27"/>
  <c r="U26"/>
  <c r="F26"/>
  <c r="DD38"/>
  <c r="DF38" s="1"/>
  <c r="CV39"/>
  <c r="AZ8"/>
  <c r="CO39"/>
  <c r="AZ35" i="61"/>
  <c r="U35"/>
  <c r="F35"/>
  <c r="AZ26"/>
  <c r="AZ34"/>
  <c r="F34"/>
  <c r="AZ33"/>
  <c r="F33"/>
  <c r="U33"/>
  <c r="AZ32"/>
  <c r="F32"/>
  <c r="AZ31"/>
  <c r="BC30" i="63"/>
  <c r="BC28"/>
  <c r="BC26"/>
  <c r="F31" i="61"/>
  <c r="U30"/>
  <c r="AZ30"/>
  <c r="Q39" i="63"/>
  <c r="U36" i="62"/>
  <c r="U19"/>
  <c r="U17"/>
  <c r="U15"/>
  <c r="U13"/>
  <c r="U11"/>
  <c r="AZ23" i="61"/>
  <c r="R39" i="63"/>
  <c r="R41" s="1"/>
  <c r="C39"/>
  <c r="BC36"/>
  <c r="BC32"/>
  <c r="AZ23"/>
  <c r="BC23"/>
  <c r="F23"/>
  <c r="BC24"/>
  <c r="F24"/>
  <c r="AZ24"/>
  <c r="BC35"/>
  <c r="BC33"/>
  <c r="BC31"/>
  <c r="BC29"/>
  <c r="BC27"/>
  <c r="AZ25"/>
  <c r="BC25"/>
  <c r="BC21"/>
  <c r="F21"/>
  <c r="AZ21"/>
  <c r="BC19"/>
  <c r="F19"/>
  <c r="AZ19"/>
  <c r="BC17"/>
  <c r="F17"/>
  <c r="AZ17"/>
  <c r="BC15"/>
  <c r="F15"/>
  <c r="AZ15"/>
  <c r="BC13"/>
  <c r="F13"/>
  <c r="AZ13"/>
  <c r="BC11"/>
  <c r="F11"/>
  <c r="AZ11"/>
  <c r="BC9"/>
  <c r="F9"/>
  <c r="AZ9"/>
  <c r="BI38"/>
  <c r="BJ7"/>
  <c r="BJ8" s="1"/>
  <c r="BJ9" s="1"/>
  <c r="BJ10" s="1"/>
  <c r="BJ11" s="1"/>
  <c r="BJ12" s="1"/>
  <c r="BJ13" s="1"/>
  <c r="BJ14" s="1"/>
  <c r="BJ15" s="1"/>
  <c r="BJ16" s="1"/>
  <c r="BJ17" s="1"/>
  <c r="BJ18" s="1"/>
  <c r="BJ19" s="1"/>
  <c r="BJ20" s="1"/>
  <c r="BJ21" s="1"/>
  <c r="BJ22" s="1"/>
  <c r="BJ23" s="1"/>
  <c r="BJ24" s="1"/>
  <c r="BJ25" s="1"/>
  <c r="BJ26" s="1"/>
  <c r="BJ27" s="1"/>
  <c r="BJ28" s="1"/>
  <c r="BJ29" s="1"/>
  <c r="BJ30" s="1"/>
  <c r="BJ31" s="1"/>
  <c r="BJ32" s="1"/>
  <c r="BJ33" s="1"/>
  <c r="BJ34" s="1"/>
  <c r="BJ35" s="1"/>
  <c r="BJ36" s="1"/>
  <c r="AZ48" s="1"/>
  <c r="AZ51" s="1"/>
  <c r="D38"/>
  <c r="BC7"/>
  <c r="F7"/>
  <c r="AZ22"/>
  <c r="BC22"/>
  <c r="AZ20"/>
  <c r="BC20"/>
  <c r="AZ18"/>
  <c r="BC18"/>
  <c r="AZ16"/>
  <c r="BC16"/>
  <c r="AZ14"/>
  <c r="BC14"/>
  <c r="AZ12"/>
  <c r="BC12"/>
  <c r="AZ10"/>
  <c r="BC10"/>
  <c r="BC34"/>
  <c r="BH23"/>
  <c r="BH24" s="1"/>
  <c r="BH25" s="1"/>
  <c r="BH26" s="1"/>
  <c r="BH27" s="1"/>
  <c r="BH28" s="1"/>
  <c r="BH29" s="1"/>
  <c r="BH30" s="1"/>
  <c r="BH31" s="1"/>
  <c r="BH32" s="1"/>
  <c r="BH33" s="1"/>
  <c r="BH34" s="1"/>
  <c r="BH35" s="1"/>
  <c r="BH36" s="1"/>
  <c r="DH7"/>
  <c r="AZ7" s="1"/>
  <c r="J39"/>
  <c r="AY39"/>
  <c r="AX39" s="1"/>
  <c r="AF39"/>
  <c r="H39"/>
  <c r="X39"/>
  <c r="AI39"/>
  <c r="M39"/>
  <c r="CQ39"/>
  <c r="BB38"/>
  <c r="F25"/>
  <c r="U25"/>
  <c r="U20"/>
  <c r="U18"/>
  <c r="U16"/>
  <c r="U14"/>
  <c r="U12"/>
  <c r="U10"/>
  <c r="E39"/>
  <c r="F22"/>
  <c r="F20"/>
  <c r="F18"/>
  <c r="F16"/>
  <c r="F14"/>
  <c r="F12"/>
  <c r="F10"/>
  <c r="BD7"/>
  <c r="BD38" s="1"/>
  <c r="BD39" s="1"/>
  <c r="T7"/>
  <c r="U22"/>
  <c r="AZ17" i="61"/>
  <c r="AZ15"/>
  <c r="F17"/>
  <c r="CV39"/>
  <c r="AZ21"/>
  <c r="AZ19"/>
  <c r="AZ13"/>
  <c r="AZ11"/>
  <c r="U37" i="62"/>
  <c r="BC37"/>
  <c r="F37"/>
  <c r="AZ37"/>
  <c r="U35"/>
  <c r="BC33"/>
  <c r="F33"/>
  <c r="AZ33"/>
  <c r="U31"/>
  <c r="BC29"/>
  <c r="F29"/>
  <c r="AZ29"/>
  <c r="U27"/>
  <c r="BC25"/>
  <c r="F25"/>
  <c r="AZ25"/>
  <c r="BC19"/>
  <c r="F19"/>
  <c r="AZ19"/>
  <c r="BC17"/>
  <c r="F17"/>
  <c r="AZ17"/>
  <c r="BC15"/>
  <c r="F15"/>
  <c r="AZ15"/>
  <c r="BC13"/>
  <c r="F13"/>
  <c r="AZ13"/>
  <c r="BC11"/>
  <c r="F11"/>
  <c r="AZ11"/>
  <c r="BC9"/>
  <c r="F9"/>
  <c r="AZ9"/>
  <c r="D38"/>
  <c r="BC7"/>
  <c r="F7"/>
  <c r="BD38"/>
  <c r="BD39" s="1"/>
  <c r="BC35"/>
  <c r="F35"/>
  <c r="AZ35"/>
  <c r="U33"/>
  <c r="BC31"/>
  <c r="F31"/>
  <c r="AZ31"/>
  <c r="U29"/>
  <c r="BC27"/>
  <c r="F27"/>
  <c r="AZ27"/>
  <c r="U25"/>
  <c r="F23"/>
  <c r="BC23"/>
  <c r="AZ23"/>
  <c r="DG38"/>
  <c r="DH38" s="1"/>
  <c r="DH7"/>
  <c r="AZ7" s="1"/>
  <c r="U24"/>
  <c r="U22"/>
  <c r="BC39"/>
  <c r="AY39"/>
  <c r="AX39" s="1"/>
  <c r="AF39"/>
  <c r="H39"/>
  <c r="F39"/>
  <c r="F41" s="1"/>
  <c r="AI39"/>
  <c r="M39"/>
  <c r="CO40"/>
  <c r="BC22"/>
  <c r="F22"/>
  <c r="BI38"/>
  <c r="BJ7"/>
  <c r="BJ8" s="1"/>
  <c r="BJ9" s="1"/>
  <c r="BJ10" s="1"/>
  <c r="BJ11" s="1"/>
  <c r="BJ12" s="1"/>
  <c r="BJ13" s="1"/>
  <c r="BJ14" s="1"/>
  <c r="BJ15" s="1"/>
  <c r="BJ16" s="1"/>
  <c r="BJ17" s="1"/>
  <c r="BJ18" s="1"/>
  <c r="BJ19" s="1"/>
  <c r="BJ20" s="1"/>
  <c r="J39"/>
  <c r="BC21"/>
  <c r="CQ39"/>
  <c r="BB38"/>
  <c r="R39"/>
  <c r="R41" s="1"/>
  <c r="T7"/>
  <c r="U21"/>
  <c r="BJ21"/>
  <c r="BJ22" s="1"/>
  <c r="BJ23" s="1"/>
  <c r="BJ24" s="1"/>
  <c r="BJ25" s="1"/>
  <c r="BJ26" s="1"/>
  <c r="BJ27" s="1"/>
  <c r="BJ28" s="1"/>
  <c r="BJ29" s="1"/>
  <c r="BJ30" s="1"/>
  <c r="BJ31" s="1"/>
  <c r="BJ32" s="1"/>
  <c r="BJ33" s="1"/>
  <c r="BJ34" s="1"/>
  <c r="BJ35" s="1"/>
  <c r="BJ36" s="1"/>
  <c r="BJ37" s="1"/>
  <c r="AZ48" s="1"/>
  <c r="AZ51" s="1"/>
  <c r="AZ22"/>
  <c r="BI38" i="61"/>
  <c r="AZ9"/>
  <c r="F9"/>
  <c r="BJ10"/>
  <c r="BJ11" s="1"/>
  <c r="BJ12" s="1"/>
  <c r="BJ13" s="1"/>
  <c r="BJ14" s="1"/>
  <c r="BJ15" s="1"/>
  <c r="BJ16" s="1"/>
  <c r="BJ17" s="1"/>
  <c r="BJ18" s="1"/>
  <c r="BJ19" s="1"/>
  <c r="BJ20" s="1"/>
  <c r="BJ21" s="1"/>
  <c r="BJ22" s="1"/>
  <c r="BJ23" s="1"/>
  <c r="BJ24" s="1"/>
  <c r="BJ25" s="1"/>
  <c r="BJ26" s="1"/>
  <c r="BJ27" s="1"/>
  <c r="BJ28" s="1"/>
  <c r="BJ29" s="1"/>
  <c r="BJ30" s="1"/>
  <c r="BJ31" s="1"/>
  <c r="BJ32" s="1"/>
  <c r="BJ33" s="1"/>
  <c r="BJ34" s="1"/>
  <c r="BJ35" s="1"/>
  <c r="BJ36" s="1"/>
  <c r="BJ37" s="1"/>
  <c r="AZ48" s="1"/>
  <c r="AZ51" s="1"/>
  <c r="BB36" i="60"/>
  <c r="BD36" s="1"/>
  <c r="M36"/>
  <c r="U36"/>
  <c r="AI36"/>
  <c r="AX36"/>
  <c r="H35"/>
  <c r="F35"/>
  <c r="BC9" i="61"/>
  <c r="BB34" i="60"/>
  <c r="BD34" s="1"/>
  <c r="M34"/>
  <c r="U34"/>
  <c r="AI34"/>
  <c r="AX34"/>
  <c r="BC17" i="61"/>
  <c r="H33" i="60"/>
  <c r="M33"/>
  <c r="U33"/>
  <c r="AI33"/>
  <c r="AX33"/>
  <c r="BB33"/>
  <c r="BD33"/>
  <c r="BB32"/>
  <c r="BD32" s="1"/>
  <c r="M32"/>
  <c r="U32"/>
  <c r="AI32"/>
  <c r="AX32"/>
  <c r="M31"/>
  <c r="U31"/>
  <c r="R39" i="61"/>
  <c r="R41" s="1"/>
  <c r="E39"/>
  <c r="BB38"/>
  <c r="BD8"/>
  <c r="BD38" s="1"/>
  <c r="BD39" s="1"/>
  <c r="U8"/>
  <c r="AZ8"/>
  <c r="BC8"/>
  <c r="F8"/>
  <c r="D38"/>
  <c r="BC34"/>
  <c r="U25"/>
  <c r="U29"/>
  <c r="U26"/>
  <c r="BC24"/>
  <c r="F24"/>
  <c r="AZ24"/>
  <c r="BC37"/>
  <c r="BC35"/>
  <c r="BC33"/>
  <c r="BC31"/>
  <c r="AZ29"/>
  <c r="BC29"/>
  <c r="AZ25"/>
  <c r="BC25"/>
  <c r="AZ22"/>
  <c r="BC22"/>
  <c r="F22"/>
  <c r="U21"/>
  <c r="AZ18"/>
  <c r="BC18"/>
  <c r="F18"/>
  <c r="U17"/>
  <c r="AZ14"/>
  <c r="BC14"/>
  <c r="F14"/>
  <c r="U13"/>
  <c r="AZ10"/>
  <c r="BC10"/>
  <c r="F10"/>
  <c r="T38"/>
  <c r="U7"/>
  <c r="AY39"/>
  <c r="AX39" s="1"/>
  <c r="AF39"/>
  <c r="H39"/>
  <c r="X39"/>
  <c r="AI39"/>
  <c r="M39"/>
  <c r="BC36"/>
  <c r="BC32"/>
  <c r="AZ27"/>
  <c r="BC27"/>
  <c r="F27"/>
  <c r="BC28"/>
  <c r="F28"/>
  <c r="AZ28"/>
  <c r="BH23"/>
  <c r="BH24" s="1"/>
  <c r="BH25" s="1"/>
  <c r="BH26" s="1"/>
  <c r="BH27" s="1"/>
  <c r="BH28" s="1"/>
  <c r="BH29" s="1"/>
  <c r="BH30" s="1"/>
  <c r="BH31" s="1"/>
  <c r="BH32" s="1"/>
  <c r="BH33" s="1"/>
  <c r="BH34" s="1"/>
  <c r="BH35" s="1"/>
  <c r="BH36" s="1"/>
  <c r="BH37" s="1"/>
  <c r="AZ20"/>
  <c r="BC20"/>
  <c r="F20"/>
  <c r="U19"/>
  <c r="AZ16"/>
  <c r="BC16"/>
  <c r="F16"/>
  <c r="U15"/>
  <c r="AZ12"/>
  <c r="BC12"/>
  <c r="F12"/>
  <c r="U11"/>
  <c r="R38"/>
  <c r="Q39"/>
  <c r="J39"/>
  <c r="DH7"/>
  <c r="AZ7" s="1"/>
  <c r="CO40"/>
  <c r="DE38"/>
  <c r="DG38" s="1"/>
  <c r="C39"/>
  <c r="F25"/>
  <c r="AB39"/>
  <c r="F29"/>
  <c r="M18" i="60"/>
  <c r="M25"/>
  <c r="M27"/>
  <c r="M19"/>
  <c r="CX38"/>
  <c r="AF17"/>
  <c r="AF16"/>
  <c r="AF15"/>
  <c r="AZ14"/>
  <c r="AZ13"/>
  <c r="AF12"/>
  <c r="AF11"/>
  <c r="AF9"/>
  <c r="CR38"/>
  <c r="CP38"/>
  <c r="H8"/>
  <c r="AF8"/>
  <c r="BA38"/>
  <c r="CV38"/>
  <c r="AF7"/>
  <c r="C33"/>
  <c r="D33" s="1"/>
  <c r="C11"/>
  <c r="D11" s="1"/>
  <c r="C15"/>
  <c r="D15" s="1"/>
  <c r="C17"/>
  <c r="D17" s="1"/>
  <c r="C29"/>
  <c r="D29" s="1"/>
  <c r="AZ29" s="1"/>
  <c r="C31"/>
  <c r="D31" s="1"/>
  <c r="E35"/>
  <c r="BC35" s="1"/>
  <c r="B38"/>
  <c r="B39" s="1"/>
  <c r="O38"/>
  <c r="O39" s="1"/>
  <c r="BG7"/>
  <c r="BH7" s="1"/>
  <c r="BG8"/>
  <c r="BG9"/>
  <c r="BG19"/>
  <c r="BG29"/>
  <c r="BG30"/>
  <c r="BG32"/>
  <c r="BG34"/>
  <c r="Q38"/>
  <c r="R38" s="1"/>
  <c r="E24"/>
  <c r="BC24" s="1"/>
  <c r="C20"/>
  <c r="D20" s="1"/>
  <c r="E8"/>
  <c r="BC8" s="1"/>
  <c r="E22"/>
  <c r="BC22" s="1"/>
  <c r="C26"/>
  <c r="D26" s="1"/>
  <c r="E28"/>
  <c r="BC28" s="1"/>
  <c r="E30"/>
  <c r="BC30" s="1"/>
  <c r="C32"/>
  <c r="D32" s="1"/>
  <c r="K38"/>
  <c r="K39" s="1"/>
  <c r="C34"/>
  <c r="D34" s="1"/>
  <c r="C36"/>
  <c r="D36" s="1"/>
  <c r="I38"/>
  <c r="I39" s="1"/>
  <c r="I41" s="1"/>
  <c r="AI8"/>
  <c r="AX8"/>
  <c r="M8"/>
  <c r="M9"/>
  <c r="M28"/>
  <c r="M29"/>
  <c r="AF10"/>
  <c r="BB8"/>
  <c r="BD8" s="1"/>
  <c r="M10"/>
  <c r="H11"/>
  <c r="AI11"/>
  <c r="AX11"/>
  <c r="M11"/>
  <c r="M12"/>
  <c r="H15"/>
  <c r="AI15"/>
  <c r="AX15"/>
  <c r="M15"/>
  <c r="M16"/>
  <c r="H17"/>
  <c r="AI17"/>
  <c r="AX17"/>
  <c r="M17"/>
  <c r="H20"/>
  <c r="AI20"/>
  <c r="AX20"/>
  <c r="M20"/>
  <c r="BB22"/>
  <c r="BD22" s="1"/>
  <c r="BI22"/>
  <c r="BB24"/>
  <c r="BD24" s="1"/>
  <c r="AI26"/>
  <c r="AX26"/>
  <c r="M26"/>
  <c r="BB28"/>
  <c r="BD28" s="1"/>
  <c r="BB29"/>
  <c r="BD29" s="1"/>
  <c r="AI30"/>
  <c r="AX30"/>
  <c r="M30"/>
  <c r="BB11"/>
  <c r="BD11" s="1"/>
  <c r="BB15"/>
  <c r="BD15" s="1"/>
  <c r="BB17"/>
  <c r="BB20"/>
  <c r="AI22"/>
  <c r="M22"/>
  <c r="BB26"/>
  <c r="BD26" s="1"/>
  <c r="BB30"/>
  <c r="BD17"/>
  <c r="BD20"/>
  <c r="BD30"/>
  <c r="L46"/>
  <c r="F8"/>
  <c r="U8"/>
  <c r="U11"/>
  <c r="U15"/>
  <c r="U17"/>
  <c r="AY38"/>
  <c r="AB39" s="1"/>
  <c r="DD38"/>
  <c r="DE38" s="1"/>
  <c r="BI19"/>
  <c r="BB19"/>
  <c r="BD19" s="1"/>
  <c r="AX19"/>
  <c r="AI19"/>
  <c r="H19"/>
  <c r="BI21"/>
  <c r="BB21"/>
  <c r="AX21"/>
  <c r="AI21"/>
  <c r="U21"/>
  <c r="H21"/>
  <c r="U22"/>
  <c r="U24"/>
  <c r="U26"/>
  <c r="U28"/>
  <c r="U30"/>
  <c r="BF7"/>
  <c r="BF8" s="1"/>
  <c r="BF9" s="1"/>
  <c r="BF10" s="1"/>
  <c r="BF11" s="1"/>
  <c r="BF12" s="1"/>
  <c r="T9"/>
  <c r="T10"/>
  <c r="T12"/>
  <c r="T16"/>
  <c r="T18"/>
  <c r="U20"/>
  <c r="E19"/>
  <c r="C19"/>
  <c r="D19" s="1"/>
  <c r="E21"/>
  <c r="C21"/>
  <c r="D21" s="1"/>
  <c r="F22"/>
  <c r="F24"/>
  <c r="F28"/>
  <c r="U29"/>
  <c r="F30"/>
  <c r="C7"/>
  <c r="D7" s="1"/>
  <c r="E7"/>
  <c r="H7"/>
  <c r="J38"/>
  <c r="L38"/>
  <c r="L39" s="1"/>
  <c r="N38"/>
  <c r="N39" s="1"/>
  <c r="P38"/>
  <c r="P39" s="1"/>
  <c r="R7"/>
  <c r="AI7"/>
  <c r="AX7"/>
  <c r="BB7"/>
  <c r="BD7" s="1"/>
  <c r="BI7"/>
  <c r="CO38"/>
  <c r="CQ38"/>
  <c r="CS38"/>
  <c r="CU38"/>
  <c r="CW38"/>
  <c r="CY38"/>
  <c r="DG7"/>
  <c r="BH8"/>
  <c r="BH9" s="1"/>
  <c r="BH10" s="1"/>
  <c r="BH11" s="1"/>
  <c r="BH12" s="1"/>
  <c r="BH15" s="1"/>
  <c r="BH16" s="1"/>
  <c r="BH17" s="1"/>
  <c r="BH18" s="1"/>
  <c r="BH19" s="1"/>
  <c r="BH20" s="1"/>
  <c r="BH21" s="1"/>
  <c r="BH22" s="1"/>
  <c r="BH23" s="1"/>
  <c r="BH24" s="1"/>
  <c r="BH25" s="1"/>
  <c r="BH26" s="1"/>
  <c r="BH27" s="1"/>
  <c r="BH28" s="1"/>
  <c r="BH29" s="1"/>
  <c r="BH30" s="1"/>
  <c r="BH31" s="1"/>
  <c r="BH32" s="1"/>
  <c r="BH33" s="1"/>
  <c r="BH34" s="1"/>
  <c r="BH35" s="1"/>
  <c r="BH36" s="1"/>
  <c r="BH37" s="1"/>
  <c r="C9"/>
  <c r="D9" s="1"/>
  <c r="H9"/>
  <c r="AI9"/>
  <c r="AX9"/>
  <c r="BB9"/>
  <c r="BD9" s="1"/>
  <c r="C10"/>
  <c r="D10" s="1"/>
  <c r="H10"/>
  <c r="AI10"/>
  <c r="AX10"/>
  <c r="BB10"/>
  <c r="BD10" s="1"/>
  <c r="C12"/>
  <c r="D12" s="1"/>
  <c r="H12"/>
  <c r="AI12"/>
  <c r="AX12"/>
  <c r="BB12"/>
  <c r="BD12" s="1"/>
  <c r="C16"/>
  <c r="D16" s="1"/>
  <c r="H16"/>
  <c r="AI16"/>
  <c r="AX16"/>
  <c r="BB16"/>
  <c r="BD16" s="1"/>
  <c r="C18"/>
  <c r="D18" s="1"/>
  <c r="H18"/>
  <c r="AI18"/>
  <c r="AX18"/>
  <c r="BB18"/>
  <c r="BD18" s="1"/>
  <c r="T19"/>
  <c r="BD21"/>
  <c r="C23"/>
  <c r="D23" s="1"/>
  <c r="E23"/>
  <c r="H23"/>
  <c r="R23"/>
  <c r="T23" s="1"/>
  <c r="AI23"/>
  <c r="AX23"/>
  <c r="BB23"/>
  <c r="BD23" s="1"/>
  <c r="C25"/>
  <c r="D25" s="1"/>
  <c r="E25"/>
  <c r="H25"/>
  <c r="R25"/>
  <c r="T25" s="1"/>
  <c r="AI25"/>
  <c r="AX25"/>
  <c r="BB25"/>
  <c r="BD25" s="1"/>
  <c r="C27"/>
  <c r="D27" s="1"/>
  <c r="E27"/>
  <c r="H27"/>
  <c r="R27"/>
  <c r="T27" s="1"/>
  <c r="AI27"/>
  <c r="AX27"/>
  <c r="BB27"/>
  <c r="BD27" s="1"/>
  <c r="T37"/>
  <c r="AT39"/>
  <c r="AN39" s="1"/>
  <c r="BS39"/>
  <c r="BU39"/>
  <c r="BW39"/>
  <c r="BY39"/>
  <c r="CA39"/>
  <c r="CC39"/>
  <c r="CE39"/>
  <c r="C37"/>
  <c r="D37" s="1"/>
  <c r="AT41"/>
  <c r="AZ30" l="1"/>
  <c r="AZ28"/>
  <c r="F34"/>
  <c r="F32"/>
  <c r="AZ17"/>
  <c r="F36"/>
  <c r="F26"/>
  <c r="F29"/>
  <c r="AZ33"/>
  <c r="U39" i="61"/>
  <c r="U41" s="1"/>
  <c r="DE38" i="63"/>
  <c r="DG38" s="1"/>
  <c r="DH38" s="1"/>
  <c r="CO40"/>
  <c r="BC39"/>
  <c r="AZ38"/>
  <c r="AZ39" s="1"/>
  <c r="D39"/>
  <c r="T38"/>
  <c r="U7"/>
  <c r="F39"/>
  <c r="F41" s="1"/>
  <c r="D39" i="62"/>
  <c r="AZ38"/>
  <c r="AZ39" s="1"/>
  <c r="T38"/>
  <c r="U7"/>
  <c r="DH38" i="61"/>
  <c r="F37" i="60"/>
  <c r="U37"/>
  <c r="AZ37"/>
  <c r="AZ36"/>
  <c r="AZ35"/>
  <c r="AZ34"/>
  <c r="F33"/>
  <c r="AZ32"/>
  <c r="F31"/>
  <c r="AZ31"/>
  <c r="BC39" i="61"/>
  <c r="AZ38"/>
  <c r="AZ39" s="1"/>
  <c r="D39"/>
  <c r="F39"/>
  <c r="F41" s="1"/>
  <c r="AZ26" i="60"/>
  <c r="AZ24"/>
  <c r="AZ22"/>
  <c r="CO39"/>
  <c r="F19"/>
  <c r="U18"/>
  <c r="U12"/>
  <c r="U9"/>
  <c r="BC34"/>
  <c r="BC32"/>
  <c r="BC31"/>
  <c r="BC17"/>
  <c r="BC11"/>
  <c r="U16"/>
  <c r="U10"/>
  <c r="BC36"/>
  <c r="BC26"/>
  <c r="BC29"/>
  <c r="BC15"/>
  <c r="BC33"/>
  <c r="BF13"/>
  <c r="BF14" s="1"/>
  <c r="BF15" s="1"/>
  <c r="BF16" s="1"/>
  <c r="BF17" s="1"/>
  <c r="BF18" s="1"/>
  <c r="BF19" s="1"/>
  <c r="BF20" s="1"/>
  <c r="BF21" s="1"/>
  <c r="BF22" s="1"/>
  <c r="BF23" s="1"/>
  <c r="BF24" s="1"/>
  <c r="BF25" s="1"/>
  <c r="BF26" s="1"/>
  <c r="BF27" s="1"/>
  <c r="BF28" s="1"/>
  <c r="BF29" s="1"/>
  <c r="BF30" s="1"/>
  <c r="BF31" s="1"/>
  <c r="BF32" s="1"/>
  <c r="BF33" s="1"/>
  <c r="BF34" s="1"/>
  <c r="BF35" s="1"/>
  <c r="BF36" s="1"/>
  <c r="BF37" s="1"/>
  <c r="F17"/>
  <c r="F11"/>
  <c r="AZ15"/>
  <c r="F15"/>
  <c r="X39"/>
  <c r="AZ11"/>
  <c r="AZ8"/>
  <c r="Q39"/>
  <c r="CV39"/>
  <c r="E39"/>
  <c r="C39"/>
  <c r="U25"/>
  <c r="DF38"/>
  <c r="U27"/>
  <c r="BC23"/>
  <c r="F23"/>
  <c r="AZ23"/>
  <c r="AZ18"/>
  <c r="BC18"/>
  <c r="F18"/>
  <c r="AZ16"/>
  <c r="BC16"/>
  <c r="F16"/>
  <c r="AZ12"/>
  <c r="BC12"/>
  <c r="F12"/>
  <c r="AZ10"/>
  <c r="BC10"/>
  <c r="F10"/>
  <c r="BD38"/>
  <c r="BD39" s="1"/>
  <c r="BC27"/>
  <c r="F27"/>
  <c r="AZ27"/>
  <c r="BC25"/>
  <c r="F25"/>
  <c r="AZ25"/>
  <c r="U23"/>
  <c r="AZ21"/>
  <c r="F21"/>
  <c r="BC21"/>
  <c r="DG38"/>
  <c r="DH7"/>
  <c r="AZ7" s="1"/>
  <c r="AZ19"/>
  <c r="BC19"/>
  <c r="AY39"/>
  <c r="AX39" s="1"/>
  <c r="AF39"/>
  <c r="H39"/>
  <c r="AI39"/>
  <c r="M39"/>
  <c r="BC37"/>
  <c r="BC20"/>
  <c r="F20"/>
  <c r="AZ20"/>
  <c r="BI38"/>
  <c r="BJ7"/>
  <c r="BJ8" s="1"/>
  <c r="BJ9" s="1"/>
  <c r="BJ10" s="1"/>
  <c r="BJ11" s="1"/>
  <c r="BJ12" s="1"/>
  <c r="J39"/>
  <c r="AZ9"/>
  <c r="BC9"/>
  <c r="F9"/>
  <c r="D38"/>
  <c r="BC7"/>
  <c r="F7"/>
  <c r="CQ39"/>
  <c r="CO40" s="1"/>
  <c r="BB38"/>
  <c r="R39"/>
  <c r="R41" s="1"/>
  <c r="T7"/>
  <c r="U19"/>
  <c r="U39" i="63" l="1"/>
  <c r="U41" s="1"/>
  <c r="U39" i="62"/>
  <c r="U41" s="1"/>
  <c r="BJ13" i="60"/>
  <c r="BJ14" s="1"/>
  <c r="BJ15" s="1"/>
  <c r="BJ16" s="1"/>
  <c r="BJ17" s="1"/>
  <c r="BJ18" s="1"/>
  <c r="BJ19" s="1"/>
  <c r="BJ20" s="1"/>
  <c r="BJ21" s="1"/>
  <c r="BJ22" s="1"/>
  <c r="BJ23" s="1"/>
  <c r="BJ24" s="1"/>
  <c r="BJ25" s="1"/>
  <c r="BJ26" s="1"/>
  <c r="BJ27" s="1"/>
  <c r="BJ28" s="1"/>
  <c r="BJ29" s="1"/>
  <c r="BJ30" s="1"/>
  <c r="BJ31" s="1"/>
  <c r="BJ32" s="1"/>
  <c r="BJ33" s="1"/>
  <c r="BJ34" s="1"/>
  <c r="BJ35" s="1"/>
  <c r="BJ36" s="1"/>
  <c r="BJ37" s="1"/>
  <c r="AZ48" s="1"/>
  <c r="AZ51" s="1"/>
  <c r="DH38"/>
  <c r="AZ38"/>
  <c r="AZ39" s="1"/>
  <c r="T38"/>
  <c r="U7"/>
  <c r="D39"/>
  <c r="BC39"/>
  <c r="F39"/>
  <c r="F41" s="1"/>
  <c r="U39" l="1"/>
  <c r="U41" s="1"/>
  <c r="BD59" i="85" l="1"/>
  <c r="BD59" i="87"/>
  <c r="DA15" i="92" l="1"/>
  <c r="DB15"/>
  <c r="DA16"/>
  <c r="DB16"/>
  <c r="DA19"/>
  <c r="DA26"/>
  <c r="DA29"/>
  <c r="DA27"/>
  <c r="DA23"/>
  <c r="DB26"/>
  <c r="DB24"/>
  <c r="DB8"/>
  <c r="DB21"/>
  <c r="DB29"/>
  <c r="DA8"/>
  <c r="DB35"/>
  <c r="DB33"/>
  <c r="DB31"/>
  <c r="DB27"/>
  <c r="DB25"/>
  <c r="DB23"/>
  <c r="DB19"/>
  <c r="DA36" l="1"/>
  <c r="DA34"/>
  <c r="DA32"/>
  <c r="DA30"/>
  <c r="DA28"/>
  <c r="DB34"/>
  <c r="DB30"/>
  <c r="DB7" i="93"/>
  <c r="DB7" i="92"/>
  <c r="DA7" i="93"/>
  <c r="DA7" i="92"/>
  <c r="DB20"/>
  <c r="DA25"/>
  <c r="DA24"/>
  <c r="DA33"/>
  <c r="DA37"/>
  <c r="DB36"/>
  <c r="DB32"/>
  <c r="DB28"/>
  <c r="DA22"/>
  <c r="DA20"/>
  <c r="DA18"/>
  <c r="DA17"/>
  <c r="DB22"/>
  <c r="DB18"/>
  <c r="DB17"/>
  <c r="DA35"/>
  <c r="DA31"/>
  <c r="DA21"/>
  <c r="DA32" i="91" l="1"/>
  <c r="DA32" i="89"/>
  <c r="DA30" i="91"/>
  <c r="DA30" i="89"/>
  <c r="DA38" i="93"/>
  <c r="DA38" i="92"/>
  <c r="DB37"/>
  <c r="DB36" i="91"/>
  <c r="DB36" i="89"/>
  <c r="DA23" i="91"/>
  <c r="DA23" i="89"/>
  <c r="DA13" i="91"/>
  <c r="DA13" i="89"/>
  <c r="DA11" i="91"/>
  <c r="DA11" i="89"/>
  <c r="DA9" i="91"/>
  <c r="DA9" i="89"/>
  <c r="DB32" i="91"/>
  <c r="DB32" i="89"/>
  <c r="DB28" i="91"/>
  <c r="DB28" i="89"/>
  <c r="DB26" i="91"/>
  <c r="DB26" i="89"/>
  <c r="DB31" i="91" l="1"/>
  <c r="DB31" i="89"/>
  <c r="DA31" i="91"/>
  <c r="DA31" i="89"/>
  <c r="DB29" i="91"/>
  <c r="DB29" i="89"/>
  <c r="DA29" i="91"/>
  <c r="DA29" i="89"/>
  <c r="DB27" i="91"/>
  <c r="DB27" i="89"/>
  <c r="DA27" i="91"/>
  <c r="DA27" i="89"/>
  <c r="DA21" i="91"/>
  <c r="DA21" i="89"/>
  <c r="DB19" i="91"/>
  <c r="DB19" i="89"/>
  <c r="DA12" i="91"/>
  <c r="DA12" i="89"/>
  <c r="DA26" i="91"/>
  <c r="DA26" i="89"/>
  <c r="DA24" i="91"/>
  <c r="DA24" i="89"/>
  <c r="DB16" i="91"/>
  <c r="DB16" i="89"/>
  <c r="DA7" i="91"/>
  <c r="DA7" i="89"/>
  <c r="DA36" i="91"/>
  <c r="DA36" i="89"/>
  <c r="DA28" i="91"/>
  <c r="DA28" i="89"/>
  <c r="DA25" i="91"/>
  <c r="DA25" i="89"/>
  <c r="DB12" i="91"/>
  <c r="DB12" i="89"/>
  <c r="DB8" i="91"/>
  <c r="DB8" i="89"/>
  <c r="DB15" i="91"/>
  <c r="DB15" i="89"/>
  <c r="DB18" i="91"/>
  <c r="DB18" i="89"/>
  <c r="DB22" i="91"/>
  <c r="DB22" i="89"/>
  <c r="DB24" i="91"/>
  <c r="DB24" i="89"/>
  <c r="DB30" i="91"/>
  <c r="DB30" i="89"/>
  <c r="DB34" i="91"/>
  <c r="DB34" i="89"/>
  <c r="DB38" i="92"/>
  <c r="DB38" i="93"/>
  <c r="DB37" i="91"/>
  <c r="DB37" i="89"/>
  <c r="DA37" i="91"/>
  <c r="DA37" i="89"/>
  <c r="DB35" i="91"/>
  <c r="DB35" i="89"/>
  <c r="DA35" i="91"/>
  <c r="DA35" i="89"/>
  <c r="DB33" i="91"/>
  <c r="DB33" i="89"/>
  <c r="DA33" i="91"/>
  <c r="DA33" i="89"/>
  <c r="DA14" i="91"/>
  <c r="DA14" i="89"/>
  <c r="DB11" i="91"/>
  <c r="DB11" i="89"/>
  <c r="DA8" i="91"/>
  <c r="DA8" i="89"/>
  <c r="DA22" i="91"/>
  <c r="DA22" i="89"/>
  <c r="DA18" i="91"/>
  <c r="DA18" i="89"/>
  <c r="DA20" i="91"/>
  <c r="DA20" i="89"/>
  <c r="DA17" i="91"/>
  <c r="DA17" i="89"/>
  <c r="DB14" i="91"/>
  <c r="DB14" i="89"/>
  <c r="DB7" i="91"/>
  <c r="DB7" i="89"/>
  <c r="DB21" i="91"/>
  <c r="DB21" i="89"/>
  <c r="DA16" i="91"/>
  <c r="DA16" i="89"/>
  <c r="DA34" i="91"/>
  <c r="DA34" i="89"/>
  <c r="DA15" i="91"/>
  <c r="DA15" i="89"/>
  <c r="DB10" i="91"/>
  <c r="DB10" i="89"/>
  <c r="DA19" i="91"/>
  <c r="DA19" i="89"/>
  <c r="DA10" i="91"/>
  <c r="DA10" i="89"/>
  <c r="DB9" i="91"/>
  <c r="DB9" i="89"/>
  <c r="DB13" i="91"/>
  <c r="DB13" i="89"/>
  <c r="DB17" i="91"/>
  <c r="DB17" i="89"/>
  <c r="DB20" i="91"/>
  <c r="DB20" i="89"/>
  <c r="DB23" i="91"/>
  <c r="DB23" i="89"/>
  <c r="DB25" i="91"/>
  <c r="DB25" i="89"/>
  <c r="DA38" i="91" l="1"/>
  <c r="DA38" i="89"/>
  <c r="DB38" i="91"/>
  <c r="DB38" i="89"/>
  <c r="DB28" i="84" l="1"/>
  <c r="DB28" i="88"/>
  <c r="DB28" i="82"/>
  <c r="DA28" i="88"/>
  <c r="DA28" i="84"/>
  <c r="DA28" i="82"/>
  <c r="DB26" i="88"/>
  <c r="DB26" i="84"/>
  <c r="DB26" i="82"/>
  <c r="DA26" i="88"/>
  <c r="DA26" i="84"/>
  <c r="DA26" i="82"/>
  <c r="DB23" i="88"/>
  <c r="DB23" i="84"/>
  <c r="DB23" i="82"/>
  <c r="DA23" i="88"/>
  <c r="DA23" i="84"/>
  <c r="DA23" i="82"/>
  <c r="DB21" i="88"/>
  <c r="DB21" i="84"/>
  <c r="DB21" i="82"/>
  <c r="DA21" i="88"/>
  <c r="DA21" i="84"/>
  <c r="DA21" i="82"/>
  <c r="DB19" i="84"/>
  <c r="DB19" i="82"/>
  <c r="DB19" i="88"/>
  <c r="DA19" i="84"/>
  <c r="DA19" i="82"/>
  <c r="DA19" i="88"/>
  <c r="DB17"/>
  <c r="DB17" i="84"/>
  <c r="DB17" i="82"/>
  <c r="DA17"/>
  <c r="DA17" i="88"/>
  <c r="DA17" i="84"/>
  <c r="DA15" i="88"/>
  <c r="DA15" i="84"/>
  <c r="DA15" i="82"/>
  <c r="DA13" i="84"/>
  <c r="DA13" i="88"/>
  <c r="DA13" i="82"/>
  <c r="DA11" i="84"/>
  <c r="DA11" i="88"/>
  <c r="DA11" i="82"/>
  <c r="DA9" i="84"/>
  <c r="DA9" i="88"/>
  <c r="DA9" i="82"/>
  <c r="DB29" i="88"/>
  <c r="DB29" i="84"/>
  <c r="DB29" i="82"/>
  <c r="DA29" i="84"/>
  <c r="DA29" i="88"/>
  <c r="DA29" i="82"/>
  <c r="DB27" i="88"/>
  <c r="DB27" i="84"/>
  <c r="DB27" i="82"/>
  <c r="DA27" i="88"/>
  <c r="DA27" i="84"/>
  <c r="DA27" i="82"/>
  <c r="DA25" i="88"/>
  <c r="DA25" i="84"/>
  <c r="DA25" i="82"/>
  <c r="DB24" i="84"/>
  <c r="DB24" i="88"/>
  <c r="DB24" i="82"/>
  <c r="DA24" i="88"/>
  <c r="DA24" i="84"/>
  <c r="DA24" i="82"/>
  <c r="DB22" i="88"/>
  <c r="DB22" i="84"/>
  <c r="DB22" i="82"/>
  <c r="DA22" i="88"/>
  <c r="DA22" i="84"/>
  <c r="DA22" i="82"/>
  <c r="DB20" i="84"/>
  <c r="DB20" i="82"/>
  <c r="DB20" i="88"/>
  <c r="DA20"/>
  <c r="DA20" i="84"/>
  <c r="DA20" i="82"/>
  <c r="DB18" i="84"/>
  <c r="DB18" i="82"/>
  <c r="DB18" i="88"/>
  <c r="DA18" i="84"/>
  <c r="DA18" i="88"/>
  <c r="DA18" i="82"/>
  <c r="DB16" i="88"/>
  <c r="DB16" i="82"/>
  <c r="DB16" i="84"/>
  <c r="DA16" i="88"/>
  <c r="DA16" i="84"/>
  <c r="DA16" i="82"/>
  <c r="DA14"/>
  <c r="DA14" i="88"/>
  <c r="DA14" i="84"/>
  <c r="DA12"/>
  <c r="DA12" i="88"/>
  <c r="DA12" i="82"/>
  <c r="DA10" i="88"/>
  <c r="DA10" i="84"/>
  <c r="DA10" i="82"/>
  <c r="DA8" i="88"/>
  <c r="DA8" i="84"/>
  <c r="DA8" i="82"/>
  <c r="DA36" i="90" l="1"/>
  <c r="DA36" i="85"/>
  <c r="DA36" i="87"/>
  <c r="DA34" i="90"/>
  <c r="DA34" i="85"/>
  <c r="DA34" i="87"/>
  <c r="DA30" i="90"/>
  <c r="DA30" i="85"/>
  <c r="DA30" i="87"/>
  <c r="DA23" i="90"/>
  <c r="DA23" i="85"/>
  <c r="DA23" i="87"/>
  <c r="DB35" i="90"/>
  <c r="DB35" i="85"/>
  <c r="DB35" i="87"/>
  <c r="DA35" i="90"/>
  <c r="DA35" i="85"/>
  <c r="DA35" i="87"/>
  <c r="DB33" i="90"/>
  <c r="DB33" i="85"/>
  <c r="DB33" i="87"/>
  <c r="DB29" i="90"/>
  <c r="DB29" i="85"/>
  <c r="DB29" i="87"/>
  <c r="DB23" i="90"/>
  <c r="DB23" i="85"/>
  <c r="DB23" i="87"/>
  <c r="DB22" i="90"/>
  <c r="DB22" i="85"/>
  <c r="DB22" i="87"/>
  <c r="DB21" i="90"/>
  <c r="DB21" i="85"/>
  <c r="DB21" i="87"/>
  <c r="DB20" i="90"/>
  <c r="DB20" i="85"/>
  <c r="DB20" i="87"/>
  <c r="DB19" i="90"/>
  <c r="DB19" i="85"/>
  <c r="DB19" i="87"/>
  <c r="DA19" i="90"/>
  <c r="DA19" i="85"/>
  <c r="DA19" i="87"/>
  <c r="DB16" i="90"/>
  <c r="DB16" i="85"/>
  <c r="DB16" i="87"/>
  <c r="DA16" i="90"/>
  <c r="DA16" i="85"/>
  <c r="DA16" i="87"/>
  <c r="DB7" i="90"/>
  <c r="DB7" i="85"/>
  <c r="DB7" i="87"/>
  <c r="DB17" i="90"/>
  <c r="DB17" i="85"/>
  <c r="DB17" i="87"/>
  <c r="DA17" i="90"/>
  <c r="DA17" i="85"/>
  <c r="DA17" i="87"/>
  <c r="DA14" i="90"/>
  <c r="DA14" i="85"/>
  <c r="DA14" i="87"/>
  <c r="DB10" i="90"/>
  <c r="DB10" i="85"/>
  <c r="DB10" i="87"/>
  <c r="DA10" i="90"/>
  <c r="DA10" i="85"/>
  <c r="DA10" i="87"/>
  <c r="DA8" i="90"/>
  <c r="DA8" i="85"/>
  <c r="DA8" i="87"/>
  <c r="DB26" i="90"/>
  <c r="DB26" i="85"/>
  <c r="DB26" i="87"/>
  <c r="DB15" i="90"/>
  <c r="DB15" i="85"/>
  <c r="DB15" i="87"/>
  <c r="DA15" i="90"/>
  <c r="DA15" i="85"/>
  <c r="DA15" i="87"/>
  <c r="DB13" i="90"/>
  <c r="DB13" i="85"/>
  <c r="DB13" i="87"/>
  <c r="DA13" i="90"/>
  <c r="DA13" i="85"/>
  <c r="DA13" i="87"/>
  <c r="DB11" i="90"/>
  <c r="DB11" i="85"/>
  <c r="DB11" i="87"/>
  <c r="DA11" i="90"/>
  <c r="DA11" i="85"/>
  <c r="DA11" i="87"/>
  <c r="DB25" i="88"/>
  <c r="DB25" i="84"/>
  <c r="DB25" i="82"/>
  <c r="DB14" i="84"/>
  <c r="DB14" i="82"/>
  <c r="DB14" i="88"/>
  <c r="DB8"/>
  <c r="DB8" i="84"/>
  <c r="DB8" i="82"/>
  <c r="DB12" i="84"/>
  <c r="DB12" i="88"/>
  <c r="DB12" i="82"/>
  <c r="DB24" i="90"/>
  <c r="DB24" i="85"/>
  <c r="DB24" i="87"/>
  <c r="DB32" i="90"/>
  <c r="DB32" i="85"/>
  <c r="DB32" i="87"/>
  <c r="DA36" i="88"/>
  <c r="DA36" i="82"/>
  <c r="DA36" i="84"/>
  <c r="DA34" i="88"/>
  <c r="DA34" i="82"/>
  <c r="DA34" i="84"/>
  <c r="DB36" i="88"/>
  <c r="DB36" i="84"/>
  <c r="DB36" i="82"/>
  <c r="DB34"/>
  <c r="DB34" i="88"/>
  <c r="DB34" i="84"/>
  <c r="DA32" i="90"/>
  <c r="DA32" i="85"/>
  <c r="DA32" i="87"/>
  <c r="DA28" i="90"/>
  <c r="DA28" i="85"/>
  <c r="DA28" i="87"/>
  <c r="DA24" i="90"/>
  <c r="DA24" i="85"/>
  <c r="DA24" i="87"/>
  <c r="DB37" i="90"/>
  <c r="DB37" i="85"/>
  <c r="DB37" i="87"/>
  <c r="DA37" i="90"/>
  <c r="DA37" i="85"/>
  <c r="DA37" i="87"/>
  <c r="DB36" i="90"/>
  <c r="DB36" i="85"/>
  <c r="DB36" i="87"/>
  <c r="DA33" i="90"/>
  <c r="DA33" i="85"/>
  <c r="DA33" i="87"/>
  <c r="DA31" i="90"/>
  <c r="DA31" i="85"/>
  <c r="DA31" i="87"/>
  <c r="DB30" i="90"/>
  <c r="DB30" i="85"/>
  <c r="DB30" i="87"/>
  <c r="DA29" i="90"/>
  <c r="DA29" i="85"/>
  <c r="DA29" i="87"/>
  <c r="DB28" i="90"/>
  <c r="DB28" i="85"/>
  <c r="DB28" i="87"/>
  <c r="DA22" i="90"/>
  <c r="DA22" i="85"/>
  <c r="DA22" i="87"/>
  <c r="DA21" i="90"/>
  <c r="DA21" i="85"/>
  <c r="DA21" i="87"/>
  <c r="DA20" i="90"/>
  <c r="DA20" i="85"/>
  <c r="DA20" i="87"/>
  <c r="DB18" i="90"/>
  <c r="DB18" i="85"/>
  <c r="DB18" i="87"/>
  <c r="DA18" i="90"/>
  <c r="DA18" i="85"/>
  <c r="DA18" i="87"/>
  <c r="DA7" i="90"/>
  <c r="DA7" i="85"/>
  <c r="DA7" i="87"/>
  <c r="DB31" i="90"/>
  <c r="DB31" i="85"/>
  <c r="DB31" i="87"/>
  <c r="DB12" i="90"/>
  <c r="DB12" i="85"/>
  <c r="DB12" i="87"/>
  <c r="DA12" i="90"/>
  <c r="DA12" i="85"/>
  <c r="DA12" i="87"/>
  <c r="DA9" i="90"/>
  <c r="DA9" i="85"/>
  <c r="DA9" i="87"/>
  <c r="DB9" i="84"/>
  <c r="DB9" i="88"/>
  <c r="DB9" i="82"/>
  <c r="DB11" i="84"/>
  <c r="DB11" i="88"/>
  <c r="DB11" i="82"/>
  <c r="DB13" i="88"/>
  <c r="DB13" i="84"/>
  <c r="DB13" i="82"/>
  <c r="DB15" i="84"/>
  <c r="DB15" i="88"/>
  <c r="DB15" i="82"/>
  <c r="DB10" i="88"/>
  <c r="DB10" i="84"/>
  <c r="DB10" i="82"/>
  <c r="DB8" i="90"/>
  <c r="DB8" i="85"/>
  <c r="DB8" i="87"/>
  <c r="DB9" i="90"/>
  <c r="DB9" i="85"/>
  <c r="DB9" i="87"/>
  <c r="DB14" i="90"/>
  <c r="DB14" i="85"/>
  <c r="DB14" i="87"/>
  <c r="DA27" i="90"/>
  <c r="DA27" i="85"/>
  <c r="DA27" i="87"/>
  <c r="DA26" i="90"/>
  <c r="DA26" i="85"/>
  <c r="DA26" i="87"/>
  <c r="DA25" i="90"/>
  <c r="DA25" i="85"/>
  <c r="DA25" i="87"/>
  <c r="DB25" i="90"/>
  <c r="DB25" i="85"/>
  <c r="DB25" i="87"/>
  <c r="DB27" i="90"/>
  <c r="DB27" i="85"/>
  <c r="DB27" i="87"/>
  <c r="DB34" i="90"/>
  <c r="DB34" i="85"/>
  <c r="DB34" i="87"/>
  <c r="DB35" i="88" l="1"/>
  <c r="DB35" i="84"/>
  <c r="DB35" i="82"/>
  <c r="DB32" i="84"/>
  <c r="DB32" i="88"/>
  <c r="DB32" i="82"/>
  <c r="DA38" i="90"/>
  <c r="DA38" i="85"/>
  <c r="DA38" i="87"/>
  <c r="DB31" i="84"/>
  <c r="DB31" i="82"/>
  <c r="DB31" i="88"/>
  <c r="DA35"/>
  <c r="DA35" i="84"/>
  <c r="DA35" i="82"/>
  <c r="DA32" i="88"/>
  <c r="DA32" i="84"/>
  <c r="DA32" i="82"/>
  <c r="DB37" i="88"/>
  <c r="DB37" i="82"/>
  <c r="DB37" i="84"/>
  <c r="DA37" i="88"/>
  <c r="DA37" i="84"/>
  <c r="DA37" i="82"/>
  <c r="DB33" i="84"/>
  <c r="DB33" i="88"/>
  <c r="DB33" i="82"/>
  <c r="DA33" i="88"/>
  <c r="DA33" i="84"/>
  <c r="DA33" i="82"/>
  <c r="DB30" i="88"/>
  <c r="DB30" i="84"/>
  <c r="DB30" i="82"/>
  <c r="DA30"/>
  <c r="DA30" i="88"/>
  <c r="DA30" i="84"/>
  <c r="DA7" i="88"/>
  <c r="DA7" i="84"/>
  <c r="DA7" i="82"/>
  <c r="DA31" i="84"/>
  <c r="DA31" i="88"/>
  <c r="DA31" i="82"/>
  <c r="DB38" i="90"/>
  <c r="DB38" i="85"/>
  <c r="DB38" i="87"/>
  <c r="DB7" i="88" l="1"/>
  <c r="DB7" i="84"/>
  <c r="DB7" i="82"/>
  <c r="DA38" i="84"/>
  <c r="DA38" i="88"/>
  <c r="DA38" i="82"/>
  <c r="DB38" i="88" l="1"/>
  <c r="DB38" i="82"/>
  <c r="DB38" i="84"/>
  <c r="DA22" i="83" l="1"/>
  <c r="DA22" i="81"/>
  <c r="DA22" i="78"/>
  <c r="DA35" i="81"/>
  <c r="DA35" i="83"/>
  <c r="DA35" i="78"/>
  <c r="DA33" i="81"/>
  <c r="DA33" i="83"/>
  <c r="DA33" i="78"/>
  <c r="DA31" i="81"/>
  <c r="DA31" i="83"/>
  <c r="DA31" i="78"/>
  <c r="DA19" i="83"/>
  <c r="DA19" i="81"/>
  <c r="DA19" i="78"/>
  <c r="DA37" i="81"/>
  <c r="DA37" i="83"/>
  <c r="DA37" i="78"/>
  <c r="DA25" i="80" l="1"/>
  <c r="DA25" i="77"/>
  <c r="DA25" i="74"/>
  <c r="DB24" i="80"/>
  <c r="DB24" i="77"/>
  <c r="DB24" i="74"/>
  <c r="DA36" i="81"/>
  <c r="DA36" i="83"/>
  <c r="DA36" i="78"/>
  <c r="DA34" i="81"/>
  <c r="DA34" i="83"/>
  <c r="DA34" i="78"/>
  <c r="DA32" i="81"/>
  <c r="DA32" i="83"/>
  <c r="DA32" i="78"/>
  <c r="DA30" i="83"/>
  <c r="DA30" i="81"/>
  <c r="DA30" i="78"/>
  <c r="DA28" i="83"/>
  <c r="DA28" i="81"/>
  <c r="DA28" i="78"/>
  <c r="DA26" i="83"/>
  <c r="DA26" i="81"/>
  <c r="DA26" i="78"/>
  <c r="DB36" i="81"/>
  <c r="DB36" i="83"/>
  <c r="DB36" i="78"/>
  <c r="DA23" i="83"/>
  <c r="DA23" i="81"/>
  <c r="DA23" i="78"/>
  <c r="DB20" i="83"/>
  <c r="DB20" i="81"/>
  <c r="DB20" i="78"/>
  <c r="DA20" i="83"/>
  <c r="DA20" i="81"/>
  <c r="DA20" i="78"/>
  <c r="DB18" i="83"/>
  <c r="DB18" i="81"/>
  <c r="DB18" i="78"/>
  <c r="DB31" i="83"/>
  <c r="DB31" i="81"/>
  <c r="DB31" i="78"/>
  <c r="DB32" i="83"/>
  <c r="DB32" i="81"/>
  <c r="DB32" i="78"/>
  <c r="DB24" i="83"/>
  <c r="DB24" i="81"/>
  <c r="DB24" i="78"/>
  <c r="DA21" i="83"/>
  <c r="DA21" i="81"/>
  <c r="DA21" i="78"/>
  <c r="DA27" i="83"/>
  <c r="DA27" i="81"/>
  <c r="DA27" i="78"/>
  <c r="DB19" i="83"/>
  <c r="DB19" i="81"/>
  <c r="DB19" i="78"/>
  <c r="DB21" i="83"/>
  <c r="DB21" i="81"/>
  <c r="DB21" i="78"/>
  <c r="DB25" i="83"/>
  <c r="DB25" i="78"/>
  <c r="DB25" i="81"/>
  <c r="DB33" i="83"/>
  <c r="DB33" i="81"/>
  <c r="DB33" i="78"/>
  <c r="DB35" i="83"/>
  <c r="DB35" i="81"/>
  <c r="DB35" i="78"/>
  <c r="DB25" i="80"/>
  <c r="DB25" i="77"/>
  <c r="DB25" i="74"/>
  <c r="DA24" i="80"/>
  <c r="DA24" i="77"/>
  <c r="DA24" i="74"/>
  <c r="DB28" i="83"/>
  <c r="DB28" i="81"/>
  <c r="DB28" i="78"/>
  <c r="DB26" i="83"/>
  <c r="DB26" i="81"/>
  <c r="DB26" i="78"/>
  <c r="DA24" i="83"/>
  <c r="DA24" i="81"/>
  <c r="DA24" i="78"/>
  <c r="DA18" i="83"/>
  <c r="DA18" i="81"/>
  <c r="DA18" i="78"/>
  <c r="DB17" i="83"/>
  <c r="DB17" i="81"/>
  <c r="DB17" i="78"/>
  <c r="DA17" i="83"/>
  <c r="DA17" i="81"/>
  <c r="DA17" i="78"/>
  <c r="DB16" i="83"/>
  <c r="DB16" i="81"/>
  <c r="DB16" i="78"/>
  <c r="DA16" i="83"/>
  <c r="DA16" i="81"/>
  <c r="DA16" i="78"/>
  <c r="DB15" i="83"/>
  <c r="DB15" i="81"/>
  <c r="DB15" i="78"/>
  <c r="DA15" i="83"/>
  <c r="DA15" i="81"/>
  <c r="DA15" i="78"/>
  <c r="DB14" i="83"/>
  <c r="DB14" i="81"/>
  <c r="DB14" i="78"/>
  <c r="DA14" i="83"/>
  <c r="DA14" i="81"/>
  <c r="DA14" i="78"/>
  <c r="DB13" i="83"/>
  <c r="DB13" i="81"/>
  <c r="DB13" i="78"/>
  <c r="DA13" i="83"/>
  <c r="DA13" i="81"/>
  <c r="DA13" i="78"/>
  <c r="DB12" i="83"/>
  <c r="DB12" i="81"/>
  <c r="DB12" i="78"/>
  <c r="DA12" i="83"/>
  <c r="DA12" i="81"/>
  <c r="DA12" i="78"/>
  <c r="DB11" i="83"/>
  <c r="DB11" i="81"/>
  <c r="DB11" i="78"/>
  <c r="DA11" i="83"/>
  <c r="DA11" i="81"/>
  <c r="DA11" i="78"/>
  <c r="DB10" i="83"/>
  <c r="DB10" i="81"/>
  <c r="DB10" i="78"/>
  <c r="DA10" i="83"/>
  <c r="DA10" i="81"/>
  <c r="DA10" i="78"/>
  <c r="DB9" i="83"/>
  <c r="DB9" i="81"/>
  <c r="DB9" i="78"/>
  <c r="DA9" i="83"/>
  <c r="DA9" i="81"/>
  <c r="DA9" i="78"/>
  <c r="DB8" i="83"/>
  <c r="DB8" i="81"/>
  <c r="DB8" i="78"/>
  <c r="DA8" i="83"/>
  <c r="DA8" i="81"/>
  <c r="DA8" i="78"/>
  <c r="DA7" i="83"/>
  <c r="DA7" i="81"/>
  <c r="DA7" i="78"/>
  <c r="DB7" i="83"/>
  <c r="DB7" i="81"/>
  <c r="DB7" i="78"/>
  <c r="DB27" i="83"/>
  <c r="DB27" i="81"/>
  <c r="DB27" i="78"/>
  <c r="DB30" i="83"/>
  <c r="DB30" i="81"/>
  <c r="DB30" i="78"/>
  <c r="DB22" i="83"/>
  <c r="DB22" i="81"/>
  <c r="DB22" i="78"/>
  <c r="DA29" i="83"/>
  <c r="DA29" i="81"/>
  <c r="DA29" i="78"/>
  <c r="DA25" i="83"/>
  <c r="DA25" i="78"/>
  <c r="DA25" i="81"/>
  <c r="DB23" i="83"/>
  <c r="DB23" i="81"/>
  <c r="DB23" i="78"/>
  <c r="DB29" i="83"/>
  <c r="DB29" i="81"/>
  <c r="DB29" i="78"/>
  <c r="DB34" i="83"/>
  <c r="DB34" i="81"/>
  <c r="DB34" i="78"/>
  <c r="DB37" i="83"/>
  <c r="DB37" i="81"/>
  <c r="DB37" i="78"/>
  <c r="DB38" i="83" l="1"/>
  <c r="DB38" i="81"/>
  <c r="DB38" i="78"/>
  <c r="DA38" i="83"/>
  <c r="DA38" i="81"/>
  <c r="DA38" i="78"/>
  <c r="DB37" i="80" l="1"/>
  <c r="DB37" i="77"/>
  <c r="DB37" i="74"/>
  <c r="DB35" i="80"/>
  <c r="DB35" i="77"/>
  <c r="DB35" i="74"/>
  <c r="DB33" i="80"/>
  <c r="DB33" i="77"/>
  <c r="DB33" i="74"/>
  <c r="DB31" i="80"/>
  <c r="DB31" i="77"/>
  <c r="DB31" i="74"/>
  <c r="DB29" i="80"/>
  <c r="DB29" i="77"/>
  <c r="DB29" i="74"/>
  <c r="DB27" i="80"/>
  <c r="DB27" i="77"/>
  <c r="DB27" i="74"/>
  <c r="DB23" i="80"/>
  <c r="DB23" i="77"/>
  <c r="DB23" i="74"/>
  <c r="DB21" i="80"/>
  <c r="DB21" i="77"/>
  <c r="DB21" i="74"/>
  <c r="DB19" i="80"/>
  <c r="DB19" i="77"/>
  <c r="DB19" i="74"/>
  <c r="DB17" i="80"/>
  <c r="DB17" i="77"/>
  <c r="DB17" i="74"/>
  <c r="DB15" i="80"/>
  <c r="DB15" i="77"/>
  <c r="DB15" i="74"/>
  <c r="DB13" i="80"/>
  <c r="DB13" i="77"/>
  <c r="DB13" i="74"/>
  <c r="DB11" i="80"/>
  <c r="DB11" i="77"/>
  <c r="DB11" i="74"/>
  <c r="DB9" i="80"/>
  <c r="DB9" i="77"/>
  <c r="DB9" i="74"/>
  <c r="DA23" i="80"/>
  <c r="DA23" i="77"/>
  <c r="DA23" i="74"/>
  <c r="DA11" i="80"/>
  <c r="DA11" i="77"/>
  <c r="DA11" i="74"/>
  <c r="DA9" i="80"/>
  <c r="DA9" i="77"/>
  <c r="DA9" i="74"/>
  <c r="DB7" i="80"/>
  <c r="DB7" i="77"/>
  <c r="DB7" i="74"/>
  <c r="DB36" i="80"/>
  <c r="DB36" i="77"/>
  <c r="DB36" i="74"/>
  <c r="DB34" i="80"/>
  <c r="DB34" i="77"/>
  <c r="DB34" i="74"/>
  <c r="DB32" i="80"/>
  <c r="DB32" i="77"/>
  <c r="DB32" i="74"/>
  <c r="DB30" i="80"/>
  <c r="DB30" i="77"/>
  <c r="DB30" i="74"/>
  <c r="DB28" i="80"/>
  <c r="DB28" i="77"/>
  <c r="DB28" i="74"/>
  <c r="DB26" i="80"/>
  <c r="DB26" i="77"/>
  <c r="DB26" i="74"/>
  <c r="DB22" i="80"/>
  <c r="DB22" i="77"/>
  <c r="DB22" i="74"/>
  <c r="DB20" i="80"/>
  <c r="DB20" i="77"/>
  <c r="DB20" i="74"/>
  <c r="DB18" i="80"/>
  <c r="DB18" i="77"/>
  <c r="DB18" i="74"/>
  <c r="DB16" i="80"/>
  <c r="DB16" i="77"/>
  <c r="DB16" i="74"/>
  <c r="DB14" i="80"/>
  <c r="DB14" i="77"/>
  <c r="DB14" i="74"/>
  <c r="DB12" i="80"/>
  <c r="DB12" i="77"/>
  <c r="DB12" i="74"/>
  <c r="DB10" i="80"/>
  <c r="DB10" i="77"/>
  <c r="DB10" i="74"/>
  <c r="DB8" i="80"/>
  <c r="DB8" i="77"/>
  <c r="DB8" i="74"/>
  <c r="DA17" i="80" l="1"/>
  <c r="DA17" i="77"/>
  <c r="DA17" i="74"/>
  <c r="DA15" i="80"/>
  <c r="DA15" i="77"/>
  <c r="DA15" i="74"/>
  <c r="DA37" i="80"/>
  <c r="DA37" i="77"/>
  <c r="DA37" i="74"/>
  <c r="DB18" i="76"/>
  <c r="DB18" i="72"/>
  <c r="DA36" i="80"/>
  <c r="DA36" i="77"/>
  <c r="DA36" i="74"/>
  <c r="DA35" i="80"/>
  <c r="DA35" i="77"/>
  <c r="DA35" i="74"/>
  <c r="DA34" i="80"/>
  <c r="DA34" i="77"/>
  <c r="DA34" i="74"/>
  <c r="DA33" i="80"/>
  <c r="DA33" i="77"/>
  <c r="DA33" i="74"/>
  <c r="DA32" i="80"/>
  <c r="DA32" i="77"/>
  <c r="DA32" i="74"/>
  <c r="DA31" i="80"/>
  <c r="DA31" i="77"/>
  <c r="DA31" i="74"/>
  <c r="DA30" i="80"/>
  <c r="DA30" i="77"/>
  <c r="DA30" i="74"/>
  <c r="DA29" i="80"/>
  <c r="DA29" i="77"/>
  <c r="DA29" i="74"/>
  <c r="DA28" i="80"/>
  <c r="DA28" i="77"/>
  <c r="DA28" i="74"/>
  <c r="DA27" i="80"/>
  <c r="DA27" i="77"/>
  <c r="DA27" i="74"/>
  <c r="DA26" i="80"/>
  <c r="DA26" i="77"/>
  <c r="DA26" i="74"/>
  <c r="DA20" i="80"/>
  <c r="DA20" i="77"/>
  <c r="DA20" i="74"/>
  <c r="DA19" i="80"/>
  <c r="DA19" i="77"/>
  <c r="DA19" i="74"/>
  <c r="DA18" i="80"/>
  <c r="DA18" i="77"/>
  <c r="DA18" i="74"/>
  <c r="DA16" i="80"/>
  <c r="DA16" i="77"/>
  <c r="DA16" i="74"/>
  <c r="DA14" i="80"/>
  <c r="DA14" i="77"/>
  <c r="DA14" i="74"/>
  <c r="DA12" i="80"/>
  <c r="DA12" i="77"/>
  <c r="DA12" i="74"/>
  <c r="DA10" i="80"/>
  <c r="DA10" i="77"/>
  <c r="DA10" i="74"/>
  <c r="DA8" i="80"/>
  <c r="DA8" i="77"/>
  <c r="DA8" i="74"/>
  <c r="DB38" i="80"/>
  <c r="DB38" i="77"/>
  <c r="DB38" i="74"/>
  <c r="DA22" i="80"/>
  <c r="DA22" i="77"/>
  <c r="DA22" i="74"/>
  <c r="DA13" i="80"/>
  <c r="DA13" i="77"/>
  <c r="DA13" i="74"/>
  <c r="DA21" i="80"/>
  <c r="DA21" i="77"/>
  <c r="DA21" i="74"/>
  <c r="DA7" i="80"/>
  <c r="DA7" i="77"/>
  <c r="DA7" i="74"/>
  <c r="DB34" i="72" l="1"/>
  <c r="DB34" i="76"/>
  <c r="DB24" i="72"/>
  <c r="DB24" i="76"/>
  <c r="DA24"/>
  <c r="DA24" i="72"/>
  <c r="DB23" i="76"/>
  <c r="DB23" i="72"/>
  <c r="DA23" i="76"/>
  <c r="DA23" i="72"/>
  <c r="DB22" i="76"/>
  <c r="DB22" i="72"/>
  <c r="DA22" i="76"/>
  <c r="DA22" i="72"/>
  <c r="DB21"/>
  <c r="DB21" i="76"/>
  <c r="DA21"/>
  <c r="DA21" i="72"/>
  <c r="DB20" i="76"/>
  <c r="DB20" i="72"/>
  <c r="DA20" i="76"/>
  <c r="DA20" i="72"/>
  <c r="DB19" i="76"/>
  <c r="DB19" i="72"/>
  <c r="DA19" i="76"/>
  <c r="DA19" i="72"/>
  <c r="DA17" i="76"/>
  <c r="DA17" i="72"/>
  <c r="DB16" i="76"/>
  <c r="DB16" i="72"/>
  <c r="DA7" i="76"/>
  <c r="DA7" i="72"/>
  <c r="DA30" i="76"/>
  <c r="DA30" i="72"/>
  <c r="DB13"/>
  <c r="DB13" i="76"/>
  <c r="DA11"/>
  <c r="DA11" i="72"/>
  <c r="DA9" i="76"/>
  <c r="DA9" i="72"/>
  <c r="DB30" i="76"/>
  <c r="DB30" i="72"/>
  <c r="DB28" i="76"/>
  <c r="DB28" i="72"/>
  <c r="DB17"/>
  <c r="DB17" i="76"/>
  <c r="DB29"/>
  <c r="DB29" i="72"/>
  <c r="DA25" i="76"/>
  <c r="DA25" i="72"/>
  <c r="DA29" i="76"/>
  <c r="DA29" i="72"/>
  <c r="DA38" i="80"/>
  <c r="DA38" i="77"/>
  <c r="DA38" i="74"/>
  <c r="DB35" i="76"/>
  <c r="DB35" i="72"/>
  <c r="DA28" i="76"/>
  <c r="DA28" i="72"/>
  <c r="DA37" i="76"/>
  <c r="DA37" i="72"/>
  <c r="DA36" i="76"/>
  <c r="DA36" i="72"/>
  <c r="DA35" i="76"/>
  <c r="DA35" i="72"/>
  <c r="DA34" i="76"/>
  <c r="DA34" i="72"/>
  <c r="DA33" i="76"/>
  <c r="DA33" i="72"/>
  <c r="DA32" i="76"/>
  <c r="DA32" i="72"/>
  <c r="DB37" i="76"/>
  <c r="DB37" i="72"/>
  <c r="DB32"/>
  <c r="DB32" i="76"/>
  <c r="DA16"/>
  <c r="DA16" i="72"/>
  <c r="DB14" i="76"/>
  <c r="DB14" i="72"/>
  <c r="DA14" i="76"/>
  <c r="DA14" i="72"/>
  <c r="DB12" i="76"/>
  <c r="DB12" i="72"/>
  <c r="DA12" i="76"/>
  <c r="DA12" i="72"/>
  <c r="DB10" i="76"/>
  <c r="DB10" i="72"/>
  <c r="DA10" i="76"/>
  <c r="DA10" i="72"/>
  <c r="DB8" i="76"/>
  <c r="DB8" i="72"/>
  <c r="DA8" i="76"/>
  <c r="DA8" i="72"/>
  <c r="DB7" i="76"/>
  <c r="DB7" i="72"/>
  <c r="DA18" i="76"/>
  <c r="DA18" i="72"/>
  <c r="DA26" i="76"/>
  <c r="DA26" i="72"/>
  <c r="DA15" i="76"/>
  <c r="DA15" i="72"/>
  <c r="DA13" i="76"/>
  <c r="DA13" i="72"/>
  <c r="DB9" i="76"/>
  <c r="DB9" i="72"/>
  <c r="DB26" i="76"/>
  <c r="DB26" i="72"/>
  <c r="DB31" i="76"/>
  <c r="DB31" i="72"/>
  <c r="DA27" i="76"/>
  <c r="DA27" i="72"/>
  <c r="DB25"/>
  <c r="DB25" i="76"/>
  <c r="DB11"/>
  <c r="DB11" i="72"/>
  <c r="DB15" i="76"/>
  <c r="DB15" i="72"/>
  <c r="DA31" i="76"/>
  <c r="DA31" i="72"/>
  <c r="DB27" i="76"/>
  <c r="DB27" i="72"/>
  <c r="DB33" i="76"/>
  <c r="DB33" i="72"/>
  <c r="DB36"/>
  <c r="DB36" i="76"/>
  <c r="DB11" i="73" l="1"/>
  <c r="DB11" i="67"/>
  <c r="DB9" i="73"/>
  <c r="DB9" i="67"/>
  <c r="DA36" i="73"/>
  <c r="DA36" i="67"/>
  <c r="DA34" i="73"/>
  <c r="DA34" i="67"/>
  <c r="DB32" i="73"/>
  <c r="DB32" i="67"/>
  <c r="DA32" i="73"/>
  <c r="DA32" i="67"/>
  <c r="DA31" i="73"/>
  <c r="DA31" i="67"/>
  <c r="DB28" i="73"/>
  <c r="DB28" i="67"/>
  <c r="DA28" i="73"/>
  <c r="DA28" i="67"/>
  <c r="DA25" i="73"/>
  <c r="DA25" i="67"/>
  <c r="DA17" i="73"/>
  <c r="DA17" i="67"/>
  <c r="DA16" i="73"/>
  <c r="DA16" i="67"/>
  <c r="DA14" i="73"/>
  <c r="DA14" i="67"/>
  <c r="DA12" i="73"/>
  <c r="DA12" i="67"/>
  <c r="DA10" i="73"/>
  <c r="DA10" i="67"/>
  <c r="DA8" i="73"/>
  <c r="DA8" i="67"/>
  <c r="DB27"/>
  <c r="DB27" i="73"/>
  <c r="DA27"/>
  <c r="DA27" i="67"/>
  <c r="DB26" i="73"/>
  <c r="DB26" i="67"/>
  <c r="DA26" i="73"/>
  <c r="DA26" i="67"/>
  <c r="DB13" i="73"/>
  <c r="DB13" i="67"/>
  <c r="DB15" i="73"/>
  <c r="DB15" i="67"/>
  <c r="DB29" i="73"/>
  <c r="DB29" i="67"/>
  <c r="DB38" i="76"/>
  <c r="DB38" i="72"/>
  <c r="DB34" i="73"/>
  <c r="DB34" i="67"/>
  <c r="DB24" i="73"/>
  <c r="DB24" i="67"/>
  <c r="DA24" i="73"/>
  <c r="DA24" i="67"/>
  <c r="DB23" i="73"/>
  <c r="DB23" i="67"/>
  <c r="DA23" i="73"/>
  <c r="DA23" i="67"/>
  <c r="DB22" i="73"/>
  <c r="DB22" i="67"/>
  <c r="DA22" i="73"/>
  <c r="DA22" i="67"/>
  <c r="DB21" i="73"/>
  <c r="DB21" i="67"/>
  <c r="DA21" i="73"/>
  <c r="DA21" i="67"/>
  <c r="DB20" i="73"/>
  <c r="DB20" i="67"/>
  <c r="DA20" i="73"/>
  <c r="DA20" i="67"/>
  <c r="DB19" i="73"/>
  <c r="DB19" i="67"/>
  <c r="DA19" i="73"/>
  <c r="DA19" i="67"/>
  <c r="DB18" i="73"/>
  <c r="DB18" i="67"/>
  <c r="DA18" i="73"/>
  <c r="DA18" i="67"/>
  <c r="DA15"/>
  <c r="DA15" i="73"/>
  <c r="DA13"/>
  <c r="DA13" i="67"/>
  <c r="DA11"/>
  <c r="DA11" i="73"/>
  <c r="DA9"/>
  <c r="DA9" i="67"/>
  <c r="DB7" i="73"/>
  <c r="DB7" i="67"/>
  <c r="DA7" i="73"/>
  <c r="DA7" i="67"/>
  <c r="DB37" i="73"/>
  <c r="DB37" i="67"/>
  <c r="DA37" i="73"/>
  <c r="DA37" i="67"/>
  <c r="DB35" i="73"/>
  <c r="DB35" i="67"/>
  <c r="DA35" i="73"/>
  <c r="DA35" i="67"/>
  <c r="DB33" i="73"/>
  <c r="DB33" i="67"/>
  <c r="DA33" i="73"/>
  <c r="DA33" i="67"/>
  <c r="DB30" i="73"/>
  <c r="DB30" i="67"/>
  <c r="DA30" i="73"/>
  <c r="DA30" i="67"/>
  <c r="DA29" i="73"/>
  <c r="DA29" i="67"/>
  <c r="DB25" i="73"/>
  <c r="DB25" i="67"/>
  <c r="DB17" i="73"/>
  <c r="DB17" i="67"/>
  <c r="DB16" i="73"/>
  <c r="DB16" i="67"/>
  <c r="DB14" i="73"/>
  <c r="DB14" i="67"/>
  <c r="DB12" i="73"/>
  <c r="DB12" i="67"/>
  <c r="DB10"/>
  <c r="DB10" i="73"/>
  <c r="DB8"/>
  <c r="DB8" i="67"/>
  <c r="DB31"/>
  <c r="DB31" i="73"/>
  <c r="DA38" i="76"/>
  <c r="DA38" i="72"/>
  <c r="DB36" i="73"/>
  <c r="DB36" i="67"/>
  <c r="DA38" i="73" l="1"/>
  <c r="DA38" i="67"/>
  <c r="DB38" i="73"/>
  <c r="DB38" i="67"/>
  <c r="DB37" i="66" l="1"/>
  <c r="DB37" i="63"/>
  <c r="DA13" i="66"/>
  <c r="DA13" i="63"/>
  <c r="DB27" i="66"/>
  <c r="DB27" i="63"/>
  <c r="DB25" i="66"/>
  <c r="DB25" i="63"/>
  <c r="DB21" i="70"/>
  <c r="DB21" i="65"/>
  <c r="DA22" i="70"/>
  <c r="DA22" i="65"/>
  <c r="DA18" i="70"/>
  <c r="DA18" i="65"/>
  <c r="DA16" i="70"/>
  <c r="DA16" i="65"/>
  <c r="DA14" i="70"/>
  <c r="DA14" i="65"/>
  <c r="DA10" i="70"/>
  <c r="DA10" i="65"/>
  <c r="DB10" i="70"/>
  <c r="DB10" i="65"/>
  <c r="DB30" i="66" l="1"/>
  <c r="DB30" i="63"/>
  <c r="DA11" i="66"/>
  <c r="DA11" i="63"/>
  <c r="DA8" i="66"/>
  <c r="DA8" i="63"/>
  <c r="DA22" i="66"/>
  <c r="DA22" i="63"/>
  <c r="DB10" i="66"/>
  <c r="DB10" i="63"/>
  <c r="DA21" i="66"/>
  <c r="DA21" i="63"/>
  <c r="DB14" i="66"/>
  <c r="DB14" i="63"/>
  <c r="DB9" i="66"/>
  <c r="DB9" i="63"/>
  <c r="DB35" i="70"/>
  <c r="DB35" i="65"/>
  <c r="DA24" i="70"/>
  <c r="DA24" i="65"/>
  <c r="DB31" i="66"/>
  <c r="DB31" i="63"/>
  <c r="DA8" i="70"/>
  <c r="DA8" i="65"/>
  <c r="DB33" i="66"/>
  <c r="DB33" i="63"/>
  <c r="DB36" i="66"/>
  <c r="DB36" i="63"/>
  <c r="DB8" i="70"/>
  <c r="DB8" i="65"/>
  <c r="DA19" i="70"/>
  <c r="DA19" i="65"/>
  <c r="DA23" i="70"/>
  <c r="DA23" i="65"/>
  <c r="DB12" i="70"/>
  <c r="DB12" i="65"/>
  <c r="DB16" i="70"/>
  <c r="DB16" i="65"/>
  <c r="DB20" i="70"/>
  <c r="DB20" i="65"/>
  <c r="DB23" i="70"/>
  <c r="DB23" i="65"/>
  <c r="DB25" i="70"/>
  <c r="DB25" i="65"/>
  <c r="DB28" i="70"/>
  <c r="DB28" i="65"/>
  <c r="DB30" i="70"/>
  <c r="DB30" i="65"/>
  <c r="DB33" i="70"/>
  <c r="DB33" i="65"/>
  <c r="DB34" i="70"/>
  <c r="DB34" i="65"/>
  <c r="DB23" i="66"/>
  <c r="DB23" i="63"/>
  <c r="DA19" i="66"/>
  <c r="DA19" i="63"/>
  <c r="DB7" i="66"/>
  <c r="DB7" i="63"/>
  <c r="DA7" i="66"/>
  <c r="DA7" i="63"/>
  <c r="DA14" i="66"/>
  <c r="DA14" i="63"/>
  <c r="DA24" i="66"/>
  <c r="DA24" i="63"/>
  <c r="DB8" i="66"/>
  <c r="DB8" i="63"/>
  <c r="DB11" i="66"/>
  <c r="DB11" i="63"/>
  <c r="DA15" i="66"/>
  <c r="DA15" i="63"/>
  <c r="DB16" i="66"/>
  <c r="DB16" i="63"/>
  <c r="DB26" i="66"/>
  <c r="DB26" i="63"/>
  <c r="DB29" i="70"/>
  <c r="DB29" i="65"/>
  <c r="DB19" i="70"/>
  <c r="DB19" i="65"/>
  <c r="DB32" i="66"/>
  <c r="DB32" i="63"/>
  <c r="DB28" i="66"/>
  <c r="DB28" i="63"/>
  <c r="DA23" i="66"/>
  <c r="DA23" i="63"/>
  <c r="DB21" i="66"/>
  <c r="DB21" i="63"/>
  <c r="DB20" i="66"/>
  <c r="DB20" i="63"/>
  <c r="DA37" i="66"/>
  <c r="DA37" i="63"/>
  <c r="DA35" i="66"/>
  <c r="DA35" i="63"/>
  <c r="DA33" i="66"/>
  <c r="DA33" i="63"/>
  <c r="DA31" i="66"/>
  <c r="DA31" i="63"/>
  <c r="DA29" i="66"/>
  <c r="DA29" i="63"/>
  <c r="DA27" i="66"/>
  <c r="DA27" i="63"/>
  <c r="DA25" i="66"/>
  <c r="DA25" i="63"/>
  <c r="DA36" i="66"/>
  <c r="DA36" i="63"/>
  <c r="DA34" i="66"/>
  <c r="DA34" i="63"/>
  <c r="DA32" i="66"/>
  <c r="DA32" i="63"/>
  <c r="DA30" i="66"/>
  <c r="DA30" i="63"/>
  <c r="DA28" i="66"/>
  <c r="DA28" i="63"/>
  <c r="DA26" i="66"/>
  <c r="DA26" i="63"/>
  <c r="DB12" i="66"/>
  <c r="DB12" i="63"/>
  <c r="DA18" i="66"/>
  <c r="DA18" i="63"/>
  <c r="DA10" i="66"/>
  <c r="DA10" i="63"/>
  <c r="DA16" i="66"/>
  <c r="DA16" i="63"/>
  <c r="DA12" i="66"/>
  <c r="DA12" i="63"/>
  <c r="DA20" i="66"/>
  <c r="DA20" i="63"/>
  <c r="DB13" i="66"/>
  <c r="DB13" i="63"/>
  <c r="DB17" i="66"/>
  <c r="DB17" i="63"/>
  <c r="DA9" i="66"/>
  <c r="DA9" i="63"/>
  <c r="DA17" i="66"/>
  <c r="DA17" i="63"/>
  <c r="DB15" i="66"/>
  <c r="DB15" i="63"/>
  <c r="DB18" i="66"/>
  <c r="DB18" i="63"/>
  <c r="DB19" i="66"/>
  <c r="DB19" i="63"/>
  <c r="DB22" i="66"/>
  <c r="DB22" i="63"/>
  <c r="DB24" i="66"/>
  <c r="DB24" i="63"/>
  <c r="DA37" i="70"/>
  <c r="DA37" i="65"/>
  <c r="DA36" i="70"/>
  <c r="DA36" i="65"/>
  <c r="DA35" i="70"/>
  <c r="DA35" i="65"/>
  <c r="DA34" i="70"/>
  <c r="DA34" i="65"/>
  <c r="DA33" i="70"/>
  <c r="DA33" i="65"/>
  <c r="DA32" i="70"/>
  <c r="DA32" i="65"/>
  <c r="DA31" i="70"/>
  <c r="DA31" i="65"/>
  <c r="DA30" i="70"/>
  <c r="DA30" i="65"/>
  <c r="DA29" i="70"/>
  <c r="DA29" i="65"/>
  <c r="DA28" i="70"/>
  <c r="DA28" i="65"/>
  <c r="DA27" i="70"/>
  <c r="DA27" i="65"/>
  <c r="DA26" i="70"/>
  <c r="DA26" i="65"/>
  <c r="DA25" i="70"/>
  <c r="DA25" i="65"/>
  <c r="DB37" i="70"/>
  <c r="DB37" i="65"/>
  <c r="DB31" i="70"/>
  <c r="DB31" i="65"/>
  <c r="DB27" i="70"/>
  <c r="DB27" i="65"/>
  <c r="DA20" i="70"/>
  <c r="DA20" i="65"/>
  <c r="DB17" i="70"/>
  <c r="DB17" i="65"/>
  <c r="DA17" i="70"/>
  <c r="DA17" i="65"/>
  <c r="DB15" i="70"/>
  <c r="DB15" i="65"/>
  <c r="DA15" i="70"/>
  <c r="DA15" i="65"/>
  <c r="DB13" i="70"/>
  <c r="DB13" i="65"/>
  <c r="DA13" i="70"/>
  <c r="DA13" i="65"/>
  <c r="DB11" i="70"/>
  <c r="DB11" i="65"/>
  <c r="DA11" i="70"/>
  <c r="DA11" i="65"/>
  <c r="DB9" i="70"/>
  <c r="DB9" i="65"/>
  <c r="DA9" i="70"/>
  <c r="DA9" i="65"/>
  <c r="DA7" i="70"/>
  <c r="DA7" i="65"/>
  <c r="DB29" i="66"/>
  <c r="DB29" i="63"/>
  <c r="DB18" i="70"/>
  <c r="DB18" i="65"/>
  <c r="DA12" i="70"/>
  <c r="DA12" i="65"/>
  <c r="DB34" i="66"/>
  <c r="DB34" i="63"/>
  <c r="DB35" i="66"/>
  <c r="DB35" i="63"/>
  <c r="DA21" i="70"/>
  <c r="DA21" i="65"/>
  <c r="DB7" i="70"/>
  <c r="DB7" i="65"/>
  <c r="DB14" i="70"/>
  <c r="DB14" i="65"/>
  <c r="DB22" i="70"/>
  <c r="DB22" i="65"/>
  <c r="DB24" i="70"/>
  <c r="DB24" i="65"/>
  <c r="DB26" i="70"/>
  <c r="DB26" i="65"/>
  <c r="DB32" i="70"/>
  <c r="DB32" i="65"/>
  <c r="DB36" i="70"/>
  <c r="DB36" i="65"/>
  <c r="DA38" i="70" l="1"/>
  <c r="DA38" i="65"/>
  <c r="DB38" i="66"/>
  <c r="DB38" i="63"/>
  <c r="DA38" i="66"/>
  <c r="DA38" i="63"/>
  <c r="DB38" i="70"/>
  <c r="DB38" i="65"/>
  <c r="DA13" i="64" l="1"/>
  <c r="DA13" i="61"/>
  <c r="DB25" i="64"/>
  <c r="DB25" i="61"/>
  <c r="DB9" i="62" l="1"/>
  <c r="DB9" i="60"/>
  <c r="DB11"/>
  <c r="DB11" i="62"/>
  <c r="DB22" i="60"/>
  <c r="DB22" i="62"/>
  <c r="DA23"/>
  <c r="DA23" i="60"/>
  <c r="DA21" i="62"/>
  <c r="DA21" i="60"/>
  <c r="DB30" i="64"/>
  <c r="DB30" i="61"/>
  <c r="DA24" i="64"/>
  <c r="DA24" i="61"/>
  <c r="DB22" i="64"/>
  <c r="DB22" i="61"/>
  <c r="DB20" i="64"/>
  <c r="DB20" i="61"/>
  <c r="DB19" i="64"/>
  <c r="DB19" i="61"/>
  <c r="DA37" i="64"/>
  <c r="DA37" i="61"/>
  <c r="DA35" i="64"/>
  <c r="DA35" i="61"/>
  <c r="DA33" i="64"/>
  <c r="DA33" i="61"/>
  <c r="DA31" i="64"/>
  <c r="DA31" i="61"/>
  <c r="DA29" i="64"/>
  <c r="DA29" i="61"/>
  <c r="DA27" i="64"/>
  <c r="DA27" i="61"/>
  <c r="DA25" i="64"/>
  <c r="DA25" i="61"/>
  <c r="DA36" i="64"/>
  <c r="DA36" i="61"/>
  <c r="DA34" i="64"/>
  <c r="DA34" i="61"/>
  <c r="DA32" i="64"/>
  <c r="DA32" i="61"/>
  <c r="DA30" i="64"/>
  <c r="DA30" i="61"/>
  <c r="DB15" i="64"/>
  <c r="DB15" i="61"/>
  <c r="DB11" i="64"/>
  <c r="DB11" i="61"/>
  <c r="DB8" i="64"/>
  <c r="DB8" i="61"/>
  <c r="DB17" i="64"/>
  <c r="DB17" i="61"/>
  <c r="DA26" i="64"/>
  <c r="DA26" i="61"/>
  <c r="DA18" i="64"/>
  <c r="DA18" i="61"/>
  <c r="DA10" i="64"/>
  <c r="DA10" i="61"/>
  <c r="DA28" i="64"/>
  <c r="DA28" i="61"/>
  <c r="DB26" i="64"/>
  <c r="DB26" i="61"/>
  <c r="DA16" i="64"/>
  <c r="DA16" i="61"/>
  <c r="DA8" i="64"/>
  <c r="DA8" i="61"/>
  <c r="DB14" i="64"/>
  <c r="DB14" i="61"/>
  <c r="DB37" i="64"/>
  <c r="DB37" i="61"/>
  <c r="DA21" i="64"/>
  <c r="DA21" i="61"/>
  <c r="DA11" i="64"/>
  <c r="DA11" i="61"/>
  <c r="DA17" i="64"/>
  <c r="DA17" i="61"/>
  <c r="DB21" i="64"/>
  <c r="DB21" i="61"/>
  <c r="DB29" i="64"/>
  <c r="DB29" i="61"/>
  <c r="DB33" i="64"/>
  <c r="DB33" i="61"/>
  <c r="DB34" i="64"/>
  <c r="DB34" i="61"/>
  <c r="DA22" i="60"/>
  <c r="DA22" i="62"/>
  <c r="DB23"/>
  <c r="DB23" i="60"/>
  <c r="DB24" i="62"/>
  <c r="DB24" i="60"/>
  <c r="DA24" i="62"/>
  <c r="DA24" i="60"/>
  <c r="DA9" i="62"/>
  <c r="DA9" i="60"/>
  <c r="DB36" i="64"/>
  <c r="DB36" i="61"/>
  <c r="DB24" i="64"/>
  <c r="DB24" i="61"/>
  <c r="DA22" i="64"/>
  <c r="DA22" i="61"/>
  <c r="DA20" i="64"/>
  <c r="DA20" i="61"/>
  <c r="DB16" i="64"/>
  <c r="DB16" i="61"/>
  <c r="DA15" i="64"/>
  <c r="DA15" i="61"/>
  <c r="DB12" i="64"/>
  <c r="DB12" i="61"/>
  <c r="DA7" i="64"/>
  <c r="DA7" i="61"/>
  <c r="DB13" i="64"/>
  <c r="DB13" i="61"/>
  <c r="DB28" i="64"/>
  <c r="DB28" i="61"/>
  <c r="DA14" i="64"/>
  <c r="DA14" i="61"/>
  <c r="DA12" i="64"/>
  <c r="DA12" i="61"/>
  <c r="DB7" i="64"/>
  <c r="DB7" i="61"/>
  <c r="DB10" i="64"/>
  <c r="DB10" i="61"/>
  <c r="DA19" i="64"/>
  <c r="DA19" i="61"/>
  <c r="DB9" i="64"/>
  <c r="DB9" i="61"/>
  <c r="DB18" i="64"/>
  <c r="DB18" i="61"/>
  <c r="DB23" i="64"/>
  <c r="DB23" i="61"/>
  <c r="DA23" i="64"/>
  <c r="DA23" i="61"/>
  <c r="DA9" i="64"/>
  <c r="DA9" i="61"/>
  <c r="DB27" i="64"/>
  <c r="DB27" i="61"/>
  <c r="DB31" i="64"/>
  <c r="DB31" i="61"/>
  <c r="DB32" i="64"/>
  <c r="DB32" i="61"/>
  <c r="DB35" i="64"/>
  <c r="DB35" i="61"/>
  <c r="DA37" i="62" l="1"/>
  <c r="DA37" i="60"/>
  <c r="DA35" i="62"/>
  <c r="DA35" i="60"/>
  <c r="DA33" i="62"/>
  <c r="DA33" i="60"/>
  <c r="DA31" i="62"/>
  <c r="DA31" i="60"/>
  <c r="DA29" i="62"/>
  <c r="DA29" i="60"/>
  <c r="DB37" i="62"/>
  <c r="DB37" i="60"/>
  <c r="DB35" i="62"/>
  <c r="DB35" i="60"/>
  <c r="DB33"/>
  <c r="DB33" i="62"/>
  <c r="DB31"/>
  <c r="DB31" i="60"/>
  <c r="DB29"/>
  <c r="DB29" i="62"/>
  <c r="DB27"/>
  <c r="DB27" i="60"/>
  <c r="DB25" i="62"/>
  <c r="DB25" i="60"/>
  <c r="DB19" i="62"/>
  <c r="DB19" i="60"/>
  <c r="DA20" i="62"/>
  <c r="DA20" i="60"/>
  <c r="DB18" i="62"/>
  <c r="DB18" i="60"/>
  <c r="DA18" i="62"/>
  <c r="DA18" i="60"/>
  <c r="DB16" i="62"/>
  <c r="DB16" i="60"/>
  <c r="DA16" i="62"/>
  <c r="DA16" i="60"/>
  <c r="DB14" i="62"/>
  <c r="DB14" i="60"/>
  <c r="DA14" i="62"/>
  <c r="DA14" i="60"/>
  <c r="DB12" i="62"/>
  <c r="DB12" i="60"/>
  <c r="DA12" i="62"/>
  <c r="DA12" i="60"/>
  <c r="DB10" i="62"/>
  <c r="DB10" i="60"/>
  <c r="DA10" i="62"/>
  <c r="DA10" i="60"/>
  <c r="DB8" i="62"/>
  <c r="DB8" i="60"/>
  <c r="DA8" i="62"/>
  <c r="DA8" i="60"/>
  <c r="DA7" i="62"/>
  <c r="DA7" i="60"/>
  <c r="DA15" i="62"/>
  <c r="DA15" i="60"/>
  <c r="DA13"/>
  <c r="DA13" i="62"/>
  <c r="DB21"/>
  <c r="DB21" i="60"/>
  <c r="DB17"/>
  <c r="DB17" i="62"/>
  <c r="DA36"/>
  <c r="DA36" i="60"/>
  <c r="DA34" i="62"/>
  <c r="DA34" i="60"/>
  <c r="DA32" i="62"/>
  <c r="DA32" i="60"/>
  <c r="DA30" i="62"/>
  <c r="DA30" i="60"/>
  <c r="DA28" i="62"/>
  <c r="DA28" i="60"/>
  <c r="DA27" i="62"/>
  <c r="DA27" i="60"/>
  <c r="DA26" i="62"/>
  <c r="DA26" i="60"/>
  <c r="DA25" i="62"/>
  <c r="DA25" i="60"/>
  <c r="DB36" i="62"/>
  <c r="DB36" i="60"/>
  <c r="DB34" i="62"/>
  <c r="DB34" i="60"/>
  <c r="DB32" i="62"/>
  <c r="DB32" i="60"/>
  <c r="DB30" i="62"/>
  <c r="DB30" i="60"/>
  <c r="DB28" i="62"/>
  <c r="DB28" i="60"/>
  <c r="DB26" i="62"/>
  <c r="DB26" i="60"/>
  <c r="DB20" i="62"/>
  <c r="DB20" i="60"/>
  <c r="DA19" i="62"/>
  <c r="DA19" i="60"/>
  <c r="DA11" i="62"/>
  <c r="DA11" i="60"/>
  <c r="DA17" i="62"/>
  <c r="DA17" i="60"/>
  <c r="DB7" i="62"/>
  <c r="DB7" i="60"/>
  <c r="DB13"/>
  <c r="DB13" i="62"/>
  <c r="DB15"/>
  <c r="DB15" i="60"/>
  <c r="DA38" i="64"/>
  <c r="DA38" i="61"/>
  <c r="DB38" i="64"/>
  <c r="DB38" i="61"/>
  <c r="DA38" i="62" l="1"/>
  <c r="DA38" i="60"/>
  <c r="DB38" i="62"/>
  <c r="DB38" i="60"/>
  <c r="BD58" i="89" l="1"/>
  <c r="BD60" s="1"/>
  <c r="BD58" i="95"/>
  <c r="BD60" s="1"/>
  <c r="BD58" i="91"/>
  <c r="BD60" s="1"/>
  <c r="BD58" i="84"/>
  <c r="BD60" s="1"/>
  <c r="BD58" i="88"/>
  <c r="BD60" s="1"/>
  <c r="BD58" i="82"/>
  <c r="BD60" s="1"/>
  <c r="BD58" i="90"/>
  <c r="BD60" s="1"/>
  <c r="BD58" i="85"/>
  <c r="BD60" s="1"/>
  <c r="BD58" i="87"/>
  <c r="BD60" s="1"/>
  <c r="BD58" i="92"/>
  <c r="BD60" s="1"/>
  <c r="BD58" i="93"/>
  <c r="BD60" s="1"/>
  <c r="BD58" i="78" l="1"/>
  <c r="BD60" s="1"/>
  <c r="BD58" i="81"/>
  <c r="BD60" s="1"/>
  <c r="BD58" i="83"/>
  <c r="BD60" s="1"/>
  <c r="BD58" i="80" l="1"/>
  <c r="BD60" s="1"/>
  <c r="BD58" i="77"/>
  <c r="BD60" s="1"/>
  <c r="BD58" i="74"/>
  <c r="BD60" s="1"/>
</calcChain>
</file>

<file path=xl/sharedStrings.xml><?xml version="1.0" encoding="utf-8"?>
<sst xmlns="http://schemas.openxmlformats.org/spreadsheetml/2006/main" count="6091" uniqueCount="472">
  <si>
    <t>Сведения по учету производства ферромарганца в АО "СЧПЗ" — ДП-1</t>
  </si>
  <si>
    <t>на</t>
  </si>
  <si>
    <t>января</t>
  </si>
  <si>
    <t>Дата</t>
  </si>
  <si>
    <t>Расх.добавок, флюсов</t>
  </si>
  <si>
    <t xml:space="preserve">        Расход кокса</t>
  </si>
  <si>
    <t>Производство FeMn78, т</t>
  </si>
  <si>
    <t>Производство FeMn с Si&lt;1, т</t>
  </si>
  <si>
    <t>Сод. Si в сплаве %</t>
  </si>
  <si>
    <t>Температура колош. газа, °С</t>
  </si>
  <si>
    <t>Температура гор. дутья °С</t>
  </si>
  <si>
    <t>Расх. гор. дутья, м3/мин / фурмы,шт</t>
  </si>
  <si>
    <t>Средн. содерж Mn в сплаве, %</t>
  </si>
  <si>
    <t>Количество подач, шт</t>
  </si>
  <si>
    <t>Кол. выпусков, шт</t>
  </si>
  <si>
    <t xml:space="preserve">Количество  пыли  </t>
  </si>
  <si>
    <t>Количество шлака</t>
  </si>
  <si>
    <t xml:space="preserve">Перевал,  т  </t>
  </si>
  <si>
    <t xml:space="preserve">Зеленый шлак, т. </t>
  </si>
  <si>
    <t>Мелочь Фмн</t>
  </si>
  <si>
    <t>Осн-ть</t>
  </si>
  <si>
    <t>Сод MgO в шлаке,%</t>
  </si>
  <si>
    <t>Сод. MnO в шлаке, %</t>
  </si>
  <si>
    <t>Производство фактическое, т</t>
  </si>
  <si>
    <t>Теоретический выход FeMn, т</t>
  </si>
  <si>
    <t>Потери Mn со шлаком расчетно, т</t>
  </si>
  <si>
    <t>Факт. коэф-т извлеч. Mn из расплава</t>
  </si>
  <si>
    <t>Потери Mn со шлаком расчетно т</t>
  </si>
  <si>
    <t>Среднее значение коэф-т извлечение Mn из расплава</t>
  </si>
  <si>
    <t>Проплавлено    руды (влаж.), т</t>
  </si>
  <si>
    <t>Влажность руды , %</t>
  </si>
  <si>
    <t>Сод. Mn в руде, %</t>
  </si>
  <si>
    <t>Влажность кокса, %</t>
  </si>
  <si>
    <t>Сухой руды, т</t>
  </si>
  <si>
    <t>Отсев руды, т</t>
  </si>
  <si>
    <t>Fe содер. материалов, т</t>
  </si>
  <si>
    <t>Сожжено кокса (влаж.), т</t>
  </si>
  <si>
    <t>Выход кокс. мелочи т</t>
  </si>
  <si>
    <t>Сухого кокса (заданный), т</t>
  </si>
  <si>
    <t>Удельн. расход сухого кокса, т</t>
  </si>
  <si>
    <t>Всего,          т</t>
  </si>
  <si>
    <t>на т FeMn,     кг</t>
  </si>
  <si>
    <t>верх-  него</t>
  </si>
  <si>
    <t>Разлито жидкого</t>
  </si>
  <si>
    <t>с отвала</t>
  </si>
  <si>
    <t xml:space="preserve">% с отвала </t>
  </si>
  <si>
    <t>Всего годного</t>
  </si>
  <si>
    <t>химические</t>
  </si>
  <si>
    <t>физические</t>
  </si>
  <si>
    <t>ПО ДЦ</t>
  </si>
  <si>
    <t>из шлака</t>
  </si>
  <si>
    <t xml:space="preserve"> c перевала</t>
  </si>
  <si>
    <t>FeMn
НИ</t>
  </si>
  <si>
    <t>План</t>
  </si>
  <si>
    <t>План по нараст.</t>
  </si>
  <si>
    <t>Удельный расход кокса ДП №1 и №3</t>
  </si>
  <si>
    <t>е</t>
  </si>
  <si>
    <t>ср.</t>
  </si>
  <si>
    <t>пл.</t>
  </si>
  <si>
    <t>±</t>
  </si>
  <si>
    <t>ССП</t>
  </si>
  <si>
    <t xml:space="preserve">     тн</t>
  </si>
  <si>
    <t>Дней</t>
  </si>
  <si>
    <t>План:</t>
  </si>
  <si>
    <t>Суток работы</t>
  </si>
  <si>
    <t xml:space="preserve">Средний вес выпуска : </t>
  </si>
  <si>
    <t>Среднесуточное пр-во</t>
  </si>
  <si>
    <t>Отставание (-) 
опережение (+)</t>
  </si>
  <si>
    <t>Тн</t>
  </si>
  <si>
    <t>%</t>
  </si>
  <si>
    <t>Диспетчер АО "СЧПЗ"</t>
  </si>
  <si>
    <t>Расход Mn шихты</t>
  </si>
  <si>
    <t>Проплавлено шихты (влаж.), т</t>
  </si>
  <si>
    <t>Влажность шихты , %</t>
  </si>
  <si>
    <t>Сод. Mn в марг. шихте, %</t>
  </si>
  <si>
    <t>Удельн расход марг. шихты, т</t>
  </si>
  <si>
    <t>Удельн расход руды, т</t>
  </si>
  <si>
    <t>Агломерат, т</t>
  </si>
  <si>
    <t>Удельн.расход агломерата, т</t>
  </si>
  <si>
    <t>Сожжено кокса (сухого, заданный), т</t>
  </si>
  <si>
    <t>Удельный расход шихты ДП №1 и №3</t>
  </si>
  <si>
    <t>августа</t>
  </si>
  <si>
    <t>Маматван</t>
  </si>
  <si>
    <t xml:space="preserve">Агломерат </t>
  </si>
  <si>
    <t>Губаха +25</t>
  </si>
  <si>
    <t>Губаха+25</t>
  </si>
  <si>
    <t>Агломерат</t>
  </si>
  <si>
    <t>Сожжено кокса(сух) т</t>
  </si>
  <si>
    <t>т</t>
  </si>
  <si>
    <t>Шлак тяжелый, т</t>
  </si>
  <si>
    <t>Тяжелый шлак</t>
  </si>
  <si>
    <t>Кол-во, т</t>
  </si>
  <si>
    <t>W</t>
  </si>
  <si>
    <t>Mn</t>
  </si>
  <si>
    <t>ИТОГО</t>
  </si>
  <si>
    <t>Удельн.расход мелочи, т</t>
  </si>
  <si>
    <t>Кварцит,т</t>
  </si>
  <si>
    <t xml:space="preserve"> Казахстан(10-100)</t>
  </si>
  <si>
    <t>Казахстан    (10-100)</t>
  </si>
  <si>
    <t>Каражал</t>
  </si>
  <si>
    <t>Глория</t>
  </si>
  <si>
    <t>Известняк, т</t>
  </si>
  <si>
    <t>Агломерат кисл</t>
  </si>
  <si>
    <t>Алтай</t>
  </si>
  <si>
    <t>Габон</t>
  </si>
  <si>
    <t>Сод Al2O3 в шлаке,%</t>
  </si>
  <si>
    <t>Кемерово</t>
  </si>
  <si>
    <t>2020г</t>
  </si>
  <si>
    <t>Н. Тагил</t>
  </si>
  <si>
    <t>Н.Тагил</t>
  </si>
  <si>
    <t>440/9</t>
  </si>
  <si>
    <t>1,18/1,41</t>
  </si>
  <si>
    <t>452/9</t>
  </si>
  <si>
    <t>1,17/1,4</t>
  </si>
  <si>
    <t>456/9</t>
  </si>
  <si>
    <t>1,29/1,53</t>
  </si>
  <si>
    <t>449/9</t>
  </si>
  <si>
    <t>1,26/1,48</t>
  </si>
  <si>
    <t>443/9</t>
  </si>
  <si>
    <t>1,23/1,44</t>
  </si>
  <si>
    <t>450/9</t>
  </si>
  <si>
    <t>1,18/1,42</t>
  </si>
  <si>
    <t>458/9</t>
  </si>
  <si>
    <t>1,27/1,51</t>
  </si>
  <si>
    <t>446/9</t>
  </si>
  <si>
    <t>1,09/1,32</t>
  </si>
  <si>
    <t>413/8</t>
  </si>
  <si>
    <t>0,89/1,12</t>
  </si>
  <si>
    <t>451/9</t>
  </si>
  <si>
    <t>1,07/1,3</t>
  </si>
  <si>
    <t>453/9</t>
  </si>
  <si>
    <t>1,17/1,41</t>
  </si>
  <si>
    <t>1,42/1,67</t>
  </si>
  <si>
    <t>1,33/1,58</t>
  </si>
  <si>
    <t>455/9</t>
  </si>
  <si>
    <t>1,3/1,55</t>
  </si>
  <si>
    <t>439/9</t>
  </si>
  <si>
    <t>1,32/1,56</t>
  </si>
  <si>
    <t>434/9</t>
  </si>
  <si>
    <t>1,52/1,77</t>
  </si>
  <si>
    <t>1,39/1,65</t>
  </si>
  <si>
    <t>460/9</t>
  </si>
  <si>
    <t>1,43/1,7</t>
  </si>
  <si>
    <t>1,29/1,56</t>
  </si>
  <si>
    <t>1,28/1,56</t>
  </si>
  <si>
    <t>447/9</t>
  </si>
  <si>
    <t>1,27/1,54</t>
  </si>
  <si>
    <t>1,36/1,61</t>
  </si>
  <si>
    <t>1,36/1,59</t>
  </si>
  <si>
    <t>февраля</t>
  </si>
  <si>
    <t>454/9</t>
  </si>
  <si>
    <t>1,29/1,51</t>
  </si>
  <si>
    <t>1,35/1,59</t>
  </si>
  <si>
    <t>1,24/1,47</t>
  </si>
  <si>
    <t>1,38/1,61</t>
  </si>
  <si>
    <t>457/9</t>
  </si>
  <si>
    <t>1,10/1,34</t>
  </si>
  <si>
    <t>1,25/1,49</t>
  </si>
  <si>
    <t>Тренина С.А.</t>
  </si>
  <si>
    <t>463/9</t>
  </si>
  <si>
    <t>1,13/1,38</t>
  </si>
  <si>
    <t>462/9</t>
  </si>
  <si>
    <t>1,25/1,50</t>
  </si>
  <si>
    <t>1,33/1,59</t>
  </si>
  <si>
    <t>1,21/1,46</t>
  </si>
  <si>
    <t>467/9</t>
  </si>
  <si>
    <t>1,28/1,52</t>
  </si>
  <si>
    <t>445/9</t>
  </si>
  <si>
    <t>1,28/1,53</t>
  </si>
  <si>
    <t>482/9</t>
  </si>
  <si>
    <t>1,16/1,41</t>
  </si>
  <si>
    <t>448/9</t>
  </si>
  <si>
    <t>1,33/1,57</t>
  </si>
  <si>
    <t>1,37/1,61</t>
  </si>
  <si>
    <t>461/9</t>
  </si>
  <si>
    <t>1,39/1,62</t>
  </si>
  <si>
    <t>1,33/1,56</t>
  </si>
  <si>
    <t>1,20/1,40</t>
  </si>
  <si>
    <t>464/9</t>
  </si>
  <si>
    <t>1,24/1,43</t>
  </si>
  <si>
    <t>1,20/1,39</t>
  </si>
  <si>
    <t>1,24/1,44</t>
  </si>
  <si>
    <t>марта</t>
  </si>
  <si>
    <t>1,24/1,45</t>
  </si>
  <si>
    <t>1,26/1,47</t>
  </si>
  <si>
    <t>1,25/1,47</t>
  </si>
  <si>
    <t>1,33/1,55</t>
  </si>
  <si>
    <t>468/9</t>
  </si>
  <si>
    <t>444/9</t>
  </si>
  <si>
    <t>1,22/1,43</t>
  </si>
  <si>
    <t>479/9</t>
  </si>
  <si>
    <t>1,30/1,50</t>
  </si>
  <si>
    <t>470/9</t>
  </si>
  <si>
    <t>1,32/1,53</t>
  </si>
  <si>
    <t>Барчук Л.Ю.</t>
  </si>
  <si>
    <t>459/9</t>
  </si>
  <si>
    <t>1,29/1,49</t>
  </si>
  <si>
    <t>1,29/1,50</t>
  </si>
  <si>
    <t>1,27/1,48</t>
  </si>
  <si>
    <t>1,25/1,46</t>
  </si>
  <si>
    <t>1,30/1,51</t>
  </si>
  <si>
    <t>1,3/1,52</t>
  </si>
  <si>
    <t>1,35/1,56</t>
  </si>
  <si>
    <t>1,28/1,49</t>
  </si>
  <si>
    <t>1,28/1,48</t>
  </si>
  <si>
    <t>1,34/1,55</t>
  </si>
  <si>
    <t>404/6</t>
  </si>
  <si>
    <t>1,24/1,46</t>
  </si>
  <si>
    <t>406/6</t>
  </si>
  <si>
    <t>1,27/1,45</t>
  </si>
  <si>
    <t>388/6</t>
  </si>
  <si>
    <t>1,27/1,43</t>
  </si>
  <si>
    <t>420/9</t>
  </si>
  <si>
    <t>1,23/1,38</t>
  </si>
  <si>
    <t>1,26/1,44</t>
  </si>
  <si>
    <t>1,32/1,52</t>
  </si>
  <si>
    <t>1,25/1,45</t>
  </si>
  <si>
    <t>1,27/1,47</t>
  </si>
  <si>
    <t>апреля</t>
  </si>
  <si>
    <t>1,22/1,42</t>
  </si>
  <si>
    <t>381/9</t>
  </si>
  <si>
    <t>374/9</t>
  </si>
  <si>
    <t>1,30/1,53</t>
  </si>
  <si>
    <t>401/9</t>
  </si>
  <si>
    <t>1,31/1,52</t>
  </si>
  <si>
    <t>386/9</t>
  </si>
  <si>
    <t>379/9</t>
  </si>
  <si>
    <t>369/9</t>
  </si>
  <si>
    <t>1,32/1,51</t>
  </si>
  <si>
    <t>1,27/1,49</t>
  </si>
  <si>
    <t>1,29/1,5</t>
  </si>
  <si>
    <t>405/8</t>
  </si>
  <si>
    <t>401/8</t>
  </si>
  <si>
    <t>390/8</t>
  </si>
  <si>
    <t>383/8</t>
  </si>
  <si>
    <t>393/8</t>
  </si>
  <si>
    <t>396/8</t>
  </si>
  <si>
    <t>мая</t>
  </si>
  <si>
    <t>409/8</t>
  </si>
  <si>
    <t>1,23/1,45</t>
  </si>
  <si>
    <t>399/8</t>
  </si>
  <si>
    <t>395/8</t>
  </si>
  <si>
    <t>411/8</t>
  </si>
  <si>
    <t>288/8</t>
  </si>
  <si>
    <t>406/9</t>
  </si>
  <si>
    <t>1,23/1,43</t>
  </si>
  <si>
    <t>1,19/1,38</t>
  </si>
  <si>
    <t>1,22/1,41</t>
  </si>
  <si>
    <t>438/9</t>
  </si>
  <si>
    <t>442/9</t>
  </si>
  <si>
    <t>436/9</t>
  </si>
  <si>
    <t>433/9</t>
  </si>
  <si>
    <t>431/9</t>
  </si>
  <si>
    <t>422/9</t>
  </si>
  <si>
    <t>1,30/1,52</t>
  </si>
  <si>
    <t>411/9</t>
  </si>
  <si>
    <t>424/9</t>
  </si>
  <si>
    <t>408/9</t>
  </si>
  <si>
    <t>1,28/1,5</t>
  </si>
  <si>
    <t>408/8</t>
  </si>
  <si>
    <t>414/8</t>
  </si>
  <si>
    <t>1,15/1,34</t>
  </si>
  <si>
    <t>Новорос.</t>
  </si>
  <si>
    <t>Новороссйская</t>
  </si>
  <si>
    <t>1,10/1,30</t>
  </si>
  <si>
    <t>402/8</t>
  </si>
  <si>
    <t>1,16/1,36</t>
  </si>
  <si>
    <t>358/7</t>
  </si>
  <si>
    <t>1,15/1,37</t>
  </si>
  <si>
    <t>349/7</t>
  </si>
  <si>
    <t>1,18/1,40</t>
  </si>
  <si>
    <t>338/7</t>
  </si>
  <si>
    <t>1,22/1,44</t>
  </si>
  <si>
    <t>356/7</t>
  </si>
  <si>
    <t>1,19/1,42</t>
  </si>
  <si>
    <t>1,13/1,35</t>
  </si>
  <si>
    <t>370/7</t>
  </si>
  <si>
    <t>1,17/1,37</t>
  </si>
  <si>
    <t>360/7</t>
  </si>
  <si>
    <t>1,12/1,33</t>
  </si>
  <si>
    <t>369/7</t>
  </si>
  <si>
    <t>1,13/1,33</t>
  </si>
  <si>
    <t>350/7</t>
  </si>
  <si>
    <t>1,14/1,34</t>
  </si>
  <si>
    <t>июня</t>
  </si>
  <si>
    <t>345/7</t>
  </si>
  <si>
    <t>1,12/1,32</t>
  </si>
  <si>
    <t>367/7</t>
  </si>
  <si>
    <t>1,17/1,36</t>
  </si>
  <si>
    <t>363/7</t>
  </si>
  <si>
    <t>361/7</t>
  </si>
  <si>
    <t>1,21/1,43</t>
  </si>
  <si>
    <t>357/7</t>
  </si>
  <si>
    <t>366/7</t>
  </si>
  <si>
    <t>1,23/1,47</t>
  </si>
  <si>
    <t>376/7</t>
  </si>
  <si>
    <t>1,23/1,46</t>
  </si>
  <si>
    <t>378/7</t>
  </si>
  <si>
    <t>1,29/1,52</t>
  </si>
  <si>
    <t>368/7</t>
  </si>
  <si>
    <t>1,25/1,48</t>
  </si>
  <si>
    <t>372/7</t>
  </si>
  <si>
    <t>,</t>
  </si>
  <si>
    <t>390/7</t>
  </si>
  <si>
    <t>1,20/1,44</t>
  </si>
  <si>
    <t>335/7</t>
  </si>
  <si>
    <t>1,24/1,48</t>
  </si>
  <si>
    <t>384/7</t>
  </si>
  <si>
    <t>1,22/1,45</t>
  </si>
  <si>
    <t>1,22/1,47</t>
  </si>
  <si>
    <t>374/7</t>
  </si>
  <si>
    <t>1,20/1,45</t>
  </si>
  <si>
    <t>359/7</t>
  </si>
  <si>
    <t>1,21/1,45</t>
  </si>
  <si>
    <t>385/7</t>
  </si>
  <si>
    <t>1,27/1,50</t>
  </si>
  <si>
    <t>1,26/1,50</t>
  </si>
  <si>
    <t>386/7</t>
  </si>
  <si>
    <t>380/7</t>
  </si>
  <si>
    <t>1,23/1,5</t>
  </si>
  <si>
    <t>1,21/1,48</t>
  </si>
  <si>
    <t>377/7</t>
  </si>
  <si>
    <t>1,20/1,46</t>
  </si>
  <si>
    <t>1,23/1,48</t>
  </si>
  <si>
    <t>375/7</t>
  </si>
  <si>
    <t>1,16/1,40</t>
  </si>
  <si>
    <t>июля</t>
  </si>
  <si>
    <t>Шалахманова А.В.</t>
  </si>
  <si>
    <t>1,2/1,42</t>
  </si>
  <si>
    <t>381/7</t>
  </si>
  <si>
    <t>379/7</t>
  </si>
  <si>
    <t>1,19/1,44</t>
  </si>
  <si>
    <t>1,19/1,47</t>
  </si>
  <si>
    <t>383/7</t>
  </si>
  <si>
    <t>1,15/1,41</t>
  </si>
  <si>
    <t>393/7</t>
  </si>
  <si>
    <t>392/7</t>
  </si>
  <si>
    <t>388/7</t>
  </si>
  <si>
    <t>1,17/1,43</t>
  </si>
  <si>
    <t>1,22/1,46</t>
  </si>
  <si>
    <t>план</t>
  </si>
  <si>
    <t>факт</t>
  </si>
  <si>
    <t>Отклонение</t>
  </si>
  <si>
    <t>Удельный расход мелочь ФМн ср.</t>
  </si>
  <si>
    <t>Мелочь ФМн с н. м.</t>
  </si>
  <si>
    <t>373/7</t>
  </si>
  <si>
    <t>1,22/1,49</t>
  </si>
  <si>
    <t>1,27/1,52</t>
  </si>
  <si>
    <t>1,24/1,52</t>
  </si>
  <si>
    <t>1,27/1,53</t>
  </si>
  <si>
    <t>1,23/1,51</t>
  </si>
  <si>
    <t>1,25/1,52</t>
  </si>
  <si>
    <t>382/7</t>
  </si>
  <si>
    <t>1,21/1,49</t>
  </si>
  <si>
    <t>1,20/1,47</t>
  </si>
  <si>
    <t>1,22/1,50</t>
  </si>
  <si>
    <t>1,26/1,52</t>
  </si>
  <si>
    <t>1,25/1,55</t>
  </si>
  <si>
    <t>1,23/1,54</t>
  </si>
  <si>
    <t>1,23/1,52</t>
  </si>
  <si>
    <t>391/7</t>
  </si>
  <si>
    <t>1,26/1,54</t>
  </si>
  <si>
    <t>1,26/1,55</t>
  </si>
  <si>
    <t>1,27/1,57</t>
  </si>
  <si>
    <t>Кудумани</t>
  </si>
  <si>
    <t>Агломерат 7% 14пр</t>
  </si>
  <si>
    <t>Агломерат 18% 16пр</t>
  </si>
  <si>
    <t>Агломерат 7%, 14пр</t>
  </si>
  <si>
    <t>Агломерат 18%, 16пр</t>
  </si>
  <si>
    <t xml:space="preserve">Агломерат 18%, 16пр </t>
  </si>
  <si>
    <t>1,25/1,51</t>
  </si>
  <si>
    <t>Кленина М.В.</t>
  </si>
  <si>
    <t>1,23/1,49</t>
  </si>
  <si>
    <t>1,29,1,51</t>
  </si>
  <si>
    <t>1,26/1,45</t>
  </si>
  <si>
    <t>396/7</t>
  </si>
  <si>
    <t>1,21/1,40</t>
  </si>
  <si>
    <t>398/7</t>
  </si>
  <si>
    <t>1,18/1,30</t>
  </si>
  <si>
    <t>1,19/1,4</t>
  </si>
  <si>
    <t>1,18/1,38</t>
  </si>
  <si>
    <t>387/7</t>
  </si>
  <si>
    <t>1,26/1,46</t>
  </si>
  <si>
    <t>1,34/1,54</t>
  </si>
  <si>
    <t>1,35/1,54</t>
  </si>
  <si>
    <t>389/7</t>
  </si>
  <si>
    <t>1,19/1,39</t>
  </si>
  <si>
    <t>373/8</t>
  </si>
  <si>
    <t>сентября</t>
  </si>
  <si>
    <t>1,33/1,52</t>
  </si>
  <si>
    <t>1,37/1,59</t>
  </si>
  <si>
    <t>465/9</t>
  </si>
  <si>
    <t>1,28/1,50</t>
  </si>
  <si>
    <t>Агломерат 18%  5-6 пр</t>
  </si>
  <si>
    <t xml:space="preserve">Агломерат 18%, 5-6 пр </t>
  </si>
  <si>
    <t>481/9</t>
  </si>
  <si>
    <t>1,32/1,55</t>
  </si>
  <si>
    <t>1,39/1,61</t>
  </si>
  <si>
    <t>1,32/1,54</t>
  </si>
  <si>
    <t>426/9</t>
  </si>
  <si>
    <t>1,3/1,53</t>
  </si>
  <si>
    <t>1,21/1,42</t>
  </si>
  <si>
    <t>476/9</t>
  </si>
  <si>
    <t>474/9</t>
  </si>
  <si>
    <t>1,28/1,51</t>
  </si>
  <si>
    <t>октября</t>
  </si>
  <si>
    <t>378/9</t>
  </si>
  <si>
    <t>1,24/1,49</t>
  </si>
  <si>
    <t>Челябинск</t>
  </si>
  <si>
    <t>1,25/1,53</t>
  </si>
  <si>
    <t>1,24/1,50</t>
  </si>
  <si>
    <t>1,2/1,46</t>
  </si>
  <si>
    <t>1,18/1,45</t>
  </si>
  <si>
    <t>410/9</t>
  </si>
  <si>
    <t>417/9</t>
  </si>
  <si>
    <t>437/9</t>
  </si>
  <si>
    <t>328/8</t>
  </si>
  <si>
    <t>1,28/1,55</t>
  </si>
  <si>
    <t>1,30/1,57</t>
  </si>
  <si>
    <t>1,28/1,54</t>
  </si>
  <si>
    <t>Агломерат, 4-5 пр</t>
  </si>
  <si>
    <t>Агломерат ,13% 6-7 пр</t>
  </si>
  <si>
    <t>Агломерат,13% 6-7 пр</t>
  </si>
  <si>
    <t xml:space="preserve">Агломерат, 4-5 пр </t>
  </si>
  <si>
    <t>1,29/1,57</t>
  </si>
  <si>
    <t>1,33/1,60</t>
  </si>
  <si>
    <t>1,30/1,56</t>
  </si>
  <si>
    <t>441/9</t>
  </si>
  <si>
    <t>1,26/1,53</t>
  </si>
  <si>
    <t>1,31/1,58</t>
  </si>
  <si>
    <t>Новотроицк</t>
  </si>
  <si>
    <t>430/9</t>
  </si>
  <si>
    <t>1,25/1,54</t>
  </si>
  <si>
    <t>428/9</t>
  </si>
  <si>
    <t>409/9</t>
  </si>
  <si>
    <t>1,20/1,48</t>
  </si>
  <si>
    <t>341/9</t>
  </si>
  <si>
    <t>1,30/1,55</t>
  </si>
  <si>
    <t>ноября</t>
  </si>
  <si>
    <t>1,27/1,56</t>
  </si>
  <si>
    <t>1,27/1,55</t>
  </si>
  <si>
    <t>1,29/1,55</t>
  </si>
  <si>
    <t>1,29/1,58</t>
  </si>
  <si>
    <t>1,22/1,5</t>
  </si>
  <si>
    <t>Агломерат , 6-7/ 16 пр</t>
  </si>
  <si>
    <t>Агломерат, 6-7/ 16 пр</t>
  </si>
  <si>
    <t>Агломерат, 6-7 / 16 пр</t>
  </si>
  <si>
    <t>1,15/1,40</t>
  </si>
  <si>
    <t>384/9</t>
  </si>
  <si>
    <t>400/9</t>
  </si>
  <si>
    <t>365/8</t>
  </si>
  <si>
    <t>469/9</t>
  </si>
  <si>
    <t>1,23/1,50</t>
  </si>
  <si>
    <t>декабря</t>
  </si>
  <si>
    <t>1,19/1,45</t>
  </si>
  <si>
    <t>432/9</t>
  </si>
  <si>
    <t>1,30/1,54</t>
  </si>
  <si>
    <t>398/9</t>
  </si>
  <si>
    <t>385/9</t>
  </si>
  <si>
    <t>419/9</t>
  </si>
  <si>
    <t>231/4</t>
  </si>
  <si>
    <t>256/4</t>
  </si>
  <si>
    <t>0,91/1,10</t>
  </si>
  <si>
    <t>271/4</t>
  </si>
  <si>
    <t>1,30/1,49</t>
  </si>
  <si>
    <t>273/5</t>
  </si>
  <si>
    <t>380/9</t>
  </si>
  <si>
    <t>1,16/1,37</t>
  </si>
  <si>
    <t>1,26/148</t>
  </si>
  <si>
    <t>1,27/1,46</t>
  </si>
  <si>
    <t>Сединкина Т.В.</t>
  </si>
  <si>
    <t>466/9</t>
  </si>
</sst>
</file>

<file path=xl/styles.xml><?xml version="1.0" encoding="utf-8"?>
<styleSheet xmlns="http://schemas.openxmlformats.org/spreadsheetml/2006/main">
  <numFmts count="7">
    <numFmt numFmtId="164" formatCode="0.000"/>
    <numFmt numFmtId="165" formatCode="#,##0.000"/>
    <numFmt numFmtId="166" formatCode="0.0"/>
    <numFmt numFmtId="167" formatCode="#,##0.0"/>
    <numFmt numFmtId="168" formatCode="#,###.00"/>
    <numFmt numFmtId="169" formatCode="0.0000"/>
    <numFmt numFmtId="170" formatCode="0.0000000"/>
  </numFmts>
  <fonts count="49">
    <font>
      <sz val="10"/>
      <name val="Arial Cyr"/>
      <family val="2"/>
      <charset val="204"/>
    </font>
    <font>
      <sz val="12"/>
      <name val="Arial Cyr"/>
      <family val="2"/>
      <charset val="204"/>
    </font>
    <font>
      <sz val="8"/>
      <name val="Times New Roman CYR"/>
      <family val="1"/>
      <charset val="204"/>
    </font>
    <font>
      <sz val="10"/>
      <name val="Times New Roman CYR"/>
      <family val="1"/>
      <charset val="204"/>
    </font>
    <font>
      <sz val="8"/>
      <name val="Arial Cyr"/>
      <family val="2"/>
      <charset val="204"/>
    </font>
    <font>
      <b/>
      <sz val="12"/>
      <name val="Arial Cyr"/>
      <family val="2"/>
      <charset val="204"/>
    </font>
    <font>
      <sz val="10"/>
      <color indexed="12"/>
      <name val="Times New Roman CYR"/>
      <family val="1"/>
      <charset val="204"/>
    </font>
    <font>
      <sz val="10"/>
      <color indexed="12"/>
      <name val="Arial Cyr"/>
      <family val="2"/>
      <charset val="204"/>
    </font>
    <font>
      <b/>
      <sz val="10"/>
      <name val="Arial Cyr"/>
      <family val="2"/>
      <charset val="204"/>
    </font>
    <font>
      <sz val="10"/>
      <color indexed="17"/>
      <name val="Arial Cyr"/>
      <family val="2"/>
      <charset val="204"/>
    </font>
    <font>
      <b/>
      <sz val="10"/>
      <color indexed="12"/>
      <name val="Arial"/>
      <family val="2"/>
      <charset val="204"/>
    </font>
    <font>
      <b/>
      <sz val="10"/>
      <color indexed="12"/>
      <name val="Lucida Console"/>
      <family val="3"/>
      <charset val="204"/>
    </font>
    <font>
      <b/>
      <sz val="10"/>
      <name val="Arial"/>
      <family val="2"/>
      <charset val="204"/>
    </font>
    <font>
      <sz val="10"/>
      <name val="Arial Cyr"/>
      <family val="2"/>
      <charset val="204"/>
    </font>
    <font>
      <b/>
      <sz val="10"/>
      <color indexed="10"/>
      <name val="Arial Cyr"/>
      <family val="2"/>
      <charset val="204"/>
    </font>
    <font>
      <b/>
      <sz val="10"/>
      <color indexed="10"/>
      <name val="Lucida Console"/>
      <family val="3"/>
      <charset val="204"/>
    </font>
    <font>
      <sz val="12"/>
      <color indexed="10"/>
      <name val="Arial Cyr"/>
      <family val="2"/>
      <charset val="204"/>
    </font>
    <font>
      <b/>
      <sz val="10"/>
      <name val="Arial Cyr"/>
      <charset val="204"/>
    </font>
    <font>
      <b/>
      <sz val="10"/>
      <color indexed="12"/>
      <name val="Arial Cyr"/>
      <charset val="204"/>
    </font>
    <font>
      <sz val="10"/>
      <name val="Arial Cyr"/>
      <charset val="204"/>
    </font>
    <font>
      <sz val="10"/>
      <color indexed="9"/>
      <name val="Arial Cyr"/>
      <charset val="204"/>
    </font>
    <font>
      <i/>
      <sz val="10"/>
      <name val="Arial Cyr"/>
      <charset val="204"/>
    </font>
    <font>
      <b/>
      <i/>
      <sz val="10"/>
      <name val="Arial Cyr"/>
      <charset val="204"/>
    </font>
    <font>
      <b/>
      <sz val="12"/>
      <name val="Arial Cyr"/>
      <charset val="204"/>
    </font>
    <font>
      <sz val="10"/>
      <color indexed="12"/>
      <name val="Arial Cyr"/>
      <charset val="204"/>
    </font>
    <font>
      <sz val="12"/>
      <name val="Arial Cyr"/>
      <charset val="204"/>
    </font>
    <font>
      <i/>
      <sz val="12"/>
      <name val="Arial Cyr"/>
      <charset val="204"/>
    </font>
    <font>
      <sz val="11"/>
      <color indexed="12"/>
      <name val="Arial Cyr"/>
      <charset val="204"/>
    </font>
    <font>
      <sz val="11"/>
      <color indexed="48"/>
      <name val="Arial Cyr"/>
      <charset val="204"/>
    </font>
    <font>
      <sz val="11"/>
      <name val="Arial Cyr"/>
      <charset val="204"/>
    </font>
    <font>
      <sz val="11"/>
      <color indexed="8"/>
      <name val="Arial Cyr"/>
      <charset val="204"/>
    </font>
    <font>
      <b/>
      <sz val="10"/>
      <name val="Lucida Console"/>
      <family val="3"/>
      <charset val="204"/>
    </font>
    <font>
      <b/>
      <sz val="9"/>
      <color indexed="12"/>
      <name val="Arial Cyr"/>
      <charset val="204"/>
    </font>
    <font>
      <sz val="10"/>
      <name val="Arial"/>
      <family val="2"/>
      <charset val="204"/>
    </font>
    <font>
      <b/>
      <sz val="14"/>
      <name val="Arial Cyr"/>
      <family val="2"/>
      <charset val="204"/>
    </font>
    <font>
      <b/>
      <sz val="14"/>
      <color indexed="10"/>
      <name val="Arial Cyr"/>
      <family val="2"/>
      <charset val="204"/>
    </font>
    <font>
      <sz val="14"/>
      <name val="Arial Cyr"/>
      <family val="2"/>
      <charset val="204"/>
    </font>
    <font>
      <b/>
      <i/>
      <sz val="14"/>
      <name val="Arial Cyr"/>
      <charset val="204"/>
    </font>
    <font>
      <b/>
      <sz val="11"/>
      <color indexed="12"/>
      <name val="Arial Cyr"/>
      <charset val="204"/>
    </font>
    <font>
      <b/>
      <sz val="11"/>
      <color indexed="48"/>
      <name val="Arial Cyr"/>
      <charset val="204"/>
    </font>
    <font>
      <b/>
      <sz val="11"/>
      <name val="Arial Cyr"/>
      <charset val="204"/>
    </font>
    <font>
      <b/>
      <sz val="11"/>
      <color indexed="17"/>
      <name val="Arial Cyr"/>
      <charset val="204"/>
    </font>
    <font>
      <b/>
      <sz val="11"/>
      <color indexed="21"/>
      <name val="Arial Cyr"/>
      <charset val="204"/>
    </font>
    <font>
      <sz val="9"/>
      <color indexed="12"/>
      <name val="Arial Cyr"/>
      <charset val="204"/>
    </font>
    <font>
      <b/>
      <sz val="8"/>
      <color indexed="12"/>
      <name val="Arial Cyr"/>
      <charset val="204"/>
    </font>
    <font>
      <sz val="11"/>
      <color rgb="FF0000FF"/>
      <name val="Arial Cyr"/>
      <charset val="204"/>
    </font>
    <font>
      <b/>
      <sz val="12"/>
      <color rgb="FFFF0000"/>
      <name val="Arial Cyr"/>
      <charset val="204"/>
    </font>
    <font>
      <b/>
      <i/>
      <sz val="11"/>
      <name val="Arial Cyr"/>
      <charset val="204"/>
    </font>
    <font>
      <sz val="9"/>
      <name val="Arial Cyr"/>
      <charset val="204"/>
    </font>
  </fonts>
  <fills count="5">
    <fill>
      <patternFill patternType="none"/>
    </fill>
    <fill>
      <patternFill patternType="gray125"/>
    </fill>
    <fill>
      <patternFill patternType="solid">
        <fgColor indexed="43"/>
        <bgColor indexed="26"/>
      </patternFill>
    </fill>
    <fill>
      <patternFill patternType="solid">
        <fgColor indexed="51"/>
        <bgColor indexed="13"/>
      </patternFill>
    </fill>
    <fill>
      <patternFill patternType="solid">
        <fgColor indexed="13"/>
        <bgColor indexed="34"/>
      </patternFill>
    </fill>
  </fills>
  <borders count="174">
    <border>
      <left/>
      <right/>
      <top/>
      <bottom/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/>
      <right/>
      <top style="medium">
        <color indexed="12"/>
      </top>
      <bottom style="medium">
        <color indexed="12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12"/>
      </left>
      <right style="thin">
        <color indexed="12"/>
      </right>
      <top/>
      <bottom style="thin">
        <color indexed="12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/>
      <diagonal/>
    </border>
    <border>
      <left style="thin">
        <color indexed="12"/>
      </left>
      <right/>
      <top style="thin">
        <color indexed="12"/>
      </top>
      <bottom style="thin">
        <color indexed="12"/>
      </bottom>
      <diagonal/>
    </border>
    <border>
      <left style="thin">
        <color indexed="8"/>
      </left>
      <right style="thin">
        <color indexed="8"/>
      </right>
      <top style="thin">
        <color indexed="12"/>
      </top>
      <bottom style="thin">
        <color indexed="12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8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 style="medium">
        <color indexed="12"/>
      </bottom>
      <diagonal/>
    </border>
    <border>
      <left/>
      <right/>
      <top style="medium">
        <color indexed="8"/>
      </top>
      <bottom/>
      <diagonal/>
    </border>
    <border>
      <left/>
      <right style="medium">
        <color indexed="12"/>
      </right>
      <top style="medium">
        <color indexed="12"/>
      </top>
      <bottom style="medium">
        <color indexed="12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12"/>
      </left>
      <right/>
      <top/>
      <bottom/>
      <diagonal/>
    </border>
    <border>
      <left style="medium">
        <color indexed="12"/>
      </left>
      <right style="medium">
        <color indexed="12"/>
      </right>
      <top/>
      <bottom style="medium">
        <color indexed="12"/>
      </bottom>
      <diagonal/>
    </border>
    <border>
      <left/>
      <right style="medium">
        <color indexed="12"/>
      </right>
      <top/>
      <bottom/>
      <diagonal/>
    </border>
    <border>
      <left/>
      <right/>
      <top/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/>
      <top/>
      <bottom/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medium">
        <color indexed="8"/>
      </bottom>
      <diagonal/>
    </border>
    <border>
      <left/>
      <right/>
      <top style="medium">
        <color indexed="64"/>
      </top>
      <bottom/>
      <diagonal/>
    </border>
    <border>
      <left style="medium">
        <color indexed="8"/>
      </left>
      <right/>
      <top/>
      <bottom/>
      <diagonal/>
    </border>
    <border>
      <left/>
      <right style="medium">
        <color indexed="8"/>
      </right>
      <top/>
      <bottom style="medium">
        <color indexed="8"/>
      </bottom>
      <diagonal/>
    </border>
    <border>
      <left style="thin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12"/>
      </bottom>
      <diagonal/>
    </border>
    <border>
      <left/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thin">
        <color indexed="8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 style="thin">
        <color indexed="8"/>
      </top>
      <bottom style="medium">
        <color indexed="64"/>
      </bottom>
      <diagonal/>
    </border>
    <border>
      <left style="medium">
        <color indexed="64"/>
      </left>
      <right style="medium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thin">
        <color indexed="12"/>
      </left>
      <right style="thin">
        <color indexed="12"/>
      </right>
      <top style="medium">
        <color indexed="12"/>
      </top>
      <bottom/>
      <diagonal/>
    </border>
    <border>
      <left style="thin">
        <color indexed="12"/>
      </left>
      <right style="thin">
        <color indexed="12"/>
      </right>
      <top/>
      <bottom/>
      <diagonal/>
    </border>
    <border>
      <left/>
      <right style="thin">
        <color indexed="12"/>
      </right>
      <top/>
      <bottom style="thin">
        <color indexed="12"/>
      </bottom>
      <diagonal/>
    </border>
    <border>
      <left/>
      <right style="thin">
        <color indexed="12"/>
      </right>
      <top/>
      <bottom/>
      <diagonal/>
    </border>
    <border>
      <left style="medium">
        <color indexed="12"/>
      </left>
      <right/>
      <top style="medium">
        <color indexed="12"/>
      </top>
      <bottom/>
      <diagonal/>
    </border>
    <border>
      <left/>
      <right/>
      <top style="medium">
        <color indexed="12"/>
      </top>
      <bottom/>
      <diagonal/>
    </border>
    <border>
      <left/>
      <right style="medium">
        <color indexed="12"/>
      </right>
      <top style="medium">
        <color indexed="12"/>
      </top>
      <bottom/>
      <diagonal/>
    </border>
    <border>
      <left/>
      <right style="thin">
        <color indexed="12"/>
      </right>
      <top style="medium">
        <color indexed="12"/>
      </top>
      <bottom style="thin">
        <color indexed="12"/>
      </bottom>
      <diagonal/>
    </border>
    <border>
      <left/>
      <right style="thin">
        <color indexed="12"/>
      </right>
      <top/>
      <bottom style="medium">
        <color indexed="12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medium">
        <color indexed="64"/>
      </bottom>
      <diagonal/>
    </border>
    <border>
      <left/>
      <right style="thin">
        <color indexed="12"/>
      </right>
      <top style="thin">
        <color indexed="12"/>
      </top>
      <bottom style="medium">
        <color indexed="12"/>
      </bottom>
      <diagonal/>
    </border>
    <border>
      <left style="medium">
        <color indexed="8"/>
      </left>
      <right style="medium">
        <color indexed="12"/>
      </right>
      <top/>
      <bottom/>
      <diagonal/>
    </border>
    <border>
      <left style="thin">
        <color indexed="12"/>
      </left>
      <right style="medium">
        <color indexed="12"/>
      </right>
      <top style="medium">
        <color indexed="12"/>
      </top>
      <bottom style="thin">
        <color indexed="12"/>
      </bottom>
      <diagonal/>
    </border>
    <border>
      <left style="thin">
        <color indexed="12"/>
      </left>
      <right style="medium">
        <color indexed="12"/>
      </right>
      <top style="thin">
        <color indexed="12"/>
      </top>
      <bottom style="thin">
        <color indexed="12"/>
      </bottom>
      <diagonal/>
    </border>
    <border>
      <left style="thin">
        <color indexed="12"/>
      </left>
      <right style="medium">
        <color indexed="12"/>
      </right>
      <top style="thin">
        <color indexed="12"/>
      </top>
      <bottom style="medium">
        <color indexed="12"/>
      </bottom>
      <diagonal/>
    </border>
    <border>
      <left style="thin">
        <color indexed="12"/>
      </left>
      <right style="medium">
        <color indexed="12"/>
      </right>
      <top/>
      <bottom style="thin">
        <color indexed="12"/>
      </bottom>
      <diagonal/>
    </border>
    <border>
      <left style="thin">
        <color indexed="12"/>
      </left>
      <right style="medium">
        <color indexed="12"/>
      </right>
      <top/>
      <bottom/>
      <diagonal/>
    </border>
    <border>
      <left style="thin">
        <color indexed="64"/>
      </left>
      <right style="thin">
        <color indexed="8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/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64"/>
      </left>
      <right style="medium">
        <color indexed="8"/>
      </right>
      <top style="medium">
        <color indexed="64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64"/>
      </top>
      <bottom style="medium">
        <color indexed="8"/>
      </bottom>
      <diagonal/>
    </border>
    <border>
      <left style="medium">
        <color indexed="8"/>
      </left>
      <right/>
      <top style="medium">
        <color indexed="64"/>
      </top>
      <bottom style="medium">
        <color indexed="8"/>
      </bottom>
      <diagonal/>
    </border>
    <border>
      <left style="medium">
        <color indexed="8"/>
      </left>
      <right style="medium">
        <color indexed="64"/>
      </right>
      <top style="medium">
        <color indexed="64"/>
      </top>
      <bottom style="medium">
        <color indexed="8"/>
      </bottom>
      <diagonal/>
    </border>
    <border>
      <left style="medium">
        <color indexed="64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64"/>
      </right>
      <top style="medium">
        <color indexed="8"/>
      </top>
      <bottom style="medium">
        <color indexed="8"/>
      </bottom>
      <diagonal/>
    </border>
    <border>
      <left style="medium">
        <color indexed="64"/>
      </left>
      <right style="medium">
        <color indexed="8"/>
      </right>
      <top style="medium">
        <color indexed="8"/>
      </top>
      <bottom style="medium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64"/>
      </bottom>
      <diagonal/>
    </border>
    <border>
      <left style="medium">
        <color indexed="8"/>
      </left>
      <right/>
      <top style="medium">
        <color indexed="8"/>
      </top>
      <bottom style="medium">
        <color indexed="64"/>
      </bottom>
      <diagonal/>
    </border>
    <border>
      <left style="medium">
        <color indexed="8"/>
      </left>
      <right style="medium">
        <color indexed="64"/>
      </right>
      <top style="medium">
        <color indexed="8"/>
      </top>
      <bottom style="medium">
        <color indexed="64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12"/>
      </left>
      <right/>
      <top style="medium">
        <color indexed="12"/>
      </top>
      <bottom style="medium">
        <color indexed="12"/>
      </bottom>
      <diagonal/>
    </border>
    <border>
      <left style="thin">
        <color indexed="64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8"/>
      </top>
      <bottom style="thin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64"/>
      </top>
      <bottom style="medium">
        <color indexed="8"/>
      </bottom>
      <diagonal/>
    </border>
    <border>
      <left/>
      <right style="medium">
        <color indexed="64"/>
      </right>
      <top style="medium">
        <color indexed="64"/>
      </top>
      <bottom style="medium">
        <color indexed="8"/>
      </bottom>
      <diagonal/>
    </border>
    <border>
      <left/>
      <right style="medium">
        <color indexed="64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64"/>
      </bottom>
      <diagonal/>
    </border>
    <border>
      <left/>
      <right style="medium">
        <color indexed="64"/>
      </right>
      <top style="medium">
        <color indexed="8"/>
      </top>
      <bottom style="medium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thin">
        <color indexed="64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/>
      <diagonal/>
    </border>
    <border>
      <left/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/>
      <right style="thin">
        <color indexed="8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64"/>
      </right>
      <top/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23">
    <xf numFmtId="0" fontId="0" fillId="0" borderId="0" xfId="0"/>
    <xf numFmtId="164" fontId="0" fillId="0" borderId="0" xfId="0" applyNumberFormat="1"/>
    <xf numFmtId="0" fontId="1" fillId="0" borderId="0" xfId="0" applyFont="1" applyBorder="1" applyAlignment="1">
      <alignment horizontal="left"/>
    </xf>
    <xf numFmtId="0" fontId="2" fillId="0" borderId="0" xfId="0" applyNumberFormat="1" applyFont="1" applyBorder="1" applyAlignment="1">
      <alignment horizontal="center" vertical="center"/>
    </xf>
    <xf numFmtId="0" fontId="0" fillId="0" borderId="0" xfId="0" applyBorder="1" applyAlignment="1"/>
    <xf numFmtId="0" fontId="3" fillId="0" borderId="0" xfId="0" applyFont="1" applyFill="1" applyBorder="1" applyAlignment="1">
      <alignment horizontal="center" vertical="center" wrapText="1" shrinkToFit="1"/>
    </xf>
    <xf numFmtId="0" fontId="0" fillId="0" borderId="0" xfId="0" applyFont="1" applyBorder="1" applyAlignment="1"/>
    <xf numFmtId="0" fontId="4" fillId="0" borderId="0" xfId="0" applyFont="1" applyFill="1"/>
    <xf numFmtId="0" fontId="2" fillId="0" borderId="0" xfId="0" applyNumberFormat="1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164" fontId="9" fillId="0" borderId="4" xfId="0" applyNumberFormat="1" applyFont="1" applyBorder="1"/>
    <xf numFmtId="164" fontId="9" fillId="0" borderId="5" xfId="0" applyNumberFormat="1" applyFont="1" applyBorder="1"/>
    <xf numFmtId="164" fontId="9" fillId="0" borderId="0" xfId="0" applyNumberFormat="1" applyFont="1" applyBorder="1"/>
    <xf numFmtId="164" fontId="9" fillId="0" borderId="6" xfId="0" applyNumberFormat="1" applyFont="1" applyBorder="1"/>
    <xf numFmtId="164" fontId="9" fillId="0" borderId="7" xfId="0" applyNumberFormat="1" applyFont="1" applyBorder="1"/>
    <xf numFmtId="164" fontId="9" fillId="0" borderId="8" xfId="0" applyNumberFormat="1" applyFont="1" applyBorder="1"/>
    <xf numFmtId="164" fontId="9" fillId="0" borderId="9" xfId="0" applyNumberFormat="1" applyFont="1" applyBorder="1"/>
    <xf numFmtId="164" fontId="9" fillId="0" borderId="10" xfId="0" applyNumberFormat="1" applyFont="1" applyBorder="1"/>
    <xf numFmtId="2" fontId="11" fillId="0" borderId="0" xfId="0" applyNumberFormat="1" applyFont="1" applyBorder="1"/>
    <xf numFmtId="0" fontId="0" fillId="0" borderId="11" xfId="0" applyBorder="1"/>
    <xf numFmtId="0" fontId="8" fillId="0" borderId="0" xfId="0" applyFont="1"/>
    <xf numFmtId="0" fontId="1" fillId="0" borderId="0" xfId="0" applyFont="1"/>
    <xf numFmtId="0" fontId="7" fillId="0" borderId="12" xfId="0" applyFont="1" applyFill="1" applyBorder="1" applyAlignment="1">
      <alignment horizontal="center" vertical="center" wrapText="1"/>
    </xf>
    <xf numFmtId="2" fontId="10" fillId="0" borderId="13" xfId="0" applyNumberFormat="1" applyFont="1" applyBorder="1"/>
    <xf numFmtId="2" fontId="7" fillId="0" borderId="0" xfId="0" applyNumberFormat="1" applyFont="1" applyBorder="1"/>
    <xf numFmtId="0" fontId="7" fillId="0" borderId="0" xfId="0" applyNumberFormat="1" applyFont="1" applyBorder="1"/>
    <xf numFmtId="167" fontId="7" fillId="0" borderId="14" xfId="0" applyNumberFormat="1" applyFont="1" applyBorder="1"/>
    <xf numFmtId="164" fontId="13" fillId="0" borderId="13" xfId="0" applyNumberFormat="1" applyFont="1" applyBorder="1"/>
    <xf numFmtId="2" fontId="10" fillId="0" borderId="15" xfId="0" applyNumberFormat="1" applyFont="1" applyBorder="1"/>
    <xf numFmtId="164" fontId="13" fillId="0" borderId="16" xfId="0" applyNumberFormat="1" applyFont="1" applyBorder="1"/>
    <xf numFmtId="164" fontId="13" fillId="0" borderId="15" xfId="0" applyNumberFormat="1" applyFont="1" applyBorder="1"/>
    <xf numFmtId="164" fontId="13" fillId="0" borderId="17" xfId="0" applyNumberFormat="1" applyFont="1" applyBorder="1"/>
    <xf numFmtId="2" fontId="13" fillId="0" borderId="16" xfId="0" applyNumberFormat="1" applyFont="1" applyBorder="1"/>
    <xf numFmtId="0" fontId="13" fillId="0" borderId="15" xfId="0" applyFont="1" applyBorder="1"/>
    <xf numFmtId="2" fontId="13" fillId="0" borderId="15" xfId="0" applyNumberFormat="1" applyFont="1" applyBorder="1"/>
    <xf numFmtId="2" fontId="13" fillId="0" borderId="17" xfId="0" applyNumberFormat="1" applyFont="1" applyBorder="1"/>
    <xf numFmtId="167" fontId="7" fillId="0" borderId="0" xfId="0" applyNumberFormat="1" applyFont="1" applyBorder="1"/>
    <xf numFmtId="164" fontId="13" fillId="0" borderId="18" xfId="0" applyNumberFormat="1" applyFont="1" applyBorder="1"/>
    <xf numFmtId="164" fontId="13" fillId="0" borderId="19" xfId="0" applyNumberFormat="1" applyFont="1" applyBorder="1"/>
    <xf numFmtId="164" fontId="13" fillId="0" borderId="20" xfId="0" applyNumberFormat="1" applyFont="1" applyBorder="1"/>
    <xf numFmtId="0" fontId="13" fillId="0" borderId="16" xfId="0" applyFont="1" applyBorder="1"/>
    <xf numFmtId="164" fontId="13" fillId="0" borderId="21" xfId="0" applyNumberFormat="1" applyFont="1" applyBorder="1"/>
    <xf numFmtId="164" fontId="13" fillId="0" borderId="15" xfId="0" applyNumberFormat="1" applyFont="1" applyFill="1" applyBorder="1"/>
    <xf numFmtId="164" fontId="13" fillId="0" borderId="17" xfId="0" applyNumberFormat="1" applyFont="1" applyFill="1" applyBorder="1"/>
    <xf numFmtId="2" fontId="13" fillId="0" borderId="16" xfId="0" applyNumberFormat="1" applyFont="1" applyFill="1" applyBorder="1"/>
    <xf numFmtId="0" fontId="13" fillId="0" borderId="15" xfId="0" applyFont="1" applyFill="1" applyBorder="1"/>
    <xf numFmtId="2" fontId="13" fillId="0" borderId="15" xfId="0" applyNumberFormat="1" applyFont="1" applyFill="1" applyBorder="1"/>
    <xf numFmtId="2" fontId="13" fillId="0" borderId="17" xfId="0" applyNumberFormat="1" applyFont="1" applyFill="1" applyBorder="1"/>
    <xf numFmtId="164" fontId="13" fillId="0" borderId="16" xfId="0" applyNumberFormat="1" applyFont="1" applyFill="1" applyBorder="1"/>
    <xf numFmtId="0" fontId="13" fillId="0" borderId="17" xfId="0" applyFont="1" applyBorder="1"/>
    <xf numFmtId="164" fontId="13" fillId="0" borderId="22" xfId="0" applyNumberFormat="1" applyFont="1" applyBorder="1"/>
    <xf numFmtId="0" fontId="13" fillId="0" borderId="23" xfId="0" applyFont="1" applyBorder="1"/>
    <xf numFmtId="164" fontId="13" fillId="0" borderId="23" xfId="0" applyNumberFormat="1" applyFont="1" applyBorder="1"/>
    <xf numFmtId="0" fontId="13" fillId="0" borderId="24" xfId="0" applyFont="1" applyBorder="1"/>
    <xf numFmtId="2" fontId="13" fillId="0" borderId="25" xfId="0" applyNumberFormat="1" applyFont="1" applyBorder="1"/>
    <xf numFmtId="2" fontId="13" fillId="0" borderId="23" xfId="0" applyNumberFormat="1" applyFont="1" applyBorder="1"/>
    <xf numFmtId="2" fontId="13" fillId="0" borderId="24" xfId="0" applyNumberFormat="1" applyFont="1" applyBorder="1"/>
    <xf numFmtId="164" fontId="13" fillId="0" borderId="25" xfId="0" applyNumberFormat="1" applyFont="1" applyBorder="1"/>
    <xf numFmtId="2" fontId="13" fillId="0" borderId="26" xfId="0" applyNumberFormat="1" applyFont="1" applyBorder="1"/>
    <xf numFmtId="2" fontId="13" fillId="0" borderId="27" xfId="0" applyNumberFormat="1" applyFont="1" applyBorder="1"/>
    <xf numFmtId="164" fontId="10" fillId="0" borderId="13" xfId="0" applyNumberFormat="1" applyFont="1" applyBorder="1"/>
    <xf numFmtId="2" fontId="10" fillId="0" borderId="28" xfId="0" applyNumberFormat="1" applyFont="1" applyBorder="1"/>
    <xf numFmtId="2" fontId="10" fillId="0" borderId="29" xfId="0" applyNumberFormat="1" applyFont="1" applyBorder="1"/>
    <xf numFmtId="164" fontId="10" fillId="0" borderId="30" xfId="0" applyNumberFormat="1" applyFont="1" applyBorder="1"/>
    <xf numFmtId="2" fontId="10" fillId="0" borderId="30" xfId="0" applyNumberFormat="1" applyFont="1" applyBorder="1"/>
    <xf numFmtId="164" fontId="10" fillId="0" borderId="31" xfId="0" applyNumberFormat="1" applyFont="1" applyBorder="1"/>
    <xf numFmtId="164" fontId="10" fillId="0" borderId="28" xfId="0" applyNumberFormat="1" applyFont="1" applyBorder="1"/>
    <xf numFmtId="164" fontId="14" fillId="0" borderId="32" xfId="0" applyNumberFormat="1" applyFont="1" applyBorder="1"/>
    <xf numFmtId="164" fontId="14" fillId="0" borderId="33" xfId="0" applyNumberFormat="1" applyFont="1" applyBorder="1"/>
    <xf numFmtId="164" fontId="14" fillId="0" borderId="0" xfId="0" applyNumberFormat="1" applyFont="1" applyBorder="1"/>
    <xf numFmtId="164" fontId="14" fillId="0" borderId="34" xfId="0" applyNumberFormat="1" applyFont="1" applyBorder="1"/>
    <xf numFmtId="164" fontId="14" fillId="0" borderId="1" xfId="0" applyNumberFormat="1" applyFont="1" applyBorder="1"/>
    <xf numFmtId="2" fontId="10" fillId="0" borderId="16" xfId="0" applyNumberFormat="1" applyFont="1" applyBorder="1"/>
    <xf numFmtId="2" fontId="10" fillId="0" borderId="17" xfId="0" applyNumberFormat="1" applyFont="1" applyBorder="1"/>
    <xf numFmtId="2" fontId="10" fillId="0" borderId="18" xfId="0" applyNumberFormat="1" applyFont="1" applyBorder="1"/>
    <xf numFmtId="0" fontId="13" fillId="0" borderId="0" xfId="0" applyFont="1"/>
    <xf numFmtId="0" fontId="5" fillId="0" borderId="0" xfId="0" applyFont="1" applyBorder="1" applyAlignment="1">
      <alignment horizontal="left"/>
    </xf>
    <xf numFmtId="0" fontId="1" fillId="0" borderId="35" xfId="0" applyFont="1" applyBorder="1"/>
    <xf numFmtId="164" fontId="1" fillId="0" borderId="35" xfId="0" applyNumberFormat="1" applyFont="1" applyBorder="1"/>
    <xf numFmtId="0" fontId="16" fillId="0" borderId="0" xfId="0" applyFont="1" applyAlignment="1">
      <alignment horizontal="center"/>
    </xf>
    <xf numFmtId="0" fontId="17" fillId="0" borderId="36" xfId="0" applyFont="1" applyFill="1" applyBorder="1" applyAlignment="1">
      <alignment vertical="center" wrapText="1" shrinkToFit="1"/>
    </xf>
    <xf numFmtId="0" fontId="17" fillId="0" borderId="38" xfId="0" applyFont="1" applyFill="1" applyBorder="1" applyAlignment="1">
      <alignment vertical="center" wrapText="1" shrinkToFit="1"/>
    </xf>
    <xf numFmtId="0" fontId="17" fillId="0" borderId="28" xfId="0" applyFont="1" applyFill="1" applyBorder="1" applyAlignment="1">
      <alignment vertical="center" wrapText="1" shrinkToFit="1"/>
    </xf>
    <xf numFmtId="0" fontId="17" fillId="0" borderId="15" xfId="0" applyFont="1" applyFill="1" applyBorder="1" applyAlignment="1">
      <alignment horizontal="center" vertical="center" wrapText="1" shrinkToFit="1"/>
    </xf>
    <xf numFmtId="0" fontId="17" fillId="0" borderId="15" xfId="0" applyFont="1" applyFill="1" applyBorder="1" applyAlignment="1">
      <alignment horizontal="center" vertical="center" wrapText="1"/>
    </xf>
    <xf numFmtId="0" fontId="17" fillId="2" borderId="15" xfId="0" applyFont="1" applyFill="1" applyBorder="1" applyAlignment="1">
      <alignment horizontal="center" vertical="center" wrapText="1" shrinkToFit="1"/>
    </xf>
    <xf numFmtId="0" fontId="17" fillId="2" borderId="23" xfId="0" applyFont="1" applyFill="1" applyBorder="1" applyAlignment="1">
      <alignment horizontal="center" vertical="center" wrapText="1" shrinkToFit="1"/>
    </xf>
    <xf numFmtId="9" fontId="17" fillId="3" borderId="23" xfId="0" applyNumberFormat="1" applyFont="1" applyFill="1" applyBorder="1" applyAlignment="1">
      <alignment horizontal="center" vertical="center" wrapText="1" shrinkToFit="1"/>
    </xf>
    <xf numFmtId="166" fontId="18" fillId="0" borderId="13" xfId="0" applyNumberFormat="1" applyFont="1" applyBorder="1"/>
    <xf numFmtId="2" fontId="18" fillId="0" borderId="13" xfId="0" applyNumberFormat="1" applyFont="1" applyBorder="1"/>
    <xf numFmtId="0" fontId="17" fillId="0" borderId="39" xfId="0" applyFont="1" applyFill="1" applyBorder="1" applyAlignment="1">
      <alignment horizontal="center" vertical="center"/>
    </xf>
    <xf numFmtId="164" fontId="18" fillId="0" borderId="40" xfId="0" applyNumberFormat="1" applyFont="1" applyBorder="1"/>
    <xf numFmtId="0" fontId="17" fillId="0" borderId="18" xfId="0" applyFont="1" applyFill="1" applyBorder="1" applyAlignment="1">
      <alignment vertical="center"/>
    </xf>
    <xf numFmtId="0" fontId="17" fillId="0" borderId="18" xfId="0" applyFont="1" applyFill="1" applyBorder="1" applyAlignment="1">
      <alignment horizontal="left"/>
    </xf>
    <xf numFmtId="0" fontId="17" fillId="0" borderId="22" xfId="0" applyFont="1" applyBorder="1" applyAlignment="1">
      <alignment horizontal="center"/>
    </xf>
    <xf numFmtId="0" fontId="19" fillId="0" borderId="0" xfId="0" applyFont="1" applyBorder="1"/>
    <xf numFmtId="164" fontId="19" fillId="0" borderId="0" xfId="0" applyNumberFormat="1" applyFont="1" applyBorder="1"/>
    <xf numFmtId="0" fontId="20" fillId="0" borderId="0" xfId="0" applyFont="1" applyBorder="1"/>
    <xf numFmtId="0" fontId="19" fillId="0" borderId="11" xfId="0" applyFont="1" applyBorder="1"/>
    <xf numFmtId="0" fontId="19" fillId="0" borderId="0" xfId="0" applyFont="1"/>
    <xf numFmtId="0" fontId="19" fillId="0" borderId="0" xfId="0" applyFont="1" applyBorder="1" applyAlignment="1">
      <alignment horizontal="center" vertical="center"/>
    </xf>
    <xf numFmtId="164" fontId="19" fillId="0" borderId="0" xfId="0" applyNumberFormat="1" applyFont="1"/>
    <xf numFmtId="165" fontId="19" fillId="0" borderId="46" xfId="0" applyNumberFormat="1" applyFont="1" applyBorder="1"/>
    <xf numFmtId="165" fontId="19" fillId="0" borderId="0" xfId="0" applyNumberFormat="1" applyFont="1" applyBorder="1"/>
    <xf numFmtId="0" fontId="19" fillId="0" borderId="0" xfId="0" applyFont="1" applyAlignment="1">
      <alignment horizontal="right"/>
    </xf>
    <xf numFmtId="0" fontId="21" fillId="0" borderId="0" xfId="0" applyFont="1"/>
    <xf numFmtId="0" fontId="21" fillId="0" borderId="0" xfId="0" applyFont="1" applyAlignment="1">
      <alignment horizontal="right"/>
    </xf>
    <xf numFmtId="0" fontId="22" fillId="2" borderId="0" xfId="0" applyFont="1" applyFill="1"/>
    <xf numFmtId="0" fontId="17" fillId="0" borderId="0" xfId="0" applyFont="1"/>
    <xf numFmtId="2" fontId="17" fillId="0" borderId="0" xfId="0" applyNumberFormat="1" applyFont="1"/>
    <xf numFmtId="0" fontId="23" fillId="0" borderId="0" xfId="0" applyFont="1"/>
    <xf numFmtId="4" fontId="22" fillId="0" borderId="0" xfId="0" applyNumberFormat="1" applyFont="1" applyFill="1"/>
    <xf numFmtId="0" fontId="24" fillId="0" borderId="0" xfId="0" applyFont="1" applyFill="1" applyBorder="1"/>
    <xf numFmtId="0" fontId="19" fillId="0" borderId="14" xfId="0" applyFont="1" applyBorder="1"/>
    <xf numFmtId="0" fontId="19" fillId="0" borderId="0" xfId="0" applyFont="1" applyAlignment="1">
      <alignment wrapText="1"/>
    </xf>
    <xf numFmtId="0" fontId="19" fillId="0" borderId="47" xfId="0" applyFont="1" applyBorder="1"/>
    <xf numFmtId="0" fontId="19" fillId="0" borderId="48" xfId="0" applyFont="1" applyBorder="1"/>
    <xf numFmtId="0" fontId="25" fillId="0" borderId="0" xfId="0" applyFont="1"/>
    <xf numFmtId="0" fontId="26" fillId="0" borderId="0" xfId="0" applyFont="1"/>
    <xf numFmtId="164" fontId="26" fillId="0" borderId="0" xfId="0" applyNumberFormat="1" applyFont="1"/>
    <xf numFmtId="0" fontId="19" fillId="0" borderId="39" xfId="0" applyFont="1" applyBorder="1"/>
    <xf numFmtId="164" fontId="27" fillId="0" borderId="13" xfId="0" applyNumberFormat="1" applyFont="1" applyBorder="1" applyAlignment="1">
      <alignment horizontal="right"/>
    </xf>
    <xf numFmtId="2" fontId="27" fillId="0" borderId="15" xfId="0" applyNumberFormat="1" applyFont="1" applyBorder="1" applyAlignment="1">
      <alignment horizontal="right"/>
    </xf>
    <xf numFmtId="164" fontId="28" fillId="0" borderId="13" xfId="0" applyNumberFormat="1" applyFont="1" applyBorder="1" applyAlignment="1" applyProtection="1">
      <alignment horizontal="right"/>
      <protection locked="0"/>
    </xf>
    <xf numFmtId="2" fontId="27" fillId="0" borderId="13" xfId="0" applyNumberFormat="1" applyFont="1" applyBorder="1" applyAlignment="1">
      <alignment horizontal="right"/>
    </xf>
    <xf numFmtId="164" fontId="27" fillId="0" borderId="28" xfId="0" applyNumberFormat="1" applyFont="1" applyBorder="1" applyAlignment="1">
      <alignment horizontal="right"/>
    </xf>
    <xf numFmtId="2" fontId="29" fillId="0" borderId="28" xfId="0" applyNumberFormat="1" applyFont="1" applyBorder="1"/>
    <xf numFmtId="165" fontId="27" fillId="0" borderId="13" xfId="0" applyNumberFormat="1" applyFont="1" applyBorder="1" applyAlignment="1">
      <alignment horizontal="right"/>
    </xf>
    <xf numFmtId="2" fontId="29" fillId="0" borderId="13" xfId="0" applyNumberFormat="1" applyFont="1" applyBorder="1" applyAlignment="1">
      <alignment horizontal="right"/>
    </xf>
    <xf numFmtId="4" fontId="30" fillId="0" borderId="13" xfId="0" applyNumberFormat="1" applyFont="1" applyBorder="1" applyAlignment="1">
      <alignment horizontal="right"/>
    </xf>
    <xf numFmtId="1" fontId="29" fillId="0" borderId="13" xfId="0" applyNumberFormat="1" applyFont="1" applyBorder="1" applyAlignment="1">
      <alignment horizontal="right"/>
    </xf>
    <xf numFmtId="0" fontId="29" fillId="0" borderId="43" xfId="0" applyNumberFormat="1" applyFont="1" applyFill="1" applyBorder="1" applyAlignment="1">
      <alignment horizontal="right"/>
    </xf>
    <xf numFmtId="0" fontId="29" fillId="0" borderId="13" xfId="0" applyFont="1" applyBorder="1" applyAlignment="1">
      <alignment horizontal="right"/>
    </xf>
    <xf numFmtId="166" fontId="27" fillId="0" borderId="13" xfId="0" applyNumberFormat="1" applyFont="1" applyBorder="1"/>
    <xf numFmtId="166" fontId="29" fillId="0" borderId="13" xfId="0" applyNumberFormat="1" applyFont="1" applyBorder="1" applyAlignment="1">
      <alignment horizontal="right"/>
    </xf>
    <xf numFmtId="2" fontId="29" fillId="0" borderId="43" xfId="0" applyNumberFormat="1" applyFont="1" applyBorder="1"/>
    <xf numFmtId="2" fontId="30" fillId="0" borderId="29" xfId="0" applyNumberFormat="1" applyFont="1" applyBorder="1" applyAlignment="1">
      <alignment horizontal="right"/>
    </xf>
    <xf numFmtId="2" fontId="30" fillId="0" borderId="13" xfId="0" applyNumberFormat="1" applyFont="1" applyBorder="1" applyAlignment="1">
      <alignment horizontal="right"/>
    </xf>
    <xf numFmtId="166" fontId="30" fillId="0" borderId="13" xfId="0" applyNumberFormat="1" applyFont="1" applyBorder="1" applyAlignment="1">
      <alignment horizontal="right"/>
    </xf>
    <xf numFmtId="2" fontId="27" fillId="0" borderId="13" xfId="0" applyNumberFormat="1" applyFont="1" applyBorder="1"/>
    <xf numFmtId="166" fontId="27" fillId="0" borderId="13" xfId="0" applyNumberFormat="1" applyFont="1" applyFill="1" applyBorder="1" applyAlignment="1">
      <alignment horizontal="right"/>
    </xf>
    <xf numFmtId="166" fontId="27" fillId="0" borderId="13" xfId="0" applyNumberFormat="1" applyFont="1" applyBorder="1" applyAlignment="1">
      <alignment horizontal="right"/>
    </xf>
    <xf numFmtId="164" fontId="30" fillId="0" borderId="44" xfId="0" applyNumberFormat="1" applyFont="1" applyBorder="1" applyAlignment="1">
      <alignment horizontal="right"/>
    </xf>
    <xf numFmtId="0" fontId="19" fillId="0" borderId="18" xfId="0" applyFont="1" applyBorder="1"/>
    <xf numFmtId="164" fontId="28" fillId="0" borderId="15" xfId="0" applyNumberFormat="1" applyFont="1" applyBorder="1" applyAlignment="1" applyProtection="1">
      <alignment horizontal="right"/>
      <protection locked="0"/>
    </xf>
    <xf numFmtId="164" fontId="27" fillId="0" borderId="20" xfId="0" applyNumberFormat="1" applyFont="1" applyBorder="1" applyAlignment="1">
      <alignment horizontal="right"/>
    </xf>
    <xf numFmtId="165" fontId="27" fillId="0" borderId="15" xfId="0" applyNumberFormat="1" applyFont="1" applyBorder="1" applyAlignment="1">
      <alignment horizontal="right"/>
    </xf>
    <xf numFmtId="0" fontId="29" fillId="0" borderId="26" xfId="0" applyNumberFormat="1" applyFont="1" applyFill="1" applyBorder="1" applyAlignment="1">
      <alignment horizontal="right"/>
    </xf>
    <xf numFmtId="2" fontId="29" fillId="0" borderId="15" xfId="0" applyNumberFormat="1" applyFont="1" applyBorder="1" applyAlignment="1">
      <alignment horizontal="right"/>
    </xf>
    <xf numFmtId="1" fontId="29" fillId="0" borderId="15" xfId="0" applyNumberFormat="1" applyFont="1" applyBorder="1" applyAlignment="1">
      <alignment horizontal="right"/>
    </xf>
    <xf numFmtId="0" fontId="29" fillId="0" borderId="15" xfId="0" applyFont="1" applyBorder="1" applyAlignment="1">
      <alignment horizontal="right"/>
    </xf>
    <xf numFmtId="166" fontId="29" fillId="0" borderId="15" xfId="0" applyNumberFormat="1" applyFont="1" applyBorder="1" applyAlignment="1">
      <alignment horizontal="right"/>
    </xf>
    <xf numFmtId="2" fontId="29" fillId="0" borderId="15" xfId="0" applyNumberFormat="1" applyFont="1" applyBorder="1"/>
    <xf numFmtId="2" fontId="29" fillId="0" borderId="20" xfId="0" applyNumberFormat="1" applyFont="1" applyBorder="1"/>
    <xf numFmtId="2" fontId="30" fillId="0" borderId="16" xfId="0" applyNumberFormat="1" applyFont="1" applyBorder="1" applyAlignment="1">
      <alignment horizontal="right"/>
    </xf>
    <xf numFmtId="2" fontId="30" fillId="0" borderId="15" xfId="0" applyNumberFormat="1" applyFont="1" applyBorder="1" applyAlignment="1">
      <alignment horizontal="right"/>
    </xf>
    <xf numFmtId="166" fontId="30" fillId="0" borderId="15" xfId="0" applyNumberFormat="1" applyFont="1" applyBorder="1" applyAlignment="1">
      <alignment horizontal="right"/>
    </xf>
    <xf numFmtId="2" fontId="27" fillId="0" borderId="15" xfId="0" applyNumberFormat="1" applyFont="1" applyBorder="1"/>
    <xf numFmtId="166" fontId="27" fillId="0" borderId="15" xfId="0" applyNumberFormat="1" applyFont="1" applyFill="1" applyBorder="1" applyAlignment="1">
      <alignment horizontal="right"/>
    </xf>
    <xf numFmtId="166" fontId="27" fillId="0" borderId="15" xfId="0" applyNumberFormat="1" applyFont="1" applyBorder="1" applyAlignment="1">
      <alignment horizontal="right"/>
    </xf>
    <xf numFmtId="164" fontId="27" fillId="0" borderId="15" xfId="0" applyNumberFormat="1" applyFont="1" applyBorder="1" applyAlignment="1">
      <alignment horizontal="right"/>
    </xf>
    <xf numFmtId="164" fontId="30" fillId="0" borderId="17" xfId="0" applyNumberFormat="1" applyFont="1" applyBorder="1" applyAlignment="1">
      <alignment horizontal="right"/>
    </xf>
    <xf numFmtId="2" fontId="29" fillId="0" borderId="13" xfId="0" applyNumberFormat="1" applyFont="1" applyBorder="1"/>
    <xf numFmtId="2" fontId="29" fillId="0" borderId="15" xfId="0" applyNumberFormat="1" applyFont="1" applyFill="1" applyBorder="1" applyAlignment="1">
      <alignment horizontal="right"/>
    </xf>
    <xf numFmtId="1" fontId="29" fillId="0" borderId="13" xfId="0" applyNumberFormat="1" applyFont="1" applyFill="1" applyBorder="1" applyAlignment="1">
      <alignment horizontal="right"/>
    </xf>
    <xf numFmtId="1" fontId="29" fillId="0" borderId="15" xfId="0" applyNumberFormat="1" applyFont="1" applyFill="1" applyBorder="1" applyAlignment="1">
      <alignment horizontal="right"/>
    </xf>
    <xf numFmtId="164" fontId="30" fillId="0" borderId="17" xfId="0" applyNumberFormat="1" applyFont="1" applyFill="1" applyBorder="1" applyAlignment="1">
      <alignment horizontal="right"/>
    </xf>
    <xf numFmtId="0" fontId="29" fillId="0" borderId="15" xfId="0" applyNumberFormat="1" applyFont="1" applyBorder="1" applyAlignment="1">
      <alignment horizontal="right"/>
    </xf>
    <xf numFmtId="4" fontId="30" fillId="0" borderId="13" xfId="0" applyNumberFormat="1" applyFont="1" applyFill="1" applyBorder="1" applyAlignment="1">
      <alignment horizontal="right"/>
    </xf>
    <xf numFmtId="2" fontId="29" fillId="0" borderId="13" xfId="0" applyNumberFormat="1" applyFont="1" applyFill="1" applyBorder="1" applyAlignment="1">
      <alignment horizontal="right"/>
    </xf>
    <xf numFmtId="0" fontId="29" fillId="0" borderId="15" xfId="0" applyFont="1" applyFill="1" applyBorder="1" applyAlignment="1">
      <alignment horizontal="right"/>
    </xf>
    <xf numFmtId="166" fontId="27" fillId="0" borderId="13" xfId="0" applyNumberFormat="1" applyFont="1" applyFill="1" applyBorder="1"/>
    <xf numFmtId="166" fontId="29" fillId="0" borderId="15" xfId="0" applyNumberFormat="1" applyFont="1" applyFill="1" applyBorder="1" applyAlignment="1">
      <alignment horizontal="right"/>
    </xf>
    <xf numFmtId="2" fontId="29" fillId="0" borderId="15" xfId="0" applyNumberFormat="1" applyFont="1" applyFill="1" applyBorder="1"/>
    <xf numFmtId="2" fontId="29" fillId="0" borderId="20" xfId="0" applyNumberFormat="1" applyFont="1" applyFill="1" applyBorder="1"/>
    <xf numFmtId="2" fontId="30" fillId="0" borderId="16" xfId="0" applyNumberFormat="1" applyFont="1" applyFill="1" applyBorder="1" applyAlignment="1">
      <alignment horizontal="right"/>
    </xf>
    <xf numFmtId="2" fontId="30" fillId="0" borderId="15" xfId="0" applyNumberFormat="1" applyFont="1" applyFill="1" applyBorder="1" applyAlignment="1">
      <alignment horizontal="right"/>
    </xf>
    <xf numFmtId="166" fontId="30" fillId="0" borderId="15" xfId="0" applyNumberFormat="1" applyFont="1" applyFill="1" applyBorder="1" applyAlignment="1">
      <alignment horizontal="right"/>
    </xf>
    <xf numFmtId="2" fontId="27" fillId="0" borderId="15" xfId="0" applyNumberFormat="1" applyFont="1" applyFill="1" applyBorder="1"/>
    <xf numFmtId="164" fontId="27" fillId="0" borderId="15" xfId="0" applyNumberFormat="1" applyFont="1" applyFill="1" applyBorder="1" applyAlignment="1">
      <alignment horizontal="right"/>
    </xf>
    <xf numFmtId="2" fontId="29" fillId="0" borderId="26" xfId="0" applyNumberFormat="1" applyFont="1" applyBorder="1" applyAlignment="1">
      <alignment horizontal="right"/>
    </xf>
    <xf numFmtId="166" fontId="29" fillId="0" borderId="26" xfId="0" applyNumberFormat="1" applyFont="1" applyBorder="1" applyAlignment="1">
      <alignment horizontal="right"/>
    </xf>
    <xf numFmtId="2" fontId="30" fillId="0" borderId="26" xfId="0" applyNumberFormat="1" applyFont="1" applyBorder="1" applyAlignment="1">
      <alignment horizontal="right"/>
    </xf>
    <xf numFmtId="166" fontId="30" fillId="0" borderId="26" xfId="0" applyNumberFormat="1" applyFont="1" applyBorder="1" applyAlignment="1">
      <alignment horizontal="right"/>
    </xf>
    <xf numFmtId="0" fontId="29" fillId="0" borderId="26" xfId="0" applyFont="1" applyBorder="1" applyAlignment="1">
      <alignment horizontal="right"/>
    </xf>
    <xf numFmtId="0" fontId="19" fillId="0" borderId="22" xfId="0" applyFont="1" applyBorder="1"/>
    <xf numFmtId="164" fontId="28" fillId="0" borderId="23" xfId="0" applyNumberFormat="1" applyFont="1" applyBorder="1" applyAlignment="1" applyProtection="1">
      <alignment horizontal="right"/>
      <protection locked="0"/>
    </xf>
    <xf numFmtId="2" fontId="27" fillId="0" borderId="23" xfId="0" applyNumberFormat="1" applyFont="1" applyBorder="1" applyAlignment="1">
      <alignment horizontal="right"/>
    </xf>
    <xf numFmtId="164" fontId="27" fillId="0" borderId="49" xfId="0" applyNumberFormat="1" applyFont="1" applyBorder="1" applyAlignment="1">
      <alignment horizontal="right"/>
    </xf>
    <xf numFmtId="2" fontId="29" fillId="0" borderId="23" xfId="0" applyNumberFormat="1" applyFont="1" applyBorder="1" applyAlignment="1">
      <alignment horizontal="right"/>
    </xf>
    <xf numFmtId="165" fontId="27" fillId="0" borderId="23" xfId="0" applyNumberFormat="1" applyFont="1" applyBorder="1" applyAlignment="1">
      <alignment horizontal="right"/>
    </xf>
    <xf numFmtId="4" fontId="30" fillId="0" borderId="23" xfId="0" applyNumberFormat="1" applyFont="1" applyBorder="1" applyAlignment="1">
      <alignment horizontal="right"/>
    </xf>
    <xf numFmtId="0" fontId="29" fillId="0" borderId="23" xfId="0" applyFont="1" applyBorder="1"/>
    <xf numFmtId="1" fontId="29" fillId="0" borderId="23" xfId="0" applyNumberFormat="1" applyFont="1" applyBorder="1"/>
    <xf numFmtId="0" fontId="29" fillId="0" borderId="23" xfId="0" applyNumberFormat="1" applyFont="1" applyBorder="1"/>
    <xf numFmtId="2" fontId="29" fillId="0" borderId="23" xfId="0" applyNumberFormat="1" applyFont="1" applyBorder="1"/>
    <xf numFmtId="166" fontId="29" fillId="0" borderId="23" xfId="0" applyNumberFormat="1" applyFont="1" applyBorder="1"/>
    <xf numFmtId="2" fontId="29" fillId="0" borderId="49" xfId="0" applyNumberFormat="1" applyFont="1" applyBorder="1"/>
    <xf numFmtId="2" fontId="30" fillId="0" borderId="25" xfId="0" applyNumberFormat="1" applyFont="1" applyBorder="1" applyAlignment="1">
      <alignment horizontal="right"/>
    </xf>
    <xf numFmtId="2" fontId="30" fillId="0" borderId="23" xfId="0" applyNumberFormat="1" applyFont="1" applyBorder="1"/>
    <xf numFmtId="166" fontId="30" fillId="0" borderId="23" xfId="0" applyNumberFormat="1" applyFont="1" applyBorder="1"/>
    <xf numFmtId="2" fontId="27" fillId="0" borderId="23" xfId="0" applyNumberFormat="1" applyFont="1" applyBorder="1"/>
    <xf numFmtId="166" fontId="27" fillId="0" borderId="23" xfId="0" applyNumberFormat="1" applyFont="1" applyFill="1" applyBorder="1" applyAlignment="1">
      <alignment horizontal="right"/>
    </xf>
    <xf numFmtId="166" fontId="27" fillId="0" borderId="23" xfId="0" applyNumberFormat="1" applyFont="1" applyBorder="1"/>
    <xf numFmtId="164" fontId="27" fillId="0" borderId="23" xfId="0" applyNumberFormat="1" applyFont="1" applyBorder="1" applyAlignment="1">
      <alignment horizontal="right"/>
    </xf>
    <xf numFmtId="166" fontId="27" fillId="0" borderId="23" xfId="0" applyNumberFormat="1" applyFont="1" applyBorder="1" applyAlignment="1">
      <alignment horizontal="right"/>
    </xf>
    <xf numFmtId="164" fontId="30" fillId="0" borderId="24" xfId="0" applyNumberFormat="1" applyFont="1" applyBorder="1"/>
    <xf numFmtId="0" fontId="11" fillId="0" borderId="0" xfId="0" applyNumberFormat="1" applyFont="1" applyBorder="1"/>
    <xf numFmtId="0" fontId="11" fillId="0" borderId="14" xfId="0" applyNumberFormat="1" applyFont="1" applyBorder="1"/>
    <xf numFmtId="0" fontId="12" fillId="0" borderId="31" xfId="0" applyFont="1" applyBorder="1"/>
    <xf numFmtId="0" fontId="12" fillId="0" borderId="40" xfId="0" applyFont="1" applyBorder="1"/>
    <xf numFmtId="0" fontId="12" fillId="0" borderId="30" xfId="0" applyFont="1" applyBorder="1"/>
    <xf numFmtId="0" fontId="31" fillId="0" borderId="0" xfId="0" applyFont="1" applyBorder="1"/>
    <xf numFmtId="0" fontId="31" fillId="0" borderId="0" xfId="0" applyFont="1"/>
    <xf numFmtId="2" fontId="11" fillId="0" borderId="14" xfId="0" applyNumberFormat="1" applyFont="1" applyBorder="1"/>
    <xf numFmtId="0" fontId="12" fillId="0" borderId="15" xfId="0" applyFont="1" applyBorder="1"/>
    <xf numFmtId="0" fontId="12" fillId="0" borderId="17" xfId="0" applyFont="1" applyBorder="1"/>
    <xf numFmtId="0" fontId="12" fillId="0" borderId="16" xfId="0" applyFont="1" applyBorder="1"/>
    <xf numFmtId="0" fontId="12" fillId="0" borderId="20" xfId="0" applyFont="1" applyBorder="1"/>
    <xf numFmtId="0" fontId="12" fillId="0" borderId="18" xfId="0" applyFont="1" applyBorder="1"/>
    <xf numFmtId="0" fontId="12" fillId="0" borderId="26" xfId="0" applyFont="1" applyBorder="1"/>
    <xf numFmtId="2" fontId="31" fillId="0" borderId="0" xfId="0" applyNumberFormat="1" applyFont="1" applyBorder="1"/>
    <xf numFmtId="0" fontId="12" fillId="0" borderId="50" xfId="0" applyFont="1" applyBorder="1"/>
    <xf numFmtId="0" fontId="12" fillId="0" borderId="49" xfId="0" applyFont="1" applyBorder="1"/>
    <xf numFmtId="0" fontId="12" fillId="0" borderId="23" xfId="0" applyFont="1" applyBorder="1"/>
    <xf numFmtId="0" fontId="12" fillId="0" borderId="24" xfId="0" applyFont="1" applyBorder="1"/>
    <xf numFmtId="0" fontId="12" fillId="0" borderId="25" xfId="0" applyFont="1" applyBorder="1"/>
    <xf numFmtId="0" fontId="12" fillId="0" borderId="22" xfId="0" applyFont="1" applyBorder="1"/>
    <xf numFmtId="2" fontId="32" fillId="0" borderId="13" xfId="0" applyNumberFormat="1" applyFont="1" applyBorder="1"/>
    <xf numFmtId="164" fontId="27" fillId="0" borderId="51" xfId="0" applyNumberFormat="1" applyFont="1" applyBorder="1" applyAlignment="1">
      <alignment horizontal="right"/>
    </xf>
    <xf numFmtId="0" fontId="4" fillId="0" borderId="52" xfId="0" applyFont="1" applyFill="1" applyBorder="1"/>
    <xf numFmtId="49" fontId="6" fillId="0" borderId="1" xfId="0" applyNumberFormat="1" applyFont="1" applyFill="1" applyBorder="1" applyAlignment="1">
      <alignment horizontal="center" vertical="center" wrapText="1"/>
    </xf>
    <xf numFmtId="164" fontId="13" fillId="0" borderId="53" xfId="0" applyNumberFormat="1" applyFont="1" applyBorder="1"/>
    <xf numFmtId="164" fontId="13" fillId="0" borderId="54" xfId="0" applyNumberFormat="1" applyFont="1" applyBorder="1"/>
    <xf numFmtId="2" fontId="13" fillId="0" borderId="20" xfId="0" applyNumberFormat="1" applyFont="1" applyBorder="1"/>
    <xf numFmtId="0" fontId="17" fillId="0" borderId="55" xfId="0" applyFont="1" applyBorder="1"/>
    <xf numFmtId="0" fontId="17" fillId="0" borderId="56" xfId="0" applyFont="1" applyBorder="1"/>
    <xf numFmtId="0" fontId="17" fillId="0" borderId="57" xfId="0" applyFont="1" applyBorder="1"/>
    <xf numFmtId="0" fontId="17" fillId="0" borderId="58" xfId="0" applyFont="1" applyBorder="1"/>
    <xf numFmtId="164" fontId="7" fillId="0" borderId="59" xfId="0" applyNumberFormat="1" applyFont="1" applyBorder="1" applyAlignment="1">
      <alignment horizontal="center"/>
    </xf>
    <xf numFmtId="165" fontId="7" fillId="0" borderId="60" xfId="0" applyNumberFormat="1" applyFont="1" applyBorder="1" applyAlignment="1">
      <alignment horizontal="center"/>
    </xf>
    <xf numFmtId="2" fontId="29" fillId="0" borderId="61" xfId="0" applyNumberFormat="1" applyFont="1" applyBorder="1" applyAlignment="1">
      <alignment horizontal="right"/>
    </xf>
    <xf numFmtId="0" fontId="3" fillId="0" borderId="34" xfId="0" applyFont="1" applyFill="1" applyBorder="1" applyAlignment="1">
      <alignment horizontal="center" vertical="center"/>
    </xf>
    <xf numFmtId="49" fontId="3" fillId="0" borderId="62" xfId="0" applyNumberFormat="1" applyFont="1" applyFill="1" applyBorder="1" applyAlignment="1">
      <alignment horizontal="center" vertical="center" wrapText="1"/>
    </xf>
    <xf numFmtId="49" fontId="3" fillId="0" borderId="63" xfId="0" applyNumberFormat="1" applyFont="1" applyFill="1" applyBorder="1" applyAlignment="1">
      <alignment horizontal="center" vertical="center"/>
    </xf>
    <xf numFmtId="164" fontId="27" fillId="0" borderId="64" xfId="0" applyNumberFormat="1" applyFont="1" applyBorder="1" applyAlignment="1">
      <alignment horizontal="right"/>
    </xf>
    <xf numFmtId="164" fontId="27" fillId="0" borderId="65" xfId="0" applyNumberFormat="1" applyFont="1" applyBorder="1" applyAlignment="1">
      <alignment horizontal="right"/>
    </xf>
    <xf numFmtId="2" fontId="6" fillId="0" borderId="1" xfId="0" applyNumberFormat="1" applyFont="1" applyBorder="1" applyAlignment="1">
      <alignment horizontal="center" vertical="center" wrapText="1"/>
    </xf>
    <xf numFmtId="164" fontId="9" fillId="0" borderId="66" xfId="0" applyNumberFormat="1" applyFont="1" applyBorder="1"/>
    <xf numFmtId="164" fontId="9" fillId="0" borderId="67" xfId="0" applyNumberFormat="1" applyFont="1" applyBorder="1"/>
    <xf numFmtId="164" fontId="9" fillId="0" borderId="68" xfId="0" applyNumberFormat="1" applyFont="1" applyBorder="1"/>
    <xf numFmtId="164" fontId="9" fillId="0" borderId="69" xfId="0" applyNumberFormat="1" applyFont="1" applyBorder="1"/>
    <xf numFmtId="0" fontId="6" fillId="0" borderId="14" xfId="0" applyFont="1" applyBorder="1" applyAlignment="1">
      <alignment horizontal="center" vertical="center"/>
    </xf>
    <xf numFmtId="164" fontId="9" fillId="0" borderId="70" xfId="0" applyNumberFormat="1" applyFont="1" applyBorder="1"/>
    <xf numFmtId="0" fontId="0" fillId="0" borderId="71" xfId="0" applyBorder="1"/>
    <xf numFmtId="0" fontId="0" fillId="0" borderId="72" xfId="0" applyBorder="1"/>
    <xf numFmtId="0" fontId="4" fillId="0" borderId="72" xfId="0" applyFont="1" applyFill="1" applyBorder="1"/>
    <xf numFmtId="0" fontId="4" fillId="0" borderId="73" xfId="0" applyFont="1" applyFill="1" applyBorder="1"/>
    <xf numFmtId="2" fontId="6" fillId="0" borderId="12" xfId="0" applyNumberFormat="1" applyFont="1" applyBorder="1" applyAlignment="1">
      <alignment horizontal="center" vertical="center" wrapText="1"/>
    </xf>
    <xf numFmtId="164" fontId="9" fillId="0" borderId="74" xfId="0" applyNumberFormat="1" applyFont="1" applyBorder="1"/>
    <xf numFmtId="164" fontId="9" fillId="0" borderId="75" xfId="0" applyNumberFormat="1" applyFont="1" applyBorder="1"/>
    <xf numFmtId="0" fontId="0" fillId="0" borderId="52" xfId="0" applyFont="1" applyBorder="1" applyAlignment="1"/>
    <xf numFmtId="49" fontId="6" fillId="0" borderId="1" xfId="0" applyNumberFormat="1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 wrapText="1"/>
    </xf>
    <xf numFmtId="2" fontId="13" fillId="0" borderId="76" xfId="0" applyNumberFormat="1" applyFont="1" applyBorder="1"/>
    <xf numFmtId="0" fontId="12" fillId="0" borderId="77" xfId="0" applyFont="1" applyBorder="1"/>
    <xf numFmtId="49" fontId="3" fillId="0" borderId="78" xfId="0" applyNumberFormat="1" applyFont="1" applyFill="1" applyBorder="1" applyAlignment="1">
      <alignment horizontal="center" vertical="center" wrapText="1"/>
    </xf>
    <xf numFmtId="49" fontId="3" fillId="0" borderId="79" xfId="0" applyNumberFormat="1" applyFont="1" applyFill="1" applyBorder="1" applyAlignment="1">
      <alignment horizontal="center" vertical="center" wrapText="1"/>
    </xf>
    <xf numFmtId="164" fontId="9" fillId="0" borderId="80" xfId="0" applyNumberFormat="1" applyFont="1" applyBorder="1"/>
    <xf numFmtId="0" fontId="13" fillId="0" borderId="81" xfId="0" applyFont="1" applyBorder="1"/>
    <xf numFmtId="164" fontId="9" fillId="0" borderId="82" xfId="0" applyNumberFormat="1" applyFont="1" applyBorder="1"/>
    <xf numFmtId="164" fontId="9" fillId="0" borderId="83" xfId="0" applyNumberFormat="1" applyFont="1" applyBorder="1"/>
    <xf numFmtId="164" fontId="9" fillId="0" borderId="84" xfId="0" applyNumberFormat="1" applyFont="1" applyBorder="1"/>
    <xf numFmtId="164" fontId="9" fillId="0" borderId="85" xfId="0" applyNumberFormat="1" applyFont="1" applyBorder="1"/>
    <xf numFmtId="164" fontId="9" fillId="0" borderId="86" xfId="0" applyNumberFormat="1" applyFont="1" applyBorder="1"/>
    <xf numFmtId="164" fontId="27" fillId="0" borderId="29" xfId="0" applyNumberFormat="1" applyFont="1" applyBorder="1" applyAlignment="1">
      <alignment horizontal="right"/>
    </xf>
    <xf numFmtId="164" fontId="27" fillId="0" borderId="87" xfId="0" applyNumberFormat="1" applyFont="1" applyBorder="1" applyAlignment="1">
      <alignment horizontal="right"/>
    </xf>
    <xf numFmtId="164" fontId="10" fillId="0" borderId="29" xfId="0" applyNumberFormat="1" applyFont="1" applyBorder="1"/>
    <xf numFmtId="0" fontId="0" fillId="0" borderId="62" xfId="0" applyFill="1" applyBorder="1" applyAlignment="1">
      <alignment horizontal="center" vertical="center" wrapText="1"/>
    </xf>
    <xf numFmtId="0" fontId="3" fillId="0" borderId="79" xfId="0" applyFont="1" applyBorder="1" applyAlignment="1">
      <alignment horizontal="center" vertical="center"/>
    </xf>
    <xf numFmtId="164" fontId="13" fillId="0" borderId="20" xfId="0" applyNumberFormat="1" applyFont="1" applyFill="1" applyBorder="1"/>
    <xf numFmtId="164" fontId="13" fillId="0" borderId="49" xfId="0" applyNumberFormat="1" applyFont="1" applyBorder="1"/>
    <xf numFmtId="2" fontId="13" fillId="0" borderId="20" xfId="0" applyNumberFormat="1" applyFont="1" applyFill="1" applyBorder="1"/>
    <xf numFmtId="2" fontId="13" fillId="0" borderId="49" xfId="0" applyNumberFormat="1" applyFont="1" applyBorder="1"/>
    <xf numFmtId="2" fontId="27" fillId="0" borderId="61" xfId="0" applyNumberFormat="1" applyFont="1" applyBorder="1" applyAlignment="1">
      <alignment horizontal="right"/>
    </xf>
    <xf numFmtId="164" fontId="13" fillId="0" borderId="81" xfId="0" applyNumberFormat="1" applyFont="1" applyBorder="1"/>
    <xf numFmtId="2" fontId="13" fillId="0" borderId="28" xfId="0" applyNumberFormat="1" applyFont="1" applyBorder="1"/>
    <xf numFmtId="0" fontId="4" fillId="0" borderId="78" xfId="0" applyFont="1" applyFill="1" applyBorder="1" applyAlignment="1">
      <alignment horizontal="center" vertical="center" wrapText="1"/>
    </xf>
    <xf numFmtId="0" fontId="4" fillId="0" borderId="88" xfId="0" applyFont="1" applyFill="1" applyBorder="1" applyAlignment="1">
      <alignment horizontal="center" vertical="center"/>
    </xf>
    <xf numFmtId="0" fontId="4" fillId="0" borderId="89" xfId="0" applyFont="1" applyFill="1" applyBorder="1" applyAlignment="1">
      <alignment horizontal="center" vertical="center"/>
    </xf>
    <xf numFmtId="0" fontId="13" fillId="0" borderId="65" xfId="0" applyFont="1" applyBorder="1"/>
    <xf numFmtId="164" fontId="7" fillId="0" borderId="65" xfId="0" applyNumberFormat="1" applyFont="1" applyBorder="1"/>
    <xf numFmtId="2" fontId="7" fillId="0" borderId="65" xfId="0" applyNumberFormat="1" applyFont="1" applyBorder="1"/>
    <xf numFmtId="0" fontId="13" fillId="0" borderId="90" xfId="0" applyFont="1" applyBorder="1"/>
    <xf numFmtId="164" fontId="10" fillId="0" borderId="91" xfId="0" applyNumberFormat="1" applyFont="1" applyBorder="1"/>
    <xf numFmtId="2" fontId="10" fillId="0" borderId="92" xfId="0" applyNumberFormat="1" applyFont="1" applyBorder="1"/>
    <xf numFmtId="0" fontId="31" fillId="0" borderId="94" xfId="0" applyFont="1" applyBorder="1"/>
    <xf numFmtId="0" fontId="31" fillId="0" borderId="65" xfId="0" applyFont="1" applyBorder="1"/>
    <xf numFmtId="0" fontId="31" fillId="0" borderId="95" xfId="0" applyFont="1" applyBorder="1"/>
    <xf numFmtId="0" fontId="31" fillId="0" borderId="96" xfId="0" applyFont="1" applyBorder="1"/>
    <xf numFmtId="0" fontId="31" fillId="0" borderId="97" xfId="0" applyFont="1" applyBorder="1"/>
    <xf numFmtId="0" fontId="31" fillId="0" borderId="98" xfId="0" applyFont="1" applyBorder="1"/>
    <xf numFmtId="0" fontId="31" fillId="0" borderId="99" xfId="0" applyFont="1" applyBorder="1"/>
    <xf numFmtId="0" fontId="31" fillId="0" borderId="100" xfId="0" applyFont="1" applyBorder="1"/>
    <xf numFmtId="2" fontId="13" fillId="0" borderId="65" xfId="0" applyNumberFormat="1" applyFont="1" applyBorder="1"/>
    <xf numFmtId="0" fontId="3" fillId="0" borderId="101" xfId="0" applyFont="1" applyBorder="1" applyAlignment="1">
      <alignment horizontal="center" vertical="center"/>
    </xf>
    <xf numFmtId="0" fontId="0" fillId="0" borderId="102" xfId="0" applyFill="1" applyBorder="1" applyAlignment="1">
      <alignment horizontal="center" vertical="center" wrapText="1"/>
    </xf>
    <xf numFmtId="0" fontId="3" fillId="0" borderId="103" xfId="0" applyFont="1" applyBorder="1" applyAlignment="1">
      <alignment horizontal="center" vertical="center" wrapText="1"/>
    </xf>
    <xf numFmtId="10" fontId="33" fillId="0" borderId="0" xfId="0" applyNumberFormat="1" applyFont="1"/>
    <xf numFmtId="0" fontId="34" fillId="0" borderId="0" xfId="0" applyFont="1" applyBorder="1" applyAlignment="1">
      <alignment horizontal="left"/>
    </xf>
    <xf numFmtId="164" fontId="34" fillId="0" borderId="0" xfId="0" applyNumberFormat="1" applyFont="1" applyBorder="1" applyAlignment="1">
      <alignment horizontal="left"/>
    </xf>
    <xf numFmtId="0" fontId="34" fillId="0" borderId="0" xfId="0" applyFont="1" applyBorder="1" applyAlignment="1">
      <alignment horizontal="center"/>
    </xf>
    <xf numFmtId="0" fontId="35" fillId="0" borderId="0" xfId="0" applyFont="1" applyBorder="1" applyAlignment="1">
      <alignment horizontal="center"/>
    </xf>
    <xf numFmtId="0" fontId="35" fillId="0" borderId="0" xfId="0" applyFont="1" applyAlignment="1">
      <alignment horizontal="center"/>
    </xf>
    <xf numFmtId="0" fontId="34" fillId="0" borderId="35" xfId="0" applyFont="1" applyBorder="1" applyAlignment="1"/>
    <xf numFmtId="0" fontId="34" fillId="0" borderId="0" xfId="0" applyFont="1"/>
    <xf numFmtId="0" fontId="36" fillId="0" borderId="0" xfId="0" applyFont="1"/>
    <xf numFmtId="0" fontId="37" fillId="0" borderId="0" xfId="0" applyFont="1"/>
    <xf numFmtId="164" fontId="37" fillId="0" borderId="0" xfId="0" applyNumberFormat="1" applyFont="1"/>
    <xf numFmtId="0" fontId="37" fillId="0" borderId="0" xfId="0" applyFont="1" applyBorder="1" applyAlignment="1"/>
    <xf numFmtId="0" fontId="8" fillId="0" borderId="104" xfId="0" applyFont="1" applyBorder="1" applyAlignment="1">
      <alignment wrapText="1"/>
    </xf>
    <xf numFmtId="164" fontId="1" fillId="0" borderId="0" xfId="0" applyNumberFormat="1" applyFont="1"/>
    <xf numFmtId="164" fontId="28" fillId="0" borderId="26" xfId="0" applyNumberFormat="1" applyFont="1" applyBorder="1" applyAlignment="1" applyProtection="1">
      <alignment horizontal="right"/>
      <protection locked="0"/>
    </xf>
    <xf numFmtId="2" fontId="18" fillId="0" borderId="93" xfId="0" applyNumberFormat="1" applyFont="1" applyBorder="1"/>
    <xf numFmtId="164" fontId="0" fillId="0" borderId="15" xfId="0" applyNumberFormat="1" applyBorder="1"/>
    <xf numFmtId="0" fontId="3" fillId="0" borderId="105" xfId="0" applyFont="1" applyBorder="1" applyAlignment="1">
      <alignment horizontal="center" vertical="center" wrapText="1"/>
    </xf>
    <xf numFmtId="0" fontId="0" fillId="0" borderId="106" xfId="0" applyFont="1" applyFill="1" applyBorder="1" applyAlignment="1">
      <alignment horizontal="center" vertical="center" wrapText="1"/>
    </xf>
    <xf numFmtId="164" fontId="0" fillId="0" borderId="18" xfId="0" applyNumberFormat="1" applyBorder="1"/>
    <xf numFmtId="164" fontId="38" fillId="0" borderId="40" xfId="0" applyNumberFormat="1" applyFont="1" applyBorder="1"/>
    <xf numFmtId="2" fontId="38" fillId="0" borderId="40" xfId="0" applyNumberFormat="1" applyFont="1" applyBorder="1"/>
    <xf numFmtId="164" fontId="38" fillId="0" borderId="13" xfId="0" applyNumberFormat="1" applyFont="1" applyBorder="1"/>
    <xf numFmtId="2" fontId="38" fillId="0" borderId="13" xfId="0" applyNumberFormat="1" applyFont="1" applyBorder="1"/>
    <xf numFmtId="2" fontId="38" fillId="0" borderId="41" xfId="0" applyNumberFormat="1" applyFont="1" applyBorder="1"/>
    <xf numFmtId="164" fontId="38" fillId="0" borderId="42" xfId="0" applyNumberFormat="1" applyFont="1" applyBorder="1"/>
    <xf numFmtId="2" fontId="38" fillId="0" borderId="42" xfId="0" applyNumberFormat="1" applyFont="1" applyBorder="1"/>
    <xf numFmtId="2" fontId="39" fillId="0" borderId="41" xfId="0" applyNumberFormat="1" applyFont="1" applyBorder="1" applyAlignment="1">
      <alignment horizontal="right"/>
    </xf>
    <xf numFmtId="165" fontId="38" fillId="0" borderId="13" xfId="0" applyNumberFormat="1" applyFont="1" applyBorder="1"/>
    <xf numFmtId="2" fontId="40" fillId="0" borderId="13" xfId="0" applyNumberFormat="1" applyFont="1" applyBorder="1"/>
    <xf numFmtId="1" fontId="38" fillId="0" borderId="13" xfId="0" applyNumberFormat="1" applyFont="1" applyBorder="1"/>
    <xf numFmtId="1" fontId="40" fillId="0" borderId="43" xfId="0" applyNumberFormat="1" applyFont="1" applyFill="1" applyBorder="1"/>
    <xf numFmtId="1" fontId="38" fillId="0" borderId="40" xfId="0" applyNumberFormat="1" applyFont="1" applyBorder="1"/>
    <xf numFmtId="166" fontId="38" fillId="0" borderId="13" xfId="0" applyNumberFormat="1" applyFont="1" applyBorder="1"/>
    <xf numFmtId="2" fontId="38" fillId="0" borderId="28" xfId="0" applyNumberFormat="1" applyFont="1" applyBorder="1"/>
    <xf numFmtId="168" fontId="38" fillId="0" borderId="13" xfId="0" applyNumberFormat="1" applyFont="1" applyBorder="1"/>
    <xf numFmtId="168" fontId="38" fillId="0" borderId="42" xfId="0" applyNumberFormat="1" applyFont="1" applyBorder="1"/>
    <xf numFmtId="0" fontId="38" fillId="0" borderId="13" xfId="0" applyFont="1" applyBorder="1"/>
    <xf numFmtId="2" fontId="38" fillId="0" borderId="13" xfId="0" applyNumberFormat="1" applyFont="1" applyFill="1" applyBorder="1"/>
    <xf numFmtId="166" fontId="38" fillId="0" borderId="44" xfId="0" applyNumberFormat="1" applyFont="1" applyBorder="1"/>
    <xf numFmtId="2" fontId="41" fillId="0" borderId="15" xfId="0" applyNumberFormat="1" applyFont="1" applyBorder="1"/>
    <xf numFmtId="164" fontId="38" fillId="0" borderId="15" xfId="0" applyNumberFormat="1" applyFont="1" applyBorder="1"/>
    <xf numFmtId="164" fontId="41" fillId="0" borderId="15" xfId="0" applyNumberFormat="1" applyFont="1" applyBorder="1"/>
    <xf numFmtId="2" fontId="41" fillId="0" borderId="20" xfId="0" applyNumberFormat="1" applyFont="1" applyBorder="1"/>
    <xf numFmtId="164" fontId="41" fillId="0" borderId="26" xfId="0" applyNumberFormat="1" applyFont="1" applyBorder="1"/>
    <xf numFmtId="165" fontId="41" fillId="0" borderId="15" xfId="0" applyNumberFormat="1" applyFont="1" applyBorder="1"/>
    <xf numFmtId="166" fontId="41" fillId="0" borderId="15" xfId="0" applyNumberFormat="1" applyFont="1" applyBorder="1"/>
    <xf numFmtId="166" fontId="38" fillId="0" borderId="15" xfId="0" applyNumberFormat="1" applyFont="1" applyBorder="1"/>
    <xf numFmtId="1" fontId="41" fillId="0" borderId="15" xfId="0" applyNumberFormat="1" applyFont="1" applyBorder="1"/>
    <xf numFmtId="166" fontId="41" fillId="0" borderId="15" xfId="0" applyNumberFormat="1" applyFont="1" applyFill="1" applyBorder="1"/>
    <xf numFmtId="1" fontId="38" fillId="0" borderId="20" xfId="0" applyNumberFormat="1" applyFont="1" applyBorder="1"/>
    <xf numFmtId="164" fontId="42" fillId="0" borderId="28" xfId="0" applyNumberFormat="1" applyFont="1" applyBorder="1" applyAlignment="1">
      <alignment horizontal="right"/>
    </xf>
    <xf numFmtId="2" fontId="41" fillId="0" borderId="17" xfId="0" applyNumberFormat="1" applyFont="1" applyBorder="1"/>
    <xf numFmtId="0" fontId="38" fillId="4" borderId="15" xfId="0" applyFont="1" applyFill="1" applyBorder="1"/>
    <xf numFmtId="164" fontId="38" fillId="4" borderId="15" xfId="0" applyNumberFormat="1" applyFont="1" applyFill="1" applyBorder="1"/>
    <xf numFmtId="2" fontId="38" fillId="4" borderId="15" xfId="0" applyNumberFormat="1" applyFont="1" applyFill="1" applyBorder="1"/>
    <xf numFmtId="164" fontId="38" fillId="4" borderId="20" xfId="0" applyNumberFormat="1" applyFont="1" applyFill="1" applyBorder="1"/>
    <xf numFmtId="1" fontId="38" fillId="4" borderId="15" xfId="0" applyNumberFormat="1" applyFont="1" applyFill="1" applyBorder="1"/>
    <xf numFmtId="166" fontId="38" fillId="4" borderId="15" xfId="0" applyNumberFormat="1" applyFont="1" applyFill="1" applyBorder="1"/>
    <xf numFmtId="4" fontId="38" fillId="4" borderId="15" xfId="0" applyNumberFormat="1" applyFont="1" applyFill="1" applyBorder="1"/>
    <xf numFmtId="165" fontId="38" fillId="4" borderId="15" xfId="0" applyNumberFormat="1" applyFont="1" applyFill="1" applyBorder="1"/>
    <xf numFmtId="0" fontId="38" fillId="4" borderId="26" xfId="0" applyNumberFormat="1" applyFont="1" applyFill="1" applyBorder="1"/>
    <xf numFmtId="165" fontId="40" fillId="4" borderId="26" xfId="0" applyNumberFormat="1" applyFont="1" applyFill="1" applyBorder="1"/>
    <xf numFmtId="1" fontId="38" fillId="4" borderId="26" xfId="0" applyNumberFormat="1" applyFont="1" applyFill="1" applyBorder="1"/>
    <xf numFmtId="0" fontId="38" fillId="4" borderId="13" xfId="0" applyFont="1" applyFill="1" applyBorder="1"/>
    <xf numFmtId="0" fontId="38" fillId="4" borderId="20" xfId="0" applyFont="1" applyFill="1" applyBorder="1"/>
    <xf numFmtId="0" fontId="38" fillId="4" borderId="16" xfId="0" applyFont="1" applyFill="1" applyBorder="1"/>
    <xf numFmtId="0" fontId="38" fillId="4" borderId="20" xfId="0" applyFont="1" applyFill="1" applyBorder="1" applyAlignment="1"/>
    <xf numFmtId="0" fontId="38" fillId="4" borderId="15" xfId="0" applyFont="1" applyFill="1" applyBorder="1" applyAlignment="1"/>
    <xf numFmtId="166" fontId="38" fillId="4" borderId="16" xfId="0" applyNumberFormat="1" applyFont="1" applyFill="1" applyBorder="1"/>
    <xf numFmtId="2" fontId="38" fillId="4" borderId="15" xfId="0" applyNumberFormat="1" applyFont="1" applyFill="1" applyBorder="1" applyAlignment="1">
      <alignment horizontal="center"/>
    </xf>
    <xf numFmtId="0" fontId="38" fillId="4" borderId="17" xfId="0" applyFont="1" applyFill="1" applyBorder="1"/>
    <xf numFmtId="0" fontId="38" fillId="0" borderId="23" xfId="0" applyFont="1" applyBorder="1"/>
    <xf numFmtId="164" fontId="40" fillId="0" borderId="35" xfId="0" applyNumberFormat="1" applyFont="1" applyBorder="1"/>
    <xf numFmtId="165" fontId="38" fillId="0" borderId="23" xfId="0" applyNumberFormat="1" applyFont="1" applyFill="1" applyBorder="1"/>
    <xf numFmtId="165" fontId="38" fillId="0" borderId="49" xfId="0" applyNumberFormat="1" applyFont="1" applyFill="1" applyBorder="1"/>
    <xf numFmtId="2" fontId="38" fillId="0" borderId="23" xfId="0" applyNumberFormat="1" applyFont="1" applyBorder="1"/>
    <xf numFmtId="0" fontId="38" fillId="0" borderId="23" xfId="0" applyFont="1" applyFill="1" applyBorder="1"/>
    <xf numFmtId="3" fontId="38" fillId="0" borderId="23" xfId="0" applyNumberFormat="1" applyFont="1" applyFill="1" applyBorder="1"/>
    <xf numFmtId="1" fontId="38" fillId="0" borderId="23" xfId="0" applyNumberFormat="1" applyFont="1" applyFill="1" applyBorder="1"/>
    <xf numFmtId="0" fontId="38" fillId="0" borderId="45" xfId="0" applyFont="1" applyBorder="1"/>
    <xf numFmtId="0" fontId="38" fillId="0" borderId="25" xfId="0" applyFont="1" applyBorder="1"/>
    <xf numFmtId="2" fontId="38" fillId="0" borderId="38" xfId="0" applyNumberFormat="1" applyFont="1" applyBorder="1" applyAlignment="1"/>
    <xf numFmtId="2" fontId="38" fillId="0" borderId="23" xfId="0" applyNumberFormat="1" applyFont="1" applyBorder="1" applyAlignment="1"/>
    <xf numFmtId="2" fontId="38" fillId="0" borderId="26" xfId="0" applyNumberFormat="1" applyFont="1" applyBorder="1" applyAlignment="1"/>
    <xf numFmtId="164" fontId="38" fillId="0" borderId="23" xfId="0" applyNumberFormat="1" applyFont="1" applyBorder="1"/>
    <xf numFmtId="0" fontId="38" fillId="0" borderId="24" xfId="0" applyFont="1" applyBorder="1"/>
    <xf numFmtId="164" fontId="32" fillId="0" borderId="40" xfId="0" applyNumberFormat="1" applyFont="1" applyBorder="1"/>
    <xf numFmtId="2" fontId="32" fillId="0" borderId="29" xfId="0" applyNumberFormat="1" applyFont="1" applyBorder="1"/>
    <xf numFmtId="2" fontId="32" fillId="0" borderId="40" xfId="0" applyNumberFormat="1" applyFont="1" applyBorder="1"/>
    <xf numFmtId="165" fontId="27" fillId="0" borderId="43" xfId="0" applyNumberFormat="1" applyFont="1" applyBorder="1" applyAlignment="1">
      <alignment horizontal="right"/>
    </xf>
    <xf numFmtId="165" fontId="27" fillId="0" borderId="28" xfId="0" applyNumberFormat="1" applyFont="1" applyBorder="1" applyAlignment="1">
      <alignment horizontal="right"/>
    </xf>
    <xf numFmtId="2" fontId="27" fillId="0" borderId="29" xfId="0" applyNumberFormat="1" applyFont="1" applyBorder="1" applyAlignment="1">
      <alignment horizontal="right"/>
    </xf>
    <xf numFmtId="165" fontId="27" fillId="0" borderId="107" xfId="0" applyNumberFormat="1" applyFont="1" applyBorder="1" applyAlignment="1">
      <alignment horizontal="right"/>
    </xf>
    <xf numFmtId="165" fontId="27" fillId="0" borderId="65" xfId="0" applyNumberFormat="1" applyFont="1" applyBorder="1" applyAlignment="1">
      <alignment horizontal="right"/>
    </xf>
    <xf numFmtId="2" fontId="13" fillId="0" borderId="21" xfId="0" applyNumberFormat="1" applyFont="1" applyBorder="1"/>
    <xf numFmtId="2" fontId="13" fillId="0" borderId="54" xfId="0" applyNumberFormat="1" applyFont="1" applyBorder="1"/>
    <xf numFmtId="164" fontId="13" fillId="0" borderId="54" xfId="0" applyNumberFormat="1" applyFont="1" applyFill="1" applyBorder="1"/>
    <xf numFmtId="0" fontId="0" fillId="0" borderId="65" xfId="0" applyBorder="1"/>
    <xf numFmtId="0" fontId="17" fillId="0" borderId="37" xfId="0" applyFont="1" applyFill="1" applyBorder="1" applyAlignment="1">
      <alignment horizontal="center" vertical="center" wrapText="1" shrinkToFit="1"/>
    </xf>
    <xf numFmtId="0" fontId="17" fillId="0" borderId="23" xfId="0" applyFont="1" applyFill="1" applyBorder="1" applyAlignment="1">
      <alignment horizontal="center" vertical="center" wrapText="1" shrinkToFit="1"/>
    </xf>
    <xf numFmtId="169" fontId="38" fillId="4" borderId="15" xfId="0" applyNumberFormat="1" applyFont="1" applyFill="1" applyBorder="1"/>
    <xf numFmtId="164" fontId="13" fillId="0" borderId="141" xfId="0" applyNumberFormat="1" applyFont="1" applyBorder="1"/>
    <xf numFmtId="164" fontId="13" fillId="0" borderId="141" xfId="0" applyNumberFormat="1" applyFont="1" applyFill="1" applyBorder="1"/>
    <xf numFmtId="2" fontId="13" fillId="0" borderId="141" xfId="0" applyNumberFormat="1" applyFont="1" applyBorder="1"/>
    <xf numFmtId="0" fontId="17" fillId="0" borderId="23" xfId="0" applyFont="1" applyFill="1" applyBorder="1" applyAlignment="1">
      <alignment horizontal="center" vertical="center" wrapText="1" shrinkToFit="1"/>
    </xf>
    <xf numFmtId="0" fontId="17" fillId="0" borderId="37" xfId="0" applyFont="1" applyFill="1" applyBorder="1" applyAlignment="1">
      <alignment horizontal="center" vertical="center" wrapText="1" shrinkToFit="1"/>
    </xf>
    <xf numFmtId="165" fontId="43" fillId="0" borderId="65" xfId="0" applyNumberFormat="1" applyFont="1" applyBorder="1" applyAlignment="1">
      <alignment horizontal="right"/>
    </xf>
    <xf numFmtId="168" fontId="32" fillId="0" borderId="13" xfId="0" applyNumberFormat="1" applyFont="1" applyBorder="1"/>
    <xf numFmtId="164" fontId="44" fillId="0" borderId="40" xfId="0" applyNumberFormat="1" applyFont="1" applyBorder="1"/>
    <xf numFmtId="0" fontId="17" fillId="0" borderId="23" xfId="0" applyFont="1" applyFill="1" applyBorder="1" applyAlignment="1">
      <alignment horizontal="center" vertical="center" wrapText="1" shrinkToFit="1"/>
    </xf>
    <xf numFmtId="0" fontId="17" fillId="0" borderId="37" xfId="0" applyFont="1" applyFill="1" applyBorder="1" applyAlignment="1">
      <alignment horizontal="center" vertical="center" wrapText="1" shrinkToFit="1"/>
    </xf>
    <xf numFmtId="164" fontId="0" fillId="0" borderId="23" xfId="0" applyNumberFormat="1" applyBorder="1"/>
    <xf numFmtId="0" fontId="17" fillId="0" borderId="23" xfId="0" applyFont="1" applyFill="1" applyBorder="1" applyAlignment="1">
      <alignment horizontal="center" vertical="center" wrapText="1" shrinkToFit="1"/>
    </xf>
    <xf numFmtId="0" fontId="17" fillId="0" borderId="37" xfId="0" applyFont="1" applyFill="1" applyBorder="1" applyAlignment="1">
      <alignment horizontal="center" vertical="center" wrapText="1" shrinkToFit="1"/>
    </xf>
    <xf numFmtId="0" fontId="17" fillId="0" borderId="23" xfId="0" applyFont="1" applyFill="1" applyBorder="1" applyAlignment="1">
      <alignment horizontal="center" vertical="center" wrapText="1" shrinkToFit="1"/>
    </xf>
    <xf numFmtId="0" fontId="17" fillId="0" borderId="37" xfId="0" applyFont="1" applyFill="1" applyBorder="1" applyAlignment="1">
      <alignment horizontal="center" vertical="center" wrapText="1" shrinkToFit="1"/>
    </xf>
    <xf numFmtId="164" fontId="10" fillId="0" borderId="0" xfId="0" applyNumberFormat="1" applyFont="1" applyBorder="1"/>
    <xf numFmtId="0" fontId="17" fillId="0" borderId="23" xfId="0" applyFont="1" applyFill="1" applyBorder="1" applyAlignment="1">
      <alignment horizontal="center" vertical="center" wrapText="1" shrinkToFit="1"/>
    </xf>
    <xf numFmtId="0" fontId="17" fillId="0" borderId="37" xfId="0" applyFont="1" applyFill="1" applyBorder="1" applyAlignment="1">
      <alignment horizontal="center" vertical="center" wrapText="1" shrinkToFit="1"/>
    </xf>
    <xf numFmtId="0" fontId="17" fillId="0" borderId="23" xfId="0" applyFont="1" applyFill="1" applyBorder="1" applyAlignment="1">
      <alignment horizontal="center" vertical="center" wrapText="1" shrinkToFit="1"/>
    </xf>
    <xf numFmtId="0" fontId="17" fillId="0" borderId="37" xfId="0" applyFont="1" applyFill="1" applyBorder="1" applyAlignment="1">
      <alignment horizontal="center" vertical="center" wrapText="1" shrinkToFit="1"/>
    </xf>
    <xf numFmtId="164" fontId="13" fillId="0" borderId="0" xfId="0" applyNumberFormat="1" applyFont="1" applyBorder="1"/>
    <xf numFmtId="164" fontId="13" fillId="0" borderId="0" xfId="0" applyNumberFormat="1" applyFont="1" applyFill="1" applyBorder="1"/>
    <xf numFmtId="164" fontId="31" fillId="0" borderId="0" xfId="0" applyNumberFormat="1" applyFont="1"/>
    <xf numFmtId="0" fontId="0" fillId="0" borderId="0" xfId="0" applyBorder="1"/>
    <xf numFmtId="0" fontId="17" fillId="0" borderId="23" xfId="0" applyFont="1" applyFill="1" applyBorder="1" applyAlignment="1">
      <alignment horizontal="center" vertical="center" wrapText="1" shrinkToFit="1"/>
    </xf>
    <xf numFmtId="0" fontId="17" fillId="0" borderId="37" xfId="0" applyFont="1" applyFill="1" applyBorder="1" applyAlignment="1">
      <alignment horizontal="center" vertical="center" wrapText="1" shrinkToFit="1"/>
    </xf>
    <xf numFmtId="164" fontId="27" fillId="0" borderId="142" xfId="0" applyNumberFormat="1" applyFont="1" applyBorder="1" applyAlignment="1">
      <alignment horizontal="right"/>
    </xf>
    <xf numFmtId="164" fontId="27" fillId="0" borderId="43" xfId="0" applyNumberFormat="1" applyFont="1" applyBorder="1" applyAlignment="1">
      <alignment horizontal="right"/>
    </xf>
    <xf numFmtId="164" fontId="27" fillId="0" borderId="143" xfId="0" applyNumberFormat="1" applyFont="1" applyBorder="1" applyAlignment="1">
      <alignment horizontal="right"/>
    </xf>
    <xf numFmtId="164" fontId="27" fillId="0" borderId="144" xfId="0" applyNumberFormat="1" applyFont="1" applyBorder="1" applyAlignment="1">
      <alignment horizontal="right"/>
    </xf>
    <xf numFmtId="164" fontId="27" fillId="0" borderId="145" xfId="0" applyNumberFormat="1" applyFont="1" applyBorder="1" applyAlignment="1">
      <alignment horizontal="right"/>
    </xf>
    <xf numFmtId="165" fontId="27" fillId="0" borderId="146" xfId="0" applyNumberFormat="1" applyFont="1" applyBorder="1" applyAlignment="1">
      <alignment horizontal="right"/>
    </xf>
    <xf numFmtId="165" fontId="27" fillId="0" borderId="38" xfId="0" applyNumberFormat="1" applyFont="1" applyBorder="1" applyAlignment="1">
      <alignment horizontal="right"/>
    </xf>
    <xf numFmtId="164" fontId="27" fillId="0" borderId="147" xfId="0" applyNumberFormat="1" applyFont="1" applyBorder="1" applyAlignment="1">
      <alignment horizontal="right"/>
    </xf>
    <xf numFmtId="164" fontId="27" fillId="0" borderId="148" xfId="0" applyNumberFormat="1" applyFont="1" applyBorder="1" applyAlignment="1">
      <alignment horizontal="right"/>
    </xf>
    <xf numFmtId="164" fontId="27" fillId="0" borderId="149" xfId="0" applyNumberFormat="1" applyFont="1" applyBorder="1" applyAlignment="1">
      <alignment horizontal="right"/>
    </xf>
    <xf numFmtId="165" fontId="27" fillId="0" borderId="150" xfId="0" applyNumberFormat="1" applyFont="1" applyBorder="1" applyAlignment="1">
      <alignment horizontal="right"/>
    </xf>
    <xf numFmtId="164" fontId="27" fillId="0" borderId="151" xfId="0" applyNumberFormat="1" applyFont="1" applyBorder="1" applyAlignment="1">
      <alignment horizontal="right"/>
    </xf>
    <xf numFmtId="164" fontId="27" fillId="0" borderId="152" xfId="0" applyNumberFormat="1" applyFont="1" applyBorder="1" applyAlignment="1">
      <alignment horizontal="right"/>
    </xf>
    <xf numFmtId="165" fontId="27" fillId="0" borderId="153" xfId="0" applyNumberFormat="1" applyFont="1" applyBorder="1" applyAlignment="1">
      <alignment horizontal="right"/>
    </xf>
    <xf numFmtId="164" fontId="27" fillId="0" borderId="154" xfId="0" applyNumberFormat="1" applyFont="1" applyBorder="1" applyAlignment="1">
      <alignment horizontal="right"/>
    </xf>
    <xf numFmtId="165" fontId="27" fillId="0" borderId="155" xfId="0" applyNumberFormat="1" applyFont="1" applyBorder="1" applyAlignment="1">
      <alignment horizontal="right"/>
    </xf>
    <xf numFmtId="165" fontId="27" fillId="0" borderId="142" xfId="0" applyNumberFormat="1" applyFont="1" applyBorder="1" applyAlignment="1">
      <alignment horizontal="right"/>
    </xf>
    <xf numFmtId="165" fontId="27" fillId="0" borderId="156" xfId="0" applyNumberFormat="1" applyFont="1" applyBorder="1" applyAlignment="1">
      <alignment horizontal="right"/>
    </xf>
    <xf numFmtId="165" fontId="27" fillId="0" borderId="157" xfId="0" applyNumberFormat="1" applyFont="1" applyBorder="1" applyAlignment="1">
      <alignment horizontal="right"/>
    </xf>
    <xf numFmtId="165" fontId="27" fillId="0" borderId="158" xfId="0" applyNumberFormat="1" applyFont="1" applyBorder="1" applyAlignment="1">
      <alignment horizontal="right"/>
    </xf>
    <xf numFmtId="0" fontId="17" fillId="0" borderId="23" xfId="0" applyFont="1" applyFill="1" applyBorder="1" applyAlignment="1">
      <alignment horizontal="center" vertical="center" wrapText="1" shrinkToFit="1"/>
    </xf>
    <xf numFmtId="0" fontId="17" fillId="0" borderId="37" xfId="0" applyFont="1" applyFill="1" applyBorder="1" applyAlignment="1">
      <alignment horizontal="center" vertical="center" wrapText="1" shrinkToFit="1"/>
    </xf>
    <xf numFmtId="2" fontId="13" fillId="0" borderId="0" xfId="0" applyNumberFormat="1" applyFont="1"/>
    <xf numFmtId="164" fontId="13" fillId="0" borderId="0" xfId="0" applyNumberFormat="1" applyFont="1"/>
    <xf numFmtId="4" fontId="13" fillId="0" borderId="0" xfId="0" applyNumberFormat="1" applyFont="1"/>
    <xf numFmtId="0" fontId="17" fillId="0" borderId="23" xfId="0" applyFont="1" applyFill="1" applyBorder="1" applyAlignment="1">
      <alignment horizontal="center" vertical="center" wrapText="1" shrinkToFit="1"/>
    </xf>
    <xf numFmtId="0" fontId="17" fillId="0" borderId="37" xfId="0" applyFont="1" applyFill="1" applyBorder="1" applyAlignment="1">
      <alignment horizontal="center" vertical="center" wrapText="1" shrinkToFit="1"/>
    </xf>
    <xf numFmtId="164" fontId="27" fillId="0" borderId="159" xfId="0" applyNumberFormat="1" applyFont="1" applyBorder="1" applyAlignment="1">
      <alignment horizontal="right"/>
    </xf>
    <xf numFmtId="164" fontId="27" fillId="0" borderId="0" xfId="0" applyNumberFormat="1" applyFont="1" applyBorder="1" applyAlignment="1">
      <alignment horizontal="right"/>
    </xf>
    <xf numFmtId="164" fontId="27" fillId="0" borderId="160" xfId="0" applyNumberFormat="1" applyFont="1" applyBorder="1" applyAlignment="1">
      <alignment horizontal="right"/>
    </xf>
    <xf numFmtId="164" fontId="27" fillId="0" borderId="161" xfId="0" applyNumberFormat="1" applyFont="1" applyBorder="1" applyAlignment="1">
      <alignment horizontal="right"/>
    </xf>
    <xf numFmtId="165" fontId="27" fillId="0" borderId="159" xfId="0" applyNumberFormat="1" applyFont="1" applyBorder="1" applyAlignment="1">
      <alignment horizontal="right"/>
    </xf>
    <xf numFmtId="165" fontId="27" fillId="0" borderId="0" xfId="0" applyNumberFormat="1" applyFont="1" applyBorder="1" applyAlignment="1">
      <alignment horizontal="right"/>
    </xf>
    <xf numFmtId="165" fontId="27" fillId="0" borderId="160" xfId="0" applyNumberFormat="1" applyFont="1" applyBorder="1" applyAlignment="1">
      <alignment horizontal="right"/>
    </xf>
    <xf numFmtId="165" fontId="27" fillId="0" borderId="161" xfId="0" applyNumberFormat="1" applyFont="1" applyBorder="1" applyAlignment="1">
      <alignment horizontal="right"/>
    </xf>
    <xf numFmtId="0" fontId="17" fillId="0" borderId="23" xfId="0" applyFont="1" applyFill="1" applyBorder="1" applyAlignment="1">
      <alignment horizontal="center" vertical="center" wrapText="1" shrinkToFit="1"/>
    </xf>
    <xf numFmtId="0" fontId="17" fillId="0" borderId="37" xfId="0" applyFont="1" applyFill="1" applyBorder="1" applyAlignment="1">
      <alignment horizontal="center" vertical="center" wrapText="1" shrinkToFit="1"/>
    </xf>
    <xf numFmtId="0" fontId="17" fillId="0" borderId="23" xfId="0" applyFont="1" applyFill="1" applyBorder="1" applyAlignment="1">
      <alignment horizontal="center" vertical="center" wrapText="1" shrinkToFit="1"/>
    </xf>
    <xf numFmtId="0" fontId="17" fillId="0" borderId="37" xfId="0" applyFont="1" applyFill="1" applyBorder="1" applyAlignment="1">
      <alignment horizontal="center" vertical="center" wrapText="1" shrinkToFit="1"/>
    </xf>
    <xf numFmtId="0" fontId="17" fillId="0" borderId="23" xfId="0" applyFont="1" applyFill="1" applyBorder="1" applyAlignment="1">
      <alignment horizontal="center" vertical="center" wrapText="1" shrinkToFit="1"/>
    </xf>
    <xf numFmtId="0" fontId="17" fillId="0" borderId="37" xfId="0" applyFont="1" applyFill="1" applyBorder="1" applyAlignment="1">
      <alignment horizontal="center" vertical="center" wrapText="1" shrinkToFit="1"/>
    </xf>
    <xf numFmtId="2" fontId="45" fillId="0" borderId="13" xfId="0" applyNumberFormat="1" applyFont="1" applyBorder="1" applyAlignment="1">
      <alignment horizontal="right"/>
    </xf>
    <xf numFmtId="0" fontId="19" fillId="0" borderId="89" xfId="0" applyFont="1" applyBorder="1"/>
    <xf numFmtId="0" fontId="17" fillId="0" borderId="133" xfId="0" applyFont="1" applyBorder="1"/>
    <xf numFmtId="0" fontId="23" fillId="0" borderId="162" xfId="0" applyFont="1" applyBorder="1"/>
    <xf numFmtId="0" fontId="25" fillId="0" borderId="46" xfId="0" applyFont="1" applyBorder="1"/>
    <xf numFmtId="0" fontId="25" fillId="0" borderId="163" xfId="0" applyFont="1" applyBorder="1"/>
    <xf numFmtId="0" fontId="25" fillId="0" borderId="164" xfId="0" applyFont="1" applyBorder="1"/>
    <xf numFmtId="0" fontId="25" fillId="0" borderId="0" xfId="0" applyFont="1" applyBorder="1"/>
    <xf numFmtId="0" fontId="25" fillId="0" borderId="166" xfId="0" applyFont="1" applyBorder="1"/>
    <xf numFmtId="0" fontId="25" fillId="0" borderId="167" xfId="0" applyFont="1" applyBorder="1"/>
    <xf numFmtId="0" fontId="22" fillId="0" borderId="89" xfId="0" applyFont="1" applyBorder="1" applyAlignment="1"/>
    <xf numFmtId="0" fontId="47" fillId="0" borderId="78" xfId="0" applyFont="1" applyBorder="1" applyAlignment="1"/>
    <xf numFmtId="164" fontId="22" fillId="0" borderId="88" xfId="0" applyNumberFormat="1" applyFont="1" applyBorder="1"/>
    <xf numFmtId="0" fontId="17" fillId="0" borderId="23" xfId="0" applyFont="1" applyFill="1" applyBorder="1" applyAlignment="1">
      <alignment horizontal="center" vertical="center" wrapText="1" shrinkToFit="1"/>
    </xf>
    <xf numFmtId="0" fontId="17" fillId="0" borderId="37" xfId="0" applyFont="1" applyFill="1" applyBorder="1" applyAlignment="1">
      <alignment horizontal="center" vertical="center" wrapText="1" shrinkToFit="1"/>
    </xf>
    <xf numFmtId="0" fontId="17" fillId="0" borderId="23" xfId="0" applyFont="1" applyFill="1" applyBorder="1" applyAlignment="1">
      <alignment horizontal="center" vertical="center" wrapText="1" shrinkToFit="1"/>
    </xf>
    <xf numFmtId="0" fontId="17" fillId="0" borderId="37" xfId="0" applyFont="1" applyFill="1" applyBorder="1" applyAlignment="1">
      <alignment horizontal="center" vertical="center" wrapText="1" shrinkToFit="1"/>
    </xf>
    <xf numFmtId="0" fontId="3" fillId="0" borderId="10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17" fillId="0" borderId="23" xfId="0" applyFont="1" applyFill="1" applyBorder="1" applyAlignment="1">
      <alignment horizontal="center" vertical="center" wrapText="1" shrinkToFit="1"/>
    </xf>
    <xf numFmtId="0" fontId="17" fillId="0" borderId="37" xfId="0" applyFont="1" applyFill="1" applyBorder="1" applyAlignment="1">
      <alignment horizontal="center" vertical="center" wrapText="1" shrinkToFit="1"/>
    </xf>
    <xf numFmtId="0" fontId="17" fillId="0" borderId="23" xfId="0" applyFont="1" applyFill="1" applyBorder="1" applyAlignment="1">
      <alignment horizontal="center" vertical="center" wrapText="1" shrinkToFit="1"/>
    </xf>
    <xf numFmtId="0" fontId="17" fillId="0" borderId="37" xfId="0" applyFont="1" applyFill="1" applyBorder="1" applyAlignment="1">
      <alignment horizontal="center" vertical="center" wrapText="1" shrinkToFit="1"/>
    </xf>
    <xf numFmtId="164" fontId="29" fillId="0" borderId="13" xfId="0" applyNumberFormat="1" applyFont="1" applyBorder="1" applyAlignment="1">
      <alignment horizontal="right"/>
    </xf>
    <xf numFmtId="164" fontId="48" fillId="0" borderId="13" xfId="0" applyNumberFormat="1" applyFont="1" applyBorder="1" applyAlignment="1">
      <alignment horizontal="right"/>
    </xf>
    <xf numFmtId="164" fontId="19" fillId="0" borderId="13" xfId="0" applyNumberFormat="1" applyFont="1" applyBorder="1" applyAlignment="1">
      <alignment horizontal="right"/>
    </xf>
    <xf numFmtId="0" fontId="17" fillId="0" borderId="23" xfId="0" applyFont="1" applyFill="1" applyBorder="1" applyAlignment="1">
      <alignment horizontal="center" vertical="center" wrapText="1" shrinkToFit="1"/>
    </xf>
    <xf numFmtId="0" fontId="17" fillId="0" borderId="37" xfId="0" applyFont="1" applyFill="1" applyBorder="1" applyAlignment="1">
      <alignment horizontal="center" vertical="center" wrapText="1" shrinkToFit="1"/>
    </xf>
    <xf numFmtId="0" fontId="17" fillId="0" borderId="23" xfId="0" applyFont="1" applyFill="1" applyBorder="1" applyAlignment="1">
      <alignment horizontal="center" vertical="center" wrapText="1" shrinkToFit="1"/>
    </xf>
    <xf numFmtId="0" fontId="17" fillId="0" borderId="37" xfId="0" applyFont="1" applyFill="1" applyBorder="1" applyAlignment="1">
      <alignment horizontal="center" vertical="center" wrapText="1" shrinkToFit="1"/>
    </xf>
    <xf numFmtId="164" fontId="36" fillId="0" borderId="0" xfId="0" applyNumberFormat="1" applyFont="1"/>
    <xf numFmtId="0" fontId="17" fillId="0" borderId="23" xfId="0" applyFont="1" applyFill="1" applyBorder="1" applyAlignment="1">
      <alignment horizontal="center" vertical="center" wrapText="1" shrinkToFit="1"/>
    </xf>
    <xf numFmtId="0" fontId="17" fillId="0" borderId="37" xfId="0" applyFont="1" applyFill="1" applyBorder="1" applyAlignment="1">
      <alignment horizontal="center" vertical="center" wrapText="1" shrinkToFit="1"/>
    </xf>
    <xf numFmtId="2" fontId="0" fillId="0" borderId="0" xfId="0" applyNumberFormat="1"/>
    <xf numFmtId="2" fontId="0" fillId="0" borderId="28" xfId="0" applyNumberFormat="1" applyBorder="1"/>
    <xf numFmtId="0" fontId="17" fillId="0" borderId="23" xfId="0" applyFont="1" applyFill="1" applyBorder="1" applyAlignment="1">
      <alignment horizontal="center" vertical="center" wrapText="1" shrinkToFit="1"/>
    </xf>
    <xf numFmtId="0" fontId="17" fillId="0" borderId="37" xfId="0" applyFont="1" applyFill="1" applyBorder="1" applyAlignment="1">
      <alignment horizontal="center" vertical="center" wrapText="1" shrinkToFit="1"/>
    </xf>
    <xf numFmtId="0" fontId="17" fillId="0" borderId="23" xfId="0" applyFont="1" applyFill="1" applyBorder="1" applyAlignment="1">
      <alignment horizontal="center" vertical="center" wrapText="1" shrinkToFit="1"/>
    </xf>
    <xf numFmtId="0" fontId="17" fillId="0" borderId="37" xfId="0" applyFont="1" applyFill="1" applyBorder="1" applyAlignment="1">
      <alignment horizontal="center" vertical="center" wrapText="1" shrinkToFit="1"/>
    </xf>
    <xf numFmtId="164" fontId="27" fillId="0" borderId="168" xfId="0" applyNumberFormat="1" applyFont="1" applyBorder="1" applyAlignment="1">
      <alignment horizontal="right"/>
    </xf>
    <xf numFmtId="164" fontId="27" fillId="0" borderId="146" xfId="0" applyNumberFormat="1" applyFont="1" applyBorder="1" applyAlignment="1">
      <alignment horizontal="right"/>
    </xf>
    <xf numFmtId="1" fontId="44" fillId="0" borderId="13" xfId="0" applyNumberFormat="1" applyFont="1" applyBorder="1"/>
    <xf numFmtId="0" fontId="17" fillId="0" borderId="23" xfId="0" applyFont="1" applyFill="1" applyBorder="1" applyAlignment="1">
      <alignment horizontal="center" vertical="center" wrapText="1" shrinkToFit="1"/>
    </xf>
    <xf numFmtId="0" fontId="17" fillId="0" borderId="37" xfId="0" applyFont="1" applyFill="1" applyBorder="1" applyAlignment="1">
      <alignment horizontal="center" vertical="center" wrapText="1" shrinkToFit="1"/>
    </xf>
    <xf numFmtId="2" fontId="38" fillId="0" borderId="29" xfId="0" applyNumberFormat="1" applyFont="1" applyBorder="1"/>
    <xf numFmtId="0" fontId="17" fillId="0" borderId="23" xfId="0" applyFont="1" applyFill="1" applyBorder="1" applyAlignment="1">
      <alignment horizontal="center" vertical="center" wrapText="1" shrinkToFit="1"/>
    </xf>
    <xf numFmtId="0" fontId="17" fillId="0" borderId="37" xfId="0" applyFont="1" applyFill="1" applyBorder="1" applyAlignment="1">
      <alignment horizontal="center" vertical="center" wrapText="1" shrinkToFit="1"/>
    </xf>
    <xf numFmtId="2" fontId="45" fillId="0" borderId="43" xfId="0" applyNumberFormat="1" applyFont="1" applyBorder="1" applyAlignment="1">
      <alignment horizontal="right"/>
    </xf>
    <xf numFmtId="2" fontId="30" fillId="0" borderId="21" xfId="0" applyNumberFormat="1" applyFont="1" applyBorder="1" applyAlignment="1">
      <alignment horizontal="right"/>
    </xf>
    <xf numFmtId="164" fontId="27" fillId="0" borderId="169" xfId="0" applyNumberFormat="1" applyFont="1" applyBorder="1" applyAlignment="1">
      <alignment horizontal="right"/>
    </xf>
    <xf numFmtId="2" fontId="45" fillId="0" borderId="65" xfId="0" applyNumberFormat="1" applyFont="1" applyBorder="1" applyAlignment="1">
      <alignment horizontal="right"/>
    </xf>
    <xf numFmtId="0" fontId="17" fillId="0" borderId="23" xfId="0" applyFont="1" applyFill="1" applyBorder="1" applyAlignment="1">
      <alignment horizontal="center" vertical="center" wrapText="1" shrinkToFit="1"/>
    </xf>
    <xf numFmtId="0" fontId="17" fillId="0" borderId="37" xfId="0" applyFont="1" applyFill="1" applyBorder="1" applyAlignment="1">
      <alignment horizontal="center" vertical="center" wrapText="1" shrinkToFit="1"/>
    </xf>
    <xf numFmtId="0" fontId="17" fillId="0" borderId="23" xfId="0" applyFont="1" applyFill="1" applyBorder="1" applyAlignment="1">
      <alignment horizontal="center" vertical="center" wrapText="1" shrinkToFit="1"/>
    </xf>
    <xf numFmtId="0" fontId="17" fillId="0" borderId="37" xfId="0" applyFont="1" applyFill="1" applyBorder="1" applyAlignment="1">
      <alignment horizontal="center" vertical="center" wrapText="1" shrinkToFit="1"/>
    </xf>
    <xf numFmtId="164" fontId="13" fillId="0" borderId="170" xfId="0" applyNumberFormat="1" applyFont="1" applyBorder="1"/>
    <xf numFmtId="164" fontId="13" fillId="0" borderId="171" xfId="0" applyNumberFormat="1" applyFont="1" applyBorder="1"/>
    <xf numFmtId="164" fontId="13" fillId="0" borderId="65" xfId="0" applyNumberFormat="1" applyFont="1" applyBorder="1"/>
    <xf numFmtId="2" fontId="13" fillId="0" borderId="171" xfId="0" applyNumberFormat="1" applyFont="1" applyBorder="1"/>
    <xf numFmtId="170" fontId="13" fillId="0" borderId="0" xfId="0" applyNumberFormat="1" applyFont="1"/>
    <xf numFmtId="0" fontId="17" fillId="0" borderId="23" xfId="0" applyFont="1" applyFill="1" applyBorder="1" applyAlignment="1">
      <alignment horizontal="center" vertical="center" wrapText="1" shrinkToFit="1"/>
    </xf>
    <xf numFmtId="0" fontId="17" fillId="0" borderId="37" xfId="0" applyFont="1" applyFill="1" applyBorder="1" applyAlignment="1">
      <alignment horizontal="center" vertical="center" wrapText="1" shrinkToFit="1"/>
    </xf>
    <xf numFmtId="165" fontId="27" fillId="0" borderId="172" xfId="0" applyNumberFormat="1" applyFont="1" applyBorder="1" applyAlignment="1">
      <alignment horizontal="right"/>
    </xf>
    <xf numFmtId="165" fontId="27" fillId="0" borderId="173" xfId="0" applyNumberFormat="1" applyFont="1" applyBorder="1" applyAlignment="1">
      <alignment horizontal="right"/>
    </xf>
    <xf numFmtId="165" fontId="27" fillId="0" borderId="95" xfId="0" applyNumberFormat="1" applyFont="1" applyBorder="1" applyAlignment="1">
      <alignment horizontal="right"/>
    </xf>
    <xf numFmtId="2" fontId="38" fillId="4" borderId="20" xfId="0" applyNumberFormat="1" applyFont="1" applyFill="1" applyBorder="1"/>
    <xf numFmtId="168" fontId="32" fillId="0" borderId="42" xfId="0" applyNumberFormat="1" applyFont="1" applyBorder="1"/>
    <xf numFmtId="0" fontId="17" fillId="0" borderId="23" xfId="0" applyFont="1" applyFill="1" applyBorder="1" applyAlignment="1">
      <alignment horizontal="center" vertical="center" wrapText="1" shrinkToFit="1"/>
    </xf>
    <xf numFmtId="0" fontId="17" fillId="0" borderId="37" xfId="0" applyFont="1" applyFill="1" applyBorder="1" applyAlignment="1">
      <alignment horizontal="center" vertical="center" wrapText="1" shrinkToFit="1"/>
    </xf>
    <xf numFmtId="0" fontId="17" fillId="0" borderId="23" xfId="0" applyFont="1" applyFill="1" applyBorder="1" applyAlignment="1">
      <alignment horizontal="center" vertical="center" wrapText="1" shrinkToFit="1"/>
    </xf>
    <xf numFmtId="0" fontId="17" fillId="0" borderId="37" xfId="0" applyFont="1" applyFill="1" applyBorder="1" applyAlignment="1">
      <alignment horizontal="center" vertical="center" wrapText="1" shrinkToFit="1"/>
    </xf>
    <xf numFmtId="2" fontId="1" fillId="0" borderId="0" xfId="0" applyNumberFormat="1" applyFont="1"/>
    <xf numFmtId="2" fontId="31" fillId="0" borderId="0" xfId="0" applyNumberFormat="1" applyFont="1"/>
    <xf numFmtId="0" fontId="29" fillId="0" borderId="23" xfId="0" applyNumberFormat="1" applyFont="1" applyBorder="1" applyAlignment="1">
      <alignment horizontal="center"/>
    </xf>
    <xf numFmtId="0" fontId="17" fillId="0" borderId="23" xfId="0" applyFont="1" applyFill="1" applyBorder="1" applyAlignment="1">
      <alignment horizontal="center" vertical="center" wrapText="1" shrinkToFit="1"/>
    </xf>
    <xf numFmtId="0" fontId="17" fillId="0" borderId="37" xfId="0" applyFont="1" applyFill="1" applyBorder="1" applyAlignment="1">
      <alignment horizontal="center" vertical="center" wrapText="1" shrinkToFit="1"/>
    </xf>
    <xf numFmtId="0" fontId="17" fillId="0" borderId="40" xfId="0" applyFont="1" applyFill="1" applyBorder="1" applyAlignment="1">
      <alignment horizontal="center" vertical="center" wrapText="1" shrinkToFit="1"/>
    </xf>
    <xf numFmtId="0" fontId="17" fillId="0" borderId="23" xfId="0" applyFont="1" applyFill="1" applyBorder="1" applyAlignment="1">
      <alignment horizontal="center" vertical="center" wrapText="1" shrinkToFit="1"/>
    </xf>
    <xf numFmtId="0" fontId="34" fillId="0" borderId="35" xfId="0" applyFont="1" applyBorder="1" applyAlignment="1">
      <alignment horizontal="center"/>
    </xf>
    <xf numFmtId="0" fontId="17" fillId="0" borderId="116" xfId="0" applyFont="1" applyFill="1" applyBorder="1" applyAlignment="1">
      <alignment horizontal="center" vertical="center" textRotation="255" wrapText="1" shrinkToFit="1"/>
    </xf>
    <xf numFmtId="0" fontId="17" fillId="0" borderId="13" xfId="0" applyFont="1" applyBorder="1" applyAlignment="1" applyProtection="1">
      <alignment horizontal="center" vertical="center"/>
    </xf>
    <xf numFmtId="0" fontId="17" fillId="0" borderId="41" xfId="0" applyFont="1" applyFill="1" applyBorder="1" applyAlignment="1">
      <alignment horizontal="center" vertical="center" wrapText="1" shrinkToFit="1"/>
    </xf>
    <xf numFmtId="0" fontId="17" fillId="0" borderId="134" xfId="0" applyFont="1" applyFill="1" applyBorder="1" applyAlignment="1">
      <alignment horizontal="center" vertical="center"/>
    </xf>
    <xf numFmtId="0" fontId="17" fillId="0" borderId="135" xfId="0" applyFont="1" applyFill="1" applyBorder="1" applyAlignment="1">
      <alignment horizontal="center" vertical="center"/>
    </xf>
    <xf numFmtId="0" fontId="17" fillId="0" borderId="77" xfId="0" applyFont="1" applyFill="1" applyBorder="1" applyAlignment="1">
      <alignment horizontal="center" vertical="center"/>
    </xf>
    <xf numFmtId="0" fontId="17" fillId="0" borderId="108" xfId="0" applyFont="1" applyBorder="1" applyAlignment="1">
      <alignment horizontal="center" vertical="center" wrapText="1"/>
    </xf>
    <xf numFmtId="0" fontId="17" fillId="0" borderId="108" xfId="0" applyFont="1" applyFill="1" applyBorder="1" applyAlignment="1">
      <alignment horizontal="center" vertical="center" wrapText="1" shrinkToFit="1"/>
    </xf>
    <xf numFmtId="0" fontId="17" fillId="0" borderId="37" xfId="0" applyFont="1" applyFill="1" applyBorder="1" applyAlignment="1">
      <alignment horizontal="center" vertical="center" wrapText="1" shrinkToFit="1"/>
    </xf>
    <xf numFmtId="0" fontId="3" fillId="0" borderId="109" xfId="0" applyFont="1" applyFill="1" applyBorder="1" applyAlignment="1">
      <alignment horizontal="center" vertical="center" wrapText="1" shrinkToFit="1"/>
    </xf>
    <xf numFmtId="0" fontId="3" fillId="0" borderId="110" xfId="0" applyFont="1" applyFill="1" applyBorder="1" applyAlignment="1">
      <alignment horizontal="center" vertical="center" wrapText="1" shrinkToFit="1"/>
    </xf>
    <xf numFmtId="164" fontId="17" fillId="0" borderId="37" xfId="0" applyNumberFormat="1" applyFont="1" applyFill="1" applyBorder="1" applyAlignment="1">
      <alignment horizontal="center" vertical="center" wrapText="1" shrinkToFit="1"/>
    </xf>
    <xf numFmtId="0" fontId="17" fillId="0" borderId="45" xfId="0" applyFont="1" applyFill="1" applyBorder="1" applyAlignment="1">
      <alignment horizontal="center" vertical="center" wrapText="1" shrinkToFit="1"/>
    </xf>
    <xf numFmtId="0" fontId="17" fillId="0" borderId="131" xfId="0" applyFont="1" applyFill="1" applyBorder="1" applyAlignment="1">
      <alignment horizontal="center" vertical="center" wrapText="1" shrinkToFit="1"/>
    </xf>
    <xf numFmtId="0" fontId="17" fillId="0" borderId="132" xfId="0" applyFont="1" applyFill="1" applyBorder="1" applyAlignment="1">
      <alignment horizontal="center" vertical="center" wrapText="1" shrinkToFit="1"/>
    </xf>
    <xf numFmtId="0" fontId="17" fillId="0" borderId="123" xfId="0" applyFont="1" applyFill="1" applyBorder="1" applyAlignment="1">
      <alignment horizontal="center" vertical="center" wrapText="1" shrinkToFit="1"/>
    </xf>
    <xf numFmtId="0" fontId="3" fillId="0" borderId="111" xfId="0" applyFont="1" applyFill="1" applyBorder="1" applyAlignment="1">
      <alignment horizontal="center" vertical="center" wrapText="1" shrinkToFit="1"/>
    </xf>
    <xf numFmtId="0" fontId="3" fillId="0" borderId="112" xfId="0" applyFont="1" applyFill="1" applyBorder="1" applyAlignment="1">
      <alignment horizontal="center" vertical="center" wrapText="1" shrinkToFit="1"/>
    </xf>
    <xf numFmtId="0" fontId="3" fillId="0" borderId="113" xfId="0" applyFont="1" applyFill="1" applyBorder="1" applyAlignment="1">
      <alignment horizontal="center" vertical="center" wrapText="1" shrinkToFit="1"/>
    </xf>
    <xf numFmtId="0" fontId="3" fillId="0" borderId="114" xfId="0" applyFont="1" applyFill="1" applyBorder="1" applyAlignment="1">
      <alignment horizontal="center" vertical="center" wrapText="1" shrinkToFit="1"/>
    </xf>
    <xf numFmtId="0" fontId="3" fillId="0" borderId="115" xfId="0" applyFont="1" applyFill="1" applyBorder="1" applyAlignment="1">
      <alignment horizontal="center" vertical="center" wrapText="1" shrinkToFit="1"/>
    </xf>
    <xf numFmtId="0" fontId="3" fillId="0" borderId="3" xfId="0" applyFont="1" applyFill="1" applyBorder="1" applyAlignment="1">
      <alignment horizontal="center" vertical="center" wrapText="1" shrinkToFit="1"/>
    </xf>
    <xf numFmtId="0" fontId="3" fillId="0" borderId="116" xfId="0" applyFont="1" applyFill="1" applyBorder="1" applyAlignment="1">
      <alignment horizontal="center" vertical="center" wrapText="1" shrinkToFit="1"/>
    </xf>
    <xf numFmtId="0" fontId="3" fillId="0" borderId="117" xfId="0" applyFont="1" applyFill="1" applyBorder="1" applyAlignment="1">
      <alignment horizontal="center" vertical="center" wrapText="1" shrinkToFit="1"/>
    </xf>
    <xf numFmtId="0" fontId="3" fillId="0" borderId="118" xfId="0" applyFont="1" applyFill="1" applyBorder="1" applyAlignment="1">
      <alignment horizontal="center" vertical="center" wrapText="1" shrinkToFit="1"/>
    </xf>
    <xf numFmtId="0" fontId="3" fillId="0" borderId="119" xfId="0" applyFont="1" applyFill="1" applyBorder="1" applyAlignment="1">
      <alignment horizontal="center" vertical="center" wrapText="1" shrinkToFit="1"/>
    </xf>
    <xf numFmtId="0" fontId="3" fillId="0" borderId="120" xfId="0" applyFont="1" applyFill="1" applyBorder="1" applyAlignment="1">
      <alignment horizontal="center" vertical="center" wrapText="1" shrinkToFit="1"/>
    </xf>
    <xf numFmtId="0" fontId="3" fillId="0" borderId="121" xfId="0" applyFont="1" applyFill="1" applyBorder="1" applyAlignment="1">
      <alignment horizontal="center" vertical="center" wrapText="1" shrinkToFit="1"/>
    </xf>
    <xf numFmtId="0" fontId="3" fillId="0" borderId="136" xfId="0" applyFont="1" applyFill="1" applyBorder="1" applyAlignment="1">
      <alignment horizontal="center" vertical="center" wrapText="1" shrinkToFit="1"/>
    </xf>
    <xf numFmtId="0" fontId="3" fillId="0" borderId="137" xfId="0" applyFont="1" applyFill="1" applyBorder="1" applyAlignment="1">
      <alignment horizontal="center" vertical="center" wrapText="1" shrinkToFit="1"/>
    </xf>
    <xf numFmtId="0" fontId="3" fillId="0" borderId="138" xfId="0" applyFont="1" applyFill="1" applyBorder="1" applyAlignment="1">
      <alignment horizontal="center" vertical="center" wrapText="1" shrinkToFit="1"/>
    </xf>
    <xf numFmtId="0" fontId="3" fillId="0" borderId="139" xfId="0" applyFont="1" applyFill="1" applyBorder="1" applyAlignment="1">
      <alignment horizontal="center" vertical="center" wrapText="1" shrinkToFit="1"/>
    </xf>
    <xf numFmtId="0" fontId="3" fillId="0" borderId="140" xfId="0" applyFont="1" applyFill="1" applyBorder="1" applyAlignment="1">
      <alignment horizontal="center" vertical="center" wrapText="1" shrinkToFit="1"/>
    </xf>
    <xf numFmtId="0" fontId="13" fillId="0" borderId="78" xfId="0" applyFont="1" applyFill="1" applyBorder="1" applyAlignment="1">
      <alignment horizontal="center"/>
    </xf>
    <xf numFmtId="0" fontId="13" fillId="0" borderId="89" xfId="0" applyFont="1" applyFill="1" applyBorder="1" applyAlignment="1">
      <alignment horizontal="center"/>
    </xf>
    <xf numFmtId="0" fontId="13" fillId="0" borderId="133" xfId="0" applyFont="1" applyFill="1" applyBorder="1" applyAlignment="1">
      <alignment horizontal="center"/>
    </xf>
    <xf numFmtId="0" fontId="17" fillId="0" borderId="130" xfId="0" applyFont="1" applyFill="1" applyBorder="1" applyAlignment="1">
      <alignment horizontal="center" vertical="center" wrapText="1" shrinkToFit="1"/>
    </xf>
    <xf numFmtId="0" fontId="17" fillId="2" borderId="40" xfId="0" applyFont="1" applyFill="1" applyBorder="1" applyAlignment="1">
      <alignment horizontal="center" vertical="center" wrapText="1" shrinkToFit="1"/>
    </xf>
    <xf numFmtId="0" fontId="5" fillId="0" borderId="3" xfId="0" applyFont="1" applyBorder="1" applyAlignment="1">
      <alignment horizontal="center"/>
    </xf>
    <xf numFmtId="164" fontId="14" fillId="0" borderId="124" xfId="0" applyNumberFormat="1" applyFont="1" applyBorder="1" applyAlignment="1">
      <alignment horizontal="center"/>
    </xf>
    <xf numFmtId="164" fontId="14" fillId="0" borderId="1" xfId="0" applyNumberFormat="1" applyFont="1" applyBorder="1" applyAlignment="1">
      <alignment horizontal="center"/>
    </xf>
    <xf numFmtId="0" fontId="17" fillId="0" borderId="23" xfId="0" applyFont="1" applyFill="1" applyBorder="1" applyAlignment="1">
      <alignment horizontal="center" vertical="center" wrapText="1"/>
    </xf>
    <xf numFmtId="0" fontId="17" fillId="0" borderId="129" xfId="0" applyFont="1" applyFill="1" applyBorder="1" applyAlignment="1">
      <alignment horizontal="center" vertical="center" wrapText="1" shrinkToFit="1"/>
    </xf>
    <xf numFmtId="0" fontId="17" fillId="0" borderId="126" xfId="0" applyFont="1" applyFill="1" applyBorder="1" applyAlignment="1">
      <alignment horizontal="center" vertical="center" wrapText="1" shrinkToFit="1"/>
    </xf>
    <xf numFmtId="0" fontId="17" fillId="0" borderId="127" xfId="0" applyFont="1" applyFill="1" applyBorder="1" applyAlignment="1">
      <alignment horizontal="center" vertical="center" wrapText="1" shrinkToFit="1"/>
    </xf>
    <xf numFmtId="0" fontId="17" fillId="0" borderId="128" xfId="0" applyFont="1" applyFill="1" applyBorder="1" applyAlignment="1">
      <alignment horizontal="center" vertical="center" wrapText="1" shrinkToFit="1"/>
    </xf>
    <xf numFmtId="0" fontId="17" fillId="0" borderId="125" xfId="0" applyFont="1" applyFill="1" applyBorder="1" applyAlignment="1">
      <alignment horizontal="center" vertical="center" wrapText="1" shrinkToFit="1"/>
    </xf>
    <xf numFmtId="164" fontId="15" fillId="0" borderId="33" xfId="0" applyNumberFormat="1" applyFont="1" applyBorder="1" applyAlignment="1">
      <alignment horizontal="center"/>
    </xf>
    <xf numFmtId="0" fontId="37" fillId="0" borderId="0" xfId="0" applyFont="1" applyBorder="1" applyAlignment="1">
      <alignment horizontal="center"/>
    </xf>
    <xf numFmtId="2" fontId="17" fillId="0" borderId="0" xfId="0" applyNumberFormat="1" applyFont="1" applyAlignment="1">
      <alignment horizontal="center"/>
    </xf>
    <xf numFmtId="0" fontId="17" fillId="0" borderId="104" xfId="0" applyFont="1" applyBorder="1" applyAlignment="1">
      <alignment wrapText="1"/>
    </xf>
    <xf numFmtId="2" fontId="17" fillId="0" borderId="47" xfId="0" applyNumberFormat="1" applyFont="1" applyBorder="1" applyAlignment="1">
      <alignment horizontal="center" vertical="center"/>
    </xf>
    <xf numFmtId="0" fontId="17" fillId="0" borderId="0" xfId="0" applyFont="1" applyBorder="1" applyAlignment="1">
      <alignment vertical="center"/>
    </xf>
    <xf numFmtId="2" fontId="17" fillId="0" borderId="122" xfId="0" applyNumberFormat="1" applyFont="1" applyBorder="1" applyAlignment="1">
      <alignment horizontal="center" vertical="center"/>
    </xf>
    <xf numFmtId="0" fontId="17" fillId="0" borderId="35" xfId="0" applyFont="1" applyBorder="1" applyAlignment="1">
      <alignment vertical="center"/>
    </xf>
    <xf numFmtId="166" fontId="20" fillId="0" borderId="11" xfId="0" applyNumberFormat="1" applyFont="1" applyFill="1" applyBorder="1" applyAlignment="1">
      <alignment horizontal="center"/>
    </xf>
    <xf numFmtId="0" fontId="17" fillId="0" borderId="26" xfId="0" applyFont="1" applyFill="1" applyBorder="1" applyAlignment="1">
      <alignment horizontal="center" vertical="center" wrapText="1" shrinkToFit="1"/>
    </xf>
    <xf numFmtId="0" fontId="17" fillId="0" borderId="43" xfId="0" applyFont="1" applyFill="1" applyBorder="1" applyAlignment="1">
      <alignment horizontal="center" vertical="center" wrapText="1" shrinkToFit="1"/>
    </xf>
    <xf numFmtId="164" fontId="17" fillId="0" borderId="26" xfId="0" applyNumberFormat="1" applyFont="1" applyFill="1" applyBorder="1" applyAlignment="1">
      <alignment horizontal="center" vertical="center" wrapText="1" shrinkToFit="1"/>
    </xf>
    <xf numFmtId="164" fontId="17" fillId="0" borderId="43" xfId="0" applyNumberFormat="1" applyFont="1" applyFill="1" applyBorder="1" applyAlignment="1">
      <alignment horizontal="center" vertical="center" wrapText="1" shrinkToFit="1"/>
    </xf>
    <xf numFmtId="168" fontId="23" fillId="0" borderId="0" xfId="0" applyNumberFormat="1" applyFont="1" applyBorder="1" applyAlignment="1">
      <alignment horizontal="center"/>
    </xf>
    <xf numFmtId="168" fontId="23" fillId="0" borderId="165" xfId="0" applyNumberFormat="1" applyFont="1" applyBorder="1" applyAlignment="1">
      <alignment horizontal="center"/>
    </xf>
    <xf numFmtId="2" fontId="23" fillId="0" borderId="0" xfId="0" applyNumberFormat="1" applyFont="1" applyBorder="1" applyAlignment="1">
      <alignment horizontal="center"/>
    </xf>
    <xf numFmtId="0" fontId="23" fillId="0" borderId="165" xfId="0" applyFont="1" applyBorder="1" applyAlignment="1">
      <alignment horizontal="center"/>
    </xf>
    <xf numFmtId="2" fontId="46" fillId="0" borderId="78" xfId="0" applyNumberFormat="1" applyFont="1" applyBorder="1" applyAlignment="1">
      <alignment horizontal="center"/>
    </xf>
    <xf numFmtId="0" fontId="46" fillId="0" borderId="133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9" defaultPivotStyle="PivotStyleLight16"/>
  <colors>
    <mruColors>
      <color rgb="FF0000F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0649617431186729"/>
          <c:y val="0.11983713303442695"/>
          <c:w val="0.87262357414462965"/>
          <c:h val="0.79878207329393991"/>
        </c:manualLayout>
      </c:layout>
      <c:lineChart>
        <c:grouping val="standard"/>
        <c:ser>
          <c:idx val="0"/>
          <c:order val="0"/>
          <c:tx>
            <c:strRef>
              <c:f>'январь 20'!$BF$6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'январь 20'!$BF$7:$BF$37</c:f>
              <c:numCache>
                <c:formatCode>0.00</c:formatCode>
                <c:ptCount val="31"/>
                <c:pt idx="0">
                  <c:v>138.10999999999999</c:v>
                </c:pt>
                <c:pt idx="1">
                  <c:v>284.81999999999994</c:v>
                </c:pt>
                <c:pt idx="2">
                  <c:v>436.53</c:v>
                </c:pt>
                <c:pt idx="3">
                  <c:v>573.55999999999995</c:v>
                </c:pt>
                <c:pt idx="4">
                  <c:v>700.65</c:v>
                </c:pt>
                <c:pt idx="5">
                  <c:v>840.58999999999992</c:v>
                </c:pt>
                <c:pt idx="6">
                  <c:v>984.63999999999987</c:v>
                </c:pt>
                <c:pt idx="7">
                  <c:v>1123.82</c:v>
                </c:pt>
                <c:pt idx="8">
                  <c:v>1189.6499999999999</c:v>
                </c:pt>
                <c:pt idx="9">
                  <c:v>1298.0899999999999</c:v>
                </c:pt>
                <c:pt idx="10">
                  <c:v>1423.8899999999999</c:v>
                </c:pt>
                <c:pt idx="11">
                  <c:v>1546.8899999999999</c:v>
                </c:pt>
                <c:pt idx="12">
                  <c:v>1665.4699999999998</c:v>
                </c:pt>
                <c:pt idx="13">
                  <c:v>1803.9999999999998</c:v>
                </c:pt>
                <c:pt idx="14">
                  <c:v>1929.7599999999998</c:v>
                </c:pt>
                <c:pt idx="15">
                  <c:v>2053.4699999999998</c:v>
                </c:pt>
                <c:pt idx="16">
                  <c:v>2172.6299999999997</c:v>
                </c:pt>
                <c:pt idx="17">
                  <c:v>2303.7899999999995</c:v>
                </c:pt>
                <c:pt idx="18">
                  <c:v>2433.5699999999997</c:v>
                </c:pt>
                <c:pt idx="19">
                  <c:v>2530.0399999999995</c:v>
                </c:pt>
                <c:pt idx="20">
                  <c:v>2656.8099999999995</c:v>
                </c:pt>
                <c:pt idx="21">
                  <c:v>2779.6899999999996</c:v>
                </c:pt>
                <c:pt idx="22">
                  <c:v>2895.4199999999996</c:v>
                </c:pt>
                <c:pt idx="23">
                  <c:v>3003.6499999999996</c:v>
                </c:pt>
                <c:pt idx="24">
                  <c:v>3138.0199999999995</c:v>
                </c:pt>
                <c:pt idx="25">
                  <c:v>3270.5199999999995</c:v>
                </c:pt>
                <c:pt idx="26">
                  <c:v>3403.6499999999996</c:v>
                </c:pt>
                <c:pt idx="27">
                  <c:v>3499.3299999999995</c:v>
                </c:pt>
                <c:pt idx="28">
                  <c:v>3651.9199999999996</c:v>
                </c:pt>
                <c:pt idx="29">
                  <c:v>3749.1199999999994</c:v>
                </c:pt>
                <c:pt idx="30">
                  <c:v>3908.2299999999996</c:v>
                </c:pt>
              </c:numCache>
            </c:numRef>
          </c:val>
        </c:ser>
        <c:ser>
          <c:idx val="1"/>
          <c:order val="1"/>
          <c:tx>
            <c:strRef>
              <c:f>'январь 20'!$BH$6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'январь 20'!$BH$7:$BH$37</c:f>
              <c:numCache>
                <c:formatCode>0.00</c:formatCode>
                <c:ptCount val="31"/>
                <c:pt idx="0">
                  <c:v>116.12903225806451</c:v>
                </c:pt>
                <c:pt idx="1">
                  <c:v>232.25806451612902</c:v>
                </c:pt>
                <c:pt idx="2">
                  <c:v>348.38709677419354</c:v>
                </c:pt>
                <c:pt idx="3">
                  <c:v>464.51612903225805</c:v>
                </c:pt>
                <c:pt idx="4">
                  <c:v>580.64516129032256</c:v>
                </c:pt>
                <c:pt idx="5">
                  <c:v>696.77419354838707</c:v>
                </c:pt>
                <c:pt idx="6">
                  <c:v>812.90322580645159</c:v>
                </c:pt>
                <c:pt idx="7">
                  <c:v>929.0322580645161</c:v>
                </c:pt>
                <c:pt idx="8">
                  <c:v>1045.1612903225805</c:v>
                </c:pt>
                <c:pt idx="9">
                  <c:v>1161.2903225806449</c:v>
                </c:pt>
                <c:pt idx="10">
                  <c:v>1277.4193548387093</c:v>
                </c:pt>
                <c:pt idx="11">
                  <c:v>1393.5483870967737</c:v>
                </c:pt>
                <c:pt idx="12">
                  <c:v>1509.6774193548381</c:v>
                </c:pt>
                <c:pt idx="13">
                  <c:v>1625.8064516129025</c:v>
                </c:pt>
                <c:pt idx="14">
                  <c:v>1741.9354838709669</c:v>
                </c:pt>
                <c:pt idx="15">
                  <c:v>1858.0645161290313</c:v>
                </c:pt>
                <c:pt idx="16">
                  <c:v>1974.1935483870957</c:v>
                </c:pt>
                <c:pt idx="17">
                  <c:v>2090.3225806451601</c:v>
                </c:pt>
                <c:pt idx="18">
                  <c:v>2206.4516129032245</c:v>
                </c:pt>
                <c:pt idx="19">
                  <c:v>2322.5806451612889</c:v>
                </c:pt>
                <c:pt idx="20">
                  <c:v>2438.7096774193533</c:v>
                </c:pt>
                <c:pt idx="21">
                  <c:v>2554.8387096774177</c:v>
                </c:pt>
                <c:pt idx="22">
                  <c:v>2670.9677419354821</c:v>
                </c:pt>
                <c:pt idx="23">
                  <c:v>2787.0967741935465</c:v>
                </c:pt>
                <c:pt idx="24">
                  <c:v>2903.2258064516109</c:v>
                </c:pt>
                <c:pt idx="25">
                  <c:v>3019.3548387096753</c:v>
                </c:pt>
                <c:pt idx="26">
                  <c:v>3135.4838709677397</c:v>
                </c:pt>
                <c:pt idx="27">
                  <c:v>3251.6129032258041</c:v>
                </c:pt>
                <c:pt idx="28">
                  <c:v>3367.7419354838685</c:v>
                </c:pt>
                <c:pt idx="29">
                  <c:v>3483.8709677419329</c:v>
                </c:pt>
                <c:pt idx="30">
                  <c:v>3599.9999999999973</c:v>
                </c:pt>
              </c:numCache>
            </c:numRef>
          </c:val>
        </c:ser>
        <c:marker val="1"/>
        <c:axId val="124996992"/>
        <c:axId val="125420672"/>
      </c:lineChart>
      <c:catAx>
        <c:axId val="12499699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25420672"/>
        <c:crossesAt val="0"/>
        <c:auto val="1"/>
        <c:lblAlgn val="ctr"/>
        <c:lblOffset val="100"/>
        <c:tickLblSkip val="1"/>
        <c:tickMarkSkip val="1"/>
      </c:catAx>
      <c:valAx>
        <c:axId val="125420672"/>
        <c:scaling>
          <c:orientation val="minMax"/>
          <c:max val="40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24996992"/>
        <c:crossesAt val="1"/>
        <c:crossBetween val="midCat"/>
        <c:majorUnit val="500"/>
        <c:minorUnit val="10"/>
      </c:valAx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1180555555555562" footer="0.51180555555555562"/>
    <c:pageSetup paperSize="9" firstPageNumber="0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0649617431186729"/>
          <c:y val="0.11983713303442695"/>
          <c:w val="0.87262357414462965"/>
          <c:h val="0.79878207329393991"/>
        </c:manualLayout>
      </c:layout>
      <c:lineChart>
        <c:grouping val="standard"/>
        <c:ser>
          <c:idx val="0"/>
          <c:order val="0"/>
          <c:tx>
            <c:strRef>
              <c:f>'январь 20 (+руда,-агл,-кокс)'!$BF$6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'январь 20 (+руда,-агл,-кокс)'!$BF$7:$BF$37</c:f>
              <c:numCache>
                <c:formatCode>0.00</c:formatCode>
                <c:ptCount val="31"/>
                <c:pt idx="0">
                  <c:v>138.10999999999999</c:v>
                </c:pt>
                <c:pt idx="1">
                  <c:v>284.81999999999994</c:v>
                </c:pt>
                <c:pt idx="2">
                  <c:v>436.53</c:v>
                </c:pt>
                <c:pt idx="3">
                  <c:v>573.55999999999995</c:v>
                </c:pt>
                <c:pt idx="4">
                  <c:v>700.65</c:v>
                </c:pt>
                <c:pt idx="5">
                  <c:v>840.58999999999992</c:v>
                </c:pt>
                <c:pt idx="6">
                  <c:v>984.63999999999987</c:v>
                </c:pt>
                <c:pt idx="7">
                  <c:v>1123.82</c:v>
                </c:pt>
                <c:pt idx="8">
                  <c:v>1189.6499999999999</c:v>
                </c:pt>
                <c:pt idx="9">
                  <c:v>1298.0899999999999</c:v>
                </c:pt>
                <c:pt idx="10">
                  <c:v>1423.8899999999999</c:v>
                </c:pt>
                <c:pt idx="11">
                  <c:v>1546.8899999999999</c:v>
                </c:pt>
                <c:pt idx="12">
                  <c:v>1665.4699999999998</c:v>
                </c:pt>
                <c:pt idx="13">
                  <c:v>1803.9999999999998</c:v>
                </c:pt>
                <c:pt idx="14">
                  <c:v>1929.7599999999998</c:v>
                </c:pt>
                <c:pt idx="15">
                  <c:v>2053.4699999999998</c:v>
                </c:pt>
                <c:pt idx="16">
                  <c:v>2172.6299999999997</c:v>
                </c:pt>
                <c:pt idx="17">
                  <c:v>2303.7899999999995</c:v>
                </c:pt>
                <c:pt idx="18">
                  <c:v>2433.5699999999997</c:v>
                </c:pt>
                <c:pt idx="19">
                  <c:v>2530.0399999999995</c:v>
                </c:pt>
                <c:pt idx="20">
                  <c:v>2656.8099999999995</c:v>
                </c:pt>
                <c:pt idx="21">
                  <c:v>2779.6899999999996</c:v>
                </c:pt>
                <c:pt idx="22">
                  <c:v>2895.4199999999996</c:v>
                </c:pt>
                <c:pt idx="23">
                  <c:v>3003.6499999999996</c:v>
                </c:pt>
                <c:pt idx="24">
                  <c:v>3138.0199999999995</c:v>
                </c:pt>
                <c:pt idx="25">
                  <c:v>3270.5199999999995</c:v>
                </c:pt>
                <c:pt idx="26">
                  <c:v>3403.6499999999996</c:v>
                </c:pt>
                <c:pt idx="27">
                  <c:v>3499.3299999999995</c:v>
                </c:pt>
                <c:pt idx="28">
                  <c:v>3651.9199999999996</c:v>
                </c:pt>
                <c:pt idx="29">
                  <c:v>3749.1199999999994</c:v>
                </c:pt>
                <c:pt idx="30">
                  <c:v>3908.2299999999996</c:v>
                </c:pt>
              </c:numCache>
            </c:numRef>
          </c:val>
        </c:ser>
        <c:ser>
          <c:idx val="1"/>
          <c:order val="1"/>
          <c:tx>
            <c:strRef>
              <c:f>'январь 20 (+руда,-агл,-кокс)'!$BH$6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'январь 20 (+руда,-агл,-кокс)'!$BH$7:$BH$37</c:f>
              <c:numCache>
                <c:formatCode>0.00</c:formatCode>
                <c:ptCount val="31"/>
                <c:pt idx="0">
                  <c:v>116.12903225806451</c:v>
                </c:pt>
                <c:pt idx="1">
                  <c:v>232.25806451612902</c:v>
                </c:pt>
                <c:pt idx="2">
                  <c:v>348.38709677419354</c:v>
                </c:pt>
                <c:pt idx="3">
                  <c:v>464.51612903225805</c:v>
                </c:pt>
                <c:pt idx="4">
                  <c:v>580.64516129032256</c:v>
                </c:pt>
                <c:pt idx="5">
                  <c:v>696.77419354838707</c:v>
                </c:pt>
                <c:pt idx="6">
                  <c:v>812.90322580645159</c:v>
                </c:pt>
                <c:pt idx="7">
                  <c:v>929.0322580645161</c:v>
                </c:pt>
                <c:pt idx="8">
                  <c:v>1045.1612903225805</c:v>
                </c:pt>
                <c:pt idx="9">
                  <c:v>1161.2903225806449</c:v>
                </c:pt>
                <c:pt idx="10">
                  <c:v>1277.4193548387093</c:v>
                </c:pt>
                <c:pt idx="11">
                  <c:v>1393.5483870967737</c:v>
                </c:pt>
                <c:pt idx="12">
                  <c:v>1509.6774193548381</c:v>
                </c:pt>
                <c:pt idx="13">
                  <c:v>1625.8064516129025</c:v>
                </c:pt>
                <c:pt idx="14">
                  <c:v>1741.9354838709669</c:v>
                </c:pt>
                <c:pt idx="15">
                  <c:v>1858.0645161290313</c:v>
                </c:pt>
                <c:pt idx="16">
                  <c:v>1974.1935483870957</c:v>
                </c:pt>
                <c:pt idx="17">
                  <c:v>2090.3225806451601</c:v>
                </c:pt>
                <c:pt idx="18">
                  <c:v>2206.4516129032245</c:v>
                </c:pt>
                <c:pt idx="19">
                  <c:v>2322.5806451612889</c:v>
                </c:pt>
                <c:pt idx="20">
                  <c:v>2438.7096774193533</c:v>
                </c:pt>
                <c:pt idx="21">
                  <c:v>2554.8387096774177</c:v>
                </c:pt>
                <c:pt idx="22">
                  <c:v>2670.9677419354821</c:v>
                </c:pt>
                <c:pt idx="23">
                  <c:v>2787.0967741935465</c:v>
                </c:pt>
                <c:pt idx="24">
                  <c:v>2903.2258064516109</c:v>
                </c:pt>
                <c:pt idx="25">
                  <c:v>3019.3548387096753</c:v>
                </c:pt>
                <c:pt idx="26">
                  <c:v>3135.4838709677397</c:v>
                </c:pt>
                <c:pt idx="27">
                  <c:v>3251.6129032258041</c:v>
                </c:pt>
                <c:pt idx="28">
                  <c:v>3367.7419354838685</c:v>
                </c:pt>
                <c:pt idx="29">
                  <c:v>3483.8709677419329</c:v>
                </c:pt>
                <c:pt idx="30">
                  <c:v>3599.9999999999973</c:v>
                </c:pt>
              </c:numCache>
            </c:numRef>
          </c:val>
        </c:ser>
        <c:marker val="1"/>
        <c:axId val="126538880"/>
        <c:axId val="126540416"/>
      </c:lineChart>
      <c:catAx>
        <c:axId val="12653888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26540416"/>
        <c:crossesAt val="0"/>
        <c:auto val="1"/>
        <c:lblAlgn val="ctr"/>
        <c:lblOffset val="100"/>
        <c:tickLblSkip val="1"/>
        <c:tickMarkSkip val="1"/>
      </c:catAx>
      <c:valAx>
        <c:axId val="126540416"/>
        <c:scaling>
          <c:orientation val="minMax"/>
          <c:max val="40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26538880"/>
        <c:crossesAt val="1"/>
        <c:crossBetween val="midCat"/>
        <c:majorUnit val="500"/>
        <c:minorUnit val="10"/>
      </c:valAx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1180555555555562" footer="0.51180555555555562"/>
    <c:pageSetup paperSize="9" firstPageNumber="0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0649617431186729"/>
          <c:y val="0.11983713303442695"/>
          <c:w val="0.87262357414462965"/>
          <c:h val="0.79878207329393991"/>
        </c:manualLayout>
      </c:layout>
      <c:lineChart>
        <c:grouping val="standard"/>
        <c:ser>
          <c:idx val="0"/>
          <c:order val="0"/>
          <c:tx>
            <c:strRef>
              <c:f>'[3]январь 20 (+руда,-агл)'!$BF$6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'[3]январь 20 (+руда,-агл)'!$BF$7:$BF$37</c:f>
              <c:numCache>
                <c:formatCode>General</c:formatCode>
                <c:ptCount val="31"/>
                <c:pt idx="0">
                  <c:v>138.10999999999999</c:v>
                </c:pt>
                <c:pt idx="1">
                  <c:v>284.81999999999994</c:v>
                </c:pt>
                <c:pt idx="2">
                  <c:v>436.53</c:v>
                </c:pt>
                <c:pt idx="3">
                  <c:v>573.55999999999995</c:v>
                </c:pt>
                <c:pt idx="4">
                  <c:v>700.65</c:v>
                </c:pt>
                <c:pt idx="5">
                  <c:v>840.58999999999992</c:v>
                </c:pt>
                <c:pt idx="6">
                  <c:v>984.63999999999987</c:v>
                </c:pt>
                <c:pt idx="7">
                  <c:v>1123.82</c:v>
                </c:pt>
                <c:pt idx="8">
                  <c:v>1189.6499999999999</c:v>
                </c:pt>
                <c:pt idx="9">
                  <c:v>1298.0899999999999</c:v>
                </c:pt>
                <c:pt idx="10">
                  <c:v>1423.8899999999999</c:v>
                </c:pt>
                <c:pt idx="11">
                  <c:v>1546.8899999999999</c:v>
                </c:pt>
                <c:pt idx="12">
                  <c:v>1665.4699999999998</c:v>
                </c:pt>
                <c:pt idx="13">
                  <c:v>1803.9999999999998</c:v>
                </c:pt>
                <c:pt idx="14">
                  <c:v>1929.7599999999998</c:v>
                </c:pt>
                <c:pt idx="15">
                  <c:v>2053.4699999999998</c:v>
                </c:pt>
                <c:pt idx="16">
                  <c:v>2172.6299999999997</c:v>
                </c:pt>
                <c:pt idx="17">
                  <c:v>2303.7899999999995</c:v>
                </c:pt>
                <c:pt idx="18">
                  <c:v>2433.5699999999997</c:v>
                </c:pt>
                <c:pt idx="19">
                  <c:v>2530.0399999999995</c:v>
                </c:pt>
                <c:pt idx="20">
                  <c:v>2656.8099999999995</c:v>
                </c:pt>
                <c:pt idx="21">
                  <c:v>2779.6899999999996</c:v>
                </c:pt>
                <c:pt idx="22">
                  <c:v>2895.4199999999996</c:v>
                </c:pt>
                <c:pt idx="23">
                  <c:v>3003.6499999999996</c:v>
                </c:pt>
                <c:pt idx="24">
                  <c:v>3138.0199999999995</c:v>
                </c:pt>
                <c:pt idx="25">
                  <c:v>3270.5199999999995</c:v>
                </c:pt>
                <c:pt idx="26">
                  <c:v>3403.6499999999996</c:v>
                </c:pt>
                <c:pt idx="27">
                  <c:v>3499.3299999999995</c:v>
                </c:pt>
                <c:pt idx="28">
                  <c:v>3651.9199999999996</c:v>
                </c:pt>
                <c:pt idx="29">
                  <c:v>3749.1199999999994</c:v>
                </c:pt>
                <c:pt idx="30">
                  <c:v>3908.2299999999996</c:v>
                </c:pt>
              </c:numCache>
            </c:numRef>
          </c:val>
        </c:ser>
        <c:ser>
          <c:idx val="1"/>
          <c:order val="1"/>
          <c:tx>
            <c:strRef>
              <c:f>'[3]январь 20 (+руда,-агл)'!$BH$6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'[3]январь 20 (+руда,-агл)'!$BH$7:$BH$37</c:f>
              <c:numCache>
                <c:formatCode>General</c:formatCode>
                <c:ptCount val="31"/>
                <c:pt idx="0">
                  <c:v>116.12903225806451</c:v>
                </c:pt>
                <c:pt idx="1">
                  <c:v>232.25806451612902</c:v>
                </c:pt>
                <c:pt idx="2">
                  <c:v>348.38709677419354</c:v>
                </c:pt>
                <c:pt idx="3">
                  <c:v>464.51612903225805</c:v>
                </c:pt>
                <c:pt idx="4">
                  <c:v>580.64516129032256</c:v>
                </c:pt>
                <c:pt idx="5">
                  <c:v>696.77419354838707</c:v>
                </c:pt>
                <c:pt idx="6">
                  <c:v>812.90322580645159</c:v>
                </c:pt>
                <c:pt idx="7">
                  <c:v>929.0322580645161</c:v>
                </c:pt>
                <c:pt idx="8">
                  <c:v>1045.1612903225805</c:v>
                </c:pt>
                <c:pt idx="9">
                  <c:v>1161.2903225806449</c:v>
                </c:pt>
                <c:pt idx="10">
                  <c:v>1277.4193548387093</c:v>
                </c:pt>
                <c:pt idx="11">
                  <c:v>1393.5483870967737</c:v>
                </c:pt>
                <c:pt idx="12">
                  <c:v>1509.6774193548381</c:v>
                </c:pt>
                <c:pt idx="13">
                  <c:v>1625.8064516129025</c:v>
                </c:pt>
                <c:pt idx="14">
                  <c:v>1741.9354838709669</c:v>
                </c:pt>
                <c:pt idx="15">
                  <c:v>1858.0645161290313</c:v>
                </c:pt>
                <c:pt idx="16">
                  <c:v>1974.1935483870957</c:v>
                </c:pt>
                <c:pt idx="17">
                  <c:v>2090.3225806451601</c:v>
                </c:pt>
                <c:pt idx="18">
                  <c:v>2206.4516129032245</c:v>
                </c:pt>
                <c:pt idx="19">
                  <c:v>2322.5806451612889</c:v>
                </c:pt>
                <c:pt idx="20">
                  <c:v>2438.7096774193533</c:v>
                </c:pt>
                <c:pt idx="21">
                  <c:v>2554.8387096774177</c:v>
                </c:pt>
                <c:pt idx="22">
                  <c:v>2670.9677419354821</c:v>
                </c:pt>
                <c:pt idx="23">
                  <c:v>2787.0967741935465</c:v>
                </c:pt>
                <c:pt idx="24">
                  <c:v>2903.2258064516109</c:v>
                </c:pt>
                <c:pt idx="25">
                  <c:v>3019.3548387096753</c:v>
                </c:pt>
                <c:pt idx="26">
                  <c:v>3135.4838709677397</c:v>
                </c:pt>
                <c:pt idx="27">
                  <c:v>3251.6129032258041</c:v>
                </c:pt>
                <c:pt idx="28">
                  <c:v>3367.7419354838685</c:v>
                </c:pt>
                <c:pt idx="29">
                  <c:v>3483.8709677419329</c:v>
                </c:pt>
                <c:pt idx="30">
                  <c:v>3599.9999999999973</c:v>
                </c:pt>
              </c:numCache>
            </c:numRef>
          </c:val>
        </c:ser>
        <c:marker val="1"/>
        <c:axId val="125528320"/>
        <c:axId val="125534208"/>
      </c:lineChart>
      <c:catAx>
        <c:axId val="12552832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25534208"/>
        <c:crossesAt val="0"/>
        <c:auto val="1"/>
        <c:lblAlgn val="ctr"/>
        <c:lblOffset val="100"/>
        <c:tickLblSkip val="1"/>
        <c:tickMarkSkip val="1"/>
      </c:catAx>
      <c:valAx>
        <c:axId val="125534208"/>
        <c:scaling>
          <c:orientation val="minMax"/>
          <c:max val="40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25528320"/>
        <c:crossesAt val="1"/>
        <c:crossBetween val="midCat"/>
        <c:majorUnit val="500"/>
        <c:minorUnit val="10"/>
      </c:valAx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1180555555555562" footer="0.51180555555555562"/>
    <c:pageSetup paperSize="9" firstPageNumber="0"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0649617431186729"/>
          <c:y val="0.11983713303442695"/>
          <c:w val="0.87262357414462965"/>
          <c:h val="0.79878207329393991"/>
        </c:manualLayout>
      </c:layout>
      <c:lineChart>
        <c:grouping val="standard"/>
        <c:ser>
          <c:idx val="0"/>
          <c:order val="0"/>
          <c:tx>
            <c:strRef>
              <c:f>'февраль 20 '!$BF$6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'февраль 20 '!$BF$7:$BF$37</c:f>
              <c:numCache>
                <c:formatCode>0.00</c:formatCode>
                <c:ptCount val="31"/>
                <c:pt idx="0">
                  <c:v>143.06</c:v>
                </c:pt>
                <c:pt idx="1">
                  <c:v>282.61</c:v>
                </c:pt>
                <c:pt idx="2">
                  <c:v>404.67</c:v>
                </c:pt>
                <c:pt idx="3">
                  <c:v>538.38</c:v>
                </c:pt>
                <c:pt idx="4">
                  <c:v>667.68999999999994</c:v>
                </c:pt>
                <c:pt idx="5">
                  <c:v>748.62999999999988</c:v>
                </c:pt>
                <c:pt idx="6">
                  <c:v>881.19999999999993</c:v>
                </c:pt>
                <c:pt idx="7">
                  <c:v>1019.1899999999999</c:v>
                </c:pt>
                <c:pt idx="8">
                  <c:v>1149.6199999999999</c:v>
                </c:pt>
                <c:pt idx="9">
                  <c:v>1283.33</c:v>
                </c:pt>
                <c:pt idx="10">
                  <c:v>1413.53</c:v>
                </c:pt>
                <c:pt idx="11">
                  <c:v>1545.73</c:v>
                </c:pt>
                <c:pt idx="12">
                  <c:v>1686.23</c:v>
                </c:pt>
                <c:pt idx="13">
                  <c:v>1823.7</c:v>
                </c:pt>
                <c:pt idx="14">
                  <c:v>1960.53</c:v>
                </c:pt>
                <c:pt idx="15">
                  <c:v>2096.3200000000002</c:v>
                </c:pt>
                <c:pt idx="16">
                  <c:v>2224.8700000000003</c:v>
                </c:pt>
                <c:pt idx="17">
                  <c:v>2357.0400000000004</c:v>
                </c:pt>
                <c:pt idx="18">
                  <c:v>2482.0000000000005</c:v>
                </c:pt>
                <c:pt idx="19">
                  <c:v>2599.6400000000003</c:v>
                </c:pt>
                <c:pt idx="20">
                  <c:v>2732.0200000000004</c:v>
                </c:pt>
                <c:pt idx="21">
                  <c:v>2860.0200000000004</c:v>
                </c:pt>
                <c:pt idx="22">
                  <c:v>2980.2000000000003</c:v>
                </c:pt>
                <c:pt idx="23">
                  <c:v>3103.3900000000003</c:v>
                </c:pt>
                <c:pt idx="24">
                  <c:v>3232.4000000000005</c:v>
                </c:pt>
                <c:pt idx="25">
                  <c:v>3353.6200000000003</c:v>
                </c:pt>
                <c:pt idx="26">
                  <c:v>3483.4800000000005</c:v>
                </c:pt>
                <c:pt idx="27">
                  <c:v>3612.0100000000007</c:v>
                </c:pt>
                <c:pt idx="28">
                  <c:v>3735.2300000000005</c:v>
                </c:pt>
                <c:pt idx="29">
                  <c:v>3735.2300000000005</c:v>
                </c:pt>
                <c:pt idx="30">
                  <c:v>3735.2300000000005</c:v>
                </c:pt>
              </c:numCache>
            </c:numRef>
          </c:val>
        </c:ser>
        <c:ser>
          <c:idx val="1"/>
          <c:order val="1"/>
          <c:tx>
            <c:strRef>
              <c:f>'февраль 20 '!$BH$6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'февраль 20 '!$BH$7:$BH$37</c:f>
              <c:numCache>
                <c:formatCode>0.00</c:formatCode>
                <c:ptCount val="31"/>
                <c:pt idx="0">
                  <c:v>124.55172413793103</c:v>
                </c:pt>
                <c:pt idx="1">
                  <c:v>249.10344827586206</c:v>
                </c:pt>
                <c:pt idx="2">
                  <c:v>373.65517241379308</c:v>
                </c:pt>
                <c:pt idx="3">
                  <c:v>498.20689655172413</c:v>
                </c:pt>
                <c:pt idx="4">
                  <c:v>622.75862068965512</c:v>
                </c:pt>
                <c:pt idx="5">
                  <c:v>747.31034482758616</c:v>
                </c:pt>
                <c:pt idx="6">
                  <c:v>871.86206896551721</c:v>
                </c:pt>
                <c:pt idx="7">
                  <c:v>996.41379310344826</c:v>
                </c:pt>
                <c:pt idx="8">
                  <c:v>1120.9655172413793</c:v>
                </c:pt>
                <c:pt idx="9">
                  <c:v>1245.5172413793102</c:v>
                </c:pt>
                <c:pt idx="10">
                  <c:v>1370.0689655172412</c:v>
                </c:pt>
                <c:pt idx="11">
                  <c:v>1494.6206896551721</c:v>
                </c:pt>
                <c:pt idx="12">
                  <c:v>1619.172413793103</c:v>
                </c:pt>
                <c:pt idx="13">
                  <c:v>1743.724137931034</c:v>
                </c:pt>
                <c:pt idx="14">
                  <c:v>1868.2758620689649</c:v>
                </c:pt>
                <c:pt idx="15">
                  <c:v>1992.8275862068958</c:v>
                </c:pt>
                <c:pt idx="16">
                  <c:v>2117.379310344827</c:v>
                </c:pt>
                <c:pt idx="17">
                  <c:v>2241.9310344827582</c:v>
                </c:pt>
                <c:pt idx="18">
                  <c:v>2366.4827586206893</c:v>
                </c:pt>
                <c:pt idx="19">
                  <c:v>2491.0344827586205</c:v>
                </c:pt>
                <c:pt idx="20">
                  <c:v>2615.5862068965516</c:v>
                </c:pt>
                <c:pt idx="21">
                  <c:v>2740.1379310344828</c:v>
                </c:pt>
                <c:pt idx="22">
                  <c:v>2864.6896551724139</c:v>
                </c:pt>
                <c:pt idx="23">
                  <c:v>2989.2413793103451</c:v>
                </c:pt>
                <c:pt idx="24">
                  <c:v>3113.7931034482763</c:v>
                </c:pt>
                <c:pt idx="25">
                  <c:v>3238.3448275862074</c:v>
                </c:pt>
                <c:pt idx="26">
                  <c:v>3362.8965517241386</c:v>
                </c:pt>
                <c:pt idx="27">
                  <c:v>3487.4482758620697</c:v>
                </c:pt>
                <c:pt idx="28">
                  <c:v>3612.0000000000009</c:v>
                </c:pt>
                <c:pt idx="29">
                  <c:v>3612.0000000000009</c:v>
                </c:pt>
                <c:pt idx="30">
                  <c:v>3612.0000000000009</c:v>
                </c:pt>
              </c:numCache>
            </c:numRef>
          </c:val>
        </c:ser>
        <c:marker val="1"/>
        <c:axId val="126566400"/>
        <c:axId val="126567936"/>
      </c:lineChart>
      <c:catAx>
        <c:axId val="12656640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26567936"/>
        <c:crossesAt val="0"/>
        <c:auto val="1"/>
        <c:lblAlgn val="ctr"/>
        <c:lblOffset val="100"/>
        <c:tickLblSkip val="1"/>
        <c:tickMarkSkip val="1"/>
      </c:catAx>
      <c:valAx>
        <c:axId val="126567936"/>
        <c:scaling>
          <c:orientation val="minMax"/>
          <c:max val="40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26566400"/>
        <c:crossesAt val="1"/>
        <c:crossBetween val="midCat"/>
        <c:majorUnit val="500"/>
        <c:minorUnit val="10"/>
      </c:valAx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1180555555555562" footer="0.51180555555555562"/>
    <c:pageSetup paperSize="9" firstPageNumber="0"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0649617431186729"/>
          <c:y val="0.11983713303442695"/>
          <c:w val="0.87262357414462965"/>
          <c:h val="0.79878207329393991"/>
        </c:manualLayout>
      </c:layout>
      <c:lineChart>
        <c:grouping val="standard"/>
        <c:ser>
          <c:idx val="0"/>
          <c:order val="0"/>
          <c:tx>
            <c:strRef>
              <c:f>'февраль 20  (+агл,-руда)'!$BF$6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'февраль 20  (+агл,-руда)'!$BF$7:$BF$37</c:f>
              <c:numCache>
                <c:formatCode>0.00</c:formatCode>
                <c:ptCount val="31"/>
                <c:pt idx="0">
                  <c:v>143.06</c:v>
                </c:pt>
                <c:pt idx="1">
                  <c:v>282.61</c:v>
                </c:pt>
                <c:pt idx="2">
                  <c:v>404.67</c:v>
                </c:pt>
                <c:pt idx="3">
                  <c:v>538.38</c:v>
                </c:pt>
                <c:pt idx="4">
                  <c:v>667.68999999999994</c:v>
                </c:pt>
                <c:pt idx="5">
                  <c:v>748.62999999999988</c:v>
                </c:pt>
                <c:pt idx="6">
                  <c:v>881.19999999999993</c:v>
                </c:pt>
                <c:pt idx="7">
                  <c:v>1019.1899999999999</c:v>
                </c:pt>
                <c:pt idx="8">
                  <c:v>1149.6199999999999</c:v>
                </c:pt>
                <c:pt idx="9">
                  <c:v>1283.33</c:v>
                </c:pt>
                <c:pt idx="10">
                  <c:v>1413.53</c:v>
                </c:pt>
                <c:pt idx="11">
                  <c:v>1545.73</c:v>
                </c:pt>
                <c:pt idx="12">
                  <c:v>1686.23</c:v>
                </c:pt>
                <c:pt idx="13">
                  <c:v>1823.7</c:v>
                </c:pt>
                <c:pt idx="14">
                  <c:v>1960.53</c:v>
                </c:pt>
                <c:pt idx="15">
                  <c:v>2096.3200000000002</c:v>
                </c:pt>
                <c:pt idx="16">
                  <c:v>2224.8700000000003</c:v>
                </c:pt>
                <c:pt idx="17">
                  <c:v>2357.0400000000004</c:v>
                </c:pt>
                <c:pt idx="18">
                  <c:v>2482.0000000000005</c:v>
                </c:pt>
                <c:pt idx="19">
                  <c:v>2599.6400000000003</c:v>
                </c:pt>
                <c:pt idx="20">
                  <c:v>2732.0200000000004</c:v>
                </c:pt>
                <c:pt idx="21">
                  <c:v>2860.0200000000004</c:v>
                </c:pt>
                <c:pt idx="22">
                  <c:v>2980.2000000000003</c:v>
                </c:pt>
                <c:pt idx="23">
                  <c:v>3103.3900000000003</c:v>
                </c:pt>
                <c:pt idx="24">
                  <c:v>3232.4000000000005</c:v>
                </c:pt>
                <c:pt idx="25">
                  <c:v>3353.6200000000003</c:v>
                </c:pt>
                <c:pt idx="26">
                  <c:v>3483.4800000000005</c:v>
                </c:pt>
                <c:pt idx="27">
                  <c:v>3612.0100000000007</c:v>
                </c:pt>
                <c:pt idx="28">
                  <c:v>3735.2300000000005</c:v>
                </c:pt>
                <c:pt idx="29">
                  <c:v>3735.2300000000005</c:v>
                </c:pt>
                <c:pt idx="30">
                  <c:v>3735.2300000000005</c:v>
                </c:pt>
              </c:numCache>
            </c:numRef>
          </c:val>
        </c:ser>
        <c:ser>
          <c:idx val="1"/>
          <c:order val="1"/>
          <c:tx>
            <c:strRef>
              <c:f>'февраль 20  (+агл,-руда)'!$BH$6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'февраль 20  (+агл,-руда)'!$BH$7:$BH$37</c:f>
              <c:numCache>
                <c:formatCode>0.00</c:formatCode>
                <c:ptCount val="31"/>
                <c:pt idx="0">
                  <c:v>124.55172413793103</c:v>
                </c:pt>
                <c:pt idx="1">
                  <c:v>249.10344827586206</c:v>
                </c:pt>
                <c:pt idx="2">
                  <c:v>373.65517241379308</c:v>
                </c:pt>
                <c:pt idx="3">
                  <c:v>498.20689655172413</c:v>
                </c:pt>
                <c:pt idx="4">
                  <c:v>622.75862068965512</c:v>
                </c:pt>
                <c:pt idx="5">
                  <c:v>747.31034482758616</c:v>
                </c:pt>
                <c:pt idx="6">
                  <c:v>871.86206896551721</c:v>
                </c:pt>
                <c:pt idx="7">
                  <c:v>996.41379310344826</c:v>
                </c:pt>
                <c:pt idx="8">
                  <c:v>1120.9655172413793</c:v>
                </c:pt>
                <c:pt idx="9">
                  <c:v>1245.5172413793102</c:v>
                </c:pt>
                <c:pt idx="10">
                  <c:v>1370.0689655172412</c:v>
                </c:pt>
                <c:pt idx="11">
                  <c:v>1494.6206896551721</c:v>
                </c:pt>
                <c:pt idx="12">
                  <c:v>1619.172413793103</c:v>
                </c:pt>
                <c:pt idx="13">
                  <c:v>1743.724137931034</c:v>
                </c:pt>
                <c:pt idx="14">
                  <c:v>1868.2758620689649</c:v>
                </c:pt>
                <c:pt idx="15">
                  <c:v>1992.8275862068958</c:v>
                </c:pt>
                <c:pt idx="16">
                  <c:v>2117.379310344827</c:v>
                </c:pt>
                <c:pt idx="17">
                  <c:v>2241.9310344827582</c:v>
                </c:pt>
                <c:pt idx="18">
                  <c:v>2366.4827586206893</c:v>
                </c:pt>
                <c:pt idx="19">
                  <c:v>2491.0344827586205</c:v>
                </c:pt>
                <c:pt idx="20">
                  <c:v>2615.5862068965516</c:v>
                </c:pt>
                <c:pt idx="21">
                  <c:v>2740.1379310344828</c:v>
                </c:pt>
                <c:pt idx="22">
                  <c:v>2864.6896551724139</c:v>
                </c:pt>
                <c:pt idx="23">
                  <c:v>2989.2413793103451</c:v>
                </c:pt>
                <c:pt idx="24">
                  <c:v>3113.7931034482763</c:v>
                </c:pt>
                <c:pt idx="25">
                  <c:v>3238.3448275862074</c:v>
                </c:pt>
                <c:pt idx="26">
                  <c:v>3362.8965517241386</c:v>
                </c:pt>
                <c:pt idx="27">
                  <c:v>3487.4482758620697</c:v>
                </c:pt>
                <c:pt idx="28">
                  <c:v>3612.0000000000009</c:v>
                </c:pt>
                <c:pt idx="29">
                  <c:v>3612.0000000000009</c:v>
                </c:pt>
                <c:pt idx="30">
                  <c:v>3612.0000000000009</c:v>
                </c:pt>
              </c:numCache>
            </c:numRef>
          </c:val>
        </c:ser>
        <c:marker val="1"/>
        <c:axId val="128153088"/>
        <c:axId val="128154624"/>
      </c:lineChart>
      <c:catAx>
        <c:axId val="12815308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28154624"/>
        <c:crossesAt val="0"/>
        <c:auto val="1"/>
        <c:lblAlgn val="ctr"/>
        <c:lblOffset val="100"/>
        <c:tickLblSkip val="1"/>
        <c:tickMarkSkip val="1"/>
      </c:catAx>
      <c:valAx>
        <c:axId val="128154624"/>
        <c:scaling>
          <c:orientation val="minMax"/>
          <c:max val="40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28153088"/>
        <c:crossesAt val="1"/>
        <c:crossBetween val="midCat"/>
        <c:majorUnit val="500"/>
        <c:minorUnit val="10"/>
      </c:valAx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1180555555555562" footer="0.51180555555555562"/>
    <c:pageSetup paperSize="9" firstPageNumber="0"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0649617431186729"/>
          <c:y val="0.11983713303442695"/>
          <c:w val="0.87262357414462965"/>
          <c:h val="0.79878207329393991"/>
        </c:manualLayout>
      </c:layout>
      <c:lineChart>
        <c:grouping val="standard"/>
        <c:ser>
          <c:idx val="0"/>
          <c:order val="0"/>
          <c:tx>
            <c:strRef>
              <c:f>'март 20 '!$BF$6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'март 20 '!$BF$7:$BF$37</c:f>
              <c:numCache>
                <c:formatCode>0.00</c:formatCode>
                <c:ptCount val="31"/>
                <c:pt idx="0">
                  <c:v>129.39000000000001</c:v>
                </c:pt>
                <c:pt idx="1">
                  <c:v>250.64</c:v>
                </c:pt>
                <c:pt idx="2">
                  <c:v>374.54</c:v>
                </c:pt>
                <c:pt idx="3">
                  <c:v>510.87</c:v>
                </c:pt>
                <c:pt idx="4">
                  <c:v>660.67</c:v>
                </c:pt>
                <c:pt idx="5">
                  <c:v>805.93</c:v>
                </c:pt>
                <c:pt idx="6">
                  <c:v>936.31999999999994</c:v>
                </c:pt>
                <c:pt idx="7">
                  <c:v>1068.8899999999999</c:v>
                </c:pt>
                <c:pt idx="8">
                  <c:v>1195.4899999999998</c:v>
                </c:pt>
                <c:pt idx="9">
                  <c:v>1321.8199999999997</c:v>
                </c:pt>
                <c:pt idx="10">
                  <c:v>1380.3399999999997</c:v>
                </c:pt>
                <c:pt idx="11">
                  <c:v>1463.0799999999997</c:v>
                </c:pt>
                <c:pt idx="12">
                  <c:v>1555.0099999999998</c:v>
                </c:pt>
                <c:pt idx="13">
                  <c:v>1658.1599999999999</c:v>
                </c:pt>
                <c:pt idx="14">
                  <c:v>1767.7099999999998</c:v>
                </c:pt>
                <c:pt idx="15">
                  <c:v>1884.5199999999998</c:v>
                </c:pt>
                <c:pt idx="16">
                  <c:v>2009.0799999999997</c:v>
                </c:pt>
                <c:pt idx="17">
                  <c:v>2139.9699999999998</c:v>
                </c:pt>
                <c:pt idx="18">
                  <c:v>2272.41</c:v>
                </c:pt>
                <c:pt idx="19">
                  <c:v>2407.9499999999998</c:v>
                </c:pt>
                <c:pt idx="20">
                  <c:v>2527.4899999999998</c:v>
                </c:pt>
                <c:pt idx="21">
                  <c:v>2661.08</c:v>
                </c:pt>
                <c:pt idx="22">
                  <c:v>2777.62</c:v>
                </c:pt>
                <c:pt idx="23">
                  <c:v>2891.7999999999997</c:v>
                </c:pt>
                <c:pt idx="24">
                  <c:v>3023.5299999999997</c:v>
                </c:pt>
                <c:pt idx="25">
                  <c:v>3141.1299999999997</c:v>
                </c:pt>
                <c:pt idx="26">
                  <c:v>3244.1899999999996</c:v>
                </c:pt>
                <c:pt idx="27">
                  <c:v>3340.24</c:v>
                </c:pt>
                <c:pt idx="28">
                  <c:v>3432.1699999999996</c:v>
                </c:pt>
                <c:pt idx="29">
                  <c:v>3538.7899999999995</c:v>
                </c:pt>
                <c:pt idx="30">
                  <c:v>3637.6999999999994</c:v>
                </c:pt>
              </c:numCache>
            </c:numRef>
          </c:val>
        </c:ser>
        <c:ser>
          <c:idx val="1"/>
          <c:order val="1"/>
          <c:tx>
            <c:strRef>
              <c:f>'март 20 '!$BH$6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'март 20 '!$BH$7:$BH$37</c:f>
              <c:numCache>
                <c:formatCode>0.00</c:formatCode>
                <c:ptCount val="31"/>
                <c:pt idx="0">
                  <c:v>124.19354838709677</c:v>
                </c:pt>
                <c:pt idx="1">
                  <c:v>248.38709677419354</c:v>
                </c:pt>
                <c:pt idx="2">
                  <c:v>372.58064516129031</c:v>
                </c:pt>
                <c:pt idx="3">
                  <c:v>496.77419354838707</c:v>
                </c:pt>
                <c:pt idx="4">
                  <c:v>620.9677419354839</c:v>
                </c:pt>
                <c:pt idx="5">
                  <c:v>745.16129032258073</c:v>
                </c:pt>
                <c:pt idx="6">
                  <c:v>869.35483870967755</c:v>
                </c:pt>
                <c:pt idx="7">
                  <c:v>993.54838709677438</c:v>
                </c:pt>
                <c:pt idx="8">
                  <c:v>1117.7419354838712</c:v>
                </c:pt>
                <c:pt idx="9">
                  <c:v>1241.935483870968</c:v>
                </c:pt>
                <c:pt idx="10">
                  <c:v>1366.1290322580649</c:v>
                </c:pt>
                <c:pt idx="11">
                  <c:v>1490.3225806451617</c:v>
                </c:pt>
                <c:pt idx="12">
                  <c:v>1614.5161290322585</c:v>
                </c:pt>
                <c:pt idx="13">
                  <c:v>1738.7096774193553</c:v>
                </c:pt>
                <c:pt idx="14">
                  <c:v>1862.9032258064522</c:v>
                </c:pt>
                <c:pt idx="15">
                  <c:v>1987.096774193549</c:v>
                </c:pt>
                <c:pt idx="16">
                  <c:v>2111.2903225806458</c:v>
                </c:pt>
                <c:pt idx="17">
                  <c:v>2235.4838709677424</c:v>
                </c:pt>
                <c:pt idx="18">
                  <c:v>2359.677419354839</c:v>
                </c:pt>
                <c:pt idx="19">
                  <c:v>2483.8709677419356</c:v>
                </c:pt>
                <c:pt idx="20">
                  <c:v>2608.0645161290322</c:v>
                </c:pt>
                <c:pt idx="21">
                  <c:v>2732.2580645161288</c:v>
                </c:pt>
                <c:pt idx="22">
                  <c:v>2856.4516129032254</c:v>
                </c:pt>
                <c:pt idx="23">
                  <c:v>2980.645161290322</c:v>
                </c:pt>
                <c:pt idx="24">
                  <c:v>3104.8387096774186</c:v>
                </c:pt>
                <c:pt idx="25">
                  <c:v>3229.0322580645152</c:v>
                </c:pt>
                <c:pt idx="26">
                  <c:v>3353.2258064516118</c:v>
                </c:pt>
                <c:pt idx="27">
                  <c:v>3477.4193548387084</c:v>
                </c:pt>
                <c:pt idx="28">
                  <c:v>3601.612903225805</c:v>
                </c:pt>
                <c:pt idx="29">
                  <c:v>3725.8064516129016</c:v>
                </c:pt>
                <c:pt idx="30">
                  <c:v>3849.9999999999982</c:v>
                </c:pt>
              </c:numCache>
            </c:numRef>
          </c:val>
        </c:ser>
        <c:marker val="1"/>
        <c:axId val="128310272"/>
        <c:axId val="128316160"/>
      </c:lineChart>
      <c:catAx>
        <c:axId val="12831027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28316160"/>
        <c:crossesAt val="0"/>
        <c:auto val="1"/>
        <c:lblAlgn val="ctr"/>
        <c:lblOffset val="100"/>
        <c:tickLblSkip val="1"/>
        <c:tickMarkSkip val="1"/>
      </c:catAx>
      <c:valAx>
        <c:axId val="128316160"/>
        <c:scaling>
          <c:orientation val="minMax"/>
          <c:max val="40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28310272"/>
        <c:crossesAt val="1"/>
        <c:crossBetween val="midCat"/>
        <c:majorUnit val="500"/>
        <c:minorUnit val="10"/>
      </c:valAx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1180555555555562" footer="0.51180555555555562"/>
    <c:pageSetup paperSize="9" firstPageNumber="0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0649617431186729"/>
          <c:y val="0.11983713303442695"/>
          <c:w val="0.87262357414462965"/>
          <c:h val="0.79878207329393991"/>
        </c:manualLayout>
      </c:layout>
      <c:lineChart>
        <c:grouping val="standard"/>
        <c:ser>
          <c:idx val="0"/>
          <c:order val="0"/>
          <c:tx>
            <c:strRef>
              <c:f>'март 20  (-руда,+агл)'!$BF$6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'март 20  (-руда,+агл)'!$BF$7:$BF$37</c:f>
              <c:numCache>
                <c:formatCode>0.00</c:formatCode>
                <c:ptCount val="31"/>
                <c:pt idx="0">
                  <c:v>129.39000000000001</c:v>
                </c:pt>
                <c:pt idx="1">
                  <c:v>250.64</c:v>
                </c:pt>
                <c:pt idx="2">
                  <c:v>374.54</c:v>
                </c:pt>
                <c:pt idx="3">
                  <c:v>510.87</c:v>
                </c:pt>
                <c:pt idx="4">
                  <c:v>660.67</c:v>
                </c:pt>
                <c:pt idx="5">
                  <c:v>805.93</c:v>
                </c:pt>
                <c:pt idx="6">
                  <c:v>936.31999999999994</c:v>
                </c:pt>
                <c:pt idx="7">
                  <c:v>1068.8899999999999</c:v>
                </c:pt>
                <c:pt idx="8">
                  <c:v>1195.4899999999998</c:v>
                </c:pt>
                <c:pt idx="9">
                  <c:v>1321.8199999999997</c:v>
                </c:pt>
                <c:pt idx="10">
                  <c:v>1380.3399999999997</c:v>
                </c:pt>
                <c:pt idx="11">
                  <c:v>1463.0799999999997</c:v>
                </c:pt>
                <c:pt idx="12">
                  <c:v>1555.0099999999998</c:v>
                </c:pt>
                <c:pt idx="13">
                  <c:v>1658.1599999999999</c:v>
                </c:pt>
                <c:pt idx="14">
                  <c:v>1767.7099999999998</c:v>
                </c:pt>
                <c:pt idx="15">
                  <c:v>1884.5199999999998</c:v>
                </c:pt>
                <c:pt idx="16">
                  <c:v>2009.0799999999997</c:v>
                </c:pt>
                <c:pt idx="17">
                  <c:v>2139.9699999999998</c:v>
                </c:pt>
                <c:pt idx="18">
                  <c:v>2272.41</c:v>
                </c:pt>
                <c:pt idx="19">
                  <c:v>2407.9499999999998</c:v>
                </c:pt>
                <c:pt idx="20">
                  <c:v>2527.4899999999998</c:v>
                </c:pt>
                <c:pt idx="21">
                  <c:v>2661.08</c:v>
                </c:pt>
                <c:pt idx="22">
                  <c:v>2777.62</c:v>
                </c:pt>
                <c:pt idx="23">
                  <c:v>2891.7999999999997</c:v>
                </c:pt>
                <c:pt idx="24">
                  <c:v>3023.5299999999997</c:v>
                </c:pt>
                <c:pt idx="25">
                  <c:v>3141.1299999999997</c:v>
                </c:pt>
                <c:pt idx="26">
                  <c:v>3244.1899999999996</c:v>
                </c:pt>
                <c:pt idx="27">
                  <c:v>3340.24</c:v>
                </c:pt>
                <c:pt idx="28">
                  <c:v>3432.1699999999996</c:v>
                </c:pt>
                <c:pt idx="29">
                  <c:v>3538.7899999999995</c:v>
                </c:pt>
                <c:pt idx="30">
                  <c:v>3637.6999999999994</c:v>
                </c:pt>
              </c:numCache>
            </c:numRef>
          </c:val>
        </c:ser>
        <c:ser>
          <c:idx val="1"/>
          <c:order val="1"/>
          <c:tx>
            <c:strRef>
              <c:f>'март 20  (-руда,+агл)'!$BH$6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'март 20  (-руда,+агл)'!$BH$7:$BH$37</c:f>
              <c:numCache>
                <c:formatCode>0.00</c:formatCode>
                <c:ptCount val="31"/>
                <c:pt idx="0">
                  <c:v>124.19354838709677</c:v>
                </c:pt>
                <c:pt idx="1">
                  <c:v>248.38709677419354</c:v>
                </c:pt>
                <c:pt idx="2">
                  <c:v>372.58064516129031</c:v>
                </c:pt>
                <c:pt idx="3">
                  <c:v>496.77419354838707</c:v>
                </c:pt>
                <c:pt idx="4">
                  <c:v>620.9677419354839</c:v>
                </c:pt>
                <c:pt idx="5">
                  <c:v>745.16129032258073</c:v>
                </c:pt>
                <c:pt idx="6">
                  <c:v>869.35483870967755</c:v>
                </c:pt>
                <c:pt idx="7">
                  <c:v>993.54838709677438</c:v>
                </c:pt>
                <c:pt idx="8">
                  <c:v>1117.7419354838712</c:v>
                </c:pt>
                <c:pt idx="9">
                  <c:v>1241.935483870968</c:v>
                </c:pt>
                <c:pt idx="10">
                  <c:v>1366.1290322580649</c:v>
                </c:pt>
                <c:pt idx="11">
                  <c:v>1490.3225806451617</c:v>
                </c:pt>
                <c:pt idx="12">
                  <c:v>1614.5161290322585</c:v>
                </c:pt>
                <c:pt idx="13">
                  <c:v>1738.7096774193553</c:v>
                </c:pt>
                <c:pt idx="14">
                  <c:v>1862.9032258064522</c:v>
                </c:pt>
                <c:pt idx="15">
                  <c:v>1987.096774193549</c:v>
                </c:pt>
                <c:pt idx="16">
                  <c:v>2111.2903225806458</c:v>
                </c:pt>
                <c:pt idx="17">
                  <c:v>2235.4838709677424</c:v>
                </c:pt>
                <c:pt idx="18">
                  <c:v>2359.677419354839</c:v>
                </c:pt>
                <c:pt idx="19">
                  <c:v>2483.8709677419356</c:v>
                </c:pt>
                <c:pt idx="20">
                  <c:v>2608.0645161290322</c:v>
                </c:pt>
                <c:pt idx="21">
                  <c:v>2732.2580645161288</c:v>
                </c:pt>
                <c:pt idx="22">
                  <c:v>2856.4516129032254</c:v>
                </c:pt>
                <c:pt idx="23">
                  <c:v>2980.645161290322</c:v>
                </c:pt>
                <c:pt idx="24">
                  <c:v>3104.8387096774186</c:v>
                </c:pt>
                <c:pt idx="25">
                  <c:v>3229.0322580645152</c:v>
                </c:pt>
                <c:pt idx="26">
                  <c:v>3353.2258064516118</c:v>
                </c:pt>
                <c:pt idx="27">
                  <c:v>3477.4193548387084</c:v>
                </c:pt>
                <c:pt idx="28">
                  <c:v>3601.612903225805</c:v>
                </c:pt>
                <c:pt idx="29">
                  <c:v>3725.8064516129016</c:v>
                </c:pt>
                <c:pt idx="30">
                  <c:v>3849.9999999999982</c:v>
                </c:pt>
              </c:numCache>
            </c:numRef>
          </c:val>
        </c:ser>
        <c:marker val="1"/>
        <c:axId val="128340736"/>
        <c:axId val="128342272"/>
      </c:lineChart>
      <c:catAx>
        <c:axId val="12834073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28342272"/>
        <c:crossesAt val="0"/>
        <c:auto val="1"/>
        <c:lblAlgn val="ctr"/>
        <c:lblOffset val="100"/>
        <c:tickLblSkip val="1"/>
        <c:tickMarkSkip val="1"/>
      </c:catAx>
      <c:valAx>
        <c:axId val="128342272"/>
        <c:scaling>
          <c:orientation val="minMax"/>
          <c:max val="40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28340736"/>
        <c:crossesAt val="1"/>
        <c:crossBetween val="midCat"/>
        <c:majorUnit val="500"/>
        <c:minorUnit val="10"/>
      </c:valAx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1180555555555562" footer="0.51180555555555562"/>
    <c:pageSetup paperSize="9" firstPageNumber="0" orientation="landscape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0649617431186729"/>
          <c:y val="0.11983713303442695"/>
          <c:w val="0.87262357414462965"/>
          <c:h val="0.79878207329393991"/>
        </c:manualLayout>
      </c:layout>
      <c:lineChart>
        <c:grouping val="standard"/>
        <c:ser>
          <c:idx val="0"/>
          <c:order val="0"/>
          <c:tx>
            <c:strRef>
              <c:f>'[4]март 20  (+руда,-агл)'!$BF$6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'[4]март 20  (+руда,-агл)'!$BF$7:$BF$37</c:f>
              <c:numCache>
                <c:formatCode>General</c:formatCode>
                <c:ptCount val="31"/>
                <c:pt idx="0">
                  <c:v>129.39000000000001</c:v>
                </c:pt>
                <c:pt idx="1">
                  <c:v>250.64</c:v>
                </c:pt>
                <c:pt idx="2">
                  <c:v>374.54</c:v>
                </c:pt>
                <c:pt idx="3">
                  <c:v>510.87</c:v>
                </c:pt>
                <c:pt idx="4">
                  <c:v>660.67</c:v>
                </c:pt>
                <c:pt idx="5">
                  <c:v>805.93</c:v>
                </c:pt>
                <c:pt idx="6">
                  <c:v>936.31999999999994</c:v>
                </c:pt>
                <c:pt idx="7">
                  <c:v>1068.8899999999999</c:v>
                </c:pt>
                <c:pt idx="8">
                  <c:v>1195.4899999999998</c:v>
                </c:pt>
                <c:pt idx="9">
                  <c:v>1321.8199999999997</c:v>
                </c:pt>
                <c:pt idx="10">
                  <c:v>1380.3399999999997</c:v>
                </c:pt>
                <c:pt idx="11">
                  <c:v>1463.0799999999997</c:v>
                </c:pt>
                <c:pt idx="12">
                  <c:v>1555.0099999999998</c:v>
                </c:pt>
                <c:pt idx="13">
                  <c:v>1658.1599999999999</c:v>
                </c:pt>
                <c:pt idx="14">
                  <c:v>1767.7099999999998</c:v>
                </c:pt>
                <c:pt idx="15">
                  <c:v>1884.5199999999998</c:v>
                </c:pt>
                <c:pt idx="16">
                  <c:v>2009.0799999999997</c:v>
                </c:pt>
                <c:pt idx="17">
                  <c:v>2139.9699999999998</c:v>
                </c:pt>
                <c:pt idx="18">
                  <c:v>2272.41</c:v>
                </c:pt>
                <c:pt idx="19">
                  <c:v>2407.9499999999998</c:v>
                </c:pt>
                <c:pt idx="20">
                  <c:v>2527.4899999999998</c:v>
                </c:pt>
                <c:pt idx="21">
                  <c:v>2661.08</c:v>
                </c:pt>
                <c:pt idx="22">
                  <c:v>2777.62</c:v>
                </c:pt>
                <c:pt idx="23">
                  <c:v>2891.7999999999997</c:v>
                </c:pt>
                <c:pt idx="24">
                  <c:v>3023.5299999999997</c:v>
                </c:pt>
                <c:pt idx="25">
                  <c:v>3141.1299999999997</c:v>
                </c:pt>
                <c:pt idx="26">
                  <c:v>3244.1899999999996</c:v>
                </c:pt>
                <c:pt idx="27">
                  <c:v>3340.24</c:v>
                </c:pt>
                <c:pt idx="28">
                  <c:v>3432.1699999999996</c:v>
                </c:pt>
                <c:pt idx="29">
                  <c:v>3538.7899999999995</c:v>
                </c:pt>
                <c:pt idx="30">
                  <c:v>3637.6999999999994</c:v>
                </c:pt>
              </c:numCache>
            </c:numRef>
          </c:val>
        </c:ser>
        <c:ser>
          <c:idx val="1"/>
          <c:order val="1"/>
          <c:tx>
            <c:strRef>
              <c:f>'[4]март 20  (+руда,-агл)'!$BH$6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'[4]март 20  (+руда,-агл)'!$BH$7:$BH$37</c:f>
              <c:numCache>
                <c:formatCode>General</c:formatCode>
                <c:ptCount val="31"/>
                <c:pt idx="0">
                  <c:v>124.19354838709677</c:v>
                </c:pt>
                <c:pt idx="1">
                  <c:v>248.38709677419354</c:v>
                </c:pt>
                <c:pt idx="2">
                  <c:v>372.58064516129031</c:v>
                </c:pt>
                <c:pt idx="3">
                  <c:v>496.77419354838707</c:v>
                </c:pt>
                <c:pt idx="4">
                  <c:v>620.9677419354839</c:v>
                </c:pt>
                <c:pt idx="5">
                  <c:v>745.16129032258073</c:v>
                </c:pt>
                <c:pt idx="6">
                  <c:v>869.35483870967755</c:v>
                </c:pt>
                <c:pt idx="7">
                  <c:v>993.54838709677438</c:v>
                </c:pt>
                <c:pt idx="8">
                  <c:v>1117.7419354838712</c:v>
                </c:pt>
                <c:pt idx="9">
                  <c:v>1241.935483870968</c:v>
                </c:pt>
                <c:pt idx="10">
                  <c:v>1366.1290322580649</c:v>
                </c:pt>
                <c:pt idx="11">
                  <c:v>1490.3225806451617</c:v>
                </c:pt>
                <c:pt idx="12">
                  <c:v>1614.5161290322585</c:v>
                </c:pt>
                <c:pt idx="13">
                  <c:v>1738.7096774193553</c:v>
                </c:pt>
                <c:pt idx="14">
                  <c:v>1862.9032258064522</c:v>
                </c:pt>
                <c:pt idx="15">
                  <c:v>1987.096774193549</c:v>
                </c:pt>
                <c:pt idx="16">
                  <c:v>2111.2903225806458</c:v>
                </c:pt>
                <c:pt idx="17">
                  <c:v>2235.4838709677424</c:v>
                </c:pt>
                <c:pt idx="18">
                  <c:v>2359.677419354839</c:v>
                </c:pt>
                <c:pt idx="19">
                  <c:v>2483.8709677419356</c:v>
                </c:pt>
                <c:pt idx="20">
                  <c:v>2608.0645161290322</c:v>
                </c:pt>
                <c:pt idx="21">
                  <c:v>2732.2580645161288</c:v>
                </c:pt>
                <c:pt idx="22">
                  <c:v>2856.4516129032254</c:v>
                </c:pt>
                <c:pt idx="23">
                  <c:v>2980.645161290322</c:v>
                </c:pt>
                <c:pt idx="24">
                  <c:v>3104.8387096774186</c:v>
                </c:pt>
                <c:pt idx="25">
                  <c:v>3229.0322580645152</c:v>
                </c:pt>
                <c:pt idx="26">
                  <c:v>3353.2258064516118</c:v>
                </c:pt>
                <c:pt idx="27">
                  <c:v>3477.4193548387084</c:v>
                </c:pt>
                <c:pt idx="28">
                  <c:v>3601.612903225805</c:v>
                </c:pt>
                <c:pt idx="29">
                  <c:v>3725.8064516129016</c:v>
                </c:pt>
                <c:pt idx="30">
                  <c:v>3849.9999999999982</c:v>
                </c:pt>
              </c:numCache>
            </c:numRef>
          </c:val>
        </c:ser>
        <c:marker val="1"/>
        <c:axId val="128382848"/>
        <c:axId val="128384384"/>
      </c:lineChart>
      <c:catAx>
        <c:axId val="12838284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28384384"/>
        <c:crossesAt val="0"/>
        <c:auto val="1"/>
        <c:lblAlgn val="ctr"/>
        <c:lblOffset val="100"/>
        <c:tickLblSkip val="1"/>
        <c:tickMarkSkip val="1"/>
      </c:catAx>
      <c:valAx>
        <c:axId val="128384384"/>
        <c:scaling>
          <c:orientation val="minMax"/>
          <c:max val="40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28382848"/>
        <c:crossesAt val="1"/>
        <c:crossBetween val="midCat"/>
        <c:majorUnit val="500"/>
        <c:minorUnit val="10"/>
      </c:valAx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1180555555555562" footer="0.51180555555555562"/>
    <c:pageSetup paperSize="9" firstPageNumber="0" orientation="landscape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0649617431186729"/>
          <c:y val="0.11983713303442695"/>
          <c:w val="0.87262357414462965"/>
          <c:h val="0.79878207329393991"/>
        </c:manualLayout>
      </c:layout>
      <c:lineChart>
        <c:grouping val="standard"/>
        <c:ser>
          <c:idx val="0"/>
          <c:order val="0"/>
          <c:tx>
            <c:strRef>
              <c:f>'апрель 20 '!$BF$6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'апрель 20 '!$BF$7:$BF$37</c:f>
              <c:numCache>
                <c:formatCode>0.00</c:formatCode>
                <c:ptCount val="31"/>
                <c:pt idx="0">
                  <c:v>98.4</c:v>
                </c:pt>
                <c:pt idx="1">
                  <c:v>199.90000000000003</c:v>
                </c:pt>
                <c:pt idx="2">
                  <c:v>325.60000000000002</c:v>
                </c:pt>
                <c:pt idx="3">
                  <c:v>465.42</c:v>
                </c:pt>
                <c:pt idx="4">
                  <c:v>601.70000000000005</c:v>
                </c:pt>
                <c:pt idx="5">
                  <c:v>740.18000000000006</c:v>
                </c:pt>
                <c:pt idx="6">
                  <c:v>874.97</c:v>
                </c:pt>
                <c:pt idx="7">
                  <c:v>1016.5600000000001</c:v>
                </c:pt>
                <c:pt idx="8">
                  <c:v>1114.1200000000001</c:v>
                </c:pt>
                <c:pt idx="9">
                  <c:v>1230.8700000000001</c:v>
                </c:pt>
                <c:pt idx="10">
                  <c:v>1346.7800000000002</c:v>
                </c:pt>
                <c:pt idx="11">
                  <c:v>1454.0100000000002</c:v>
                </c:pt>
                <c:pt idx="12">
                  <c:v>1568.4100000000003</c:v>
                </c:pt>
                <c:pt idx="13">
                  <c:v>1656.6200000000003</c:v>
                </c:pt>
                <c:pt idx="14">
                  <c:v>1765.7000000000003</c:v>
                </c:pt>
                <c:pt idx="15">
                  <c:v>1874.7300000000002</c:v>
                </c:pt>
                <c:pt idx="16">
                  <c:v>1992.7800000000002</c:v>
                </c:pt>
                <c:pt idx="17">
                  <c:v>2105.1800000000003</c:v>
                </c:pt>
                <c:pt idx="18">
                  <c:v>2230.6900000000005</c:v>
                </c:pt>
                <c:pt idx="19">
                  <c:v>2344.2600000000007</c:v>
                </c:pt>
                <c:pt idx="20">
                  <c:v>2450.3300000000008</c:v>
                </c:pt>
                <c:pt idx="21">
                  <c:v>2559.2400000000007</c:v>
                </c:pt>
                <c:pt idx="22">
                  <c:v>2635.3000000000006</c:v>
                </c:pt>
                <c:pt idx="23">
                  <c:v>2737.6600000000008</c:v>
                </c:pt>
                <c:pt idx="24">
                  <c:v>2867.8400000000006</c:v>
                </c:pt>
                <c:pt idx="25">
                  <c:v>3002.8900000000008</c:v>
                </c:pt>
                <c:pt idx="26">
                  <c:v>3144.7700000000009</c:v>
                </c:pt>
                <c:pt idx="27">
                  <c:v>3281.2900000000009</c:v>
                </c:pt>
                <c:pt idx="28">
                  <c:v>3409.7500000000009</c:v>
                </c:pt>
                <c:pt idx="29">
                  <c:v>3525.150000000001</c:v>
                </c:pt>
                <c:pt idx="30">
                  <c:v>3525.150000000001</c:v>
                </c:pt>
              </c:numCache>
            </c:numRef>
          </c:val>
        </c:ser>
        <c:ser>
          <c:idx val="1"/>
          <c:order val="1"/>
          <c:tx>
            <c:strRef>
              <c:f>'апрель 20 '!$BH$6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'апрель 20 '!$BH$7:$BH$37</c:f>
              <c:numCache>
                <c:formatCode>0.00</c:formatCode>
                <c:ptCount val="31"/>
                <c:pt idx="0">
                  <c:v>125</c:v>
                </c:pt>
                <c:pt idx="1">
                  <c:v>250</c:v>
                </c:pt>
                <c:pt idx="2">
                  <c:v>375</c:v>
                </c:pt>
                <c:pt idx="3">
                  <c:v>500</c:v>
                </c:pt>
                <c:pt idx="4">
                  <c:v>625</c:v>
                </c:pt>
                <c:pt idx="5">
                  <c:v>750</c:v>
                </c:pt>
                <c:pt idx="6">
                  <c:v>875</c:v>
                </c:pt>
                <c:pt idx="7">
                  <c:v>1000</c:v>
                </c:pt>
                <c:pt idx="8">
                  <c:v>1125</c:v>
                </c:pt>
                <c:pt idx="9">
                  <c:v>1250</c:v>
                </c:pt>
                <c:pt idx="10">
                  <c:v>1375</c:v>
                </c:pt>
                <c:pt idx="11">
                  <c:v>1500</c:v>
                </c:pt>
                <c:pt idx="12">
                  <c:v>1625</c:v>
                </c:pt>
                <c:pt idx="13">
                  <c:v>1750</c:v>
                </c:pt>
                <c:pt idx="14">
                  <c:v>1875</c:v>
                </c:pt>
                <c:pt idx="15">
                  <c:v>2000</c:v>
                </c:pt>
                <c:pt idx="16">
                  <c:v>2125</c:v>
                </c:pt>
                <c:pt idx="17">
                  <c:v>2250</c:v>
                </c:pt>
                <c:pt idx="18">
                  <c:v>2375</c:v>
                </c:pt>
                <c:pt idx="19">
                  <c:v>2500</c:v>
                </c:pt>
                <c:pt idx="20">
                  <c:v>2625</c:v>
                </c:pt>
                <c:pt idx="21">
                  <c:v>2750</c:v>
                </c:pt>
                <c:pt idx="22">
                  <c:v>2875</c:v>
                </c:pt>
                <c:pt idx="23">
                  <c:v>3000</c:v>
                </c:pt>
                <c:pt idx="24">
                  <c:v>3125</c:v>
                </c:pt>
                <c:pt idx="25">
                  <c:v>3250</c:v>
                </c:pt>
                <c:pt idx="26">
                  <c:v>3375</c:v>
                </c:pt>
                <c:pt idx="27">
                  <c:v>3500</c:v>
                </c:pt>
                <c:pt idx="28">
                  <c:v>3625</c:v>
                </c:pt>
                <c:pt idx="29">
                  <c:v>3750</c:v>
                </c:pt>
                <c:pt idx="30">
                  <c:v>3750</c:v>
                </c:pt>
              </c:numCache>
            </c:numRef>
          </c:val>
        </c:ser>
        <c:marker val="1"/>
        <c:axId val="134045056"/>
        <c:axId val="134071424"/>
      </c:lineChart>
      <c:catAx>
        <c:axId val="13404505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4071424"/>
        <c:crossesAt val="0"/>
        <c:auto val="1"/>
        <c:lblAlgn val="ctr"/>
        <c:lblOffset val="100"/>
        <c:tickLblSkip val="1"/>
        <c:tickMarkSkip val="1"/>
      </c:catAx>
      <c:valAx>
        <c:axId val="134071424"/>
        <c:scaling>
          <c:orientation val="minMax"/>
          <c:max val="40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4045056"/>
        <c:crossesAt val="1"/>
        <c:crossBetween val="midCat"/>
        <c:majorUnit val="500"/>
        <c:minorUnit val="10"/>
      </c:valAx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1180555555555562" footer="0.51180555555555562"/>
    <c:pageSetup paperSize="9" firstPageNumber="0" orientation="landscape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0649617431186729"/>
          <c:y val="0.11983713303442695"/>
          <c:w val="0.87262357414462965"/>
          <c:h val="0.79878207329393991"/>
        </c:manualLayout>
      </c:layout>
      <c:lineChart>
        <c:grouping val="standard"/>
        <c:ser>
          <c:idx val="0"/>
          <c:order val="0"/>
          <c:tx>
            <c:strRef>
              <c:f>'апрель 20  (+544т,+ру,кок)'!$BF$6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'апрель 20  (+544т,+ру,кок)'!$BF$7:$BF$37</c:f>
              <c:numCache>
                <c:formatCode>0.00</c:formatCode>
                <c:ptCount val="31"/>
                <c:pt idx="0">
                  <c:v>116.50000000000001</c:v>
                </c:pt>
                <c:pt idx="1">
                  <c:v>236.10000000000002</c:v>
                </c:pt>
                <c:pt idx="2">
                  <c:v>379.9</c:v>
                </c:pt>
                <c:pt idx="3">
                  <c:v>537.81999999999994</c:v>
                </c:pt>
                <c:pt idx="4">
                  <c:v>692.19999999999993</c:v>
                </c:pt>
                <c:pt idx="5">
                  <c:v>848.78</c:v>
                </c:pt>
                <c:pt idx="6">
                  <c:v>1001.67</c:v>
                </c:pt>
                <c:pt idx="7">
                  <c:v>1161.3599999999999</c:v>
                </c:pt>
                <c:pt idx="8">
                  <c:v>1277.02</c:v>
                </c:pt>
                <c:pt idx="9">
                  <c:v>1411.87</c:v>
                </c:pt>
                <c:pt idx="10">
                  <c:v>1545.8799999999999</c:v>
                </c:pt>
                <c:pt idx="11">
                  <c:v>1671.2099999999998</c:v>
                </c:pt>
                <c:pt idx="12">
                  <c:v>1803.7099999999998</c:v>
                </c:pt>
                <c:pt idx="13">
                  <c:v>1910.0199999999998</c:v>
                </c:pt>
                <c:pt idx="14">
                  <c:v>2037.1999999999998</c:v>
                </c:pt>
                <c:pt idx="15">
                  <c:v>2164.33</c:v>
                </c:pt>
                <c:pt idx="16">
                  <c:v>2300.48</c:v>
                </c:pt>
                <c:pt idx="17">
                  <c:v>2430.98</c:v>
                </c:pt>
                <c:pt idx="18">
                  <c:v>2574.59</c:v>
                </c:pt>
                <c:pt idx="19">
                  <c:v>2706.26</c:v>
                </c:pt>
                <c:pt idx="20">
                  <c:v>2830.4300000000003</c:v>
                </c:pt>
                <c:pt idx="21">
                  <c:v>2957.4400000000005</c:v>
                </c:pt>
                <c:pt idx="22">
                  <c:v>3051.6000000000004</c:v>
                </c:pt>
                <c:pt idx="23">
                  <c:v>3172.0600000000004</c:v>
                </c:pt>
                <c:pt idx="24">
                  <c:v>3320.3400000000006</c:v>
                </c:pt>
                <c:pt idx="25">
                  <c:v>3473.4900000000007</c:v>
                </c:pt>
                <c:pt idx="26">
                  <c:v>3633.4700000000007</c:v>
                </c:pt>
                <c:pt idx="27">
                  <c:v>3788.0900000000006</c:v>
                </c:pt>
                <c:pt idx="28">
                  <c:v>3934.6500000000005</c:v>
                </c:pt>
                <c:pt idx="29">
                  <c:v>4069.1500000000005</c:v>
                </c:pt>
                <c:pt idx="30">
                  <c:v>4069.1500000000005</c:v>
                </c:pt>
              </c:numCache>
            </c:numRef>
          </c:val>
        </c:ser>
        <c:ser>
          <c:idx val="1"/>
          <c:order val="1"/>
          <c:tx>
            <c:strRef>
              <c:f>'апрель 20  (+544т,+ру,кок)'!$BH$6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'апрель 20  (+544т,+ру,кок)'!$BH$7:$BH$37</c:f>
              <c:numCache>
                <c:formatCode>0.00</c:formatCode>
                <c:ptCount val="31"/>
                <c:pt idx="0">
                  <c:v>125</c:v>
                </c:pt>
                <c:pt idx="1">
                  <c:v>250</c:v>
                </c:pt>
                <c:pt idx="2">
                  <c:v>375</c:v>
                </c:pt>
                <c:pt idx="3">
                  <c:v>500</c:v>
                </c:pt>
                <c:pt idx="4">
                  <c:v>625</c:v>
                </c:pt>
                <c:pt idx="5">
                  <c:v>750</c:v>
                </c:pt>
                <c:pt idx="6">
                  <c:v>875</c:v>
                </c:pt>
                <c:pt idx="7">
                  <c:v>1000</c:v>
                </c:pt>
                <c:pt idx="8">
                  <c:v>1125</c:v>
                </c:pt>
                <c:pt idx="9">
                  <c:v>1250</c:v>
                </c:pt>
                <c:pt idx="10">
                  <c:v>1375</c:v>
                </c:pt>
                <c:pt idx="11">
                  <c:v>1500</c:v>
                </c:pt>
                <c:pt idx="12">
                  <c:v>1625</c:v>
                </c:pt>
                <c:pt idx="13">
                  <c:v>1750</c:v>
                </c:pt>
                <c:pt idx="14">
                  <c:v>1875</c:v>
                </c:pt>
                <c:pt idx="15">
                  <c:v>2000</c:v>
                </c:pt>
                <c:pt idx="16">
                  <c:v>2125</c:v>
                </c:pt>
                <c:pt idx="17">
                  <c:v>2250</c:v>
                </c:pt>
                <c:pt idx="18">
                  <c:v>2375</c:v>
                </c:pt>
                <c:pt idx="19">
                  <c:v>2500</c:v>
                </c:pt>
                <c:pt idx="20">
                  <c:v>2625</c:v>
                </c:pt>
                <c:pt idx="21">
                  <c:v>2750</c:v>
                </c:pt>
                <c:pt idx="22">
                  <c:v>2875</c:v>
                </c:pt>
                <c:pt idx="23">
                  <c:v>3000</c:v>
                </c:pt>
                <c:pt idx="24">
                  <c:v>3125</c:v>
                </c:pt>
                <c:pt idx="25">
                  <c:v>3250</c:v>
                </c:pt>
                <c:pt idx="26">
                  <c:v>3375</c:v>
                </c:pt>
                <c:pt idx="27">
                  <c:v>3500</c:v>
                </c:pt>
                <c:pt idx="28">
                  <c:v>3625</c:v>
                </c:pt>
                <c:pt idx="29">
                  <c:v>3750</c:v>
                </c:pt>
                <c:pt idx="30">
                  <c:v>3750</c:v>
                </c:pt>
              </c:numCache>
            </c:numRef>
          </c:val>
        </c:ser>
        <c:marker val="1"/>
        <c:axId val="134210688"/>
        <c:axId val="134212224"/>
      </c:lineChart>
      <c:catAx>
        <c:axId val="13421068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4212224"/>
        <c:crossesAt val="0"/>
        <c:auto val="1"/>
        <c:lblAlgn val="ctr"/>
        <c:lblOffset val="100"/>
        <c:tickLblSkip val="1"/>
        <c:tickMarkSkip val="1"/>
      </c:catAx>
      <c:valAx>
        <c:axId val="134212224"/>
        <c:scaling>
          <c:orientation val="minMax"/>
          <c:max val="40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4210688"/>
        <c:crossesAt val="1"/>
        <c:crossBetween val="midCat"/>
        <c:majorUnit val="500"/>
        <c:minorUnit val="10"/>
      </c:valAx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1180555555555562" footer="0.51180555555555562"/>
    <c:pageSetup paperSize="9" firstPageNumber="0" orientation="landscape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0649617431186729"/>
          <c:y val="0.11983713303442695"/>
          <c:w val="0.87262357414462965"/>
          <c:h val="0.79878207329393991"/>
        </c:manualLayout>
      </c:layout>
      <c:lineChart>
        <c:grouping val="standard"/>
        <c:ser>
          <c:idx val="0"/>
          <c:order val="0"/>
          <c:tx>
            <c:strRef>
              <c:f>'май 20'!$BF$6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'май 20'!$BF$7:$BF$37</c:f>
              <c:numCache>
                <c:formatCode>0.00</c:formatCode>
                <c:ptCount val="31"/>
                <c:pt idx="0">
                  <c:v>134.95999999999998</c:v>
                </c:pt>
                <c:pt idx="1">
                  <c:v>262.62</c:v>
                </c:pt>
                <c:pt idx="2">
                  <c:v>390.25</c:v>
                </c:pt>
                <c:pt idx="3">
                  <c:v>512.87</c:v>
                </c:pt>
                <c:pt idx="4">
                  <c:v>637.42999999999995</c:v>
                </c:pt>
                <c:pt idx="5">
                  <c:v>770.57999999999993</c:v>
                </c:pt>
                <c:pt idx="6">
                  <c:v>899.7299999999999</c:v>
                </c:pt>
                <c:pt idx="7">
                  <c:v>1022.3599999999999</c:v>
                </c:pt>
                <c:pt idx="8">
                  <c:v>1152.3999999999999</c:v>
                </c:pt>
                <c:pt idx="9">
                  <c:v>1271.1399999999999</c:v>
                </c:pt>
                <c:pt idx="10">
                  <c:v>1402.32</c:v>
                </c:pt>
                <c:pt idx="11">
                  <c:v>1518.07</c:v>
                </c:pt>
                <c:pt idx="12">
                  <c:v>1639.4199999999998</c:v>
                </c:pt>
                <c:pt idx="13">
                  <c:v>1755.54</c:v>
                </c:pt>
                <c:pt idx="14">
                  <c:v>1871</c:v>
                </c:pt>
                <c:pt idx="15">
                  <c:v>1967.57</c:v>
                </c:pt>
                <c:pt idx="16">
                  <c:v>2060.7399999999998</c:v>
                </c:pt>
                <c:pt idx="17">
                  <c:v>2141.5099999999998</c:v>
                </c:pt>
                <c:pt idx="18">
                  <c:v>2236.9199999999996</c:v>
                </c:pt>
                <c:pt idx="19">
                  <c:v>2301.9799999999996</c:v>
                </c:pt>
                <c:pt idx="20">
                  <c:v>2392.9599999999996</c:v>
                </c:pt>
                <c:pt idx="21">
                  <c:v>2492.0699999999997</c:v>
                </c:pt>
                <c:pt idx="22">
                  <c:v>2581.9999999999995</c:v>
                </c:pt>
                <c:pt idx="23">
                  <c:v>2680.8799999999997</c:v>
                </c:pt>
                <c:pt idx="24">
                  <c:v>2760.6199999999994</c:v>
                </c:pt>
                <c:pt idx="25">
                  <c:v>2848.7799999999993</c:v>
                </c:pt>
                <c:pt idx="26">
                  <c:v>2950.7099999999991</c:v>
                </c:pt>
                <c:pt idx="27">
                  <c:v>3039.6299999999992</c:v>
                </c:pt>
                <c:pt idx="28">
                  <c:v>3139.9999999999991</c:v>
                </c:pt>
                <c:pt idx="29">
                  <c:v>3240.3199999999993</c:v>
                </c:pt>
                <c:pt idx="30">
                  <c:v>3344.2799999999993</c:v>
                </c:pt>
              </c:numCache>
            </c:numRef>
          </c:val>
        </c:ser>
        <c:ser>
          <c:idx val="1"/>
          <c:order val="1"/>
          <c:tx>
            <c:strRef>
              <c:f>'май 20'!$BH$6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'май 20'!$BH$7:$BH$37</c:f>
              <c:numCache>
                <c:formatCode>0.00</c:formatCode>
                <c:ptCount val="31"/>
                <c:pt idx="0">
                  <c:v>114.51612903225806</c:v>
                </c:pt>
                <c:pt idx="1">
                  <c:v>229.03225806451613</c:v>
                </c:pt>
                <c:pt idx="2">
                  <c:v>343.54838709677421</c:v>
                </c:pt>
                <c:pt idx="3">
                  <c:v>458.06451612903226</c:v>
                </c:pt>
                <c:pt idx="4">
                  <c:v>572.58064516129036</c:v>
                </c:pt>
                <c:pt idx="5">
                  <c:v>687.09677419354841</c:v>
                </c:pt>
                <c:pt idx="6">
                  <c:v>801.61290322580646</c:v>
                </c:pt>
                <c:pt idx="7">
                  <c:v>916.12903225806451</c:v>
                </c:pt>
                <c:pt idx="8">
                  <c:v>1030.6451612903227</c:v>
                </c:pt>
                <c:pt idx="9">
                  <c:v>1145.1612903225807</c:v>
                </c:pt>
                <c:pt idx="10">
                  <c:v>1259.6774193548388</c:v>
                </c:pt>
                <c:pt idx="11">
                  <c:v>1374.1935483870968</c:v>
                </c:pt>
                <c:pt idx="12">
                  <c:v>1488.7096774193549</c:v>
                </c:pt>
                <c:pt idx="13">
                  <c:v>1603.2258064516129</c:v>
                </c:pt>
                <c:pt idx="14">
                  <c:v>1717.741935483871</c:v>
                </c:pt>
                <c:pt idx="15">
                  <c:v>1832.258064516129</c:v>
                </c:pt>
                <c:pt idx="16">
                  <c:v>1946.7741935483871</c:v>
                </c:pt>
                <c:pt idx="17">
                  <c:v>2061.2903225806454</c:v>
                </c:pt>
                <c:pt idx="18">
                  <c:v>2175.8064516129034</c:v>
                </c:pt>
                <c:pt idx="19">
                  <c:v>2290.3225806451615</c:v>
                </c:pt>
                <c:pt idx="20">
                  <c:v>2404.8387096774195</c:v>
                </c:pt>
                <c:pt idx="21">
                  <c:v>2519.3548387096776</c:v>
                </c:pt>
                <c:pt idx="22">
                  <c:v>2633.8709677419356</c:v>
                </c:pt>
                <c:pt idx="23">
                  <c:v>2748.3870967741937</c:v>
                </c:pt>
                <c:pt idx="24">
                  <c:v>2862.9032258064517</c:v>
                </c:pt>
                <c:pt idx="25">
                  <c:v>2977.4193548387098</c:v>
                </c:pt>
                <c:pt idx="26">
                  <c:v>3091.9354838709678</c:v>
                </c:pt>
                <c:pt idx="27">
                  <c:v>3206.4516129032259</c:v>
                </c:pt>
                <c:pt idx="28">
                  <c:v>3320.9677419354839</c:v>
                </c:pt>
                <c:pt idx="29">
                  <c:v>3435.483870967742</c:v>
                </c:pt>
                <c:pt idx="30">
                  <c:v>3550</c:v>
                </c:pt>
              </c:numCache>
            </c:numRef>
          </c:val>
        </c:ser>
        <c:marker val="1"/>
        <c:axId val="134466176"/>
        <c:axId val="134476160"/>
      </c:lineChart>
      <c:catAx>
        <c:axId val="13446617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4476160"/>
        <c:crossesAt val="0"/>
        <c:auto val="1"/>
        <c:lblAlgn val="ctr"/>
        <c:lblOffset val="100"/>
        <c:tickLblSkip val="1"/>
        <c:tickMarkSkip val="1"/>
      </c:catAx>
      <c:valAx>
        <c:axId val="134476160"/>
        <c:scaling>
          <c:orientation val="minMax"/>
          <c:max val="40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4466176"/>
        <c:crossesAt val="1"/>
        <c:crossBetween val="midCat"/>
        <c:majorUnit val="500"/>
        <c:minorUnit val="10"/>
      </c:valAx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1180555555555562" footer="0.51180555555555562"/>
    <c:pageSetup paperSize="9" firstPageNumber="0" orientation="landscape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0649617431186729"/>
          <c:y val="0.11983713303442695"/>
          <c:w val="0.87262357414462965"/>
          <c:h val="0.79878207329393991"/>
        </c:manualLayout>
      </c:layout>
      <c:lineChart>
        <c:grouping val="standard"/>
        <c:ser>
          <c:idx val="0"/>
          <c:order val="0"/>
          <c:tx>
            <c:strRef>
              <c:f>'май 20 (+руда,кокс,-агл)'!$BF$6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'май 20 (+руда,кокс,-агл)'!$BF$7:$BF$37</c:f>
              <c:numCache>
                <c:formatCode>0.00</c:formatCode>
                <c:ptCount val="31"/>
                <c:pt idx="0">
                  <c:v>134.95999999999998</c:v>
                </c:pt>
                <c:pt idx="1">
                  <c:v>262.62</c:v>
                </c:pt>
                <c:pt idx="2">
                  <c:v>390.25</c:v>
                </c:pt>
                <c:pt idx="3">
                  <c:v>512.87</c:v>
                </c:pt>
                <c:pt idx="4">
                  <c:v>637.42999999999995</c:v>
                </c:pt>
                <c:pt idx="5">
                  <c:v>770.57999999999993</c:v>
                </c:pt>
                <c:pt idx="6">
                  <c:v>899.7299999999999</c:v>
                </c:pt>
                <c:pt idx="7">
                  <c:v>1022.3599999999999</c:v>
                </c:pt>
                <c:pt idx="8">
                  <c:v>1152.3999999999999</c:v>
                </c:pt>
                <c:pt idx="9">
                  <c:v>1271.1399999999999</c:v>
                </c:pt>
                <c:pt idx="10">
                  <c:v>1402.32</c:v>
                </c:pt>
                <c:pt idx="11">
                  <c:v>1518.07</c:v>
                </c:pt>
                <c:pt idx="12">
                  <c:v>1639.4199999999998</c:v>
                </c:pt>
                <c:pt idx="13">
                  <c:v>1755.54</c:v>
                </c:pt>
                <c:pt idx="14">
                  <c:v>1871</c:v>
                </c:pt>
                <c:pt idx="15">
                  <c:v>1967.57</c:v>
                </c:pt>
                <c:pt idx="16">
                  <c:v>2060.7399999999998</c:v>
                </c:pt>
                <c:pt idx="17">
                  <c:v>2141.5099999999998</c:v>
                </c:pt>
                <c:pt idx="18">
                  <c:v>2236.9199999999996</c:v>
                </c:pt>
                <c:pt idx="19">
                  <c:v>2301.9799999999996</c:v>
                </c:pt>
                <c:pt idx="20">
                  <c:v>2392.9599999999996</c:v>
                </c:pt>
                <c:pt idx="21">
                  <c:v>2492.0699999999997</c:v>
                </c:pt>
                <c:pt idx="22">
                  <c:v>2581.9999999999995</c:v>
                </c:pt>
                <c:pt idx="23">
                  <c:v>2680.8799999999997</c:v>
                </c:pt>
                <c:pt idx="24">
                  <c:v>2760.6199999999994</c:v>
                </c:pt>
                <c:pt idx="25">
                  <c:v>2848.7799999999993</c:v>
                </c:pt>
                <c:pt idx="26">
                  <c:v>2950.7099999999991</c:v>
                </c:pt>
                <c:pt idx="27">
                  <c:v>3039.6299999999992</c:v>
                </c:pt>
                <c:pt idx="28">
                  <c:v>3139.9999999999991</c:v>
                </c:pt>
                <c:pt idx="29">
                  <c:v>3240.3199999999993</c:v>
                </c:pt>
                <c:pt idx="30">
                  <c:v>3344.2799999999993</c:v>
                </c:pt>
              </c:numCache>
            </c:numRef>
          </c:val>
        </c:ser>
        <c:ser>
          <c:idx val="1"/>
          <c:order val="1"/>
          <c:tx>
            <c:strRef>
              <c:f>'май 20 (+руда,кокс,-агл)'!$BH$6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'май 20 (+руда,кокс,-агл)'!$BH$7:$BH$37</c:f>
              <c:numCache>
                <c:formatCode>0.00</c:formatCode>
                <c:ptCount val="31"/>
                <c:pt idx="0">
                  <c:v>114.51612903225806</c:v>
                </c:pt>
                <c:pt idx="1">
                  <c:v>229.03225806451613</c:v>
                </c:pt>
                <c:pt idx="2">
                  <c:v>343.54838709677421</c:v>
                </c:pt>
                <c:pt idx="3">
                  <c:v>458.06451612903226</c:v>
                </c:pt>
                <c:pt idx="4">
                  <c:v>572.58064516129036</c:v>
                </c:pt>
                <c:pt idx="5">
                  <c:v>687.09677419354841</c:v>
                </c:pt>
                <c:pt idx="6">
                  <c:v>801.61290322580646</c:v>
                </c:pt>
                <c:pt idx="7">
                  <c:v>916.12903225806451</c:v>
                </c:pt>
                <c:pt idx="8">
                  <c:v>1030.6451612903227</c:v>
                </c:pt>
                <c:pt idx="9">
                  <c:v>1145.1612903225807</c:v>
                </c:pt>
                <c:pt idx="10">
                  <c:v>1259.6774193548388</c:v>
                </c:pt>
                <c:pt idx="11">
                  <c:v>1374.1935483870968</c:v>
                </c:pt>
                <c:pt idx="12">
                  <c:v>1488.7096774193549</c:v>
                </c:pt>
                <c:pt idx="13">
                  <c:v>1603.2258064516129</c:v>
                </c:pt>
                <c:pt idx="14">
                  <c:v>1717.741935483871</c:v>
                </c:pt>
                <c:pt idx="15">
                  <c:v>1832.258064516129</c:v>
                </c:pt>
                <c:pt idx="16">
                  <c:v>1946.7741935483871</c:v>
                </c:pt>
                <c:pt idx="17">
                  <c:v>2061.2903225806454</c:v>
                </c:pt>
                <c:pt idx="18">
                  <c:v>2175.8064516129034</c:v>
                </c:pt>
                <c:pt idx="19">
                  <c:v>2290.3225806451615</c:v>
                </c:pt>
                <c:pt idx="20">
                  <c:v>2404.8387096774195</c:v>
                </c:pt>
                <c:pt idx="21">
                  <c:v>2519.3548387096776</c:v>
                </c:pt>
                <c:pt idx="22">
                  <c:v>2633.8709677419356</c:v>
                </c:pt>
                <c:pt idx="23">
                  <c:v>2748.3870967741937</c:v>
                </c:pt>
                <c:pt idx="24">
                  <c:v>2862.9032258064517</c:v>
                </c:pt>
                <c:pt idx="25">
                  <c:v>2977.4193548387098</c:v>
                </c:pt>
                <c:pt idx="26">
                  <c:v>3091.9354838709678</c:v>
                </c:pt>
                <c:pt idx="27">
                  <c:v>3206.4516129032259</c:v>
                </c:pt>
                <c:pt idx="28">
                  <c:v>3320.9677419354839</c:v>
                </c:pt>
                <c:pt idx="29">
                  <c:v>3435.483870967742</c:v>
                </c:pt>
                <c:pt idx="30">
                  <c:v>3550</c:v>
                </c:pt>
              </c:numCache>
            </c:numRef>
          </c:val>
        </c:ser>
        <c:marker val="1"/>
        <c:axId val="134484352"/>
        <c:axId val="134485888"/>
      </c:lineChart>
      <c:catAx>
        <c:axId val="13448435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4485888"/>
        <c:crossesAt val="0"/>
        <c:auto val="1"/>
        <c:lblAlgn val="ctr"/>
        <c:lblOffset val="100"/>
        <c:tickLblSkip val="1"/>
        <c:tickMarkSkip val="1"/>
      </c:catAx>
      <c:valAx>
        <c:axId val="134485888"/>
        <c:scaling>
          <c:orientation val="minMax"/>
          <c:max val="40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4484352"/>
        <c:crossesAt val="1"/>
        <c:crossBetween val="midCat"/>
        <c:majorUnit val="500"/>
        <c:minorUnit val="10"/>
      </c:valAx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1180555555555562" footer="0.51180555555555562"/>
    <c:pageSetup paperSize="9" firstPageNumber="0" orientation="landscape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0649617431186729"/>
          <c:y val="0.11983713303442695"/>
          <c:w val="0.87262357414462965"/>
          <c:h val="0.79878207329393991"/>
        </c:manualLayout>
      </c:layout>
      <c:lineChart>
        <c:grouping val="standard"/>
        <c:ser>
          <c:idx val="0"/>
          <c:order val="0"/>
          <c:tx>
            <c:strRef>
              <c:f>'июнь 20'!$BF$6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'июнь 20'!$BF$7:$BF$37</c:f>
              <c:numCache>
                <c:formatCode>0.00</c:formatCode>
                <c:ptCount val="31"/>
                <c:pt idx="0">
                  <c:v>99.14</c:v>
                </c:pt>
                <c:pt idx="1">
                  <c:v>203.54</c:v>
                </c:pt>
                <c:pt idx="2">
                  <c:v>308.05</c:v>
                </c:pt>
                <c:pt idx="3">
                  <c:v>420.92</c:v>
                </c:pt>
                <c:pt idx="4">
                  <c:v>526.11</c:v>
                </c:pt>
                <c:pt idx="5">
                  <c:v>634.54999999999995</c:v>
                </c:pt>
                <c:pt idx="6">
                  <c:v>736.77</c:v>
                </c:pt>
                <c:pt idx="7">
                  <c:v>844.06</c:v>
                </c:pt>
                <c:pt idx="8">
                  <c:v>957.63999999999987</c:v>
                </c:pt>
                <c:pt idx="9">
                  <c:v>1059.1699999999998</c:v>
                </c:pt>
                <c:pt idx="10">
                  <c:v>1156.1699999999998</c:v>
                </c:pt>
                <c:pt idx="11">
                  <c:v>1261.6099999999999</c:v>
                </c:pt>
                <c:pt idx="12">
                  <c:v>1364.9499999999998</c:v>
                </c:pt>
                <c:pt idx="13">
                  <c:v>1469.12</c:v>
                </c:pt>
                <c:pt idx="14">
                  <c:v>1573.9799999999998</c:v>
                </c:pt>
                <c:pt idx="15">
                  <c:v>1615.7299999999998</c:v>
                </c:pt>
                <c:pt idx="16">
                  <c:v>1703.1899999999998</c:v>
                </c:pt>
                <c:pt idx="17">
                  <c:v>1802.1799999999998</c:v>
                </c:pt>
                <c:pt idx="18">
                  <c:v>1910.4699999999998</c:v>
                </c:pt>
                <c:pt idx="19">
                  <c:v>2015.3899999999999</c:v>
                </c:pt>
                <c:pt idx="20">
                  <c:v>2119.81</c:v>
                </c:pt>
                <c:pt idx="21">
                  <c:v>2220.7999999999997</c:v>
                </c:pt>
                <c:pt idx="22">
                  <c:v>2318.56</c:v>
                </c:pt>
                <c:pt idx="23">
                  <c:v>2414.2799999999997</c:v>
                </c:pt>
                <c:pt idx="24">
                  <c:v>2513.56</c:v>
                </c:pt>
                <c:pt idx="25">
                  <c:v>2610.71</c:v>
                </c:pt>
                <c:pt idx="26">
                  <c:v>2707.76</c:v>
                </c:pt>
                <c:pt idx="27">
                  <c:v>2800.8300000000004</c:v>
                </c:pt>
                <c:pt idx="28">
                  <c:v>2891.4100000000003</c:v>
                </c:pt>
                <c:pt idx="29">
                  <c:v>2976.6900000000005</c:v>
                </c:pt>
                <c:pt idx="30">
                  <c:v>2976.6900000000005</c:v>
                </c:pt>
              </c:numCache>
            </c:numRef>
          </c:val>
        </c:ser>
        <c:ser>
          <c:idx val="1"/>
          <c:order val="1"/>
          <c:tx>
            <c:strRef>
              <c:f>'июнь 20'!$BH$6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'июнь 20'!$BH$7:$BH$37</c:f>
              <c:numCache>
                <c:formatCode>0.00</c:formatCode>
                <c:ptCount val="31"/>
                <c:pt idx="0">
                  <c:v>110</c:v>
                </c:pt>
                <c:pt idx="1">
                  <c:v>220</c:v>
                </c:pt>
                <c:pt idx="2">
                  <c:v>330</c:v>
                </c:pt>
                <c:pt idx="3">
                  <c:v>440</c:v>
                </c:pt>
                <c:pt idx="4">
                  <c:v>550</c:v>
                </c:pt>
                <c:pt idx="5">
                  <c:v>660</c:v>
                </c:pt>
                <c:pt idx="6">
                  <c:v>770</c:v>
                </c:pt>
                <c:pt idx="7">
                  <c:v>880</c:v>
                </c:pt>
                <c:pt idx="8">
                  <c:v>990</c:v>
                </c:pt>
                <c:pt idx="9">
                  <c:v>1100</c:v>
                </c:pt>
                <c:pt idx="10">
                  <c:v>1210</c:v>
                </c:pt>
                <c:pt idx="11">
                  <c:v>1320</c:v>
                </c:pt>
                <c:pt idx="12">
                  <c:v>1430</c:v>
                </c:pt>
                <c:pt idx="13">
                  <c:v>1540</c:v>
                </c:pt>
                <c:pt idx="14">
                  <c:v>1650</c:v>
                </c:pt>
                <c:pt idx="15">
                  <c:v>1760</c:v>
                </c:pt>
                <c:pt idx="16">
                  <c:v>1870</c:v>
                </c:pt>
                <c:pt idx="17">
                  <c:v>1980</c:v>
                </c:pt>
                <c:pt idx="18">
                  <c:v>2090</c:v>
                </c:pt>
                <c:pt idx="19">
                  <c:v>2200</c:v>
                </c:pt>
                <c:pt idx="20">
                  <c:v>2310</c:v>
                </c:pt>
                <c:pt idx="21">
                  <c:v>2420</c:v>
                </c:pt>
                <c:pt idx="22">
                  <c:v>2530</c:v>
                </c:pt>
                <c:pt idx="23">
                  <c:v>2640</c:v>
                </c:pt>
                <c:pt idx="24">
                  <c:v>2750</c:v>
                </c:pt>
                <c:pt idx="25">
                  <c:v>2860</c:v>
                </c:pt>
                <c:pt idx="26">
                  <c:v>2970</c:v>
                </c:pt>
                <c:pt idx="27">
                  <c:v>3080</c:v>
                </c:pt>
                <c:pt idx="28">
                  <c:v>3190</c:v>
                </c:pt>
                <c:pt idx="29">
                  <c:v>3300</c:v>
                </c:pt>
                <c:pt idx="30">
                  <c:v>3300</c:v>
                </c:pt>
              </c:numCache>
            </c:numRef>
          </c:val>
        </c:ser>
        <c:marker val="1"/>
        <c:axId val="138078080"/>
        <c:axId val="138079616"/>
      </c:lineChart>
      <c:catAx>
        <c:axId val="13807808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8079616"/>
        <c:crossesAt val="0"/>
        <c:auto val="1"/>
        <c:lblAlgn val="ctr"/>
        <c:lblOffset val="100"/>
        <c:tickLblSkip val="1"/>
        <c:tickMarkSkip val="1"/>
      </c:catAx>
      <c:valAx>
        <c:axId val="138079616"/>
        <c:scaling>
          <c:orientation val="minMax"/>
          <c:max val="40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8078080"/>
        <c:crossesAt val="1"/>
        <c:crossBetween val="midCat"/>
        <c:majorUnit val="500"/>
        <c:minorUnit val="10"/>
      </c:valAx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1180555555555562" footer="0.51180555555555562"/>
    <c:pageSetup paperSize="9" firstPageNumber="0" orientation="landscape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0649617431186729"/>
          <c:y val="0.11983713303442695"/>
          <c:w val="0.87262357414462965"/>
          <c:h val="0.79878207329393991"/>
        </c:manualLayout>
      </c:layout>
      <c:lineChart>
        <c:grouping val="standard"/>
        <c:ser>
          <c:idx val="0"/>
          <c:order val="0"/>
          <c:tx>
            <c:strRef>
              <c:f>'июнь 20 (+руда,кокс)'!$BF$6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'июнь 20 (+руда,кокс)'!$BF$7:$BF$37</c:f>
              <c:numCache>
                <c:formatCode>0.00</c:formatCode>
                <c:ptCount val="31"/>
                <c:pt idx="0">
                  <c:v>99.14</c:v>
                </c:pt>
                <c:pt idx="1">
                  <c:v>203.54</c:v>
                </c:pt>
                <c:pt idx="2">
                  <c:v>308.05</c:v>
                </c:pt>
                <c:pt idx="3">
                  <c:v>420.92</c:v>
                </c:pt>
                <c:pt idx="4">
                  <c:v>526.11</c:v>
                </c:pt>
                <c:pt idx="5">
                  <c:v>634.54999999999995</c:v>
                </c:pt>
                <c:pt idx="6">
                  <c:v>736.77</c:v>
                </c:pt>
                <c:pt idx="7">
                  <c:v>844.06</c:v>
                </c:pt>
                <c:pt idx="8">
                  <c:v>957.63999999999987</c:v>
                </c:pt>
                <c:pt idx="9">
                  <c:v>1059.1699999999998</c:v>
                </c:pt>
                <c:pt idx="10">
                  <c:v>1156.1699999999998</c:v>
                </c:pt>
                <c:pt idx="11">
                  <c:v>1261.6099999999999</c:v>
                </c:pt>
                <c:pt idx="12">
                  <c:v>1364.9499999999998</c:v>
                </c:pt>
                <c:pt idx="13">
                  <c:v>1469.12</c:v>
                </c:pt>
                <c:pt idx="14">
                  <c:v>1573.9799999999998</c:v>
                </c:pt>
                <c:pt idx="15">
                  <c:v>1615.7299999999998</c:v>
                </c:pt>
                <c:pt idx="16">
                  <c:v>1703.1899999999998</c:v>
                </c:pt>
                <c:pt idx="17">
                  <c:v>1802.1799999999998</c:v>
                </c:pt>
                <c:pt idx="18">
                  <c:v>1910.4699999999998</c:v>
                </c:pt>
                <c:pt idx="19">
                  <c:v>2015.3899999999999</c:v>
                </c:pt>
                <c:pt idx="20">
                  <c:v>2119.81</c:v>
                </c:pt>
                <c:pt idx="21">
                  <c:v>2220.7999999999997</c:v>
                </c:pt>
                <c:pt idx="22">
                  <c:v>2318.56</c:v>
                </c:pt>
                <c:pt idx="23">
                  <c:v>2414.2799999999997</c:v>
                </c:pt>
                <c:pt idx="24">
                  <c:v>2513.56</c:v>
                </c:pt>
                <c:pt idx="25">
                  <c:v>2610.71</c:v>
                </c:pt>
                <c:pt idx="26">
                  <c:v>2707.76</c:v>
                </c:pt>
                <c:pt idx="27">
                  <c:v>2800.8300000000004</c:v>
                </c:pt>
                <c:pt idx="28">
                  <c:v>2891.4100000000003</c:v>
                </c:pt>
                <c:pt idx="29">
                  <c:v>2976.6900000000005</c:v>
                </c:pt>
                <c:pt idx="30">
                  <c:v>2976.6900000000005</c:v>
                </c:pt>
              </c:numCache>
            </c:numRef>
          </c:val>
        </c:ser>
        <c:ser>
          <c:idx val="1"/>
          <c:order val="1"/>
          <c:tx>
            <c:strRef>
              <c:f>'июнь 20 (+руда,кокс)'!$BH$6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'июнь 20 (+руда,кокс)'!$BH$7:$BH$37</c:f>
              <c:numCache>
                <c:formatCode>0.00</c:formatCode>
                <c:ptCount val="31"/>
                <c:pt idx="0">
                  <c:v>110</c:v>
                </c:pt>
                <c:pt idx="1">
                  <c:v>220</c:v>
                </c:pt>
                <c:pt idx="2">
                  <c:v>330</c:v>
                </c:pt>
                <c:pt idx="3">
                  <c:v>440</c:v>
                </c:pt>
                <c:pt idx="4">
                  <c:v>550</c:v>
                </c:pt>
                <c:pt idx="5">
                  <c:v>660</c:v>
                </c:pt>
                <c:pt idx="6">
                  <c:v>770</c:v>
                </c:pt>
                <c:pt idx="7">
                  <c:v>880</c:v>
                </c:pt>
                <c:pt idx="8">
                  <c:v>990</c:v>
                </c:pt>
                <c:pt idx="9">
                  <c:v>1100</c:v>
                </c:pt>
                <c:pt idx="10">
                  <c:v>1210</c:v>
                </c:pt>
                <c:pt idx="11">
                  <c:v>1320</c:v>
                </c:pt>
                <c:pt idx="12">
                  <c:v>1430</c:v>
                </c:pt>
                <c:pt idx="13">
                  <c:v>1540</c:v>
                </c:pt>
                <c:pt idx="14">
                  <c:v>1650</c:v>
                </c:pt>
                <c:pt idx="15">
                  <c:v>1760</c:v>
                </c:pt>
                <c:pt idx="16">
                  <c:v>1870</c:v>
                </c:pt>
                <c:pt idx="17">
                  <c:v>1980</c:v>
                </c:pt>
                <c:pt idx="18">
                  <c:v>2090</c:v>
                </c:pt>
                <c:pt idx="19">
                  <c:v>2200</c:v>
                </c:pt>
                <c:pt idx="20">
                  <c:v>2310</c:v>
                </c:pt>
                <c:pt idx="21">
                  <c:v>2420</c:v>
                </c:pt>
                <c:pt idx="22">
                  <c:v>2530</c:v>
                </c:pt>
                <c:pt idx="23">
                  <c:v>2640</c:v>
                </c:pt>
                <c:pt idx="24">
                  <c:v>2750</c:v>
                </c:pt>
                <c:pt idx="25">
                  <c:v>2860</c:v>
                </c:pt>
                <c:pt idx="26">
                  <c:v>2970</c:v>
                </c:pt>
                <c:pt idx="27">
                  <c:v>3080</c:v>
                </c:pt>
                <c:pt idx="28">
                  <c:v>3190</c:v>
                </c:pt>
                <c:pt idx="29">
                  <c:v>3300</c:v>
                </c:pt>
                <c:pt idx="30">
                  <c:v>3300</c:v>
                </c:pt>
              </c:numCache>
            </c:numRef>
          </c:val>
        </c:ser>
        <c:marker val="1"/>
        <c:axId val="138182016"/>
        <c:axId val="138228864"/>
      </c:lineChart>
      <c:catAx>
        <c:axId val="13818201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8228864"/>
        <c:crossesAt val="0"/>
        <c:auto val="1"/>
        <c:lblAlgn val="ctr"/>
        <c:lblOffset val="100"/>
        <c:tickLblSkip val="1"/>
        <c:tickMarkSkip val="1"/>
      </c:catAx>
      <c:valAx>
        <c:axId val="138228864"/>
        <c:scaling>
          <c:orientation val="minMax"/>
          <c:max val="40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8182016"/>
        <c:crossesAt val="1"/>
        <c:crossBetween val="midCat"/>
        <c:majorUnit val="500"/>
        <c:minorUnit val="10"/>
      </c:valAx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1180555555555562" footer="0.51180555555555562"/>
    <c:pageSetup paperSize="9" firstPageNumber="0" orientation="landscape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0649617431186729"/>
          <c:y val="0.11983713303442695"/>
          <c:w val="0.87262357414462965"/>
          <c:h val="0.79878207329393991"/>
        </c:manualLayout>
      </c:layout>
      <c:lineChart>
        <c:grouping val="standard"/>
        <c:ser>
          <c:idx val="0"/>
          <c:order val="0"/>
          <c:tx>
            <c:strRef>
              <c:f>'июль 20  (факт)'!$BF$6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'июль 20  (факт)'!$BF$7:$BF$37</c:f>
              <c:numCache>
                <c:formatCode>0.00</c:formatCode>
                <c:ptCount val="31"/>
                <c:pt idx="0">
                  <c:v>98.470000000000013</c:v>
                </c:pt>
                <c:pt idx="1">
                  <c:v>192.26000000000002</c:v>
                </c:pt>
                <c:pt idx="2">
                  <c:v>293.62</c:v>
                </c:pt>
                <c:pt idx="3">
                  <c:v>389.74</c:v>
                </c:pt>
                <c:pt idx="4">
                  <c:v>478.76</c:v>
                </c:pt>
                <c:pt idx="5">
                  <c:v>559.5</c:v>
                </c:pt>
                <c:pt idx="6">
                  <c:v>662.21</c:v>
                </c:pt>
                <c:pt idx="7">
                  <c:v>762.35</c:v>
                </c:pt>
                <c:pt idx="8">
                  <c:v>857.73</c:v>
                </c:pt>
                <c:pt idx="9">
                  <c:v>948.14</c:v>
                </c:pt>
                <c:pt idx="10">
                  <c:v>1043.03</c:v>
                </c:pt>
                <c:pt idx="11">
                  <c:v>1138.21</c:v>
                </c:pt>
                <c:pt idx="12">
                  <c:v>1229.58</c:v>
                </c:pt>
                <c:pt idx="13">
                  <c:v>1322.6299999999999</c:v>
                </c:pt>
                <c:pt idx="14">
                  <c:v>1413.6799999999998</c:v>
                </c:pt>
                <c:pt idx="15">
                  <c:v>1509.7599999999998</c:v>
                </c:pt>
                <c:pt idx="16">
                  <c:v>1608.2199999999998</c:v>
                </c:pt>
                <c:pt idx="17">
                  <c:v>1699.9699999999998</c:v>
                </c:pt>
                <c:pt idx="18">
                  <c:v>1775.2999999999997</c:v>
                </c:pt>
                <c:pt idx="19">
                  <c:v>1856.3499999999997</c:v>
                </c:pt>
                <c:pt idx="20">
                  <c:v>1953.7699999999998</c:v>
                </c:pt>
                <c:pt idx="21">
                  <c:v>2037.6799999999998</c:v>
                </c:pt>
                <c:pt idx="22">
                  <c:v>2129.06</c:v>
                </c:pt>
                <c:pt idx="23">
                  <c:v>2224.5299999999997</c:v>
                </c:pt>
                <c:pt idx="24">
                  <c:v>2313.7099999999996</c:v>
                </c:pt>
                <c:pt idx="25">
                  <c:v>2406.0499999999997</c:v>
                </c:pt>
                <c:pt idx="26">
                  <c:v>2501.4799999999996</c:v>
                </c:pt>
                <c:pt idx="27">
                  <c:v>2594.7599999999998</c:v>
                </c:pt>
                <c:pt idx="28">
                  <c:v>2697.81</c:v>
                </c:pt>
                <c:pt idx="29">
                  <c:v>2770.34</c:v>
                </c:pt>
                <c:pt idx="30">
                  <c:v>2864.9900000000002</c:v>
                </c:pt>
              </c:numCache>
            </c:numRef>
          </c:val>
        </c:ser>
        <c:ser>
          <c:idx val="1"/>
          <c:order val="1"/>
          <c:tx>
            <c:strRef>
              <c:f>'июль 20  (факт)'!$BH$6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'июль 20  (факт)'!$BH$7:$BH$37</c:f>
              <c:numCache>
                <c:formatCode>0.00</c:formatCode>
                <c:ptCount val="31"/>
                <c:pt idx="0">
                  <c:v>108.06451612903226</c:v>
                </c:pt>
                <c:pt idx="1">
                  <c:v>216.12903225806451</c:v>
                </c:pt>
                <c:pt idx="2">
                  <c:v>324.19354838709677</c:v>
                </c:pt>
                <c:pt idx="3">
                  <c:v>432.25806451612902</c:v>
                </c:pt>
                <c:pt idx="4">
                  <c:v>540.32258064516122</c:v>
                </c:pt>
                <c:pt idx="5">
                  <c:v>648.38709677419342</c:v>
                </c:pt>
                <c:pt idx="6">
                  <c:v>756.45161290322562</c:v>
                </c:pt>
                <c:pt idx="7">
                  <c:v>864.51612903225782</c:v>
                </c:pt>
                <c:pt idx="8">
                  <c:v>972.58064516129002</c:v>
                </c:pt>
                <c:pt idx="9">
                  <c:v>1080.6451612903222</c:v>
                </c:pt>
                <c:pt idx="10">
                  <c:v>1188.7096774193544</c:v>
                </c:pt>
                <c:pt idx="11">
                  <c:v>1296.7741935483866</c:v>
                </c:pt>
                <c:pt idx="12">
                  <c:v>1404.8387096774188</c:v>
                </c:pt>
                <c:pt idx="13">
                  <c:v>1512.903225806451</c:v>
                </c:pt>
                <c:pt idx="14">
                  <c:v>1620.9677419354832</c:v>
                </c:pt>
                <c:pt idx="15">
                  <c:v>1729.0322580645154</c:v>
                </c:pt>
                <c:pt idx="16">
                  <c:v>1837.0967741935476</c:v>
                </c:pt>
                <c:pt idx="17">
                  <c:v>1945.1612903225798</c:v>
                </c:pt>
                <c:pt idx="18">
                  <c:v>2053.2258064516122</c:v>
                </c:pt>
                <c:pt idx="19">
                  <c:v>2161.2903225806444</c:v>
                </c:pt>
                <c:pt idx="20">
                  <c:v>2269.3548387096766</c:v>
                </c:pt>
                <c:pt idx="21">
                  <c:v>2377.4193548387088</c:v>
                </c:pt>
                <c:pt idx="22">
                  <c:v>2485.483870967741</c:v>
                </c:pt>
                <c:pt idx="23">
                  <c:v>2593.5483870967732</c:v>
                </c:pt>
                <c:pt idx="24">
                  <c:v>2701.6129032258054</c:v>
                </c:pt>
                <c:pt idx="25">
                  <c:v>2809.6774193548376</c:v>
                </c:pt>
                <c:pt idx="26">
                  <c:v>2917.7419354838698</c:v>
                </c:pt>
                <c:pt idx="27">
                  <c:v>3025.806451612902</c:v>
                </c:pt>
                <c:pt idx="28">
                  <c:v>3133.8709677419342</c:v>
                </c:pt>
                <c:pt idx="29">
                  <c:v>3241.9354838709664</c:v>
                </c:pt>
                <c:pt idx="30">
                  <c:v>3349.9999999999986</c:v>
                </c:pt>
              </c:numCache>
            </c:numRef>
          </c:val>
        </c:ser>
        <c:marker val="1"/>
        <c:axId val="138396800"/>
        <c:axId val="138398336"/>
      </c:lineChart>
      <c:catAx>
        <c:axId val="13839680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8398336"/>
        <c:crossesAt val="0"/>
        <c:auto val="1"/>
        <c:lblAlgn val="ctr"/>
        <c:lblOffset val="100"/>
        <c:tickLblSkip val="1"/>
        <c:tickMarkSkip val="1"/>
      </c:catAx>
      <c:valAx>
        <c:axId val="138398336"/>
        <c:scaling>
          <c:orientation val="minMax"/>
          <c:max val="40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8396800"/>
        <c:crossesAt val="1"/>
        <c:crossBetween val="midCat"/>
        <c:majorUnit val="500"/>
        <c:minorUnit val="10"/>
      </c:valAx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1180555555555562" footer="0.51180555555555562"/>
    <c:pageSetup paperSize="9" firstPageNumber="0" orientation="landscape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0649617431186729"/>
          <c:y val="0.11983713303442695"/>
          <c:w val="0.87262357414462965"/>
          <c:h val="0.79878207329393991"/>
        </c:manualLayout>
      </c:layout>
      <c:lineChart>
        <c:grouping val="standard"/>
        <c:ser>
          <c:idx val="0"/>
          <c:order val="0"/>
          <c:tx>
            <c:strRef>
              <c:f>'июль 20 '!$BF$6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'июль 20 '!$BF$7:$BF$37</c:f>
              <c:numCache>
                <c:formatCode>0.00</c:formatCode>
                <c:ptCount val="31"/>
                <c:pt idx="0">
                  <c:v>99.390000000000015</c:v>
                </c:pt>
                <c:pt idx="1">
                  <c:v>197.56</c:v>
                </c:pt>
                <c:pt idx="2">
                  <c:v>296.55</c:v>
                </c:pt>
                <c:pt idx="3">
                  <c:v>394.06</c:v>
                </c:pt>
                <c:pt idx="4">
                  <c:v>484.69</c:v>
                </c:pt>
                <c:pt idx="5">
                  <c:v>568.70000000000005</c:v>
                </c:pt>
                <c:pt idx="6">
                  <c:v>669.2700000000001</c:v>
                </c:pt>
                <c:pt idx="7">
                  <c:v>768.83000000000015</c:v>
                </c:pt>
                <c:pt idx="8">
                  <c:v>863.2800000000002</c:v>
                </c:pt>
                <c:pt idx="9">
                  <c:v>958.33000000000015</c:v>
                </c:pt>
                <c:pt idx="10">
                  <c:v>1052.6100000000001</c:v>
                </c:pt>
                <c:pt idx="11">
                  <c:v>1148.18</c:v>
                </c:pt>
                <c:pt idx="12">
                  <c:v>1239.6400000000001</c:v>
                </c:pt>
                <c:pt idx="13">
                  <c:v>1337.8100000000002</c:v>
                </c:pt>
                <c:pt idx="14">
                  <c:v>1429.44</c:v>
                </c:pt>
                <c:pt idx="15">
                  <c:v>1524.28</c:v>
                </c:pt>
                <c:pt idx="16">
                  <c:v>1620.68</c:v>
                </c:pt>
                <c:pt idx="17">
                  <c:v>1716.95</c:v>
                </c:pt>
                <c:pt idx="18">
                  <c:v>1786.0700000000002</c:v>
                </c:pt>
                <c:pt idx="19">
                  <c:v>1869.2600000000002</c:v>
                </c:pt>
                <c:pt idx="20">
                  <c:v>1965.7300000000002</c:v>
                </c:pt>
                <c:pt idx="21">
                  <c:v>2055.63</c:v>
                </c:pt>
                <c:pt idx="22">
                  <c:v>2147.94</c:v>
                </c:pt>
                <c:pt idx="23">
                  <c:v>2243.08</c:v>
                </c:pt>
                <c:pt idx="24">
                  <c:v>2332.36</c:v>
                </c:pt>
                <c:pt idx="25">
                  <c:v>2430.5</c:v>
                </c:pt>
                <c:pt idx="26">
                  <c:v>2525.4</c:v>
                </c:pt>
                <c:pt idx="27">
                  <c:v>2619.12</c:v>
                </c:pt>
                <c:pt idx="28">
                  <c:v>2719</c:v>
                </c:pt>
                <c:pt idx="29">
                  <c:v>2800.15</c:v>
                </c:pt>
                <c:pt idx="30">
                  <c:v>2864.9900000000002</c:v>
                </c:pt>
              </c:numCache>
            </c:numRef>
          </c:val>
        </c:ser>
        <c:ser>
          <c:idx val="1"/>
          <c:order val="1"/>
          <c:tx>
            <c:strRef>
              <c:f>'июль 20 '!$BH$6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'июль 20 '!$BH$7:$BH$37</c:f>
              <c:numCache>
                <c:formatCode>0.00</c:formatCode>
                <c:ptCount val="31"/>
                <c:pt idx="0">
                  <c:v>108.06451612903226</c:v>
                </c:pt>
                <c:pt idx="1">
                  <c:v>216.12903225806451</c:v>
                </c:pt>
                <c:pt idx="2">
                  <c:v>324.19354838709677</c:v>
                </c:pt>
                <c:pt idx="3">
                  <c:v>432.25806451612902</c:v>
                </c:pt>
                <c:pt idx="4">
                  <c:v>540.32258064516122</c:v>
                </c:pt>
                <c:pt idx="5">
                  <c:v>648.38709677419342</c:v>
                </c:pt>
                <c:pt idx="6">
                  <c:v>756.45161290322562</c:v>
                </c:pt>
                <c:pt idx="7">
                  <c:v>864.51612903225782</c:v>
                </c:pt>
                <c:pt idx="8">
                  <c:v>972.58064516129002</c:v>
                </c:pt>
                <c:pt idx="9">
                  <c:v>1080.6451612903222</c:v>
                </c:pt>
                <c:pt idx="10">
                  <c:v>1188.7096774193544</c:v>
                </c:pt>
                <c:pt idx="11">
                  <c:v>1296.7741935483866</c:v>
                </c:pt>
                <c:pt idx="12">
                  <c:v>1404.8387096774188</c:v>
                </c:pt>
                <c:pt idx="13">
                  <c:v>1512.903225806451</c:v>
                </c:pt>
                <c:pt idx="14">
                  <c:v>1620.9677419354832</c:v>
                </c:pt>
                <c:pt idx="15">
                  <c:v>1729.0322580645154</c:v>
                </c:pt>
                <c:pt idx="16">
                  <c:v>1837.0967741935476</c:v>
                </c:pt>
                <c:pt idx="17">
                  <c:v>1945.1612903225798</c:v>
                </c:pt>
                <c:pt idx="18">
                  <c:v>2053.2258064516122</c:v>
                </c:pt>
                <c:pt idx="19">
                  <c:v>2161.2903225806444</c:v>
                </c:pt>
                <c:pt idx="20">
                  <c:v>2269.3548387096766</c:v>
                </c:pt>
                <c:pt idx="21">
                  <c:v>2377.4193548387088</c:v>
                </c:pt>
                <c:pt idx="22">
                  <c:v>2485.483870967741</c:v>
                </c:pt>
                <c:pt idx="23">
                  <c:v>2593.5483870967732</c:v>
                </c:pt>
                <c:pt idx="24">
                  <c:v>2701.6129032258054</c:v>
                </c:pt>
                <c:pt idx="25">
                  <c:v>2809.6774193548376</c:v>
                </c:pt>
                <c:pt idx="26">
                  <c:v>2917.7419354838698</c:v>
                </c:pt>
                <c:pt idx="27">
                  <c:v>3025.806451612902</c:v>
                </c:pt>
                <c:pt idx="28">
                  <c:v>3133.8709677419342</c:v>
                </c:pt>
                <c:pt idx="29">
                  <c:v>3241.9354838709664</c:v>
                </c:pt>
                <c:pt idx="30">
                  <c:v>3349.9999999999986</c:v>
                </c:pt>
              </c:numCache>
            </c:numRef>
          </c:val>
        </c:ser>
        <c:marker val="1"/>
        <c:axId val="134290048"/>
        <c:axId val="134300032"/>
      </c:lineChart>
      <c:catAx>
        <c:axId val="13429004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4300032"/>
        <c:crossesAt val="0"/>
        <c:auto val="1"/>
        <c:lblAlgn val="ctr"/>
        <c:lblOffset val="100"/>
        <c:tickLblSkip val="1"/>
        <c:tickMarkSkip val="1"/>
      </c:catAx>
      <c:valAx>
        <c:axId val="134300032"/>
        <c:scaling>
          <c:orientation val="minMax"/>
          <c:max val="40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4290048"/>
        <c:crossesAt val="1"/>
        <c:crossBetween val="midCat"/>
        <c:majorUnit val="500"/>
        <c:minorUnit val="10"/>
      </c:valAx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1180555555555562" footer="0.51180555555555562"/>
    <c:pageSetup paperSize="9" firstPageNumber="0" orientation="landscape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0649617431186729"/>
          <c:y val="0.11983713303442695"/>
          <c:w val="0.87262357414462965"/>
          <c:h val="0.79878207329393991"/>
        </c:manualLayout>
      </c:layout>
      <c:lineChart>
        <c:grouping val="standard"/>
        <c:ser>
          <c:idx val="0"/>
          <c:order val="0"/>
          <c:tx>
            <c:strRef>
              <c:f>'июль 20  (+руда,кокс)'!$BF$6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'июль 20  (+руда,кокс)'!$BF$7:$BF$37</c:f>
              <c:numCache>
                <c:formatCode>0.00</c:formatCode>
                <c:ptCount val="31"/>
                <c:pt idx="0">
                  <c:v>99.390000000000015</c:v>
                </c:pt>
                <c:pt idx="1">
                  <c:v>197.56</c:v>
                </c:pt>
                <c:pt idx="2">
                  <c:v>296.55</c:v>
                </c:pt>
                <c:pt idx="3">
                  <c:v>394.06</c:v>
                </c:pt>
                <c:pt idx="4">
                  <c:v>484.69</c:v>
                </c:pt>
                <c:pt idx="5">
                  <c:v>568.70000000000005</c:v>
                </c:pt>
                <c:pt idx="6">
                  <c:v>669.2700000000001</c:v>
                </c:pt>
                <c:pt idx="7">
                  <c:v>768.83000000000015</c:v>
                </c:pt>
                <c:pt idx="8">
                  <c:v>863.2800000000002</c:v>
                </c:pt>
                <c:pt idx="9">
                  <c:v>958.33000000000015</c:v>
                </c:pt>
                <c:pt idx="10">
                  <c:v>1052.6100000000001</c:v>
                </c:pt>
                <c:pt idx="11">
                  <c:v>1148.18</c:v>
                </c:pt>
                <c:pt idx="12">
                  <c:v>1239.6400000000001</c:v>
                </c:pt>
                <c:pt idx="13">
                  <c:v>1337.8100000000002</c:v>
                </c:pt>
                <c:pt idx="14">
                  <c:v>1429.44</c:v>
                </c:pt>
                <c:pt idx="15">
                  <c:v>1524.28</c:v>
                </c:pt>
                <c:pt idx="16">
                  <c:v>1620.68</c:v>
                </c:pt>
                <c:pt idx="17">
                  <c:v>1716.95</c:v>
                </c:pt>
                <c:pt idx="18">
                  <c:v>1786.0700000000002</c:v>
                </c:pt>
                <c:pt idx="19">
                  <c:v>1869.2600000000002</c:v>
                </c:pt>
                <c:pt idx="20">
                  <c:v>1965.7300000000002</c:v>
                </c:pt>
                <c:pt idx="21">
                  <c:v>2055.63</c:v>
                </c:pt>
                <c:pt idx="22">
                  <c:v>2147.94</c:v>
                </c:pt>
                <c:pt idx="23">
                  <c:v>2243.08</c:v>
                </c:pt>
                <c:pt idx="24">
                  <c:v>2332.36</c:v>
                </c:pt>
                <c:pt idx="25">
                  <c:v>2430.5</c:v>
                </c:pt>
                <c:pt idx="26">
                  <c:v>2525.4</c:v>
                </c:pt>
                <c:pt idx="27">
                  <c:v>2619.12</c:v>
                </c:pt>
                <c:pt idx="28">
                  <c:v>2719</c:v>
                </c:pt>
                <c:pt idx="29">
                  <c:v>2800.15</c:v>
                </c:pt>
                <c:pt idx="30">
                  <c:v>2864.9900000000002</c:v>
                </c:pt>
              </c:numCache>
            </c:numRef>
          </c:val>
        </c:ser>
        <c:ser>
          <c:idx val="1"/>
          <c:order val="1"/>
          <c:tx>
            <c:strRef>
              <c:f>'июль 20  (+руда,кокс)'!$BH$6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'июль 20  (+руда,кокс)'!$BH$7:$BH$37</c:f>
              <c:numCache>
                <c:formatCode>0.00</c:formatCode>
                <c:ptCount val="31"/>
                <c:pt idx="0">
                  <c:v>108.06451612903226</c:v>
                </c:pt>
                <c:pt idx="1">
                  <c:v>216.12903225806451</c:v>
                </c:pt>
                <c:pt idx="2">
                  <c:v>324.19354838709677</c:v>
                </c:pt>
                <c:pt idx="3">
                  <c:v>432.25806451612902</c:v>
                </c:pt>
                <c:pt idx="4">
                  <c:v>540.32258064516122</c:v>
                </c:pt>
                <c:pt idx="5">
                  <c:v>648.38709677419342</c:v>
                </c:pt>
                <c:pt idx="6">
                  <c:v>756.45161290322562</c:v>
                </c:pt>
                <c:pt idx="7">
                  <c:v>864.51612903225782</c:v>
                </c:pt>
                <c:pt idx="8">
                  <c:v>972.58064516129002</c:v>
                </c:pt>
                <c:pt idx="9">
                  <c:v>1080.6451612903222</c:v>
                </c:pt>
                <c:pt idx="10">
                  <c:v>1188.7096774193544</c:v>
                </c:pt>
                <c:pt idx="11">
                  <c:v>1296.7741935483866</c:v>
                </c:pt>
                <c:pt idx="12">
                  <c:v>1404.8387096774188</c:v>
                </c:pt>
                <c:pt idx="13">
                  <c:v>1512.903225806451</c:v>
                </c:pt>
                <c:pt idx="14">
                  <c:v>1620.9677419354832</c:v>
                </c:pt>
                <c:pt idx="15">
                  <c:v>1729.0322580645154</c:v>
                </c:pt>
                <c:pt idx="16">
                  <c:v>1837.0967741935476</c:v>
                </c:pt>
                <c:pt idx="17">
                  <c:v>1945.1612903225798</c:v>
                </c:pt>
                <c:pt idx="18">
                  <c:v>2053.2258064516122</c:v>
                </c:pt>
                <c:pt idx="19">
                  <c:v>2161.2903225806444</c:v>
                </c:pt>
                <c:pt idx="20">
                  <c:v>2269.3548387096766</c:v>
                </c:pt>
                <c:pt idx="21">
                  <c:v>2377.4193548387088</c:v>
                </c:pt>
                <c:pt idx="22">
                  <c:v>2485.483870967741</c:v>
                </c:pt>
                <c:pt idx="23">
                  <c:v>2593.5483870967732</c:v>
                </c:pt>
                <c:pt idx="24">
                  <c:v>2701.6129032258054</c:v>
                </c:pt>
                <c:pt idx="25">
                  <c:v>2809.6774193548376</c:v>
                </c:pt>
                <c:pt idx="26">
                  <c:v>2917.7419354838698</c:v>
                </c:pt>
                <c:pt idx="27">
                  <c:v>3025.806451612902</c:v>
                </c:pt>
                <c:pt idx="28">
                  <c:v>3133.8709677419342</c:v>
                </c:pt>
                <c:pt idx="29">
                  <c:v>3241.9354838709664</c:v>
                </c:pt>
                <c:pt idx="30">
                  <c:v>3349.9999999999986</c:v>
                </c:pt>
              </c:numCache>
            </c:numRef>
          </c:val>
        </c:ser>
        <c:marker val="1"/>
        <c:axId val="138801536"/>
        <c:axId val="138803072"/>
      </c:lineChart>
      <c:catAx>
        <c:axId val="13880153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8803072"/>
        <c:crossesAt val="0"/>
        <c:auto val="1"/>
        <c:lblAlgn val="ctr"/>
        <c:lblOffset val="100"/>
        <c:tickLblSkip val="1"/>
        <c:tickMarkSkip val="1"/>
      </c:catAx>
      <c:valAx>
        <c:axId val="138803072"/>
        <c:scaling>
          <c:orientation val="minMax"/>
          <c:max val="40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8801536"/>
        <c:crossesAt val="1"/>
        <c:crossBetween val="midCat"/>
        <c:majorUnit val="500"/>
        <c:minorUnit val="10"/>
      </c:valAx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1180555555555562" footer="0.51180555555555562"/>
    <c:pageSetup paperSize="9" firstPageNumber="0" orientation="landscape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0649617431186729"/>
          <c:y val="0.11983713303442695"/>
          <c:w val="0.87262357414462965"/>
          <c:h val="0.79878207329393991"/>
        </c:manualLayout>
      </c:layout>
      <c:lineChart>
        <c:grouping val="standard"/>
        <c:ser>
          <c:idx val="0"/>
          <c:order val="0"/>
          <c:tx>
            <c:strRef>
              <c:f>'август 20 (факт)'!$BF$6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'август 20 (факт)'!$BF$7:$BF$37</c:f>
              <c:numCache>
                <c:formatCode>0.00</c:formatCode>
                <c:ptCount val="31"/>
                <c:pt idx="0">
                  <c:v>100.1</c:v>
                </c:pt>
                <c:pt idx="1">
                  <c:v>193.44</c:v>
                </c:pt>
                <c:pt idx="2">
                  <c:v>288.35000000000002</c:v>
                </c:pt>
                <c:pt idx="3">
                  <c:v>356</c:v>
                </c:pt>
                <c:pt idx="4">
                  <c:v>445.06</c:v>
                </c:pt>
                <c:pt idx="5">
                  <c:v>542.04</c:v>
                </c:pt>
                <c:pt idx="6">
                  <c:v>632.32999999999993</c:v>
                </c:pt>
                <c:pt idx="7">
                  <c:v>723.64999999999986</c:v>
                </c:pt>
                <c:pt idx="8">
                  <c:v>814.29999999999984</c:v>
                </c:pt>
                <c:pt idx="9">
                  <c:v>911.87999999999988</c:v>
                </c:pt>
                <c:pt idx="10">
                  <c:v>999.45999999999992</c:v>
                </c:pt>
                <c:pt idx="11">
                  <c:v>1091.3699999999999</c:v>
                </c:pt>
                <c:pt idx="12">
                  <c:v>1184.26</c:v>
                </c:pt>
                <c:pt idx="13">
                  <c:v>1278.67</c:v>
                </c:pt>
                <c:pt idx="14">
                  <c:v>1366.55</c:v>
                </c:pt>
                <c:pt idx="15">
                  <c:v>1456.7</c:v>
                </c:pt>
                <c:pt idx="16">
                  <c:v>1550.52</c:v>
                </c:pt>
                <c:pt idx="17">
                  <c:v>1644.87</c:v>
                </c:pt>
                <c:pt idx="18">
                  <c:v>1730.8799999999999</c:v>
                </c:pt>
                <c:pt idx="19">
                  <c:v>1829.9199999999998</c:v>
                </c:pt>
                <c:pt idx="20">
                  <c:v>1926.1999999999998</c:v>
                </c:pt>
                <c:pt idx="21">
                  <c:v>2024.2999999999997</c:v>
                </c:pt>
                <c:pt idx="22">
                  <c:v>2116.6799999999998</c:v>
                </c:pt>
                <c:pt idx="23">
                  <c:v>2207.3199999999997</c:v>
                </c:pt>
                <c:pt idx="24">
                  <c:v>2250.6999999999998</c:v>
                </c:pt>
                <c:pt idx="25">
                  <c:v>2294.02</c:v>
                </c:pt>
                <c:pt idx="26">
                  <c:v>2397.31</c:v>
                </c:pt>
                <c:pt idx="27">
                  <c:v>2514.39</c:v>
                </c:pt>
                <c:pt idx="28">
                  <c:v>2644.1099999999997</c:v>
                </c:pt>
                <c:pt idx="29">
                  <c:v>2755.2299999999996</c:v>
                </c:pt>
                <c:pt idx="30">
                  <c:v>2872.6399999999994</c:v>
                </c:pt>
              </c:numCache>
            </c:numRef>
          </c:val>
        </c:ser>
        <c:ser>
          <c:idx val="1"/>
          <c:order val="1"/>
          <c:tx>
            <c:strRef>
              <c:f>'август 20 (факт)'!$BH$6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'август 20 (факт)'!$BH$7:$BH$37</c:f>
              <c:numCache>
                <c:formatCode>0.00</c:formatCode>
                <c:ptCount val="31"/>
                <c:pt idx="0">
                  <c:v>107.74193548387096</c:v>
                </c:pt>
                <c:pt idx="1">
                  <c:v>215.48387096774192</c:v>
                </c:pt>
                <c:pt idx="2">
                  <c:v>323.22580645161287</c:v>
                </c:pt>
                <c:pt idx="3">
                  <c:v>430.96774193548384</c:v>
                </c:pt>
                <c:pt idx="4">
                  <c:v>538.70967741935476</c:v>
                </c:pt>
                <c:pt idx="5">
                  <c:v>646.45161290322574</c:v>
                </c:pt>
                <c:pt idx="6">
                  <c:v>754.19354838709671</c:v>
                </c:pt>
                <c:pt idx="7">
                  <c:v>861.93548387096769</c:v>
                </c:pt>
                <c:pt idx="8">
                  <c:v>969.67741935483866</c:v>
                </c:pt>
                <c:pt idx="9">
                  <c:v>1077.4193548387095</c:v>
                </c:pt>
                <c:pt idx="10">
                  <c:v>1185.1612903225805</c:v>
                </c:pt>
                <c:pt idx="11">
                  <c:v>1292.9032258064515</c:v>
                </c:pt>
                <c:pt idx="12">
                  <c:v>1400.6451612903224</c:v>
                </c:pt>
                <c:pt idx="13">
                  <c:v>1508.3870967741934</c:v>
                </c:pt>
                <c:pt idx="14">
                  <c:v>1616.1290322580644</c:v>
                </c:pt>
                <c:pt idx="15">
                  <c:v>1723.8709677419354</c:v>
                </c:pt>
                <c:pt idx="16">
                  <c:v>1831.6129032258063</c:v>
                </c:pt>
                <c:pt idx="17">
                  <c:v>1939.3548387096773</c:v>
                </c:pt>
                <c:pt idx="18">
                  <c:v>2047.0967741935483</c:v>
                </c:pt>
                <c:pt idx="19">
                  <c:v>2154.838709677419</c:v>
                </c:pt>
                <c:pt idx="20">
                  <c:v>2262.5806451612898</c:v>
                </c:pt>
                <c:pt idx="21">
                  <c:v>2370.3225806451605</c:v>
                </c:pt>
                <c:pt idx="22">
                  <c:v>2478.0645161290313</c:v>
                </c:pt>
                <c:pt idx="23">
                  <c:v>2585.806451612902</c:v>
                </c:pt>
                <c:pt idx="24">
                  <c:v>2693.5483870967728</c:v>
                </c:pt>
                <c:pt idx="25">
                  <c:v>2801.2903225806435</c:v>
                </c:pt>
                <c:pt idx="26">
                  <c:v>2909.0322580645143</c:v>
                </c:pt>
                <c:pt idx="27">
                  <c:v>3016.774193548385</c:v>
                </c:pt>
                <c:pt idx="28">
                  <c:v>3124.5161290322558</c:v>
                </c:pt>
                <c:pt idx="29">
                  <c:v>3232.2580645161265</c:v>
                </c:pt>
                <c:pt idx="30">
                  <c:v>3339.9999999999973</c:v>
                </c:pt>
              </c:numCache>
            </c:numRef>
          </c:val>
        </c:ser>
        <c:marker val="1"/>
        <c:axId val="138819456"/>
        <c:axId val="138820992"/>
      </c:lineChart>
      <c:catAx>
        <c:axId val="13881945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8820992"/>
        <c:crossesAt val="0"/>
        <c:auto val="1"/>
        <c:lblAlgn val="ctr"/>
        <c:lblOffset val="100"/>
        <c:tickLblSkip val="1"/>
        <c:tickMarkSkip val="1"/>
      </c:catAx>
      <c:valAx>
        <c:axId val="138820992"/>
        <c:scaling>
          <c:orientation val="minMax"/>
          <c:max val="40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8819456"/>
        <c:crossesAt val="1"/>
        <c:crossBetween val="midCat"/>
        <c:majorUnit val="500"/>
        <c:minorUnit val="10"/>
      </c:valAx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1180555555555562" footer="0.51180555555555562"/>
    <c:pageSetup paperSize="9" firstPageNumber="0" orientation="landscape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0649617431186729"/>
          <c:y val="0.11983713303442695"/>
          <c:w val="0.87262357414462965"/>
          <c:h val="0.79878207329393991"/>
        </c:manualLayout>
      </c:layout>
      <c:lineChart>
        <c:grouping val="standard"/>
        <c:ser>
          <c:idx val="0"/>
          <c:order val="0"/>
          <c:tx>
            <c:strRef>
              <c:f>'август 20'!$BF$6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'август 20'!$BF$7:$BF$37</c:f>
              <c:numCache>
                <c:formatCode>0.00</c:formatCode>
                <c:ptCount val="31"/>
                <c:pt idx="0">
                  <c:v>97.649999999999991</c:v>
                </c:pt>
                <c:pt idx="1">
                  <c:v>190.19</c:v>
                </c:pt>
                <c:pt idx="2">
                  <c:v>290.40999999999997</c:v>
                </c:pt>
                <c:pt idx="3">
                  <c:v>354.51</c:v>
                </c:pt>
                <c:pt idx="4">
                  <c:v>444.23</c:v>
                </c:pt>
                <c:pt idx="5">
                  <c:v>538.85</c:v>
                </c:pt>
                <c:pt idx="6">
                  <c:v>633.80000000000007</c:v>
                </c:pt>
                <c:pt idx="7">
                  <c:v>725.7600000000001</c:v>
                </c:pt>
                <c:pt idx="8">
                  <c:v>817.11000000000013</c:v>
                </c:pt>
                <c:pt idx="9">
                  <c:v>914.5200000000001</c:v>
                </c:pt>
                <c:pt idx="10">
                  <c:v>1007.6000000000001</c:v>
                </c:pt>
                <c:pt idx="11">
                  <c:v>1103.3900000000001</c:v>
                </c:pt>
                <c:pt idx="12">
                  <c:v>1196.93</c:v>
                </c:pt>
                <c:pt idx="13">
                  <c:v>1290.69</c:v>
                </c:pt>
                <c:pt idx="14">
                  <c:v>1386.55</c:v>
                </c:pt>
                <c:pt idx="15">
                  <c:v>1478.07</c:v>
                </c:pt>
                <c:pt idx="16">
                  <c:v>1571.53</c:v>
                </c:pt>
                <c:pt idx="17">
                  <c:v>1665.65</c:v>
                </c:pt>
                <c:pt idx="18">
                  <c:v>1730.88</c:v>
                </c:pt>
                <c:pt idx="19">
                  <c:v>1829.7700000000002</c:v>
                </c:pt>
                <c:pt idx="20">
                  <c:v>1924.8000000000002</c:v>
                </c:pt>
                <c:pt idx="21">
                  <c:v>2021.4700000000003</c:v>
                </c:pt>
                <c:pt idx="22">
                  <c:v>2119.21</c:v>
                </c:pt>
                <c:pt idx="23">
                  <c:v>2210.06</c:v>
                </c:pt>
                <c:pt idx="24">
                  <c:v>2243.6</c:v>
                </c:pt>
                <c:pt idx="25">
                  <c:v>2290.9</c:v>
                </c:pt>
                <c:pt idx="26">
                  <c:v>2396.8900000000003</c:v>
                </c:pt>
                <c:pt idx="27">
                  <c:v>2513.2800000000002</c:v>
                </c:pt>
                <c:pt idx="28">
                  <c:v>2635.9100000000003</c:v>
                </c:pt>
                <c:pt idx="29">
                  <c:v>2753.7200000000003</c:v>
                </c:pt>
                <c:pt idx="30">
                  <c:v>2872.6400000000003</c:v>
                </c:pt>
              </c:numCache>
            </c:numRef>
          </c:val>
        </c:ser>
        <c:ser>
          <c:idx val="1"/>
          <c:order val="1"/>
          <c:tx>
            <c:strRef>
              <c:f>'август 20'!$BH$6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'август 20'!$BH$7:$BH$37</c:f>
              <c:numCache>
                <c:formatCode>0.00</c:formatCode>
                <c:ptCount val="31"/>
                <c:pt idx="0">
                  <c:v>107.74193548387096</c:v>
                </c:pt>
                <c:pt idx="1">
                  <c:v>215.48387096774192</c:v>
                </c:pt>
                <c:pt idx="2">
                  <c:v>323.22580645161287</c:v>
                </c:pt>
                <c:pt idx="3">
                  <c:v>430.96774193548384</c:v>
                </c:pt>
                <c:pt idx="4">
                  <c:v>538.70967741935476</c:v>
                </c:pt>
                <c:pt idx="5">
                  <c:v>646.45161290322574</c:v>
                </c:pt>
                <c:pt idx="6">
                  <c:v>754.19354838709671</c:v>
                </c:pt>
                <c:pt idx="7">
                  <c:v>861.93548387096769</c:v>
                </c:pt>
                <c:pt idx="8">
                  <c:v>969.67741935483866</c:v>
                </c:pt>
                <c:pt idx="9">
                  <c:v>1077.4193548387095</c:v>
                </c:pt>
                <c:pt idx="10">
                  <c:v>1185.1612903225805</c:v>
                </c:pt>
                <c:pt idx="11">
                  <c:v>1292.9032258064515</c:v>
                </c:pt>
                <c:pt idx="12">
                  <c:v>1400.6451612903224</c:v>
                </c:pt>
                <c:pt idx="13">
                  <c:v>1508.3870967741934</c:v>
                </c:pt>
                <c:pt idx="14">
                  <c:v>1616.1290322580644</c:v>
                </c:pt>
                <c:pt idx="15">
                  <c:v>1723.8709677419354</c:v>
                </c:pt>
                <c:pt idx="16">
                  <c:v>1831.6129032258063</c:v>
                </c:pt>
                <c:pt idx="17">
                  <c:v>1939.3548387096773</c:v>
                </c:pt>
                <c:pt idx="18">
                  <c:v>2047.0967741935483</c:v>
                </c:pt>
                <c:pt idx="19">
                  <c:v>2154.838709677419</c:v>
                </c:pt>
                <c:pt idx="20">
                  <c:v>2262.5806451612898</c:v>
                </c:pt>
                <c:pt idx="21">
                  <c:v>2370.3225806451605</c:v>
                </c:pt>
                <c:pt idx="22">
                  <c:v>2478.0645161290313</c:v>
                </c:pt>
                <c:pt idx="23">
                  <c:v>2585.806451612902</c:v>
                </c:pt>
                <c:pt idx="24">
                  <c:v>2693.5483870967728</c:v>
                </c:pt>
                <c:pt idx="25">
                  <c:v>2801.2903225806435</c:v>
                </c:pt>
                <c:pt idx="26">
                  <c:v>2909.0322580645143</c:v>
                </c:pt>
                <c:pt idx="27">
                  <c:v>3016.774193548385</c:v>
                </c:pt>
                <c:pt idx="28">
                  <c:v>3124.5161290322558</c:v>
                </c:pt>
                <c:pt idx="29">
                  <c:v>3232.2580645161265</c:v>
                </c:pt>
                <c:pt idx="30">
                  <c:v>3339.9999999999973</c:v>
                </c:pt>
              </c:numCache>
            </c:numRef>
          </c:val>
        </c:ser>
        <c:marker val="1"/>
        <c:axId val="139169152"/>
        <c:axId val="138941568"/>
      </c:lineChart>
      <c:catAx>
        <c:axId val="13916915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8941568"/>
        <c:crossesAt val="0"/>
        <c:auto val="1"/>
        <c:lblAlgn val="ctr"/>
        <c:lblOffset val="100"/>
        <c:tickLblSkip val="1"/>
        <c:tickMarkSkip val="1"/>
      </c:catAx>
      <c:valAx>
        <c:axId val="138941568"/>
        <c:scaling>
          <c:orientation val="minMax"/>
          <c:max val="40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9169152"/>
        <c:crossesAt val="1"/>
        <c:crossBetween val="midCat"/>
        <c:majorUnit val="500"/>
        <c:minorUnit val="10"/>
      </c:valAx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1180555555555562" footer="0.51180555555555562"/>
    <c:pageSetup paperSize="9" firstPageNumber="0" orientation="landscape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0649617431186729"/>
          <c:y val="0.11983713303442695"/>
          <c:w val="0.87262357414462965"/>
          <c:h val="0.79878207329393991"/>
        </c:manualLayout>
      </c:layout>
      <c:lineChart>
        <c:grouping val="standard"/>
        <c:ser>
          <c:idx val="0"/>
          <c:order val="0"/>
          <c:tx>
            <c:strRef>
              <c:f>'август 20 (+агл,кокс)'!$BF$6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'август 20 (+агл,кокс)'!$BF$7:$BF$37</c:f>
              <c:numCache>
                <c:formatCode>0.00</c:formatCode>
                <c:ptCount val="31"/>
                <c:pt idx="0">
                  <c:v>97.649999999999991</c:v>
                </c:pt>
                <c:pt idx="1">
                  <c:v>190.19</c:v>
                </c:pt>
                <c:pt idx="2">
                  <c:v>290.40999999999997</c:v>
                </c:pt>
                <c:pt idx="3">
                  <c:v>354.51</c:v>
                </c:pt>
                <c:pt idx="4">
                  <c:v>444.23</c:v>
                </c:pt>
                <c:pt idx="5">
                  <c:v>538.85</c:v>
                </c:pt>
                <c:pt idx="6">
                  <c:v>633.80000000000007</c:v>
                </c:pt>
                <c:pt idx="7">
                  <c:v>725.7600000000001</c:v>
                </c:pt>
                <c:pt idx="8">
                  <c:v>817.11000000000013</c:v>
                </c:pt>
                <c:pt idx="9">
                  <c:v>914.5200000000001</c:v>
                </c:pt>
                <c:pt idx="10">
                  <c:v>1007.6000000000001</c:v>
                </c:pt>
                <c:pt idx="11">
                  <c:v>1103.3900000000001</c:v>
                </c:pt>
                <c:pt idx="12">
                  <c:v>1196.93</c:v>
                </c:pt>
                <c:pt idx="13">
                  <c:v>1290.69</c:v>
                </c:pt>
                <c:pt idx="14">
                  <c:v>1386.55</c:v>
                </c:pt>
                <c:pt idx="15">
                  <c:v>1478.07</c:v>
                </c:pt>
                <c:pt idx="16">
                  <c:v>1571.53</c:v>
                </c:pt>
                <c:pt idx="17">
                  <c:v>1665.65</c:v>
                </c:pt>
                <c:pt idx="18">
                  <c:v>1730.88</c:v>
                </c:pt>
                <c:pt idx="19">
                  <c:v>1829.7700000000002</c:v>
                </c:pt>
                <c:pt idx="20">
                  <c:v>1924.8000000000002</c:v>
                </c:pt>
                <c:pt idx="21">
                  <c:v>2021.4700000000003</c:v>
                </c:pt>
                <c:pt idx="22">
                  <c:v>2119.21</c:v>
                </c:pt>
                <c:pt idx="23">
                  <c:v>2210.06</c:v>
                </c:pt>
                <c:pt idx="24">
                  <c:v>2243.6</c:v>
                </c:pt>
                <c:pt idx="25">
                  <c:v>2290.9</c:v>
                </c:pt>
                <c:pt idx="26">
                  <c:v>2396.8900000000003</c:v>
                </c:pt>
                <c:pt idx="27">
                  <c:v>2513.2800000000002</c:v>
                </c:pt>
                <c:pt idx="28">
                  <c:v>2635.9100000000003</c:v>
                </c:pt>
                <c:pt idx="29">
                  <c:v>2753.7200000000003</c:v>
                </c:pt>
                <c:pt idx="30">
                  <c:v>2872.6400000000003</c:v>
                </c:pt>
              </c:numCache>
            </c:numRef>
          </c:val>
        </c:ser>
        <c:ser>
          <c:idx val="1"/>
          <c:order val="1"/>
          <c:tx>
            <c:strRef>
              <c:f>'август 20 (+агл,кокс)'!$BH$6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'август 20 (+агл,кокс)'!$BH$7:$BH$37</c:f>
              <c:numCache>
                <c:formatCode>0.00</c:formatCode>
                <c:ptCount val="31"/>
                <c:pt idx="0">
                  <c:v>107.74193548387096</c:v>
                </c:pt>
                <c:pt idx="1">
                  <c:v>215.48387096774192</c:v>
                </c:pt>
                <c:pt idx="2">
                  <c:v>323.22580645161287</c:v>
                </c:pt>
                <c:pt idx="3">
                  <c:v>430.96774193548384</c:v>
                </c:pt>
                <c:pt idx="4">
                  <c:v>538.70967741935476</c:v>
                </c:pt>
                <c:pt idx="5">
                  <c:v>646.45161290322574</c:v>
                </c:pt>
                <c:pt idx="6">
                  <c:v>754.19354838709671</c:v>
                </c:pt>
                <c:pt idx="7">
                  <c:v>861.93548387096769</c:v>
                </c:pt>
                <c:pt idx="8">
                  <c:v>969.67741935483866</c:v>
                </c:pt>
                <c:pt idx="9">
                  <c:v>1077.4193548387095</c:v>
                </c:pt>
                <c:pt idx="10">
                  <c:v>1185.1612903225805</c:v>
                </c:pt>
                <c:pt idx="11">
                  <c:v>1292.9032258064515</c:v>
                </c:pt>
                <c:pt idx="12">
                  <c:v>1400.6451612903224</c:v>
                </c:pt>
                <c:pt idx="13">
                  <c:v>1508.3870967741934</c:v>
                </c:pt>
                <c:pt idx="14">
                  <c:v>1616.1290322580644</c:v>
                </c:pt>
                <c:pt idx="15">
                  <c:v>1723.8709677419354</c:v>
                </c:pt>
                <c:pt idx="16">
                  <c:v>1831.6129032258063</c:v>
                </c:pt>
                <c:pt idx="17">
                  <c:v>1939.3548387096773</c:v>
                </c:pt>
                <c:pt idx="18">
                  <c:v>2047.0967741935483</c:v>
                </c:pt>
                <c:pt idx="19">
                  <c:v>2154.838709677419</c:v>
                </c:pt>
                <c:pt idx="20">
                  <c:v>2262.5806451612898</c:v>
                </c:pt>
                <c:pt idx="21">
                  <c:v>2370.3225806451605</c:v>
                </c:pt>
                <c:pt idx="22">
                  <c:v>2478.0645161290313</c:v>
                </c:pt>
                <c:pt idx="23">
                  <c:v>2585.806451612902</c:v>
                </c:pt>
                <c:pt idx="24">
                  <c:v>2693.5483870967728</c:v>
                </c:pt>
                <c:pt idx="25">
                  <c:v>2801.2903225806435</c:v>
                </c:pt>
                <c:pt idx="26">
                  <c:v>2909.0322580645143</c:v>
                </c:pt>
                <c:pt idx="27">
                  <c:v>3016.774193548385</c:v>
                </c:pt>
                <c:pt idx="28">
                  <c:v>3124.5161290322558</c:v>
                </c:pt>
                <c:pt idx="29">
                  <c:v>3232.2580645161265</c:v>
                </c:pt>
                <c:pt idx="30">
                  <c:v>3339.9999999999973</c:v>
                </c:pt>
              </c:numCache>
            </c:numRef>
          </c:val>
        </c:ser>
        <c:marker val="1"/>
        <c:axId val="139342976"/>
        <c:axId val="139344512"/>
      </c:lineChart>
      <c:catAx>
        <c:axId val="13934297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9344512"/>
        <c:crossesAt val="0"/>
        <c:auto val="1"/>
        <c:lblAlgn val="ctr"/>
        <c:lblOffset val="100"/>
        <c:tickLblSkip val="1"/>
        <c:tickMarkSkip val="1"/>
      </c:catAx>
      <c:valAx>
        <c:axId val="139344512"/>
        <c:scaling>
          <c:orientation val="minMax"/>
          <c:max val="40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9342976"/>
        <c:crossesAt val="1"/>
        <c:crossBetween val="midCat"/>
        <c:majorUnit val="500"/>
        <c:minorUnit val="10"/>
      </c:valAx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1180555555555562" footer="0.51180555555555562"/>
    <c:pageSetup paperSize="9" firstPageNumber="0" orientation="landscape"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0649617431186729"/>
          <c:y val="0.11983713303442695"/>
          <c:w val="0.87262357414462965"/>
          <c:h val="0.79878207329393991"/>
        </c:manualLayout>
      </c:layout>
      <c:lineChart>
        <c:grouping val="standard"/>
        <c:ser>
          <c:idx val="0"/>
          <c:order val="0"/>
          <c:tx>
            <c:strRef>
              <c:f>'сентябрь 20 (факт)'!$BF$6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'сентябрь 20 (факт)'!$BF$7:$BF$37</c:f>
              <c:numCache>
                <c:formatCode>0.00</c:formatCode>
                <c:ptCount val="31"/>
                <c:pt idx="0">
                  <c:v>129.97999999999999</c:v>
                </c:pt>
                <c:pt idx="1">
                  <c:v>247.65999999999997</c:v>
                </c:pt>
                <c:pt idx="2">
                  <c:v>381.7</c:v>
                </c:pt>
                <c:pt idx="3">
                  <c:v>491.77</c:v>
                </c:pt>
                <c:pt idx="4">
                  <c:v>623.05999999999995</c:v>
                </c:pt>
                <c:pt idx="5">
                  <c:v>735.59999999999991</c:v>
                </c:pt>
                <c:pt idx="6">
                  <c:v>847.3599999999999</c:v>
                </c:pt>
                <c:pt idx="7">
                  <c:v>961.89999999999986</c:v>
                </c:pt>
                <c:pt idx="8">
                  <c:v>1076.3</c:v>
                </c:pt>
                <c:pt idx="9">
                  <c:v>1190.78</c:v>
                </c:pt>
                <c:pt idx="10">
                  <c:v>1314.48</c:v>
                </c:pt>
                <c:pt idx="11">
                  <c:v>1427.68</c:v>
                </c:pt>
                <c:pt idx="12">
                  <c:v>1547.5400000000002</c:v>
                </c:pt>
                <c:pt idx="13">
                  <c:v>1684.69</c:v>
                </c:pt>
                <c:pt idx="14">
                  <c:v>1806.8300000000002</c:v>
                </c:pt>
                <c:pt idx="15">
                  <c:v>1926.7</c:v>
                </c:pt>
                <c:pt idx="16">
                  <c:v>2054.29</c:v>
                </c:pt>
                <c:pt idx="17">
                  <c:v>2184.4699999999998</c:v>
                </c:pt>
                <c:pt idx="18">
                  <c:v>2319.12</c:v>
                </c:pt>
                <c:pt idx="19">
                  <c:v>2440.0499999999997</c:v>
                </c:pt>
                <c:pt idx="20">
                  <c:v>2557.9499999999998</c:v>
                </c:pt>
                <c:pt idx="21">
                  <c:v>2682.87</c:v>
                </c:pt>
                <c:pt idx="22">
                  <c:v>2803.92</c:v>
                </c:pt>
                <c:pt idx="23">
                  <c:v>2887.61</c:v>
                </c:pt>
                <c:pt idx="24">
                  <c:v>2942.4700000000003</c:v>
                </c:pt>
                <c:pt idx="25">
                  <c:v>3081.8500000000004</c:v>
                </c:pt>
                <c:pt idx="26">
                  <c:v>3208.8</c:v>
                </c:pt>
                <c:pt idx="27">
                  <c:v>3338.3900000000003</c:v>
                </c:pt>
                <c:pt idx="28">
                  <c:v>3460.4200000000005</c:v>
                </c:pt>
                <c:pt idx="29">
                  <c:v>3577.6900000000005</c:v>
                </c:pt>
                <c:pt idx="30">
                  <c:v>3577.6900000000005</c:v>
                </c:pt>
              </c:numCache>
            </c:numRef>
          </c:val>
        </c:ser>
        <c:ser>
          <c:idx val="1"/>
          <c:order val="1"/>
          <c:tx>
            <c:strRef>
              <c:f>'сентябрь 20 (факт)'!$BH$6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'сентябрь 20 (факт)'!$BH$7:$BH$37</c:f>
              <c:numCache>
                <c:formatCode>0.00</c:formatCode>
                <c:ptCount val="31"/>
                <c:pt idx="0">
                  <c:v>118.33333333333333</c:v>
                </c:pt>
                <c:pt idx="1">
                  <c:v>236.66666666666666</c:v>
                </c:pt>
                <c:pt idx="2">
                  <c:v>355</c:v>
                </c:pt>
                <c:pt idx="3">
                  <c:v>473.33333333333331</c:v>
                </c:pt>
                <c:pt idx="4">
                  <c:v>591.66666666666663</c:v>
                </c:pt>
                <c:pt idx="5">
                  <c:v>710</c:v>
                </c:pt>
                <c:pt idx="6">
                  <c:v>828.33333333333337</c:v>
                </c:pt>
                <c:pt idx="7">
                  <c:v>946.66666666666674</c:v>
                </c:pt>
                <c:pt idx="8">
                  <c:v>1065</c:v>
                </c:pt>
                <c:pt idx="9">
                  <c:v>1183.3333333333333</c:v>
                </c:pt>
                <c:pt idx="10">
                  <c:v>1301.6666666666665</c:v>
                </c:pt>
                <c:pt idx="11">
                  <c:v>1419.9999999999998</c:v>
                </c:pt>
                <c:pt idx="12">
                  <c:v>1538.333333333333</c:v>
                </c:pt>
                <c:pt idx="13">
                  <c:v>1656.6666666666663</c:v>
                </c:pt>
                <c:pt idx="14">
                  <c:v>1774.9999999999995</c:v>
                </c:pt>
                <c:pt idx="15">
                  <c:v>1893.3333333333328</c:v>
                </c:pt>
                <c:pt idx="16">
                  <c:v>2011.6666666666661</c:v>
                </c:pt>
                <c:pt idx="17">
                  <c:v>2129.9999999999995</c:v>
                </c:pt>
                <c:pt idx="18">
                  <c:v>2248.333333333333</c:v>
                </c:pt>
                <c:pt idx="19">
                  <c:v>2366.6666666666665</c:v>
                </c:pt>
                <c:pt idx="20">
                  <c:v>2485</c:v>
                </c:pt>
                <c:pt idx="21">
                  <c:v>2603.3333333333335</c:v>
                </c:pt>
                <c:pt idx="22">
                  <c:v>2721.666666666667</c:v>
                </c:pt>
                <c:pt idx="23">
                  <c:v>2840.0000000000005</c:v>
                </c:pt>
                <c:pt idx="24">
                  <c:v>2958.3333333333339</c:v>
                </c:pt>
                <c:pt idx="25">
                  <c:v>3076.6666666666674</c:v>
                </c:pt>
                <c:pt idx="26">
                  <c:v>3195.0000000000009</c:v>
                </c:pt>
                <c:pt idx="27">
                  <c:v>3313.3333333333344</c:v>
                </c:pt>
                <c:pt idx="28">
                  <c:v>3431.6666666666679</c:v>
                </c:pt>
                <c:pt idx="29">
                  <c:v>3550.0000000000014</c:v>
                </c:pt>
                <c:pt idx="30">
                  <c:v>3550.0000000000014</c:v>
                </c:pt>
              </c:numCache>
            </c:numRef>
          </c:val>
        </c:ser>
        <c:marker val="1"/>
        <c:axId val="134220416"/>
        <c:axId val="134230400"/>
      </c:lineChart>
      <c:catAx>
        <c:axId val="13422041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4230400"/>
        <c:crossesAt val="0"/>
        <c:auto val="1"/>
        <c:lblAlgn val="ctr"/>
        <c:lblOffset val="100"/>
        <c:tickLblSkip val="1"/>
        <c:tickMarkSkip val="1"/>
      </c:catAx>
      <c:valAx>
        <c:axId val="134230400"/>
        <c:scaling>
          <c:orientation val="minMax"/>
          <c:max val="40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4220416"/>
        <c:crossesAt val="1"/>
        <c:crossBetween val="midCat"/>
        <c:majorUnit val="500"/>
        <c:minorUnit val="10"/>
      </c:valAx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1180555555555562" footer="0.51180555555555562"/>
    <c:pageSetup paperSize="9" firstPageNumber="0" orientation="landscape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0649617431186729"/>
          <c:y val="0.11983713303442695"/>
          <c:w val="0.87262357414462965"/>
          <c:h val="0.79878207329393991"/>
        </c:manualLayout>
      </c:layout>
      <c:lineChart>
        <c:grouping val="standard"/>
        <c:ser>
          <c:idx val="0"/>
          <c:order val="0"/>
          <c:tx>
            <c:strRef>
              <c:f>'сентябрь 20'!$BF$6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'сентябрь 20'!$BF$7:$BF$37</c:f>
              <c:numCache>
                <c:formatCode>0.00</c:formatCode>
                <c:ptCount val="31"/>
                <c:pt idx="0">
                  <c:v>126.96999999999998</c:v>
                </c:pt>
                <c:pt idx="1">
                  <c:v>244.17999999999998</c:v>
                </c:pt>
                <c:pt idx="2">
                  <c:v>379.23</c:v>
                </c:pt>
                <c:pt idx="3">
                  <c:v>501.75</c:v>
                </c:pt>
                <c:pt idx="4">
                  <c:v>632.79999999999995</c:v>
                </c:pt>
                <c:pt idx="5">
                  <c:v>747.8</c:v>
                </c:pt>
                <c:pt idx="6">
                  <c:v>869.25</c:v>
                </c:pt>
                <c:pt idx="7">
                  <c:v>992.64</c:v>
                </c:pt>
                <c:pt idx="8">
                  <c:v>1076.3</c:v>
                </c:pt>
                <c:pt idx="9">
                  <c:v>1200.3</c:v>
                </c:pt>
                <c:pt idx="10">
                  <c:v>1327.94</c:v>
                </c:pt>
                <c:pt idx="11">
                  <c:v>1450.05</c:v>
                </c:pt>
                <c:pt idx="12">
                  <c:v>1571.61</c:v>
                </c:pt>
                <c:pt idx="13">
                  <c:v>1705.6899999999998</c:v>
                </c:pt>
                <c:pt idx="14">
                  <c:v>1829.9999999999998</c:v>
                </c:pt>
                <c:pt idx="15">
                  <c:v>1953.1599999999999</c:v>
                </c:pt>
                <c:pt idx="16">
                  <c:v>2082.4399999999996</c:v>
                </c:pt>
                <c:pt idx="17">
                  <c:v>2216.2499999999995</c:v>
                </c:pt>
                <c:pt idx="18">
                  <c:v>2319.1199999999994</c:v>
                </c:pt>
                <c:pt idx="19">
                  <c:v>2442.8799999999997</c:v>
                </c:pt>
                <c:pt idx="20">
                  <c:v>2565.8699999999994</c:v>
                </c:pt>
                <c:pt idx="21">
                  <c:v>2693.2099999999996</c:v>
                </c:pt>
                <c:pt idx="22">
                  <c:v>2817.9299999999994</c:v>
                </c:pt>
                <c:pt idx="23">
                  <c:v>2908.8099999999995</c:v>
                </c:pt>
                <c:pt idx="24">
                  <c:v>2967.4199999999996</c:v>
                </c:pt>
                <c:pt idx="25">
                  <c:v>3097.0799999999995</c:v>
                </c:pt>
                <c:pt idx="26">
                  <c:v>3222.6599999999994</c:v>
                </c:pt>
                <c:pt idx="27">
                  <c:v>3354.9199999999992</c:v>
                </c:pt>
                <c:pt idx="28">
                  <c:v>3482.1099999999992</c:v>
                </c:pt>
                <c:pt idx="29">
                  <c:v>3577.6899999999991</c:v>
                </c:pt>
                <c:pt idx="30">
                  <c:v>3577.6899999999991</c:v>
                </c:pt>
              </c:numCache>
            </c:numRef>
          </c:val>
        </c:ser>
        <c:ser>
          <c:idx val="1"/>
          <c:order val="1"/>
          <c:tx>
            <c:strRef>
              <c:f>'сентябрь 20'!$BH$6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'сентябрь 20'!$BH$7:$BH$37</c:f>
              <c:numCache>
                <c:formatCode>0.00</c:formatCode>
                <c:ptCount val="31"/>
                <c:pt idx="0">
                  <c:v>118.33333333333333</c:v>
                </c:pt>
                <c:pt idx="1">
                  <c:v>236.66666666666666</c:v>
                </c:pt>
                <c:pt idx="2">
                  <c:v>355</c:v>
                </c:pt>
                <c:pt idx="3">
                  <c:v>473.33333333333331</c:v>
                </c:pt>
                <c:pt idx="4">
                  <c:v>591.66666666666663</c:v>
                </c:pt>
                <c:pt idx="5">
                  <c:v>710</c:v>
                </c:pt>
                <c:pt idx="6">
                  <c:v>828.33333333333337</c:v>
                </c:pt>
                <c:pt idx="7">
                  <c:v>946.66666666666674</c:v>
                </c:pt>
                <c:pt idx="8">
                  <c:v>1065</c:v>
                </c:pt>
                <c:pt idx="9">
                  <c:v>1183.3333333333333</c:v>
                </c:pt>
                <c:pt idx="10">
                  <c:v>1301.6666666666665</c:v>
                </c:pt>
                <c:pt idx="11">
                  <c:v>1419.9999999999998</c:v>
                </c:pt>
                <c:pt idx="12">
                  <c:v>1538.333333333333</c:v>
                </c:pt>
                <c:pt idx="13">
                  <c:v>1656.6666666666663</c:v>
                </c:pt>
                <c:pt idx="14">
                  <c:v>1774.9999999999995</c:v>
                </c:pt>
                <c:pt idx="15">
                  <c:v>1893.3333333333328</c:v>
                </c:pt>
                <c:pt idx="16">
                  <c:v>2011.6666666666661</c:v>
                </c:pt>
                <c:pt idx="17">
                  <c:v>2129.9999999999995</c:v>
                </c:pt>
                <c:pt idx="18">
                  <c:v>2248.333333333333</c:v>
                </c:pt>
                <c:pt idx="19">
                  <c:v>2366.6666666666665</c:v>
                </c:pt>
                <c:pt idx="20">
                  <c:v>2485</c:v>
                </c:pt>
                <c:pt idx="21">
                  <c:v>2603.3333333333335</c:v>
                </c:pt>
                <c:pt idx="22">
                  <c:v>2721.666666666667</c:v>
                </c:pt>
                <c:pt idx="23">
                  <c:v>2840.0000000000005</c:v>
                </c:pt>
                <c:pt idx="24">
                  <c:v>2958.3333333333339</c:v>
                </c:pt>
                <c:pt idx="25">
                  <c:v>3076.6666666666674</c:v>
                </c:pt>
                <c:pt idx="26">
                  <c:v>3195.0000000000009</c:v>
                </c:pt>
                <c:pt idx="27">
                  <c:v>3313.3333333333344</c:v>
                </c:pt>
                <c:pt idx="28">
                  <c:v>3431.6666666666679</c:v>
                </c:pt>
                <c:pt idx="29">
                  <c:v>3550.0000000000014</c:v>
                </c:pt>
                <c:pt idx="30">
                  <c:v>3550.0000000000014</c:v>
                </c:pt>
              </c:numCache>
            </c:numRef>
          </c:val>
        </c:ser>
        <c:marker val="1"/>
        <c:axId val="138609024"/>
        <c:axId val="138610560"/>
      </c:lineChart>
      <c:catAx>
        <c:axId val="13860902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8610560"/>
        <c:crossesAt val="0"/>
        <c:auto val="1"/>
        <c:lblAlgn val="ctr"/>
        <c:lblOffset val="100"/>
        <c:tickLblSkip val="1"/>
        <c:tickMarkSkip val="1"/>
      </c:catAx>
      <c:valAx>
        <c:axId val="138610560"/>
        <c:scaling>
          <c:orientation val="minMax"/>
          <c:max val="40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8609024"/>
        <c:crossesAt val="1"/>
        <c:crossBetween val="midCat"/>
        <c:majorUnit val="500"/>
        <c:minorUnit val="10"/>
      </c:valAx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1180555555555562" footer="0.51180555555555562"/>
    <c:pageSetup paperSize="9" firstPageNumber="0" orientation="landscape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0649617431186729"/>
          <c:y val="0.11983713303442695"/>
          <c:w val="0.87262357414462965"/>
          <c:h val="0.79878207329393991"/>
        </c:manualLayout>
      </c:layout>
      <c:lineChart>
        <c:grouping val="standard"/>
        <c:ser>
          <c:idx val="0"/>
          <c:order val="0"/>
          <c:tx>
            <c:strRef>
              <c:f>'сентябрь 20 (-руда,+кокс)'!$BF$6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'сентябрь 20 (-руда,+кокс)'!$BF$7:$BF$37</c:f>
              <c:numCache>
                <c:formatCode>0.00</c:formatCode>
                <c:ptCount val="31"/>
                <c:pt idx="0">
                  <c:v>126.96999999999998</c:v>
                </c:pt>
                <c:pt idx="1">
                  <c:v>244.17999999999998</c:v>
                </c:pt>
                <c:pt idx="2">
                  <c:v>379.23</c:v>
                </c:pt>
                <c:pt idx="3">
                  <c:v>501.75</c:v>
                </c:pt>
                <c:pt idx="4">
                  <c:v>632.79999999999995</c:v>
                </c:pt>
                <c:pt idx="5">
                  <c:v>747.8</c:v>
                </c:pt>
                <c:pt idx="6">
                  <c:v>869.25</c:v>
                </c:pt>
                <c:pt idx="7">
                  <c:v>992.64</c:v>
                </c:pt>
                <c:pt idx="8">
                  <c:v>1076.3</c:v>
                </c:pt>
                <c:pt idx="9">
                  <c:v>1200.3</c:v>
                </c:pt>
                <c:pt idx="10">
                  <c:v>1327.94</c:v>
                </c:pt>
                <c:pt idx="11">
                  <c:v>1450.05</c:v>
                </c:pt>
                <c:pt idx="12">
                  <c:v>1571.61</c:v>
                </c:pt>
                <c:pt idx="13">
                  <c:v>1705.6899999999998</c:v>
                </c:pt>
                <c:pt idx="14">
                  <c:v>1829.9999999999998</c:v>
                </c:pt>
                <c:pt idx="15">
                  <c:v>1953.1599999999999</c:v>
                </c:pt>
                <c:pt idx="16">
                  <c:v>2082.4399999999996</c:v>
                </c:pt>
                <c:pt idx="17">
                  <c:v>2216.2499999999995</c:v>
                </c:pt>
                <c:pt idx="18">
                  <c:v>2319.1199999999994</c:v>
                </c:pt>
                <c:pt idx="19">
                  <c:v>2442.8799999999997</c:v>
                </c:pt>
                <c:pt idx="20">
                  <c:v>2565.8699999999994</c:v>
                </c:pt>
                <c:pt idx="21">
                  <c:v>2693.2099999999996</c:v>
                </c:pt>
                <c:pt idx="22">
                  <c:v>2817.9299999999994</c:v>
                </c:pt>
                <c:pt idx="23">
                  <c:v>2908.8099999999995</c:v>
                </c:pt>
                <c:pt idx="24">
                  <c:v>2967.4199999999996</c:v>
                </c:pt>
                <c:pt idx="25">
                  <c:v>3097.0799999999995</c:v>
                </c:pt>
                <c:pt idx="26">
                  <c:v>3222.6599999999994</c:v>
                </c:pt>
                <c:pt idx="27">
                  <c:v>3354.9199999999992</c:v>
                </c:pt>
                <c:pt idx="28">
                  <c:v>3482.1099999999992</c:v>
                </c:pt>
                <c:pt idx="29">
                  <c:v>3577.6899999999991</c:v>
                </c:pt>
                <c:pt idx="30">
                  <c:v>3577.6899999999991</c:v>
                </c:pt>
              </c:numCache>
            </c:numRef>
          </c:val>
        </c:ser>
        <c:ser>
          <c:idx val="1"/>
          <c:order val="1"/>
          <c:tx>
            <c:strRef>
              <c:f>'сентябрь 20 (-руда,+кокс)'!$BH$6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'сентябрь 20 (-руда,+кокс)'!$BH$7:$BH$37</c:f>
              <c:numCache>
                <c:formatCode>0.00</c:formatCode>
                <c:ptCount val="31"/>
                <c:pt idx="0">
                  <c:v>118.33333333333333</c:v>
                </c:pt>
                <c:pt idx="1">
                  <c:v>236.66666666666666</c:v>
                </c:pt>
                <c:pt idx="2">
                  <c:v>355</c:v>
                </c:pt>
                <c:pt idx="3">
                  <c:v>473.33333333333331</c:v>
                </c:pt>
                <c:pt idx="4">
                  <c:v>591.66666666666663</c:v>
                </c:pt>
                <c:pt idx="5">
                  <c:v>710</c:v>
                </c:pt>
                <c:pt idx="6">
                  <c:v>828.33333333333337</c:v>
                </c:pt>
                <c:pt idx="7">
                  <c:v>946.66666666666674</c:v>
                </c:pt>
                <c:pt idx="8">
                  <c:v>1065</c:v>
                </c:pt>
                <c:pt idx="9">
                  <c:v>1183.3333333333333</c:v>
                </c:pt>
                <c:pt idx="10">
                  <c:v>1301.6666666666665</c:v>
                </c:pt>
                <c:pt idx="11">
                  <c:v>1419.9999999999998</c:v>
                </c:pt>
                <c:pt idx="12">
                  <c:v>1538.333333333333</c:v>
                </c:pt>
                <c:pt idx="13">
                  <c:v>1656.6666666666663</c:v>
                </c:pt>
                <c:pt idx="14">
                  <c:v>1774.9999999999995</c:v>
                </c:pt>
                <c:pt idx="15">
                  <c:v>1893.3333333333328</c:v>
                </c:pt>
                <c:pt idx="16">
                  <c:v>2011.6666666666661</c:v>
                </c:pt>
                <c:pt idx="17">
                  <c:v>2129.9999999999995</c:v>
                </c:pt>
                <c:pt idx="18">
                  <c:v>2248.333333333333</c:v>
                </c:pt>
                <c:pt idx="19">
                  <c:v>2366.6666666666665</c:v>
                </c:pt>
                <c:pt idx="20">
                  <c:v>2485</c:v>
                </c:pt>
                <c:pt idx="21">
                  <c:v>2603.3333333333335</c:v>
                </c:pt>
                <c:pt idx="22">
                  <c:v>2721.666666666667</c:v>
                </c:pt>
                <c:pt idx="23">
                  <c:v>2840.0000000000005</c:v>
                </c:pt>
                <c:pt idx="24">
                  <c:v>2958.3333333333339</c:v>
                </c:pt>
                <c:pt idx="25">
                  <c:v>3076.6666666666674</c:v>
                </c:pt>
                <c:pt idx="26">
                  <c:v>3195.0000000000009</c:v>
                </c:pt>
                <c:pt idx="27">
                  <c:v>3313.3333333333344</c:v>
                </c:pt>
                <c:pt idx="28">
                  <c:v>3431.6666666666679</c:v>
                </c:pt>
                <c:pt idx="29">
                  <c:v>3550.0000000000014</c:v>
                </c:pt>
                <c:pt idx="30">
                  <c:v>3550.0000000000014</c:v>
                </c:pt>
              </c:numCache>
            </c:numRef>
          </c:val>
        </c:ser>
        <c:marker val="1"/>
        <c:axId val="139802496"/>
        <c:axId val="139804032"/>
      </c:lineChart>
      <c:catAx>
        <c:axId val="13980249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9804032"/>
        <c:crossesAt val="0"/>
        <c:auto val="1"/>
        <c:lblAlgn val="ctr"/>
        <c:lblOffset val="100"/>
        <c:tickLblSkip val="1"/>
        <c:tickMarkSkip val="1"/>
      </c:catAx>
      <c:valAx>
        <c:axId val="139804032"/>
        <c:scaling>
          <c:orientation val="minMax"/>
          <c:max val="40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9802496"/>
        <c:crossesAt val="1"/>
        <c:crossBetween val="midCat"/>
        <c:majorUnit val="500"/>
        <c:minorUnit val="10"/>
      </c:valAx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1180555555555562" footer="0.51180555555555562"/>
    <c:pageSetup paperSize="9" firstPageNumber="0" orientation="landscape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0649617431186729"/>
          <c:y val="0.11983713303442695"/>
          <c:w val="0.87262357414462965"/>
          <c:h val="0.79878207329393991"/>
        </c:manualLayout>
      </c:layout>
      <c:lineChart>
        <c:grouping val="standard"/>
        <c:ser>
          <c:idx val="0"/>
          <c:order val="0"/>
          <c:tx>
            <c:strRef>
              <c:f>'октябрь 20 (факт)'!$BF$6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'октябрь 20 (факт)'!$BF$7:$BF$37</c:f>
              <c:numCache>
                <c:formatCode>0.00</c:formatCode>
                <c:ptCount val="31"/>
                <c:pt idx="0">
                  <c:v>61.420000000000009</c:v>
                </c:pt>
                <c:pt idx="1">
                  <c:v>129.22000000000003</c:v>
                </c:pt>
                <c:pt idx="2">
                  <c:v>247.25000000000006</c:v>
                </c:pt>
                <c:pt idx="3">
                  <c:v>380.92000000000007</c:v>
                </c:pt>
                <c:pt idx="4">
                  <c:v>512.7700000000001</c:v>
                </c:pt>
                <c:pt idx="5">
                  <c:v>628.74000000000012</c:v>
                </c:pt>
                <c:pt idx="6">
                  <c:v>729.44000000000017</c:v>
                </c:pt>
                <c:pt idx="7">
                  <c:v>764.58000000000015</c:v>
                </c:pt>
                <c:pt idx="8">
                  <c:v>855.20000000000016</c:v>
                </c:pt>
                <c:pt idx="9">
                  <c:v>972.95000000000016</c:v>
                </c:pt>
                <c:pt idx="10">
                  <c:v>1082.8300000000002</c:v>
                </c:pt>
                <c:pt idx="11">
                  <c:v>1199.5200000000002</c:v>
                </c:pt>
                <c:pt idx="12">
                  <c:v>1323.5000000000002</c:v>
                </c:pt>
                <c:pt idx="13">
                  <c:v>1437.8300000000002</c:v>
                </c:pt>
                <c:pt idx="14">
                  <c:v>1543.6000000000001</c:v>
                </c:pt>
                <c:pt idx="15">
                  <c:v>1653.5500000000002</c:v>
                </c:pt>
                <c:pt idx="16">
                  <c:v>1786.4900000000002</c:v>
                </c:pt>
                <c:pt idx="17">
                  <c:v>1912.4100000000003</c:v>
                </c:pt>
                <c:pt idx="18">
                  <c:v>2035.2400000000002</c:v>
                </c:pt>
                <c:pt idx="19">
                  <c:v>2160.5000000000005</c:v>
                </c:pt>
                <c:pt idx="20">
                  <c:v>2291.6500000000005</c:v>
                </c:pt>
                <c:pt idx="21">
                  <c:v>2410.6400000000003</c:v>
                </c:pt>
                <c:pt idx="22">
                  <c:v>2534.6800000000003</c:v>
                </c:pt>
                <c:pt idx="23">
                  <c:v>2644.65</c:v>
                </c:pt>
                <c:pt idx="24">
                  <c:v>2757.46</c:v>
                </c:pt>
                <c:pt idx="25">
                  <c:v>2780.34</c:v>
                </c:pt>
                <c:pt idx="26">
                  <c:v>2898.13</c:v>
                </c:pt>
                <c:pt idx="27">
                  <c:v>3023.07</c:v>
                </c:pt>
                <c:pt idx="28">
                  <c:v>3149.6200000000003</c:v>
                </c:pt>
                <c:pt idx="29">
                  <c:v>3270.1200000000003</c:v>
                </c:pt>
                <c:pt idx="30">
                  <c:v>3376.1300000000006</c:v>
                </c:pt>
              </c:numCache>
            </c:numRef>
          </c:val>
        </c:ser>
        <c:ser>
          <c:idx val="1"/>
          <c:order val="1"/>
          <c:tx>
            <c:strRef>
              <c:f>'октябрь 20 (факт)'!$BH$6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'октябрь 20 (факт)'!$BH$7:$BH$37</c:f>
              <c:numCache>
                <c:formatCode>0.00</c:formatCode>
                <c:ptCount val="31"/>
                <c:pt idx="0">
                  <c:v>125.80645161290323</c:v>
                </c:pt>
                <c:pt idx="1">
                  <c:v>251.61290322580646</c:v>
                </c:pt>
                <c:pt idx="2">
                  <c:v>377.41935483870969</c:v>
                </c:pt>
                <c:pt idx="3">
                  <c:v>503.22580645161293</c:v>
                </c:pt>
                <c:pt idx="4">
                  <c:v>629.0322580645161</c:v>
                </c:pt>
                <c:pt idx="5">
                  <c:v>754.83870967741927</c:v>
                </c:pt>
                <c:pt idx="6">
                  <c:v>880.64516129032245</c:v>
                </c:pt>
                <c:pt idx="7">
                  <c:v>1006.4516129032256</c:v>
                </c:pt>
                <c:pt idx="8">
                  <c:v>1132.2580645161288</c:v>
                </c:pt>
                <c:pt idx="9">
                  <c:v>1258.064516129032</c:v>
                </c:pt>
                <c:pt idx="10">
                  <c:v>1383.8709677419351</c:v>
                </c:pt>
                <c:pt idx="11">
                  <c:v>1509.6774193548383</c:v>
                </c:pt>
                <c:pt idx="12">
                  <c:v>1635.4838709677415</c:v>
                </c:pt>
                <c:pt idx="13">
                  <c:v>1761.2903225806447</c:v>
                </c:pt>
                <c:pt idx="14">
                  <c:v>1887.0967741935478</c:v>
                </c:pt>
                <c:pt idx="15">
                  <c:v>2012.903225806451</c:v>
                </c:pt>
                <c:pt idx="16">
                  <c:v>2138.7096774193542</c:v>
                </c:pt>
                <c:pt idx="17">
                  <c:v>2264.5161290322576</c:v>
                </c:pt>
                <c:pt idx="18">
                  <c:v>2390.322580645161</c:v>
                </c:pt>
                <c:pt idx="19">
                  <c:v>2516.1290322580644</c:v>
                </c:pt>
                <c:pt idx="20">
                  <c:v>2641.9354838709678</c:v>
                </c:pt>
                <c:pt idx="21">
                  <c:v>2767.7419354838712</c:v>
                </c:pt>
                <c:pt idx="22">
                  <c:v>2893.5483870967746</c:v>
                </c:pt>
                <c:pt idx="23">
                  <c:v>3019.354838709678</c:v>
                </c:pt>
                <c:pt idx="24">
                  <c:v>3145.1612903225814</c:v>
                </c:pt>
                <c:pt idx="25">
                  <c:v>3270.9677419354848</c:v>
                </c:pt>
                <c:pt idx="26">
                  <c:v>3396.7741935483882</c:v>
                </c:pt>
                <c:pt idx="27">
                  <c:v>3522.5806451612916</c:v>
                </c:pt>
                <c:pt idx="28">
                  <c:v>3648.387096774195</c:v>
                </c:pt>
                <c:pt idx="29">
                  <c:v>3774.1935483870984</c:v>
                </c:pt>
                <c:pt idx="30">
                  <c:v>3900.0000000000018</c:v>
                </c:pt>
              </c:numCache>
            </c:numRef>
          </c:val>
        </c:ser>
        <c:marker val="1"/>
        <c:axId val="140111232"/>
        <c:axId val="140010624"/>
      </c:lineChart>
      <c:catAx>
        <c:axId val="14011123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0010624"/>
        <c:crossesAt val="0"/>
        <c:auto val="1"/>
        <c:lblAlgn val="ctr"/>
        <c:lblOffset val="100"/>
        <c:tickLblSkip val="1"/>
        <c:tickMarkSkip val="1"/>
      </c:catAx>
      <c:valAx>
        <c:axId val="140010624"/>
        <c:scaling>
          <c:orientation val="minMax"/>
          <c:max val="40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0111232"/>
        <c:crossesAt val="1"/>
        <c:crossBetween val="midCat"/>
        <c:majorUnit val="500"/>
        <c:minorUnit val="10"/>
      </c:valAx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1180555555555562" footer="0.51180555555555562"/>
    <c:pageSetup paperSize="9" firstPageNumber="0" orientation="landscape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0649617431186729"/>
          <c:y val="0.11983713303442695"/>
          <c:w val="0.87262357414462965"/>
          <c:h val="0.79878207329393991"/>
        </c:manualLayout>
      </c:layout>
      <c:lineChart>
        <c:grouping val="standard"/>
        <c:ser>
          <c:idx val="0"/>
          <c:order val="0"/>
          <c:tx>
            <c:strRef>
              <c:f>'октябрь 20 '!$BF$6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'октябрь 20 '!$BF$7:$BF$37</c:f>
              <c:numCache>
                <c:formatCode>0.00</c:formatCode>
                <c:ptCount val="31"/>
                <c:pt idx="0">
                  <c:v>68.180000000000007</c:v>
                </c:pt>
                <c:pt idx="1">
                  <c:v>146.59000000000003</c:v>
                </c:pt>
                <c:pt idx="2">
                  <c:v>270.06000000000006</c:v>
                </c:pt>
                <c:pt idx="3">
                  <c:v>400.24</c:v>
                </c:pt>
                <c:pt idx="4">
                  <c:v>527.41</c:v>
                </c:pt>
                <c:pt idx="5">
                  <c:v>647.26</c:v>
                </c:pt>
                <c:pt idx="6">
                  <c:v>755</c:v>
                </c:pt>
                <c:pt idx="7">
                  <c:v>782.71</c:v>
                </c:pt>
                <c:pt idx="8">
                  <c:v>869.12</c:v>
                </c:pt>
                <c:pt idx="9">
                  <c:v>972.95</c:v>
                </c:pt>
                <c:pt idx="10">
                  <c:v>1089.47</c:v>
                </c:pt>
                <c:pt idx="11">
                  <c:v>1205.3700000000001</c:v>
                </c:pt>
                <c:pt idx="12">
                  <c:v>1327.3200000000002</c:v>
                </c:pt>
                <c:pt idx="13">
                  <c:v>1447.0200000000002</c:v>
                </c:pt>
                <c:pt idx="14">
                  <c:v>1563.6200000000001</c:v>
                </c:pt>
                <c:pt idx="15">
                  <c:v>1675.63</c:v>
                </c:pt>
                <c:pt idx="16">
                  <c:v>1805.21</c:v>
                </c:pt>
                <c:pt idx="17">
                  <c:v>1933.01</c:v>
                </c:pt>
                <c:pt idx="18">
                  <c:v>2057.9899999999998</c:v>
                </c:pt>
                <c:pt idx="19">
                  <c:v>2160.5</c:v>
                </c:pt>
                <c:pt idx="20">
                  <c:v>2292.23</c:v>
                </c:pt>
                <c:pt idx="21">
                  <c:v>2415.0700000000002</c:v>
                </c:pt>
                <c:pt idx="22">
                  <c:v>2541.6400000000003</c:v>
                </c:pt>
                <c:pt idx="23">
                  <c:v>2658.5400000000004</c:v>
                </c:pt>
                <c:pt idx="24">
                  <c:v>2770.8800000000006</c:v>
                </c:pt>
                <c:pt idx="25">
                  <c:v>2803.8300000000004</c:v>
                </c:pt>
                <c:pt idx="26">
                  <c:v>2907.3600000000006</c:v>
                </c:pt>
                <c:pt idx="27">
                  <c:v>3030.1200000000008</c:v>
                </c:pt>
                <c:pt idx="28">
                  <c:v>3160.4800000000009</c:v>
                </c:pt>
                <c:pt idx="29">
                  <c:v>3284.4100000000008</c:v>
                </c:pt>
                <c:pt idx="30">
                  <c:v>3376.1300000000006</c:v>
                </c:pt>
              </c:numCache>
            </c:numRef>
          </c:val>
        </c:ser>
        <c:ser>
          <c:idx val="1"/>
          <c:order val="1"/>
          <c:tx>
            <c:strRef>
              <c:f>'октябрь 20 '!$BH$6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'октябрь 20 '!$BH$7:$BH$37</c:f>
              <c:numCache>
                <c:formatCode>0.00</c:formatCode>
                <c:ptCount val="31"/>
                <c:pt idx="0">
                  <c:v>125.80645161290323</c:v>
                </c:pt>
                <c:pt idx="1">
                  <c:v>251.61290322580646</c:v>
                </c:pt>
                <c:pt idx="2">
                  <c:v>377.41935483870969</c:v>
                </c:pt>
                <c:pt idx="3">
                  <c:v>503.22580645161293</c:v>
                </c:pt>
                <c:pt idx="4">
                  <c:v>629.0322580645161</c:v>
                </c:pt>
                <c:pt idx="5">
                  <c:v>754.83870967741927</c:v>
                </c:pt>
                <c:pt idx="6">
                  <c:v>880.64516129032245</c:v>
                </c:pt>
                <c:pt idx="7">
                  <c:v>1006.4516129032256</c:v>
                </c:pt>
                <c:pt idx="8">
                  <c:v>1132.2580645161288</c:v>
                </c:pt>
                <c:pt idx="9">
                  <c:v>1258.064516129032</c:v>
                </c:pt>
                <c:pt idx="10">
                  <c:v>1383.8709677419351</c:v>
                </c:pt>
                <c:pt idx="11">
                  <c:v>1509.6774193548383</c:v>
                </c:pt>
                <c:pt idx="12">
                  <c:v>1635.4838709677415</c:v>
                </c:pt>
                <c:pt idx="13">
                  <c:v>1761.2903225806447</c:v>
                </c:pt>
                <c:pt idx="14">
                  <c:v>1887.0967741935478</c:v>
                </c:pt>
                <c:pt idx="15">
                  <c:v>2012.903225806451</c:v>
                </c:pt>
                <c:pt idx="16">
                  <c:v>2138.7096774193542</c:v>
                </c:pt>
                <c:pt idx="17">
                  <c:v>2264.5161290322576</c:v>
                </c:pt>
                <c:pt idx="18">
                  <c:v>2390.322580645161</c:v>
                </c:pt>
                <c:pt idx="19">
                  <c:v>2516.1290322580644</c:v>
                </c:pt>
                <c:pt idx="20">
                  <c:v>2641.9354838709678</c:v>
                </c:pt>
                <c:pt idx="21">
                  <c:v>2767.7419354838712</c:v>
                </c:pt>
                <c:pt idx="22">
                  <c:v>2893.5483870967746</c:v>
                </c:pt>
                <c:pt idx="23">
                  <c:v>3019.354838709678</c:v>
                </c:pt>
                <c:pt idx="24">
                  <c:v>3145.1612903225814</c:v>
                </c:pt>
                <c:pt idx="25">
                  <c:v>3270.9677419354848</c:v>
                </c:pt>
                <c:pt idx="26">
                  <c:v>3396.7741935483882</c:v>
                </c:pt>
                <c:pt idx="27">
                  <c:v>3522.5806451612916</c:v>
                </c:pt>
                <c:pt idx="28">
                  <c:v>3648.387096774195</c:v>
                </c:pt>
                <c:pt idx="29">
                  <c:v>3774.1935483870984</c:v>
                </c:pt>
                <c:pt idx="30">
                  <c:v>3900.0000000000018</c:v>
                </c:pt>
              </c:numCache>
            </c:numRef>
          </c:val>
        </c:ser>
        <c:marker val="1"/>
        <c:axId val="140182656"/>
        <c:axId val="140184192"/>
      </c:lineChart>
      <c:catAx>
        <c:axId val="14018265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0184192"/>
        <c:crossesAt val="0"/>
        <c:auto val="1"/>
        <c:lblAlgn val="ctr"/>
        <c:lblOffset val="100"/>
        <c:tickLblSkip val="1"/>
        <c:tickMarkSkip val="1"/>
      </c:catAx>
      <c:valAx>
        <c:axId val="140184192"/>
        <c:scaling>
          <c:orientation val="minMax"/>
          <c:max val="40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0182656"/>
        <c:crossesAt val="1"/>
        <c:crossBetween val="midCat"/>
        <c:majorUnit val="500"/>
        <c:minorUnit val="10"/>
      </c:valAx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1180555555555562" footer="0.51180555555555562"/>
    <c:pageSetup paperSize="9" firstPageNumber="0" orientation="landscape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0649617431186729"/>
          <c:y val="0.11983713303442695"/>
          <c:w val="0.87262357414462965"/>
          <c:h val="0.79878207329393991"/>
        </c:manualLayout>
      </c:layout>
      <c:lineChart>
        <c:grouping val="standard"/>
        <c:ser>
          <c:idx val="0"/>
          <c:order val="0"/>
          <c:tx>
            <c:strRef>
              <c:f>'октябрь 20  (+руда,кокс)'!$BF$6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'октябрь 20  (+руда,кокс)'!$BF$7:$BF$37</c:f>
              <c:numCache>
                <c:formatCode>0.00</c:formatCode>
                <c:ptCount val="31"/>
                <c:pt idx="0">
                  <c:v>68.180000000000007</c:v>
                </c:pt>
                <c:pt idx="1">
                  <c:v>146.59000000000003</c:v>
                </c:pt>
                <c:pt idx="2">
                  <c:v>270.06000000000006</c:v>
                </c:pt>
                <c:pt idx="3">
                  <c:v>400.24</c:v>
                </c:pt>
                <c:pt idx="4">
                  <c:v>527.41</c:v>
                </c:pt>
                <c:pt idx="5">
                  <c:v>647.26</c:v>
                </c:pt>
                <c:pt idx="6">
                  <c:v>755</c:v>
                </c:pt>
                <c:pt idx="7">
                  <c:v>782.71</c:v>
                </c:pt>
                <c:pt idx="8">
                  <c:v>869.12</c:v>
                </c:pt>
                <c:pt idx="9">
                  <c:v>972.95</c:v>
                </c:pt>
                <c:pt idx="10">
                  <c:v>1089.47</c:v>
                </c:pt>
                <c:pt idx="11">
                  <c:v>1205.3700000000001</c:v>
                </c:pt>
                <c:pt idx="12">
                  <c:v>1327.3200000000002</c:v>
                </c:pt>
                <c:pt idx="13">
                  <c:v>1447.0200000000002</c:v>
                </c:pt>
                <c:pt idx="14">
                  <c:v>1563.6200000000001</c:v>
                </c:pt>
                <c:pt idx="15">
                  <c:v>1675.63</c:v>
                </c:pt>
                <c:pt idx="16">
                  <c:v>1805.21</c:v>
                </c:pt>
                <c:pt idx="17">
                  <c:v>1933.01</c:v>
                </c:pt>
                <c:pt idx="18">
                  <c:v>2057.9899999999998</c:v>
                </c:pt>
                <c:pt idx="19">
                  <c:v>2160.5</c:v>
                </c:pt>
                <c:pt idx="20">
                  <c:v>2292.23</c:v>
                </c:pt>
                <c:pt idx="21">
                  <c:v>2415.0700000000002</c:v>
                </c:pt>
                <c:pt idx="22">
                  <c:v>2541.6400000000003</c:v>
                </c:pt>
                <c:pt idx="23">
                  <c:v>2658.5400000000004</c:v>
                </c:pt>
                <c:pt idx="24">
                  <c:v>2770.8800000000006</c:v>
                </c:pt>
                <c:pt idx="25">
                  <c:v>2803.8300000000004</c:v>
                </c:pt>
                <c:pt idx="26">
                  <c:v>2907.3600000000006</c:v>
                </c:pt>
                <c:pt idx="27">
                  <c:v>3030.1200000000008</c:v>
                </c:pt>
                <c:pt idx="28">
                  <c:v>3160.4800000000009</c:v>
                </c:pt>
                <c:pt idx="29">
                  <c:v>3284.4100000000008</c:v>
                </c:pt>
                <c:pt idx="30">
                  <c:v>3376.1300000000006</c:v>
                </c:pt>
              </c:numCache>
            </c:numRef>
          </c:val>
        </c:ser>
        <c:ser>
          <c:idx val="1"/>
          <c:order val="1"/>
          <c:tx>
            <c:strRef>
              <c:f>'октябрь 20  (+руда,кокс)'!$BH$6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'октябрь 20  (+руда,кокс)'!$BH$7:$BH$37</c:f>
              <c:numCache>
                <c:formatCode>0.00</c:formatCode>
                <c:ptCount val="31"/>
                <c:pt idx="0">
                  <c:v>125.80645161290323</c:v>
                </c:pt>
                <c:pt idx="1">
                  <c:v>251.61290322580646</c:v>
                </c:pt>
                <c:pt idx="2">
                  <c:v>377.41935483870969</c:v>
                </c:pt>
                <c:pt idx="3">
                  <c:v>503.22580645161293</c:v>
                </c:pt>
                <c:pt idx="4">
                  <c:v>629.0322580645161</c:v>
                </c:pt>
                <c:pt idx="5">
                  <c:v>754.83870967741927</c:v>
                </c:pt>
                <c:pt idx="6">
                  <c:v>880.64516129032245</c:v>
                </c:pt>
                <c:pt idx="7">
                  <c:v>1006.4516129032256</c:v>
                </c:pt>
                <c:pt idx="8">
                  <c:v>1132.2580645161288</c:v>
                </c:pt>
                <c:pt idx="9">
                  <c:v>1258.064516129032</c:v>
                </c:pt>
                <c:pt idx="10">
                  <c:v>1383.8709677419351</c:v>
                </c:pt>
                <c:pt idx="11">
                  <c:v>1509.6774193548383</c:v>
                </c:pt>
                <c:pt idx="12">
                  <c:v>1635.4838709677415</c:v>
                </c:pt>
                <c:pt idx="13">
                  <c:v>1761.2903225806447</c:v>
                </c:pt>
                <c:pt idx="14">
                  <c:v>1887.0967741935478</c:v>
                </c:pt>
                <c:pt idx="15">
                  <c:v>2012.903225806451</c:v>
                </c:pt>
                <c:pt idx="16">
                  <c:v>2138.7096774193542</c:v>
                </c:pt>
                <c:pt idx="17">
                  <c:v>2264.5161290322576</c:v>
                </c:pt>
                <c:pt idx="18">
                  <c:v>2390.322580645161</c:v>
                </c:pt>
                <c:pt idx="19">
                  <c:v>2516.1290322580644</c:v>
                </c:pt>
                <c:pt idx="20">
                  <c:v>2641.9354838709678</c:v>
                </c:pt>
                <c:pt idx="21">
                  <c:v>2767.7419354838712</c:v>
                </c:pt>
                <c:pt idx="22">
                  <c:v>2893.5483870967746</c:v>
                </c:pt>
                <c:pt idx="23">
                  <c:v>3019.354838709678</c:v>
                </c:pt>
                <c:pt idx="24">
                  <c:v>3145.1612903225814</c:v>
                </c:pt>
                <c:pt idx="25">
                  <c:v>3270.9677419354848</c:v>
                </c:pt>
                <c:pt idx="26">
                  <c:v>3396.7741935483882</c:v>
                </c:pt>
                <c:pt idx="27">
                  <c:v>3522.5806451612916</c:v>
                </c:pt>
                <c:pt idx="28">
                  <c:v>3648.387096774195</c:v>
                </c:pt>
                <c:pt idx="29">
                  <c:v>3774.1935483870984</c:v>
                </c:pt>
                <c:pt idx="30">
                  <c:v>3900.0000000000018</c:v>
                </c:pt>
              </c:numCache>
            </c:numRef>
          </c:val>
        </c:ser>
        <c:marker val="1"/>
        <c:axId val="140618368"/>
        <c:axId val="140620160"/>
      </c:lineChart>
      <c:catAx>
        <c:axId val="14061836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0620160"/>
        <c:crossesAt val="0"/>
        <c:auto val="1"/>
        <c:lblAlgn val="ctr"/>
        <c:lblOffset val="100"/>
        <c:tickLblSkip val="1"/>
        <c:tickMarkSkip val="1"/>
      </c:catAx>
      <c:valAx>
        <c:axId val="140620160"/>
        <c:scaling>
          <c:orientation val="minMax"/>
          <c:max val="40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0618368"/>
        <c:crossesAt val="1"/>
        <c:crossBetween val="midCat"/>
        <c:majorUnit val="500"/>
        <c:minorUnit val="10"/>
      </c:valAx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1180555555555562" footer="0.51180555555555562"/>
    <c:pageSetup paperSize="9" firstPageNumber="0" orientation="landscape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0649617431186729"/>
          <c:y val="0.11983713303442695"/>
          <c:w val="0.87262357414462965"/>
          <c:h val="0.79878207329393991"/>
        </c:manualLayout>
      </c:layout>
      <c:lineChart>
        <c:grouping val="standard"/>
        <c:ser>
          <c:idx val="0"/>
          <c:order val="0"/>
          <c:tx>
            <c:strRef>
              <c:f>'ноябрь 20 (факт)'!$BF$6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'ноябрь 20 (факт)'!$BF$7:$BF$37</c:f>
              <c:numCache>
                <c:formatCode>0.00</c:formatCode>
                <c:ptCount val="31"/>
                <c:pt idx="0">
                  <c:v>126.72999999999999</c:v>
                </c:pt>
                <c:pt idx="1">
                  <c:v>255.42999999999998</c:v>
                </c:pt>
                <c:pt idx="2">
                  <c:v>375.95</c:v>
                </c:pt>
                <c:pt idx="3">
                  <c:v>485.72999999999996</c:v>
                </c:pt>
                <c:pt idx="4">
                  <c:v>600.79999999999995</c:v>
                </c:pt>
                <c:pt idx="5">
                  <c:v>722.67</c:v>
                </c:pt>
                <c:pt idx="6">
                  <c:v>846.73</c:v>
                </c:pt>
                <c:pt idx="7">
                  <c:v>962.34</c:v>
                </c:pt>
                <c:pt idx="8">
                  <c:v>1080.33</c:v>
                </c:pt>
                <c:pt idx="9">
                  <c:v>1209.27</c:v>
                </c:pt>
                <c:pt idx="10">
                  <c:v>1338.45</c:v>
                </c:pt>
                <c:pt idx="11">
                  <c:v>1459.96</c:v>
                </c:pt>
                <c:pt idx="12">
                  <c:v>1579.46</c:v>
                </c:pt>
                <c:pt idx="13">
                  <c:v>1702.16</c:v>
                </c:pt>
                <c:pt idx="14">
                  <c:v>1786.0600000000002</c:v>
                </c:pt>
                <c:pt idx="15">
                  <c:v>1900.3500000000001</c:v>
                </c:pt>
                <c:pt idx="16">
                  <c:v>1931.3000000000002</c:v>
                </c:pt>
                <c:pt idx="17">
                  <c:v>2068.13</c:v>
                </c:pt>
                <c:pt idx="18">
                  <c:v>2200.46</c:v>
                </c:pt>
                <c:pt idx="19">
                  <c:v>2328.2200000000003</c:v>
                </c:pt>
                <c:pt idx="20">
                  <c:v>2452.86</c:v>
                </c:pt>
                <c:pt idx="21">
                  <c:v>2586.4500000000003</c:v>
                </c:pt>
                <c:pt idx="22">
                  <c:v>2723.9800000000005</c:v>
                </c:pt>
                <c:pt idx="23">
                  <c:v>2854.9100000000003</c:v>
                </c:pt>
                <c:pt idx="24">
                  <c:v>2990.2200000000003</c:v>
                </c:pt>
                <c:pt idx="25">
                  <c:v>3121.5800000000004</c:v>
                </c:pt>
                <c:pt idx="26">
                  <c:v>3255.6200000000003</c:v>
                </c:pt>
                <c:pt idx="27">
                  <c:v>3394.2700000000004</c:v>
                </c:pt>
                <c:pt idx="28">
                  <c:v>3526.5900000000006</c:v>
                </c:pt>
                <c:pt idx="29">
                  <c:v>3659.4700000000007</c:v>
                </c:pt>
                <c:pt idx="30">
                  <c:v>3659.4700000000007</c:v>
                </c:pt>
              </c:numCache>
            </c:numRef>
          </c:val>
        </c:ser>
        <c:ser>
          <c:idx val="1"/>
          <c:order val="1"/>
          <c:tx>
            <c:strRef>
              <c:f>'ноябрь 20 (факт)'!$BH$6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'ноябрь 20 (факт)'!$BH$7:$BH$37</c:f>
              <c:numCache>
                <c:formatCode>0.00</c:formatCode>
                <c:ptCount val="31"/>
                <c:pt idx="0">
                  <c:v>125.66666666666667</c:v>
                </c:pt>
                <c:pt idx="1">
                  <c:v>251.33333333333334</c:v>
                </c:pt>
                <c:pt idx="2">
                  <c:v>377</c:v>
                </c:pt>
                <c:pt idx="3">
                  <c:v>502.66666666666669</c:v>
                </c:pt>
                <c:pt idx="4">
                  <c:v>628.33333333333337</c:v>
                </c:pt>
                <c:pt idx="5">
                  <c:v>754</c:v>
                </c:pt>
                <c:pt idx="6">
                  <c:v>879.66666666666663</c:v>
                </c:pt>
                <c:pt idx="7">
                  <c:v>1005.3333333333333</c:v>
                </c:pt>
                <c:pt idx="8">
                  <c:v>1131</c:v>
                </c:pt>
                <c:pt idx="9">
                  <c:v>1256.6666666666667</c:v>
                </c:pt>
                <c:pt idx="10">
                  <c:v>1382.3333333333335</c:v>
                </c:pt>
                <c:pt idx="11">
                  <c:v>1508.0000000000002</c:v>
                </c:pt>
                <c:pt idx="12">
                  <c:v>1633.666666666667</c:v>
                </c:pt>
                <c:pt idx="13">
                  <c:v>1759.3333333333337</c:v>
                </c:pt>
                <c:pt idx="14">
                  <c:v>1885.0000000000005</c:v>
                </c:pt>
                <c:pt idx="15">
                  <c:v>2010.6666666666672</c:v>
                </c:pt>
                <c:pt idx="16">
                  <c:v>2136.3333333333339</c:v>
                </c:pt>
                <c:pt idx="17">
                  <c:v>2262.0000000000005</c:v>
                </c:pt>
                <c:pt idx="18">
                  <c:v>2387.666666666667</c:v>
                </c:pt>
                <c:pt idx="19">
                  <c:v>2513.3333333333335</c:v>
                </c:pt>
                <c:pt idx="20">
                  <c:v>2639</c:v>
                </c:pt>
                <c:pt idx="21">
                  <c:v>2764.6666666666665</c:v>
                </c:pt>
                <c:pt idx="22">
                  <c:v>2890.333333333333</c:v>
                </c:pt>
                <c:pt idx="23">
                  <c:v>3015.9999999999995</c:v>
                </c:pt>
                <c:pt idx="24">
                  <c:v>3141.6666666666661</c:v>
                </c:pt>
                <c:pt idx="25">
                  <c:v>3267.3333333333326</c:v>
                </c:pt>
                <c:pt idx="26">
                  <c:v>3392.9999999999991</c:v>
                </c:pt>
                <c:pt idx="27">
                  <c:v>3518.6666666666656</c:v>
                </c:pt>
                <c:pt idx="28">
                  <c:v>3644.3333333333321</c:v>
                </c:pt>
                <c:pt idx="29">
                  <c:v>3769.9999999999986</c:v>
                </c:pt>
                <c:pt idx="30">
                  <c:v>3769.9999999999986</c:v>
                </c:pt>
              </c:numCache>
            </c:numRef>
          </c:val>
        </c:ser>
        <c:marker val="1"/>
        <c:axId val="140780288"/>
        <c:axId val="140781824"/>
      </c:lineChart>
      <c:catAx>
        <c:axId val="14078028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0781824"/>
        <c:crossesAt val="0"/>
        <c:auto val="1"/>
        <c:lblAlgn val="ctr"/>
        <c:lblOffset val="100"/>
        <c:tickLblSkip val="1"/>
        <c:tickMarkSkip val="1"/>
      </c:catAx>
      <c:valAx>
        <c:axId val="140781824"/>
        <c:scaling>
          <c:orientation val="minMax"/>
          <c:max val="40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0780288"/>
        <c:crossesAt val="1"/>
        <c:crossBetween val="midCat"/>
        <c:majorUnit val="500"/>
        <c:minorUnit val="10"/>
      </c:valAx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1180555555555562" footer="0.51180555555555562"/>
    <c:pageSetup paperSize="9" firstPageNumber="0" orientation="landscape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0649617431186729"/>
          <c:y val="0.11983713303442695"/>
          <c:w val="0.87262357414462965"/>
          <c:h val="0.79878207329393991"/>
        </c:manualLayout>
      </c:layout>
      <c:lineChart>
        <c:grouping val="standard"/>
        <c:ser>
          <c:idx val="0"/>
          <c:order val="0"/>
          <c:tx>
            <c:strRef>
              <c:f>'ноябрь 20'!$BF$6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'ноябрь 20'!$BF$7:$BF$37</c:f>
              <c:numCache>
                <c:formatCode>0.00</c:formatCode>
                <c:ptCount val="31"/>
                <c:pt idx="0">
                  <c:v>126.25</c:v>
                </c:pt>
                <c:pt idx="1">
                  <c:v>253.42</c:v>
                </c:pt>
                <c:pt idx="2">
                  <c:v>379.13</c:v>
                </c:pt>
                <c:pt idx="3">
                  <c:v>497</c:v>
                </c:pt>
                <c:pt idx="4">
                  <c:v>617.53</c:v>
                </c:pt>
                <c:pt idx="5">
                  <c:v>738.75</c:v>
                </c:pt>
                <c:pt idx="6">
                  <c:v>866.25</c:v>
                </c:pt>
                <c:pt idx="7">
                  <c:v>985.04</c:v>
                </c:pt>
                <c:pt idx="8">
                  <c:v>1109.21</c:v>
                </c:pt>
                <c:pt idx="9">
                  <c:v>1209.27</c:v>
                </c:pt>
                <c:pt idx="10">
                  <c:v>1338.28</c:v>
                </c:pt>
                <c:pt idx="11">
                  <c:v>1464.8</c:v>
                </c:pt>
                <c:pt idx="12">
                  <c:v>1588.3899999999999</c:v>
                </c:pt>
                <c:pt idx="13">
                  <c:v>1709.31</c:v>
                </c:pt>
                <c:pt idx="14">
                  <c:v>1802.33</c:v>
                </c:pt>
                <c:pt idx="15">
                  <c:v>1914.36</c:v>
                </c:pt>
                <c:pt idx="16">
                  <c:v>1946.7199999999998</c:v>
                </c:pt>
                <c:pt idx="17">
                  <c:v>2079.8999999999996</c:v>
                </c:pt>
                <c:pt idx="18">
                  <c:v>2213.7599999999998</c:v>
                </c:pt>
                <c:pt idx="19">
                  <c:v>2328.2199999999998</c:v>
                </c:pt>
                <c:pt idx="20">
                  <c:v>2455.23</c:v>
                </c:pt>
                <c:pt idx="21">
                  <c:v>2587.7199999999998</c:v>
                </c:pt>
                <c:pt idx="22">
                  <c:v>2725.71</c:v>
                </c:pt>
                <c:pt idx="23">
                  <c:v>2855.33</c:v>
                </c:pt>
                <c:pt idx="24">
                  <c:v>2990.11</c:v>
                </c:pt>
                <c:pt idx="25">
                  <c:v>3121.73</c:v>
                </c:pt>
                <c:pt idx="26">
                  <c:v>3257.69</c:v>
                </c:pt>
                <c:pt idx="27">
                  <c:v>3396.11</c:v>
                </c:pt>
                <c:pt idx="28">
                  <c:v>3530.26</c:v>
                </c:pt>
                <c:pt idx="29">
                  <c:v>3659.4700000000003</c:v>
                </c:pt>
                <c:pt idx="30">
                  <c:v>3659.4700000000003</c:v>
                </c:pt>
              </c:numCache>
            </c:numRef>
          </c:val>
        </c:ser>
        <c:ser>
          <c:idx val="1"/>
          <c:order val="1"/>
          <c:tx>
            <c:strRef>
              <c:f>'ноябрь 20'!$BH$6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'ноябрь 20'!$BH$7:$BH$37</c:f>
              <c:numCache>
                <c:formatCode>0.00</c:formatCode>
                <c:ptCount val="31"/>
                <c:pt idx="0">
                  <c:v>125.66666666666667</c:v>
                </c:pt>
                <c:pt idx="1">
                  <c:v>251.33333333333334</c:v>
                </c:pt>
                <c:pt idx="2">
                  <c:v>377</c:v>
                </c:pt>
                <c:pt idx="3">
                  <c:v>502.66666666666669</c:v>
                </c:pt>
                <c:pt idx="4">
                  <c:v>628.33333333333337</c:v>
                </c:pt>
                <c:pt idx="5">
                  <c:v>754</c:v>
                </c:pt>
                <c:pt idx="6">
                  <c:v>879.66666666666663</c:v>
                </c:pt>
                <c:pt idx="7">
                  <c:v>1005.3333333333333</c:v>
                </c:pt>
                <c:pt idx="8">
                  <c:v>1131</c:v>
                </c:pt>
                <c:pt idx="9">
                  <c:v>1256.6666666666667</c:v>
                </c:pt>
                <c:pt idx="10">
                  <c:v>1382.3333333333335</c:v>
                </c:pt>
                <c:pt idx="11">
                  <c:v>1508.0000000000002</c:v>
                </c:pt>
                <c:pt idx="12">
                  <c:v>1633.666666666667</c:v>
                </c:pt>
                <c:pt idx="13">
                  <c:v>1759.3333333333337</c:v>
                </c:pt>
                <c:pt idx="14">
                  <c:v>1885.0000000000005</c:v>
                </c:pt>
                <c:pt idx="15">
                  <c:v>2010.6666666666672</c:v>
                </c:pt>
                <c:pt idx="16">
                  <c:v>2136.3333333333339</c:v>
                </c:pt>
                <c:pt idx="17">
                  <c:v>2262.0000000000005</c:v>
                </c:pt>
                <c:pt idx="18">
                  <c:v>2387.666666666667</c:v>
                </c:pt>
                <c:pt idx="19">
                  <c:v>2513.3333333333335</c:v>
                </c:pt>
                <c:pt idx="20">
                  <c:v>2639</c:v>
                </c:pt>
                <c:pt idx="21">
                  <c:v>2764.6666666666665</c:v>
                </c:pt>
                <c:pt idx="22">
                  <c:v>2890.333333333333</c:v>
                </c:pt>
                <c:pt idx="23">
                  <c:v>3015.9999999999995</c:v>
                </c:pt>
                <c:pt idx="24">
                  <c:v>3141.6666666666661</c:v>
                </c:pt>
                <c:pt idx="25">
                  <c:v>3267.3333333333326</c:v>
                </c:pt>
                <c:pt idx="26">
                  <c:v>3392.9999999999991</c:v>
                </c:pt>
                <c:pt idx="27">
                  <c:v>3518.6666666666656</c:v>
                </c:pt>
                <c:pt idx="28">
                  <c:v>3644.3333333333321</c:v>
                </c:pt>
                <c:pt idx="29">
                  <c:v>3769.9999999999986</c:v>
                </c:pt>
                <c:pt idx="30">
                  <c:v>3769.9999999999986</c:v>
                </c:pt>
              </c:numCache>
            </c:numRef>
          </c:val>
        </c:ser>
        <c:marker val="1"/>
        <c:axId val="140916992"/>
        <c:axId val="140926976"/>
      </c:lineChart>
      <c:catAx>
        <c:axId val="14091699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0926976"/>
        <c:crossesAt val="0"/>
        <c:auto val="1"/>
        <c:lblAlgn val="ctr"/>
        <c:lblOffset val="100"/>
        <c:tickLblSkip val="1"/>
        <c:tickMarkSkip val="1"/>
      </c:catAx>
      <c:valAx>
        <c:axId val="140926976"/>
        <c:scaling>
          <c:orientation val="minMax"/>
          <c:max val="40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0916992"/>
        <c:crossesAt val="1"/>
        <c:crossBetween val="midCat"/>
        <c:majorUnit val="500"/>
        <c:minorUnit val="10"/>
      </c:valAx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1180555555555562" footer="0.51180555555555562"/>
    <c:pageSetup paperSize="9" firstPageNumber="0" orientation="landscape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0649617431186729"/>
          <c:y val="0.11983713303442695"/>
          <c:w val="0.87262357414462965"/>
          <c:h val="0.79878207329393991"/>
        </c:manualLayout>
      </c:layout>
      <c:lineChart>
        <c:grouping val="standard"/>
        <c:ser>
          <c:idx val="0"/>
          <c:order val="0"/>
          <c:tx>
            <c:strRef>
              <c:f>'ноябрь 20 (+агл, кокс)'!$BF$6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'ноябрь 20 (+агл, кокс)'!$BF$7:$BF$37</c:f>
              <c:numCache>
                <c:formatCode>0.00</c:formatCode>
                <c:ptCount val="31"/>
                <c:pt idx="0">
                  <c:v>126.25</c:v>
                </c:pt>
                <c:pt idx="1">
                  <c:v>253.42</c:v>
                </c:pt>
                <c:pt idx="2">
                  <c:v>379.13</c:v>
                </c:pt>
                <c:pt idx="3">
                  <c:v>497</c:v>
                </c:pt>
                <c:pt idx="4">
                  <c:v>617.53</c:v>
                </c:pt>
                <c:pt idx="5">
                  <c:v>738.75</c:v>
                </c:pt>
                <c:pt idx="6">
                  <c:v>866.25</c:v>
                </c:pt>
                <c:pt idx="7">
                  <c:v>985.04</c:v>
                </c:pt>
                <c:pt idx="8">
                  <c:v>1109.21</c:v>
                </c:pt>
                <c:pt idx="9">
                  <c:v>1209.27</c:v>
                </c:pt>
                <c:pt idx="10">
                  <c:v>1338.28</c:v>
                </c:pt>
                <c:pt idx="11">
                  <c:v>1464.8</c:v>
                </c:pt>
                <c:pt idx="12">
                  <c:v>1588.3899999999999</c:v>
                </c:pt>
                <c:pt idx="13">
                  <c:v>1709.31</c:v>
                </c:pt>
                <c:pt idx="14">
                  <c:v>1802.33</c:v>
                </c:pt>
                <c:pt idx="15">
                  <c:v>1914.36</c:v>
                </c:pt>
                <c:pt idx="16">
                  <c:v>1946.7199999999998</c:v>
                </c:pt>
                <c:pt idx="17">
                  <c:v>2079.8999999999996</c:v>
                </c:pt>
                <c:pt idx="18">
                  <c:v>2213.7599999999998</c:v>
                </c:pt>
                <c:pt idx="19">
                  <c:v>2328.2199999999998</c:v>
                </c:pt>
                <c:pt idx="20">
                  <c:v>2455.23</c:v>
                </c:pt>
                <c:pt idx="21">
                  <c:v>2587.7199999999998</c:v>
                </c:pt>
                <c:pt idx="22">
                  <c:v>2725.71</c:v>
                </c:pt>
                <c:pt idx="23">
                  <c:v>2855.33</c:v>
                </c:pt>
                <c:pt idx="24">
                  <c:v>2990.11</c:v>
                </c:pt>
                <c:pt idx="25">
                  <c:v>3121.73</c:v>
                </c:pt>
                <c:pt idx="26">
                  <c:v>3257.69</c:v>
                </c:pt>
                <c:pt idx="27">
                  <c:v>3396.11</c:v>
                </c:pt>
                <c:pt idx="28">
                  <c:v>3530.26</c:v>
                </c:pt>
                <c:pt idx="29">
                  <c:v>3659.4700000000003</c:v>
                </c:pt>
                <c:pt idx="30">
                  <c:v>3659.4700000000003</c:v>
                </c:pt>
              </c:numCache>
            </c:numRef>
          </c:val>
        </c:ser>
        <c:ser>
          <c:idx val="1"/>
          <c:order val="1"/>
          <c:tx>
            <c:strRef>
              <c:f>'ноябрь 20 (+агл, кокс)'!$BH$6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'ноябрь 20 (+агл, кокс)'!$BH$7:$BH$37</c:f>
              <c:numCache>
                <c:formatCode>0.00</c:formatCode>
                <c:ptCount val="31"/>
                <c:pt idx="0">
                  <c:v>125.66666666666667</c:v>
                </c:pt>
                <c:pt idx="1">
                  <c:v>251.33333333333334</c:v>
                </c:pt>
                <c:pt idx="2">
                  <c:v>377</c:v>
                </c:pt>
                <c:pt idx="3">
                  <c:v>502.66666666666669</c:v>
                </c:pt>
                <c:pt idx="4">
                  <c:v>628.33333333333337</c:v>
                </c:pt>
                <c:pt idx="5">
                  <c:v>754</c:v>
                </c:pt>
                <c:pt idx="6">
                  <c:v>879.66666666666663</c:v>
                </c:pt>
                <c:pt idx="7">
                  <c:v>1005.3333333333333</c:v>
                </c:pt>
                <c:pt idx="8">
                  <c:v>1131</c:v>
                </c:pt>
                <c:pt idx="9">
                  <c:v>1256.6666666666667</c:v>
                </c:pt>
                <c:pt idx="10">
                  <c:v>1382.3333333333335</c:v>
                </c:pt>
                <c:pt idx="11">
                  <c:v>1508.0000000000002</c:v>
                </c:pt>
                <c:pt idx="12">
                  <c:v>1633.666666666667</c:v>
                </c:pt>
                <c:pt idx="13">
                  <c:v>1759.3333333333337</c:v>
                </c:pt>
                <c:pt idx="14">
                  <c:v>1885.0000000000005</c:v>
                </c:pt>
                <c:pt idx="15">
                  <c:v>2010.6666666666672</c:v>
                </c:pt>
                <c:pt idx="16">
                  <c:v>2136.3333333333339</c:v>
                </c:pt>
                <c:pt idx="17">
                  <c:v>2262.0000000000005</c:v>
                </c:pt>
                <c:pt idx="18">
                  <c:v>2387.666666666667</c:v>
                </c:pt>
                <c:pt idx="19">
                  <c:v>2513.3333333333335</c:v>
                </c:pt>
                <c:pt idx="20">
                  <c:v>2639</c:v>
                </c:pt>
                <c:pt idx="21">
                  <c:v>2764.6666666666665</c:v>
                </c:pt>
                <c:pt idx="22">
                  <c:v>2890.333333333333</c:v>
                </c:pt>
                <c:pt idx="23">
                  <c:v>3015.9999999999995</c:v>
                </c:pt>
                <c:pt idx="24">
                  <c:v>3141.6666666666661</c:v>
                </c:pt>
                <c:pt idx="25">
                  <c:v>3267.3333333333326</c:v>
                </c:pt>
                <c:pt idx="26">
                  <c:v>3392.9999999999991</c:v>
                </c:pt>
                <c:pt idx="27">
                  <c:v>3518.6666666666656</c:v>
                </c:pt>
                <c:pt idx="28">
                  <c:v>3644.3333333333321</c:v>
                </c:pt>
                <c:pt idx="29">
                  <c:v>3769.9999999999986</c:v>
                </c:pt>
                <c:pt idx="30">
                  <c:v>3769.9999999999986</c:v>
                </c:pt>
              </c:numCache>
            </c:numRef>
          </c:val>
        </c:ser>
        <c:marker val="1"/>
        <c:axId val="140402688"/>
        <c:axId val="140404224"/>
      </c:lineChart>
      <c:catAx>
        <c:axId val="14040268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0404224"/>
        <c:crossesAt val="0"/>
        <c:auto val="1"/>
        <c:lblAlgn val="ctr"/>
        <c:lblOffset val="100"/>
        <c:tickLblSkip val="1"/>
        <c:tickMarkSkip val="1"/>
      </c:catAx>
      <c:valAx>
        <c:axId val="140404224"/>
        <c:scaling>
          <c:orientation val="minMax"/>
          <c:max val="40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0402688"/>
        <c:crossesAt val="1"/>
        <c:crossBetween val="midCat"/>
        <c:majorUnit val="500"/>
        <c:minorUnit val="10"/>
      </c:valAx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1180555555555562" footer="0.51180555555555562"/>
    <c:pageSetup paperSize="9" firstPageNumber="0" orientation="landscape"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0649617431186729"/>
          <c:y val="0.11983713303442695"/>
          <c:w val="0.87262357414462965"/>
          <c:h val="0.79878207329393991"/>
        </c:manualLayout>
      </c:layout>
      <c:lineChart>
        <c:grouping val="standard"/>
        <c:ser>
          <c:idx val="0"/>
          <c:order val="0"/>
          <c:tx>
            <c:strRef>
              <c:f>'декабрь 20 (факт)'!$BF$6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'декабрь 20 (факт)'!$BF$7:$BF$37</c:f>
              <c:numCache>
                <c:formatCode>0.00</c:formatCode>
                <c:ptCount val="31"/>
                <c:pt idx="0">
                  <c:v>126.74000000000001</c:v>
                </c:pt>
                <c:pt idx="1">
                  <c:v>254.59000000000003</c:v>
                </c:pt>
                <c:pt idx="2">
                  <c:v>377.18000000000006</c:v>
                </c:pt>
                <c:pt idx="3">
                  <c:v>486.85</c:v>
                </c:pt>
                <c:pt idx="4">
                  <c:v>591.55000000000007</c:v>
                </c:pt>
                <c:pt idx="5">
                  <c:v>679.34</c:v>
                </c:pt>
                <c:pt idx="6">
                  <c:v>797.11</c:v>
                </c:pt>
                <c:pt idx="7">
                  <c:v>844.19</c:v>
                </c:pt>
                <c:pt idx="8">
                  <c:v>844.19</c:v>
                </c:pt>
                <c:pt idx="9">
                  <c:v>844.19</c:v>
                </c:pt>
                <c:pt idx="10">
                  <c:v>844.19</c:v>
                </c:pt>
                <c:pt idx="11">
                  <c:v>870.55000000000007</c:v>
                </c:pt>
                <c:pt idx="12">
                  <c:v>941.97</c:v>
                </c:pt>
                <c:pt idx="13">
                  <c:v>1063.77</c:v>
                </c:pt>
                <c:pt idx="14">
                  <c:v>1198.26</c:v>
                </c:pt>
                <c:pt idx="15">
                  <c:v>1323.09</c:v>
                </c:pt>
                <c:pt idx="16">
                  <c:v>1457.1699999999998</c:v>
                </c:pt>
                <c:pt idx="17">
                  <c:v>1584.1499999999999</c:v>
                </c:pt>
                <c:pt idx="18">
                  <c:v>1725.4499999999998</c:v>
                </c:pt>
                <c:pt idx="19">
                  <c:v>1867.2199999999998</c:v>
                </c:pt>
                <c:pt idx="20">
                  <c:v>2004.9699999999998</c:v>
                </c:pt>
                <c:pt idx="21">
                  <c:v>2133.6999999999998</c:v>
                </c:pt>
                <c:pt idx="22">
                  <c:v>2264.02</c:v>
                </c:pt>
                <c:pt idx="23">
                  <c:v>2399.94</c:v>
                </c:pt>
                <c:pt idx="24">
                  <c:v>2538.44</c:v>
                </c:pt>
                <c:pt idx="25">
                  <c:v>2668.2</c:v>
                </c:pt>
                <c:pt idx="26">
                  <c:v>2791.6699999999996</c:v>
                </c:pt>
                <c:pt idx="27">
                  <c:v>2924.8099999999995</c:v>
                </c:pt>
                <c:pt idx="28">
                  <c:v>3000.3299999999995</c:v>
                </c:pt>
                <c:pt idx="29">
                  <c:v>3130.1899999999996</c:v>
                </c:pt>
                <c:pt idx="30">
                  <c:v>3267.2999999999997</c:v>
                </c:pt>
              </c:numCache>
            </c:numRef>
          </c:val>
        </c:ser>
        <c:ser>
          <c:idx val="1"/>
          <c:order val="1"/>
          <c:tx>
            <c:strRef>
              <c:f>'декабрь 20 (факт)'!$BH$6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'декабрь 20 (факт)'!$BH$7:$BH$37</c:f>
              <c:numCache>
                <c:formatCode>0.00</c:formatCode>
                <c:ptCount val="31"/>
                <c:pt idx="0">
                  <c:v>116.7741935483871</c:v>
                </c:pt>
                <c:pt idx="1">
                  <c:v>233.54838709677421</c:v>
                </c:pt>
                <c:pt idx="2">
                  <c:v>350.32258064516134</c:v>
                </c:pt>
                <c:pt idx="3">
                  <c:v>467.09677419354841</c:v>
                </c:pt>
                <c:pt idx="4">
                  <c:v>583.87096774193549</c:v>
                </c:pt>
                <c:pt idx="5">
                  <c:v>700.64516129032256</c:v>
                </c:pt>
                <c:pt idx="6">
                  <c:v>817.41935483870964</c:v>
                </c:pt>
                <c:pt idx="7">
                  <c:v>934.19354838709671</c:v>
                </c:pt>
                <c:pt idx="8">
                  <c:v>1050.9677419354839</c:v>
                </c:pt>
                <c:pt idx="9">
                  <c:v>1167.741935483871</c:v>
                </c:pt>
                <c:pt idx="10">
                  <c:v>1284.516129032258</c:v>
                </c:pt>
                <c:pt idx="11">
                  <c:v>1401.2903225806451</c:v>
                </c:pt>
                <c:pt idx="12">
                  <c:v>1518.0645161290322</c:v>
                </c:pt>
                <c:pt idx="13">
                  <c:v>1634.8387096774193</c:v>
                </c:pt>
                <c:pt idx="14">
                  <c:v>1751.6129032258063</c:v>
                </c:pt>
                <c:pt idx="15">
                  <c:v>1868.3870967741934</c:v>
                </c:pt>
                <c:pt idx="16">
                  <c:v>1985.1612903225805</c:v>
                </c:pt>
                <c:pt idx="17">
                  <c:v>2101.9354838709678</c:v>
                </c:pt>
                <c:pt idx="18">
                  <c:v>2218.7096774193551</c:v>
                </c:pt>
                <c:pt idx="19">
                  <c:v>2335.4838709677424</c:v>
                </c:pt>
                <c:pt idx="20">
                  <c:v>2452.2580645161297</c:v>
                </c:pt>
                <c:pt idx="21">
                  <c:v>2569.032258064517</c:v>
                </c:pt>
                <c:pt idx="22">
                  <c:v>2685.8064516129043</c:v>
                </c:pt>
                <c:pt idx="23">
                  <c:v>2802.5806451612916</c:v>
                </c:pt>
                <c:pt idx="24">
                  <c:v>2919.3548387096789</c:v>
                </c:pt>
                <c:pt idx="25">
                  <c:v>3036.1290322580662</c:v>
                </c:pt>
                <c:pt idx="26">
                  <c:v>3152.9032258064535</c:v>
                </c:pt>
                <c:pt idx="27">
                  <c:v>3269.6774193548408</c:v>
                </c:pt>
                <c:pt idx="28">
                  <c:v>3386.4516129032281</c:v>
                </c:pt>
                <c:pt idx="29">
                  <c:v>3503.2258064516154</c:v>
                </c:pt>
                <c:pt idx="30">
                  <c:v>3620.0000000000027</c:v>
                </c:pt>
              </c:numCache>
            </c:numRef>
          </c:val>
        </c:ser>
        <c:marker val="1"/>
        <c:axId val="141194752"/>
        <c:axId val="141196288"/>
      </c:lineChart>
      <c:catAx>
        <c:axId val="14119475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1196288"/>
        <c:crossesAt val="0"/>
        <c:auto val="1"/>
        <c:lblAlgn val="ctr"/>
        <c:lblOffset val="100"/>
        <c:tickLblSkip val="1"/>
        <c:tickMarkSkip val="1"/>
      </c:catAx>
      <c:valAx>
        <c:axId val="141196288"/>
        <c:scaling>
          <c:orientation val="minMax"/>
          <c:max val="40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1194752"/>
        <c:crossesAt val="1"/>
        <c:crossBetween val="midCat"/>
        <c:majorUnit val="500"/>
        <c:minorUnit val="10"/>
      </c:valAx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1180555555555562" footer="0.51180555555555562"/>
    <c:pageSetup paperSize="9" firstPageNumber="0" orientation="landscape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0649617431186729"/>
          <c:y val="0.11983713303442695"/>
          <c:w val="0.87262357414462965"/>
          <c:h val="0.79878207329393991"/>
        </c:manualLayout>
      </c:layout>
      <c:lineChart>
        <c:grouping val="standard"/>
        <c:ser>
          <c:idx val="0"/>
          <c:order val="0"/>
          <c:tx>
            <c:strRef>
              <c:f>'декабрь 20'!$BF$6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'декабрь 20'!$BF$7:$BF$37</c:f>
              <c:numCache>
                <c:formatCode>0.00</c:formatCode>
                <c:ptCount val="31"/>
                <c:pt idx="0">
                  <c:v>128.6635</c:v>
                </c:pt>
                <c:pt idx="1">
                  <c:v>257.697</c:v>
                </c:pt>
                <c:pt idx="2">
                  <c:v>379.94574999999998</c:v>
                </c:pt>
                <c:pt idx="3">
                  <c:v>494.19674999999995</c:v>
                </c:pt>
                <c:pt idx="4">
                  <c:v>603.97524999999996</c:v>
                </c:pt>
                <c:pt idx="5">
                  <c:v>699.25249999999994</c:v>
                </c:pt>
                <c:pt idx="6">
                  <c:v>812.2612499999999</c:v>
                </c:pt>
                <c:pt idx="7">
                  <c:v>848.61274999999989</c:v>
                </c:pt>
                <c:pt idx="8">
                  <c:v>848.61274999999989</c:v>
                </c:pt>
                <c:pt idx="9">
                  <c:v>848.61274999999989</c:v>
                </c:pt>
                <c:pt idx="10">
                  <c:v>848.61274999999989</c:v>
                </c:pt>
                <c:pt idx="11">
                  <c:v>878.90124999999989</c:v>
                </c:pt>
                <c:pt idx="12">
                  <c:v>952.02199999999993</c:v>
                </c:pt>
                <c:pt idx="13">
                  <c:v>1070.18075</c:v>
                </c:pt>
                <c:pt idx="14">
                  <c:v>1196.7275</c:v>
                </c:pt>
                <c:pt idx="15">
                  <c:v>1317.0619999999999</c:v>
                </c:pt>
                <c:pt idx="16">
                  <c:v>1448.5964999999999</c:v>
                </c:pt>
                <c:pt idx="17">
                  <c:v>1574.7079999999999</c:v>
                </c:pt>
                <c:pt idx="18">
                  <c:v>1714.1352499999998</c:v>
                </c:pt>
                <c:pt idx="19">
                  <c:v>1867.2152499999997</c:v>
                </c:pt>
                <c:pt idx="20">
                  <c:v>2000.2864999999997</c:v>
                </c:pt>
                <c:pt idx="21">
                  <c:v>2131.6698999999999</c:v>
                </c:pt>
                <c:pt idx="22">
                  <c:v>2260.7786499999997</c:v>
                </c:pt>
                <c:pt idx="23">
                  <c:v>2395.0628999999999</c:v>
                </c:pt>
                <c:pt idx="24">
                  <c:v>2530.5138999999999</c:v>
                </c:pt>
                <c:pt idx="25">
                  <c:v>2661.7851499999997</c:v>
                </c:pt>
                <c:pt idx="26">
                  <c:v>2784.9658999999997</c:v>
                </c:pt>
                <c:pt idx="27">
                  <c:v>2910.9261499999998</c:v>
                </c:pt>
                <c:pt idx="28">
                  <c:v>2986.3963999999996</c:v>
                </c:pt>
                <c:pt idx="29">
                  <c:v>3113.3223999999996</c:v>
                </c:pt>
                <c:pt idx="30">
                  <c:v>3267.3023999999996</c:v>
                </c:pt>
              </c:numCache>
            </c:numRef>
          </c:val>
        </c:ser>
        <c:ser>
          <c:idx val="1"/>
          <c:order val="1"/>
          <c:tx>
            <c:strRef>
              <c:f>'декабрь 20'!$BH$6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'декабрь 20'!$BH$7:$BH$37</c:f>
              <c:numCache>
                <c:formatCode>0.00</c:formatCode>
                <c:ptCount val="31"/>
                <c:pt idx="0">
                  <c:v>116.7741935483871</c:v>
                </c:pt>
                <c:pt idx="1">
                  <c:v>233.54838709677421</c:v>
                </c:pt>
                <c:pt idx="2">
                  <c:v>350.32258064516134</c:v>
                </c:pt>
                <c:pt idx="3">
                  <c:v>467.09677419354841</c:v>
                </c:pt>
                <c:pt idx="4">
                  <c:v>583.87096774193549</c:v>
                </c:pt>
                <c:pt idx="5">
                  <c:v>700.64516129032256</c:v>
                </c:pt>
                <c:pt idx="6">
                  <c:v>817.41935483870964</c:v>
                </c:pt>
                <c:pt idx="7">
                  <c:v>934.19354838709671</c:v>
                </c:pt>
                <c:pt idx="8">
                  <c:v>1050.9677419354839</c:v>
                </c:pt>
                <c:pt idx="9">
                  <c:v>1167.741935483871</c:v>
                </c:pt>
                <c:pt idx="10">
                  <c:v>1284.516129032258</c:v>
                </c:pt>
                <c:pt idx="11">
                  <c:v>1401.2903225806451</c:v>
                </c:pt>
                <c:pt idx="12">
                  <c:v>1518.0645161290322</c:v>
                </c:pt>
                <c:pt idx="13">
                  <c:v>1634.8387096774193</c:v>
                </c:pt>
                <c:pt idx="14">
                  <c:v>1751.6129032258063</c:v>
                </c:pt>
                <c:pt idx="15">
                  <c:v>1868.3870967741934</c:v>
                </c:pt>
                <c:pt idx="16">
                  <c:v>1985.1612903225805</c:v>
                </c:pt>
                <c:pt idx="17">
                  <c:v>2101.9354838709678</c:v>
                </c:pt>
                <c:pt idx="18">
                  <c:v>2218.7096774193551</c:v>
                </c:pt>
                <c:pt idx="19">
                  <c:v>2335.4838709677424</c:v>
                </c:pt>
                <c:pt idx="20">
                  <c:v>2452.2580645161297</c:v>
                </c:pt>
                <c:pt idx="21">
                  <c:v>2569.032258064517</c:v>
                </c:pt>
                <c:pt idx="22">
                  <c:v>2685.8064516129043</c:v>
                </c:pt>
                <c:pt idx="23">
                  <c:v>2802.5806451612916</c:v>
                </c:pt>
                <c:pt idx="24">
                  <c:v>2919.3548387096789</c:v>
                </c:pt>
                <c:pt idx="25">
                  <c:v>3036.1290322580662</c:v>
                </c:pt>
                <c:pt idx="26">
                  <c:v>3152.9032258064535</c:v>
                </c:pt>
                <c:pt idx="27">
                  <c:v>3269.6774193548408</c:v>
                </c:pt>
                <c:pt idx="28">
                  <c:v>3386.4516129032281</c:v>
                </c:pt>
                <c:pt idx="29">
                  <c:v>3503.2258064516154</c:v>
                </c:pt>
                <c:pt idx="30">
                  <c:v>3620.0000000000027</c:v>
                </c:pt>
              </c:numCache>
            </c:numRef>
          </c:val>
        </c:ser>
        <c:marker val="1"/>
        <c:axId val="141507584"/>
        <c:axId val="141513472"/>
      </c:lineChart>
      <c:catAx>
        <c:axId val="14150758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1513472"/>
        <c:crossesAt val="0"/>
        <c:auto val="1"/>
        <c:lblAlgn val="ctr"/>
        <c:lblOffset val="100"/>
        <c:tickLblSkip val="1"/>
        <c:tickMarkSkip val="1"/>
      </c:catAx>
      <c:valAx>
        <c:axId val="141513472"/>
        <c:scaling>
          <c:orientation val="minMax"/>
          <c:max val="40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1507584"/>
        <c:crossesAt val="1"/>
        <c:crossBetween val="midCat"/>
        <c:majorUnit val="500"/>
        <c:minorUnit val="10"/>
      </c:valAx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1180555555555562" footer="0.51180555555555562"/>
    <c:pageSetup paperSize="9" firstPageNumber="0" orientation="landscape"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0649617431186729"/>
          <c:y val="0.11983713303442695"/>
          <c:w val="0.87262357414462965"/>
          <c:h val="0.79878207329393991"/>
        </c:manualLayout>
      </c:layout>
      <c:lineChart>
        <c:grouping val="standard"/>
        <c:ser>
          <c:idx val="0"/>
          <c:order val="0"/>
          <c:tx>
            <c:strRef>
              <c:f>'декабрь 20 (-агл,+руд)'!$BF$6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'декабрь 20 (-агл,+руд)'!$BF$7:$BF$37</c:f>
              <c:numCache>
                <c:formatCode>0.00</c:formatCode>
                <c:ptCount val="31"/>
                <c:pt idx="0">
                  <c:v>128.6635</c:v>
                </c:pt>
                <c:pt idx="1">
                  <c:v>257.697</c:v>
                </c:pt>
                <c:pt idx="2">
                  <c:v>379.94574999999998</c:v>
                </c:pt>
                <c:pt idx="3">
                  <c:v>494.19674999999995</c:v>
                </c:pt>
                <c:pt idx="4">
                  <c:v>603.97524999999996</c:v>
                </c:pt>
                <c:pt idx="5">
                  <c:v>699.25249999999994</c:v>
                </c:pt>
                <c:pt idx="6">
                  <c:v>812.2612499999999</c:v>
                </c:pt>
                <c:pt idx="7">
                  <c:v>848.61274999999989</c:v>
                </c:pt>
                <c:pt idx="8">
                  <c:v>848.61274999999989</c:v>
                </c:pt>
                <c:pt idx="9">
                  <c:v>848.61274999999989</c:v>
                </c:pt>
                <c:pt idx="10">
                  <c:v>848.61274999999989</c:v>
                </c:pt>
                <c:pt idx="11">
                  <c:v>878.90124999999989</c:v>
                </c:pt>
                <c:pt idx="12">
                  <c:v>952.02199999999993</c:v>
                </c:pt>
                <c:pt idx="13">
                  <c:v>1070.18075</c:v>
                </c:pt>
                <c:pt idx="14">
                  <c:v>1196.7275</c:v>
                </c:pt>
                <c:pt idx="15">
                  <c:v>1317.0619999999999</c:v>
                </c:pt>
                <c:pt idx="16">
                  <c:v>1448.5964999999999</c:v>
                </c:pt>
                <c:pt idx="17">
                  <c:v>1574.7079999999999</c:v>
                </c:pt>
                <c:pt idx="18">
                  <c:v>1714.1352499999998</c:v>
                </c:pt>
                <c:pt idx="19">
                  <c:v>1867.2152499999997</c:v>
                </c:pt>
                <c:pt idx="20">
                  <c:v>2000.2864999999997</c:v>
                </c:pt>
                <c:pt idx="21">
                  <c:v>2131.6698999999999</c:v>
                </c:pt>
                <c:pt idx="22">
                  <c:v>2260.7786499999997</c:v>
                </c:pt>
                <c:pt idx="23">
                  <c:v>2395.0628999999999</c:v>
                </c:pt>
                <c:pt idx="24">
                  <c:v>2530.5138999999999</c:v>
                </c:pt>
                <c:pt idx="25">
                  <c:v>2661.7851499999997</c:v>
                </c:pt>
                <c:pt idx="26">
                  <c:v>2784.9658999999997</c:v>
                </c:pt>
                <c:pt idx="27">
                  <c:v>2910.9261499999998</c:v>
                </c:pt>
                <c:pt idx="28">
                  <c:v>2986.3963999999996</c:v>
                </c:pt>
                <c:pt idx="29">
                  <c:v>3113.3223999999996</c:v>
                </c:pt>
                <c:pt idx="30">
                  <c:v>3267.3023999999996</c:v>
                </c:pt>
              </c:numCache>
            </c:numRef>
          </c:val>
        </c:ser>
        <c:ser>
          <c:idx val="1"/>
          <c:order val="1"/>
          <c:tx>
            <c:strRef>
              <c:f>'декабрь 20 (-агл,+руд)'!$BH$6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'декабрь 20 (-агл,+руд)'!$BH$7:$BH$37</c:f>
              <c:numCache>
                <c:formatCode>0.00</c:formatCode>
                <c:ptCount val="31"/>
                <c:pt idx="0">
                  <c:v>116.7741935483871</c:v>
                </c:pt>
                <c:pt idx="1">
                  <c:v>233.54838709677421</c:v>
                </c:pt>
                <c:pt idx="2">
                  <c:v>350.32258064516134</c:v>
                </c:pt>
                <c:pt idx="3">
                  <c:v>467.09677419354841</c:v>
                </c:pt>
                <c:pt idx="4">
                  <c:v>583.87096774193549</c:v>
                </c:pt>
                <c:pt idx="5">
                  <c:v>700.64516129032256</c:v>
                </c:pt>
                <c:pt idx="6">
                  <c:v>817.41935483870964</c:v>
                </c:pt>
                <c:pt idx="7">
                  <c:v>934.19354838709671</c:v>
                </c:pt>
                <c:pt idx="8">
                  <c:v>1050.9677419354839</c:v>
                </c:pt>
                <c:pt idx="9">
                  <c:v>1167.741935483871</c:v>
                </c:pt>
                <c:pt idx="10">
                  <c:v>1284.516129032258</c:v>
                </c:pt>
                <c:pt idx="11">
                  <c:v>1401.2903225806451</c:v>
                </c:pt>
                <c:pt idx="12">
                  <c:v>1518.0645161290322</c:v>
                </c:pt>
                <c:pt idx="13">
                  <c:v>1634.8387096774193</c:v>
                </c:pt>
                <c:pt idx="14">
                  <c:v>1751.6129032258063</c:v>
                </c:pt>
                <c:pt idx="15">
                  <c:v>1868.3870967741934</c:v>
                </c:pt>
                <c:pt idx="16">
                  <c:v>1985.1612903225805</c:v>
                </c:pt>
                <c:pt idx="17">
                  <c:v>2101.9354838709678</c:v>
                </c:pt>
                <c:pt idx="18">
                  <c:v>2218.7096774193551</c:v>
                </c:pt>
                <c:pt idx="19">
                  <c:v>2335.4838709677424</c:v>
                </c:pt>
                <c:pt idx="20">
                  <c:v>2452.2580645161297</c:v>
                </c:pt>
                <c:pt idx="21">
                  <c:v>2569.032258064517</c:v>
                </c:pt>
                <c:pt idx="22">
                  <c:v>2685.8064516129043</c:v>
                </c:pt>
                <c:pt idx="23">
                  <c:v>2802.5806451612916</c:v>
                </c:pt>
                <c:pt idx="24">
                  <c:v>2919.3548387096789</c:v>
                </c:pt>
                <c:pt idx="25">
                  <c:v>3036.1290322580662</c:v>
                </c:pt>
                <c:pt idx="26">
                  <c:v>3152.9032258064535</c:v>
                </c:pt>
                <c:pt idx="27">
                  <c:v>3269.6774193548408</c:v>
                </c:pt>
                <c:pt idx="28">
                  <c:v>3386.4516129032281</c:v>
                </c:pt>
                <c:pt idx="29">
                  <c:v>3503.2258064516154</c:v>
                </c:pt>
                <c:pt idx="30">
                  <c:v>3620.0000000000027</c:v>
                </c:pt>
              </c:numCache>
            </c:numRef>
          </c:val>
        </c:ser>
        <c:marker val="1"/>
        <c:axId val="141668736"/>
        <c:axId val="141670272"/>
      </c:lineChart>
      <c:catAx>
        <c:axId val="14166873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1670272"/>
        <c:crossesAt val="0"/>
        <c:auto val="1"/>
        <c:lblAlgn val="ctr"/>
        <c:lblOffset val="100"/>
        <c:tickLblSkip val="1"/>
        <c:tickMarkSkip val="1"/>
      </c:catAx>
      <c:valAx>
        <c:axId val="141670272"/>
        <c:scaling>
          <c:orientation val="minMax"/>
          <c:max val="40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1668736"/>
        <c:crossesAt val="1"/>
        <c:crossBetween val="midCat"/>
        <c:majorUnit val="500"/>
        <c:minorUnit val="10"/>
      </c:valAx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1180555555555562" footer="0.51180555555555562"/>
    <c:pageSetup paperSize="9" firstPageNumber="0"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314325</xdr:colOff>
      <xdr:row>48</xdr:row>
      <xdr:rowOff>28575</xdr:rowOff>
    </xdr:from>
    <xdr:to>
      <xdr:col>47</xdr:col>
      <xdr:colOff>0</xdr:colOff>
      <xdr:row>73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314325</xdr:colOff>
      <xdr:row>48</xdr:row>
      <xdr:rowOff>28575</xdr:rowOff>
    </xdr:from>
    <xdr:to>
      <xdr:col>47</xdr:col>
      <xdr:colOff>0</xdr:colOff>
      <xdr:row>73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314325</xdr:colOff>
      <xdr:row>48</xdr:row>
      <xdr:rowOff>28575</xdr:rowOff>
    </xdr:from>
    <xdr:to>
      <xdr:col>47</xdr:col>
      <xdr:colOff>0</xdr:colOff>
      <xdr:row>73</xdr:row>
      <xdr:rowOff>123825</xdr:rowOff>
    </xdr:to>
    <xdr:graphicFrame macro="">
      <xdr:nvGraphicFramePr>
        <xdr:cNvPr id="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314325</xdr:colOff>
      <xdr:row>48</xdr:row>
      <xdr:rowOff>28575</xdr:rowOff>
    </xdr:from>
    <xdr:to>
      <xdr:col>47</xdr:col>
      <xdr:colOff>0</xdr:colOff>
      <xdr:row>73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314325</xdr:colOff>
      <xdr:row>48</xdr:row>
      <xdr:rowOff>28575</xdr:rowOff>
    </xdr:from>
    <xdr:to>
      <xdr:col>47</xdr:col>
      <xdr:colOff>0</xdr:colOff>
      <xdr:row>73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314325</xdr:colOff>
      <xdr:row>48</xdr:row>
      <xdr:rowOff>28575</xdr:rowOff>
    </xdr:from>
    <xdr:to>
      <xdr:col>47</xdr:col>
      <xdr:colOff>0</xdr:colOff>
      <xdr:row>73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314325</xdr:colOff>
      <xdr:row>48</xdr:row>
      <xdr:rowOff>28575</xdr:rowOff>
    </xdr:from>
    <xdr:to>
      <xdr:col>47</xdr:col>
      <xdr:colOff>0</xdr:colOff>
      <xdr:row>73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314325</xdr:colOff>
      <xdr:row>48</xdr:row>
      <xdr:rowOff>28575</xdr:rowOff>
    </xdr:from>
    <xdr:to>
      <xdr:col>47</xdr:col>
      <xdr:colOff>0</xdr:colOff>
      <xdr:row>73</xdr:row>
      <xdr:rowOff>123825</xdr:rowOff>
    </xdr:to>
    <xdr:graphicFrame macro="">
      <xdr:nvGraphicFramePr>
        <xdr:cNvPr id="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314325</xdr:colOff>
      <xdr:row>48</xdr:row>
      <xdr:rowOff>28575</xdr:rowOff>
    </xdr:from>
    <xdr:to>
      <xdr:col>47</xdr:col>
      <xdr:colOff>0</xdr:colOff>
      <xdr:row>73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314325</xdr:colOff>
      <xdr:row>48</xdr:row>
      <xdr:rowOff>28575</xdr:rowOff>
    </xdr:from>
    <xdr:to>
      <xdr:col>47</xdr:col>
      <xdr:colOff>0</xdr:colOff>
      <xdr:row>73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314325</xdr:colOff>
      <xdr:row>48</xdr:row>
      <xdr:rowOff>28575</xdr:rowOff>
    </xdr:from>
    <xdr:to>
      <xdr:col>47</xdr:col>
      <xdr:colOff>0</xdr:colOff>
      <xdr:row>73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314325</xdr:colOff>
      <xdr:row>48</xdr:row>
      <xdr:rowOff>28575</xdr:rowOff>
    </xdr:from>
    <xdr:to>
      <xdr:col>47</xdr:col>
      <xdr:colOff>0</xdr:colOff>
      <xdr:row>73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314325</xdr:colOff>
      <xdr:row>48</xdr:row>
      <xdr:rowOff>28575</xdr:rowOff>
    </xdr:from>
    <xdr:to>
      <xdr:col>47</xdr:col>
      <xdr:colOff>0</xdr:colOff>
      <xdr:row>73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314325</xdr:colOff>
      <xdr:row>48</xdr:row>
      <xdr:rowOff>28575</xdr:rowOff>
    </xdr:from>
    <xdr:to>
      <xdr:col>47</xdr:col>
      <xdr:colOff>0</xdr:colOff>
      <xdr:row>73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314325</xdr:colOff>
      <xdr:row>48</xdr:row>
      <xdr:rowOff>28575</xdr:rowOff>
    </xdr:from>
    <xdr:to>
      <xdr:col>47</xdr:col>
      <xdr:colOff>0</xdr:colOff>
      <xdr:row>73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314325</xdr:colOff>
      <xdr:row>48</xdr:row>
      <xdr:rowOff>28575</xdr:rowOff>
    </xdr:from>
    <xdr:to>
      <xdr:col>47</xdr:col>
      <xdr:colOff>0</xdr:colOff>
      <xdr:row>73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314325</xdr:colOff>
      <xdr:row>48</xdr:row>
      <xdr:rowOff>28575</xdr:rowOff>
    </xdr:from>
    <xdr:to>
      <xdr:col>47</xdr:col>
      <xdr:colOff>0</xdr:colOff>
      <xdr:row>73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314325</xdr:colOff>
      <xdr:row>48</xdr:row>
      <xdr:rowOff>28575</xdr:rowOff>
    </xdr:from>
    <xdr:to>
      <xdr:col>47</xdr:col>
      <xdr:colOff>0</xdr:colOff>
      <xdr:row>73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314325</xdr:colOff>
      <xdr:row>48</xdr:row>
      <xdr:rowOff>28575</xdr:rowOff>
    </xdr:from>
    <xdr:to>
      <xdr:col>47</xdr:col>
      <xdr:colOff>0</xdr:colOff>
      <xdr:row>73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314325</xdr:colOff>
      <xdr:row>48</xdr:row>
      <xdr:rowOff>28575</xdr:rowOff>
    </xdr:from>
    <xdr:to>
      <xdr:col>47</xdr:col>
      <xdr:colOff>0</xdr:colOff>
      <xdr:row>73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314325</xdr:colOff>
      <xdr:row>48</xdr:row>
      <xdr:rowOff>28575</xdr:rowOff>
    </xdr:from>
    <xdr:to>
      <xdr:col>47</xdr:col>
      <xdr:colOff>0</xdr:colOff>
      <xdr:row>73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314325</xdr:colOff>
      <xdr:row>48</xdr:row>
      <xdr:rowOff>28575</xdr:rowOff>
    </xdr:from>
    <xdr:to>
      <xdr:col>47</xdr:col>
      <xdr:colOff>0</xdr:colOff>
      <xdr:row>73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314325</xdr:colOff>
      <xdr:row>48</xdr:row>
      <xdr:rowOff>28575</xdr:rowOff>
    </xdr:from>
    <xdr:to>
      <xdr:col>47</xdr:col>
      <xdr:colOff>0</xdr:colOff>
      <xdr:row>73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314325</xdr:colOff>
      <xdr:row>48</xdr:row>
      <xdr:rowOff>28575</xdr:rowOff>
    </xdr:from>
    <xdr:to>
      <xdr:col>47</xdr:col>
      <xdr:colOff>0</xdr:colOff>
      <xdr:row>73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314325</xdr:colOff>
      <xdr:row>48</xdr:row>
      <xdr:rowOff>28575</xdr:rowOff>
    </xdr:from>
    <xdr:to>
      <xdr:col>47</xdr:col>
      <xdr:colOff>0</xdr:colOff>
      <xdr:row>73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314325</xdr:colOff>
      <xdr:row>48</xdr:row>
      <xdr:rowOff>28575</xdr:rowOff>
    </xdr:from>
    <xdr:to>
      <xdr:col>47</xdr:col>
      <xdr:colOff>0</xdr:colOff>
      <xdr:row>73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314325</xdr:colOff>
      <xdr:row>48</xdr:row>
      <xdr:rowOff>28575</xdr:rowOff>
    </xdr:from>
    <xdr:to>
      <xdr:col>47</xdr:col>
      <xdr:colOff>0</xdr:colOff>
      <xdr:row>73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314325</xdr:colOff>
      <xdr:row>48</xdr:row>
      <xdr:rowOff>28575</xdr:rowOff>
    </xdr:from>
    <xdr:to>
      <xdr:col>47</xdr:col>
      <xdr:colOff>0</xdr:colOff>
      <xdr:row>73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314325</xdr:colOff>
      <xdr:row>48</xdr:row>
      <xdr:rowOff>28575</xdr:rowOff>
    </xdr:from>
    <xdr:to>
      <xdr:col>47</xdr:col>
      <xdr:colOff>0</xdr:colOff>
      <xdr:row>73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314325</xdr:colOff>
      <xdr:row>48</xdr:row>
      <xdr:rowOff>28575</xdr:rowOff>
    </xdr:from>
    <xdr:to>
      <xdr:col>47</xdr:col>
      <xdr:colOff>0</xdr:colOff>
      <xdr:row>73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314325</xdr:colOff>
      <xdr:row>48</xdr:row>
      <xdr:rowOff>28575</xdr:rowOff>
    </xdr:from>
    <xdr:to>
      <xdr:col>47</xdr:col>
      <xdr:colOff>0</xdr:colOff>
      <xdr:row>73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314325</xdr:colOff>
      <xdr:row>48</xdr:row>
      <xdr:rowOff>28575</xdr:rowOff>
    </xdr:from>
    <xdr:to>
      <xdr:col>47</xdr:col>
      <xdr:colOff>0</xdr:colOff>
      <xdr:row>73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059;&#1095;&#1077;&#1090;%20&#1095;&#1091;&#1075;&#1091;&#1085;&#1072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&#1057;&#1074;&#1077;&#1076;%20&#1087;&#1086;%20&#1095;&#1091;&#1075;&#1091;&#1085;&#1091;%20&#1044;&#1055;_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4;&#1080;&#1089;&#1087;&#1077;&#1090;&#1095;&#1077;&#1088;&#1089;&#1082;&#1072;&#1103;/&#1053;&#1086;&#1074;&#1072;&#1103;%20&#1087;&#1072;&#1087;&#1082;&#1072;/&#1057;&#1074;&#1077;&#1076;%20&#1087;&#1086;%20&#1095;&#1091;&#1075;&#1091;&#1085;&#1091;%201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4;&#1080;&#1089;&#1087;&#1077;&#1090;&#1095;&#1077;&#1088;&#1089;&#1082;&#1072;&#1103;/&#1044;&#1083;&#1103;%20&#1050;&#1091;&#1095;&#1084;&#1080;&#1089;&#1090;&#1086;&#1075;&#1086;%20&#1045;.&#1042;/&#1056;&#1072;&#1073;&#1086;&#1095;&#1072;&#1103;%202020&#1075;/&#1057;&#1074;&#1077;&#1076;%20&#1087;&#1086;%20&#1095;&#1091;&#1075;&#1091;&#1085;&#1091;%201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&#1052;&#1077;&#1083;&#1086;&#1095;&#1100;%20&#1060;&#1084;&#1085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январь 20"/>
      <sheetName val="февраль 20"/>
      <sheetName val="март 20"/>
      <sheetName val="апрель 20"/>
      <sheetName val="май 20"/>
      <sheetName val="июнь 20"/>
      <sheetName val="июль 20"/>
      <sheetName val="август 20"/>
      <sheetName val="сентябрь 20"/>
      <sheetName val="октябрь 20"/>
      <sheetName val="ноябрь 20"/>
      <sheetName val="декабрь 20"/>
    </sheetNames>
    <sheetDataSet>
      <sheetData sheetId="0">
        <row r="6">
          <cell r="K6">
            <v>286.94</v>
          </cell>
          <cell r="S6">
            <v>172.863</v>
          </cell>
          <cell r="W6"/>
          <cell r="AA6">
            <v>11.661</v>
          </cell>
          <cell r="AE6">
            <v>126.00700000000001</v>
          </cell>
          <cell r="AU6">
            <v>3.3330000000000002</v>
          </cell>
        </row>
        <row r="7">
          <cell r="K7">
            <v>299.49400000000003</v>
          </cell>
          <cell r="S7">
            <v>184.73</v>
          </cell>
          <cell r="W7"/>
          <cell r="AA7">
            <v>12.211</v>
          </cell>
          <cell r="AE7">
            <v>131.999</v>
          </cell>
          <cell r="AU7">
            <v>1.99</v>
          </cell>
        </row>
        <row r="8">
          <cell r="K8">
            <v>310.03899999999999</v>
          </cell>
          <cell r="S8">
            <v>189.41499999999999</v>
          </cell>
          <cell r="W8"/>
          <cell r="AA8">
            <v>12.244999999999999</v>
          </cell>
          <cell r="AE8">
            <v>136.27600000000001</v>
          </cell>
          <cell r="AU8">
            <v>2.1970000000000001</v>
          </cell>
        </row>
        <row r="9">
          <cell r="K9">
            <v>287.83999999999997</v>
          </cell>
          <cell r="S9">
            <v>174.87100000000001</v>
          </cell>
          <cell r="W9"/>
          <cell r="AA9">
            <v>11.688000000000001</v>
          </cell>
          <cell r="AE9">
            <v>126.569</v>
          </cell>
          <cell r="AU9">
            <v>3.1160000000000001</v>
          </cell>
        </row>
        <row r="10">
          <cell r="K10">
            <v>275.03899999999999</v>
          </cell>
          <cell r="S10">
            <v>166.94900000000001</v>
          </cell>
          <cell r="W10"/>
          <cell r="AA10">
            <v>11.196999999999999</v>
          </cell>
          <cell r="AE10">
            <v>120.97199999999999</v>
          </cell>
          <cell r="AU10">
            <v>2.2389999999999999</v>
          </cell>
        </row>
        <row r="11">
          <cell r="K11">
            <v>280.35000000000002</v>
          </cell>
          <cell r="S11">
            <v>171.35900000000001</v>
          </cell>
          <cell r="W11"/>
          <cell r="AA11">
            <v>11.016</v>
          </cell>
          <cell r="AE11">
            <v>123.035</v>
          </cell>
          <cell r="AU11">
            <v>2.2120000000000002</v>
          </cell>
        </row>
        <row r="12">
          <cell r="K12">
            <v>331.49900000000002</v>
          </cell>
          <cell r="S12">
            <v>202.364</v>
          </cell>
          <cell r="W12"/>
          <cell r="AA12">
            <v>13.452</v>
          </cell>
          <cell r="AE12">
            <v>140.49100000000001</v>
          </cell>
          <cell r="AU12">
            <v>0.71499999999999997</v>
          </cell>
        </row>
        <row r="13">
          <cell r="K13">
            <v>279.96899999999999</v>
          </cell>
          <cell r="S13">
            <v>173.376</v>
          </cell>
          <cell r="W13">
            <v>1.671</v>
          </cell>
          <cell r="AA13">
            <v>11.43</v>
          </cell>
          <cell r="AE13">
            <v>111.26900000000001</v>
          </cell>
          <cell r="AU13"/>
        </row>
        <row r="14">
          <cell r="K14">
            <v>127.994</v>
          </cell>
          <cell r="S14">
            <v>85.635999999999996</v>
          </cell>
          <cell r="W14">
            <v>2.58</v>
          </cell>
          <cell r="AA14">
            <v>4.0620000000000003</v>
          </cell>
          <cell r="AE14">
            <v>50.965000000000003</v>
          </cell>
          <cell r="AU14"/>
        </row>
        <row r="15">
          <cell r="K15">
            <v>275.25900000000001</v>
          </cell>
          <cell r="S15">
            <v>171.32300000000001</v>
          </cell>
          <cell r="W15">
            <v>5.72</v>
          </cell>
          <cell r="AA15">
            <v>11.406000000000001</v>
          </cell>
          <cell r="AE15">
            <v>93.135999999999996</v>
          </cell>
          <cell r="AU15"/>
        </row>
        <row r="16">
          <cell r="K16">
            <v>280.38299999999998</v>
          </cell>
          <cell r="S16">
            <v>175.54400000000001</v>
          </cell>
          <cell r="W16">
            <v>6.7889999999999997</v>
          </cell>
          <cell r="AA16">
            <v>11.324999999999999</v>
          </cell>
          <cell r="AE16">
            <v>95.183000000000007</v>
          </cell>
          <cell r="AU16"/>
        </row>
        <row r="17">
          <cell r="K17">
            <v>270.14800000000002</v>
          </cell>
          <cell r="S17">
            <v>167.20099999999999</v>
          </cell>
          <cell r="W17">
            <v>4.1420000000000003</v>
          </cell>
          <cell r="AA17">
            <v>10.749000000000001</v>
          </cell>
          <cell r="AE17">
            <v>76.683999999999997</v>
          </cell>
          <cell r="AU17"/>
        </row>
        <row r="18">
          <cell r="K18">
            <v>277.62700000000001</v>
          </cell>
          <cell r="S18">
            <v>168.76599999999999</v>
          </cell>
          <cell r="W18"/>
          <cell r="AA18">
            <v>11.128</v>
          </cell>
          <cell r="AE18">
            <v>50.722999999999999</v>
          </cell>
          <cell r="AU18"/>
        </row>
        <row r="19">
          <cell r="K19">
            <v>272.387</v>
          </cell>
          <cell r="S19">
            <v>165.559</v>
          </cell>
          <cell r="W19"/>
          <cell r="AA19">
            <v>10.606</v>
          </cell>
          <cell r="AE19">
            <v>54.500999999999998</v>
          </cell>
          <cell r="AU19"/>
        </row>
        <row r="20">
          <cell r="K20">
            <v>278.63299999999998</v>
          </cell>
          <cell r="S20">
            <v>174.203</v>
          </cell>
          <cell r="W20"/>
          <cell r="AA20">
            <v>11.038</v>
          </cell>
          <cell r="AE20">
            <v>56.002000000000002</v>
          </cell>
          <cell r="AU20"/>
        </row>
        <row r="21">
          <cell r="K21">
            <v>251.899</v>
          </cell>
          <cell r="S21">
            <v>154.74</v>
          </cell>
          <cell r="W21"/>
          <cell r="AA21">
            <v>10.125999999999999</v>
          </cell>
          <cell r="AE21">
            <v>50.503999999999998</v>
          </cell>
          <cell r="AU21"/>
        </row>
        <row r="22">
          <cell r="K22">
            <v>275.67599999999999</v>
          </cell>
          <cell r="S22">
            <v>168.27699999999999</v>
          </cell>
          <cell r="W22"/>
          <cell r="AA22">
            <v>10.824999999999999</v>
          </cell>
          <cell r="AE22">
            <v>55.018999999999998</v>
          </cell>
          <cell r="AU22"/>
        </row>
        <row r="23">
          <cell r="K23">
            <v>272.01499999999999</v>
          </cell>
          <cell r="S23">
            <v>165.958</v>
          </cell>
          <cell r="W23"/>
          <cell r="AA23">
            <v>10.724</v>
          </cell>
          <cell r="AE23">
            <v>54.509</v>
          </cell>
          <cell r="AU23"/>
        </row>
        <row r="24">
          <cell r="K24">
            <v>307.67</v>
          </cell>
          <cell r="S24">
            <v>185.98</v>
          </cell>
          <cell r="W24"/>
          <cell r="AA24">
            <v>12.412000000000001</v>
          </cell>
          <cell r="AE24">
            <v>61.526000000000003</v>
          </cell>
          <cell r="AU24"/>
        </row>
        <row r="25">
          <cell r="K25">
            <v>205.25299999999999</v>
          </cell>
          <cell r="S25">
            <v>125.057</v>
          </cell>
          <cell r="W25"/>
          <cell r="AA25">
            <v>8.0289999999999999</v>
          </cell>
          <cell r="AE25">
            <v>41</v>
          </cell>
          <cell r="AU25"/>
        </row>
        <row r="26">
          <cell r="K26">
            <v>262.44799999999998</v>
          </cell>
          <cell r="S26">
            <v>157.70400000000001</v>
          </cell>
          <cell r="W26"/>
          <cell r="AA26">
            <v>10.573</v>
          </cell>
          <cell r="AE26">
            <v>57.768000000000001</v>
          </cell>
          <cell r="AU26">
            <v>4.1609999999999996</v>
          </cell>
        </row>
        <row r="27">
          <cell r="K27">
            <v>259.71499999999997</v>
          </cell>
          <cell r="S27">
            <v>157.43100000000001</v>
          </cell>
          <cell r="W27"/>
          <cell r="AA27">
            <v>10.333</v>
          </cell>
          <cell r="AE27">
            <v>66.018000000000001</v>
          </cell>
          <cell r="AU27">
            <v>8.2520000000000007</v>
          </cell>
        </row>
        <row r="28">
          <cell r="K28">
            <v>273.18299999999999</v>
          </cell>
          <cell r="S28">
            <v>166.38</v>
          </cell>
          <cell r="W28"/>
          <cell r="AA28">
            <v>10.500999999999999</v>
          </cell>
          <cell r="AE28">
            <v>76.358000000000004</v>
          </cell>
          <cell r="AU28">
            <v>9.4260000000000002</v>
          </cell>
        </row>
        <row r="29">
          <cell r="K29">
            <v>267.20600000000002</v>
          </cell>
          <cell r="S29">
            <v>165.21700000000001</v>
          </cell>
          <cell r="W29"/>
          <cell r="AA29">
            <v>10.553000000000001</v>
          </cell>
          <cell r="AE29">
            <v>74.881</v>
          </cell>
          <cell r="AU29">
            <v>10.497</v>
          </cell>
        </row>
        <row r="30">
          <cell r="K30">
            <v>280.375</v>
          </cell>
          <cell r="S30">
            <v>172.95400000000001</v>
          </cell>
          <cell r="W30"/>
          <cell r="AA30">
            <v>11.116</v>
          </cell>
          <cell r="AE30">
            <v>78.543000000000006</v>
          </cell>
          <cell r="AU30">
            <v>10.359</v>
          </cell>
        </row>
        <row r="31">
          <cell r="K31">
            <v>262.94299999999998</v>
          </cell>
          <cell r="S31">
            <v>162.66399999999999</v>
          </cell>
          <cell r="W31"/>
          <cell r="AA31">
            <v>10.534000000000001</v>
          </cell>
          <cell r="AE31">
            <v>73.430000000000007</v>
          </cell>
          <cell r="AU31">
            <v>10.686999999999999</v>
          </cell>
        </row>
        <row r="32">
          <cell r="K32">
            <v>297.68299999999999</v>
          </cell>
          <cell r="S32">
            <v>182.28399999999999</v>
          </cell>
          <cell r="W32"/>
          <cell r="AA32">
            <v>11.734</v>
          </cell>
          <cell r="AE32">
            <v>83.316000000000003</v>
          </cell>
          <cell r="AU32">
            <v>8.2289999999999992</v>
          </cell>
        </row>
        <row r="33">
          <cell r="K33">
            <v>227.60300000000001</v>
          </cell>
          <cell r="S33">
            <v>140.297</v>
          </cell>
          <cell r="W33"/>
          <cell r="AA33">
            <v>8.9499999999999993</v>
          </cell>
          <cell r="AE33">
            <v>69.108000000000004</v>
          </cell>
          <cell r="AU33">
            <v>6.048</v>
          </cell>
        </row>
        <row r="34">
          <cell r="K34">
            <v>280.35899999999998</v>
          </cell>
          <cell r="S34">
            <v>171.834</v>
          </cell>
          <cell r="W34"/>
          <cell r="AA34">
            <v>11.372999999999999</v>
          </cell>
          <cell r="AE34">
            <v>89.596000000000004</v>
          </cell>
          <cell r="AU34">
            <v>7.3079999999999998</v>
          </cell>
        </row>
        <row r="35">
          <cell r="K35">
            <v>242.45400000000001</v>
          </cell>
          <cell r="S35">
            <v>148.59200000000001</v>
          </cell>
          <cell r="W35"/>
          <cell r="AA35">
            <v>10.093999999999999</v>
          </cell>
          <cell r="AE35">
            <v>77.587999999999994</v>
          </cell>
          <cell r="AU35">
            <v>5.2619999999999996</v>
          </cell>
        </row>
        <row r="36">
          <cell r="K36">
            <v>285.25099999999998</v>
          </cell>
          <cell r="S36">
            <v>174.05600000000001</v>
          </cell>
          <cell r="W36"/>
          <cell r="AA36">
            <v>11.516999999999999</v>
          </cell>
          <cell r="AE36">
            <v>91.213999999999999</v>
          </cell>
          <cell r="AU36">
            <v>5.8049999999999997</v>
          </cell>
        </row>
      </sheetData>
      <sheetData sheetId="1">
        <row r="6">
          <cell r="K6">
            <v>284.90100000000001</v>
          </cell>
          <cell r="S6">
            <v>180.86500000000001</v>
          </cell>
          <cell r="W6"/>
          <cell r="AA6">
            <v>11.382</v>
          </cell>
          <cell r="AE6">
            <v>91.251000000000005</v>
          </cell>
          <cell r="AU6">
            <v>4.7060000000000004</v>
          </cell>
        </row>
        <row r="7">
          <cell r="K7">
            <v>282.69600000000003</v>
          </cell>
          <cell r="S7">
            <v>174.38399999999999</v>
          </cell>
          <cell r="W7"/>
          <cell r="AA7">
            <v>11.089</v>
          </cell>
          <cell r="AE7">
            <v>90.39</v>
          </cell>
          <cell r="AU7">
            <v>5.46</v>
          </cell>
        </row>
        <row r="8">
          <cell r="K8">
            <v>280.22500000000002</v>
          </cell>
          <cell r="S8">
            <v>173.20699999999999</v>
          </cell>
          <cell r="W8"/>
          <cell r="AA8">
            <v>3.2949999999999999</v>
          </cell>
          <cell r="AE8">
            <v>89.563000000000002</v>
          </cell>
          <cell r="AU8">
            <v>6.3579999999999997</v>
          </cell>
        </row>
        <row r="9">
          <cell r="K9">
            <v>273.07299999999998</v>
          </cell>
          <cell r="S9">
            <v>168.22300000000001</v>
          </cell>
          <cell r="W9"/>
          <cell r="AA9"/>
          <cell r="AE9">
            <v>87.173000000000002</v>
          </cell>
          <cell r="AU9">
            <v>7.5720000000000001</v>
          </cell>
        </row>
        <row r="10">
          <cell r="K10">
            <v>298.53399999999999</v>
          </cell>
          <cell r="S10">
            <v>186.209</v>
          </cell>
          <cell r="W10"/>
          <cell r="AA10"/>
          <cell r="AE10">
            <v>96.62</v>
          </cell>
          <cell r="AU10">
            <v>8.0350000000000001</v>
          </cell>
        </row>
        <row r="11">
          <cell r="K11">
            <v>149.685</v>
          </cell>
          <cell r="S11">
            <v>99.064999999999998</v>
          </cell>
          <cell r="W11"/>
          <cell r="AA11"/>
          <cell r="AE11">
            <v>47.92</v>
          </cell>
          <cell r="AU11">
            <v>3.9769999999999999</v>
          </cell>
        </row>
        <row r="12">
          <cell r="K12">
            <v>289.98500000000001</v>
          </cell>
          <cell r="S12">
            <v>179.655</v>
          </cell>
          <cell r="W12"/>
          <cell r="AA12"/>
          <cell r="AE12">
            <v>92.71</v>
          </cell>
          <cell r="AU12">
            <v>8.15</v>
          </cell>
        </row>
        <row r="13">
          <cell r="K13">
            <v>257.70800000000003</v>
          </cell>
          <cell r="S13">
            <v>157.881</v>
          </cell>
          <cell r="W13"/>
          <cell r="AA13"/>
          <cell r="AE13">
            <v>82.460999999999999</v>
          </cell>
          <cell r="AU13">
            <v>7.7839999999999998</v>
          </cell>
        </row>
        <row r="14">
          <cell r="K14">
            <v>305.38499999999999</v>
          </cell>
          <cell r="S14">
            <v>187.137</v>
          </cell>
          <cell r="W14"/>
          <cell r="AA14"/>
          <cell r="AE14">
            <v>97.588999999999999</v>
          </cell>
          <cell r="AU14">
            <v>8.7899999999999991</v>
          </cell>
        </row>
        <row r="15">
          <cell r="K15">
            <v>288.05700000000002</v>
          </cell>
          <cell r="S15">
            <v>176.416</v>
          </cell>
          <cell r="W15"/>
          <cell r="AA15"/>
          <cell r="AE15">
            <v>94.563999999999993</v>
          </cell>
          <cell r="AU15">
            <v>7.48</v>
          </cell>
        </row>
        <row r="16">
          <cell r="K16">
            <v>273.10700000000003</v>
          </cell>
          <cell r="S16">
            <v>167.392</v>
          </cell>
          <cell r="W16"/>
          <cell r="AA16"/>
          <cell r="AE16">
            <v>92.626999999999995</v>
          </cell>
          <cell r="AU16">
            <v>7.516</v>
          </cell>
        </row>
        <row r="17">
          <cell r="K17">
            <v>285.36200000000002</v>
          </cell>
          <cell r="S17">
            <v>173.126</v>
          </cell>
          <cell r="W17"/>
          <cell r="AA17"/>
          <cell r="AE17">
            <v>96.893000000000001</v>
          </cell>
          <cell r="AU17">
            <v>8.8179999999999996</v>
          </cell>
        </row>
        <row r="18">
          <cell r="K18">
            <v>295.04000000000002</v>
          </cell>
          <cell r="S18">
            <v>177.14500000000001</v>
          </cell>
          <cell r="W18"/>
          <cell r="AA18"/>
          <cell r="AE18">
            <v>100.322</v>
          </cell>
          <cell r="AU18">
            <v>10.329000000000001</v>
          </cell>
        </row>
        <row r="19">
          <cell r="K19">
            <v>287.69900000000001</v>
          </cell>
          <cell r="S19">
            <v>171.97200000000001</v>
          </cell>
          <cell r="W19"/>
          <cell r="AA19"/>
          <cell r="AE19">
            <v>97.763999999999996</v>
          </cell>
          <cell r="AU19">
            <v>11.641</v>
          </cell>
        </row>
        <row r="20">
          <cell r="K20">
            <v>287.596</v>
          </cell>
          <cell r="S20">
            <v>171.13800000000001</v>
          </cell>
          <cell r="W20"/>
          <cell r="AA20"/>
          <cell r="AE20">
            <v>97.343999999999994</v>
          </cell>
          <cell r="AU20">
            <v>11.596</v>
          </cell>
        </row>
        <row r="21">
          <cell r="K21">
            <v>302.97300000000001</v>
          </cell>
          <cell r="S21">
            <v>189.821</v>
          </cell>
          <cell r="W21"/>
          <cell r="AA21"/>
          <cell r="AE21">
            <v>96.787000000000006</v>
          </cell>
          <cell r="AU21">
            <v>11.722</v>
          </cell>
        </row>
        <row r="22">
          <cell r="K22">
            <v>325.02699999999999</v>
          </cell>
          <cell r="S22">
            <v>206.875</v>
          </cell>
          <cell r="W22"/>
          <cell r="AA22"/>
          <cell r="AE22">
            <v>103.249</v>
          </cell>
          <cell r="AU22">
            <v>11.534000000000001</v>
          </cell>
        </row>
        <row r="23">
          <cell r="K23">
            <v>336.06200000000001</v>
          </cell>
          <cell r="S23">
            <v>219.10900000000001</v>
          </cell>
          <cell r="W23"/>
          <cell r="AA23"/>
          <cell r="AE23">
            <v>107.276</v>
          </cell>
          <cell r="AU23">
            <v>11.923999999999999</v>
          </cell>
        </row>
        <row r="24">
          <cell r="K24">
            <v>285.23200000000003</v>
          </cell>
          <cell r="S24">
            <v>187.01900000000001</v>
          </cell>
          <cell r="W24"/>
          <cell r="AA24"/>
          <cell r="AE24">
            <v>91.218999999999994</v>
          </cell>
          <cell r="AU24">
            <v>10.029</v>
          </cell>
        </row>
        <row r="25">
          <cell r="K25">
            <v>287.91300000000001</v>
          </cell>
          <cell r="S25">
            <v>185.078</v>
          </cell>
          <cell r="W25"/>
          <cell r="AA25"/>
          <cell r="AE25">
            <v>91.983000000000004</v>
          </cell>
          <cell r="AU25">
            <v>9.8789999999999996</v>
          </cell>
        </row>
        <row r="26">
          <cell r="K26">
            <v>282.97899999999998</v>
          </cell>
          <cell r="S26">
            <v>177.96199999999999</v>
          </cell>
          <cell r="W26"/>
          <cell r="AA26"/>
          <cell r="AE26">
            <v>90.441000000000003</v>
          </cell>
          <cell r="AU26">
            <v>9.0250000000000004</v>
          </cell>
        </row>
        <row r="27">
          <cell r="K27">
            <v>290.06700000000001</v>
          </cell>
          <cell r="S27">
            <v>184.37899999999999</v>
          </cell>
          <cell r="W27"/>
          <cell r="AA27"/>
          <cell r="AE27">
            <v>92.786000000000001</v>
          </cell>
          <cell r="AU27">
            <v>8.5169999999999995</v>
          </cell>
        </row>
        <row r="28">
          <cell r="K28">
            <v>252.517</v>
          </cell>
          <cell r="S28">
            <v>159.90799999999999</v>
          </cell>
          <cell r="W28"/>
          <cell r="AA28"/>
          <cell r="AE28">
            <v>80.778999999999996</v>
          </cell>
          <cell r="AU28">
            <v>7.1310000000000002</v>
          </cell>
        </row>
        <row r="29">
          <cell r="K29">
            <v>293.52100000000002</v>
          </cell>
          <cell r="S29">
            <v>183.405</v>
          </cell>
          <cell r="W29"/>
          <cell r="AA29"/>
          <cell r="AE29">
            <v>93.638999999999996</v>
          </cell>
          <cell r="AU29">
            <v>8.5649999999999995</v>
          </cell>
        </row>
        <row r="30">
          <cell r="K30">
            <v>305.49200000000002</v>
          </cell>
          <cell r="S30">
            <v>192.203</v>
          </cell>
          <cell r="W30"/>
          <cell r="AA30"/>
          <cell r="AE30">
            <v>97.620999999999995</v>
          </cell>
          <cell r="AU30">
            <v>9.5869999999999997</v>
          </cell>
        </row>
        <row r="31">
          <cell r="K31">
            <v>240.73500000000001</v>
          </cell>
          <cell r="S31">
            <v>153.37200000000001</v>
          </cell>
          <cell r="W31"/>
          <cell r="AA31">
            <v>3.4239999999999999</v>
          </cell>
          <cell r="AE31">
            <v>76.858000000000004</v>
          </cell>
          <cell r="AU31">
            <v>6.9749999999999996</v>
          </cell>
        </row>
        <row r="32">
          <cell r="K32">
            <v>288.03300000000002</v>
          </cell>
          <cell r="S32">
            <v>183.886</v>
          </cell>
          <cell r="W32"/>
          <cell r="AA32">
            <v>5.827</v>
          </cell>
          <cell r="AE32">
            <v>91.956000000000003</v>
          </cell>
          <cell r="AU32">
            <v>8.4440000000000008</v>
          </cell>
        </row>
        <row r="33">
          <cell r="K33">
            <v>334.19900000000001</v>
          </cell>
          <cell r="S33">
            <v>212.92599999999999</v>
          </cell>
          <cell r="W33"/>
          <cell r="AA33">
            <v>7.1120000000000001</v>
          </cell>
          <cell r="AE33">
            <v>94.1</v>
          </cell>
          <cell r="AU33">
            <v>11.657999999999999</v>
          </cell>
        </row>
        <row r="34">
          <cell r="K34">
            <v>282.67200000000003</v>
          </cell>
          <cell r="S34">
            <v>177.697</v>
          </cell>
          <cell r="W34"/>
          <cell r="AA34">
            <v>6.4429999999999996</v>
          </cell>
          <cell r="AE34">
            <v>73.019000000000005</v>
          </cell>
          <cell r="AU34">
            <v>11.494</v>
          </cell>
        </row>
        <row r="35">
          <cell r="K35"/>
          <cell r="S35"/>
          <cell r="W35"/>
          <cell r="AA35"/>
          <cell r="AE35"/>
          <cell r="AU35"/>
        </row>
        <row r="36">
          <cell r="K36"/>
          <cell r="S36"/>
          <cell r="W36"/>
          <cell r="AA36"/>
          <cell r="AE36"/>
          <cell r="AU36"/>
        </row>
      </sheetData>
      <sheetData sheetId="2">
        <row r="6">
          <cell r="K6">
            <v>262.53500000000003</v>
          </cell>
          <cell r="S6">
            <v>163.726</v>
          </cell>
          <cell r="W6"/>
          <cell r="AA6">
            <v>5.2380000000000004</v>
          </cell>
          <cell r="AE6">
            <v>62.975999999999999</v>
          </cell>
          <cell r="AU6">
            <v>10.507999999999999</v>
          </cell>
        </row>
        <row r="7">
          <cell r="K7">
            <v>307.37400000000002</v>
          </cell>
          <cell r="S7">
            <v>189.20099999999999</v>
          </cell>
          <cell r="W7"/>
          <cell r="AA7">
            <v>7.7649999999999997</v>
          </cell>
          <cell r="AE7">
            <v>73.77</v>
          </cell>
          <cell r="AU7">
            <v>12.239000000000001</v>
          </cell>
        </row>
        <row r="8">
          <cell r="K8">
            <v>282.90100000000001</v>
          </cell>
          <cell r="S8">
            <v>171.79599999999999</v>
          </cell>
          <cell r="W8"/>
          <cell r="AA8">
            <v>11.128</v>
          </cell>
          <cell r="AE8">
            <v>73.63</v>
          </cell>
          <cell r="AU8">
            <v>8.5719999999999992</v>
          </cell>
        </row>
        <row r="9">
          <cell r="K9">
            <v>289.49799999999999</v>
          </cell>
          <cell r="S9">
            <v>177.751</v>
          </cell>
          <cell r="W9"/>
          <cell r="AA9">
            <v>11.236000000000001</v>
          </cell>
          <cell r="AE9">
            <v>87.055999999999997</v>
          </cell>
          <cell r="AU9">
            <v>2.8319999999999999</v>
          </cell>
        </row>
        <row r="10">
          <cell r="K10">
            <v>305.71199999999999</v>
          </cell>
          <cell r="S10">
            <v>190.39599999999999</v>
          </cell>
          <cell r="W10"/>
          <cell r="AA10">
            <v>12.449</v>
          </cell>
          <cell r="AE10">
            <v>91.495000000000005</v>
          </cell>
          <cell r="AU10">
            <v>3.7429999999999999</v>
          </cell>
        </row>
        <row r="11">
          <cell r="K11">
            <v>299.95699999999999</v>
          </cell>
          <cell r="S11">
            <v>188.65700000000001</v>
          </cell>
          <cell r="W11"/>
          <cell r="AA11">
            <v>11.79</v>
          </cell>
          <cell r="AE11">
            <v>90.051000000000002</v>
          </cell>
          <cell r="AU11">
            <v>4.2569999999999997</v>
          </cell>
        </row>
        <row r="12">
          <cell r="K12">
            <v>310.26600000000002</v>
          </cell>
          <cell r="S12">
            <v>193.16800000000001</v>
          </cell>
          <cell r="W12"/>
          <cell r="AA12">
            <v>12.452</v>
          </cell>
          <cell r="AE12">
            <v>91.17</v>
          </cell>
          <cell r="AU12">
            <v>5.3540000000000001</v>
          </cell>
        </row>
        <row r="13">
          <cell r="K13">
            <v>275.11700000000002</v>
          </cell>
          <cell r="S13">
            <v>167.86500000000001</v>
          </cell>
          <cell r="W13"/>
          <cell r="AA13">
            <v>11.151</v>
          </cell>
          <cell r="AE13">
            <v>77.055999999999997</v>
          </cell>
          <cell r="AU13">
            <v>6.4580000000000002</v>
          </cell>
        </row>
        <row r="14">
          <cell r="K14">
            <v>295.14</v>
          </cell>
          <cell r="S14">
            <v>179.648</v>
          </cell>
          <cell r="W14"/>
          <cell r="AA14">
            <v>11.663</v>
          </cell>
          <cell r="AE14">
            <v>77.132999999999996</v>
          </cell>
          <cell r="AU14">
            <v>5.5949999999999998</v>
          </cell>
        </row>
        <row r="15">
          <cell r="K15">
            <v>310.339</v>
          </cell>
          <cell r="S15">
            <v>185.47800000000001</v>
          </cell>
          <cell r="W15"/>
          <cell r="AA15">
            <v>13.42</v>
          </cell>
          <cell r="AE15">
            <v>80.591999999999999</v>
          </cell>
          <cell r="AU15">
            <v>9.8000000000000004E-2</v>
          </cell>
        </row>
        <row r="16">
          <cell r="K16">
            <v>112.684</v>
          </cell>
          <cell r="S16">
            <v>78.058000000000007</v>
          </cell>
          <cell r="W16">
            <v>2.948</v>
          </cell>
          <cell r="AA16">
            <v>1.042</v>
          </cell>
          <cell r="AE16">
            <v>32.401000000000003</v>
          </cell>
          <cell r="AU16">
            <v>0.36199999999999999</v>
          </cell>
        </row>
        <row r="17">
          <cell r="K17">
            <v>220.17099999999999</v>
          </cell>
          <cell r="S17">
            <v>139.60499999999999</v>
          </cell>
          <cell r="W17">
            <v>28.242999999999999</v>
          </cell>
          <cell r="AA17">
            <v>9.0129999999999999</v>
          </cell>
          <cell r="AE17">
            <v>87.998999999999995</v>
          </cell>
          <cell r="AU17"/>
        </row>
        <row r="18">
          <cell r="K18">
            <v>212.70500000000001</v>
          </cell>
          <cell r="S18">
            <v>131.14699999999999</v>
          </cell>
          <cell r="W18">
            <v>26.285</v>
          </cell>
          <cell r="AA18">
            <v>8.8439999999999994</v>
          </cell>
          <cell r="AE18">
            <v>85.010999999999996</v>
          </cell>
          <cell r="AU18"/>
        </row>
        <row r="19">
          <cell r="K19">
            <v>260.18200000000002</v>
          </cell>
          <cell r="S19">
            <v>156.88200000000001</v>
          </cell>
          <cell r="W19">
            <v>17.951000000000001</v>
          </cell>
          <cell r="AA19">
            <v>10.614000000000001</v>
          </cell>
          <cell r="AE19">
            <v>92.759</v>
          </cell>
          <cell r="AU19"/>
        </row>
        <row r="20">
          <cell r="K20">
            <v>275.26499999999999</v>
          </cell>
          <cell r="S20">
            <v>168.02099999999999</v>
          </cell>
          <cell r="W20"/>
          <cell r="AA20">
            <v>11.323</v>
          </cell>
          <cell r="AE20">
            <v>70.177000000000007</v>
          </cell>
          <cell r="AU20">
            <v>5.6120000000000001</v>
          </cell>
        </row>
        <row r="21">
          <cell r="K21">
            <v>277.16699999999997</v>
          </cell>
          <cell r="S21">
            <v>168.654</v>
          </cell>
          <cell r="W21"/>
          <cell r="AA21">
            <v>10.778</v>
          </cell>
          <cell r="AE21">
            <v>58.878</v>
          </cell>
          <cell r="AU21">
            <v>9.23</v>
          </cell>
        </row>
        <row r="22">
          <cell r="K22">
            <v>262.80799999999999</v>
          </cell>
          <cell r="S22">
            <v>158.721</v>
          </cell>
          <cell r="W22"/>
          <cell r="AA22">
            <v>10.395</v>
          </cell>
          <cell r="AE22">
            <v>52.552</v>
          </cell>
          <cell r="AU22">
            <v>10.236000000000001</v>
          </cell>
        </row>
        <row r="23">
          <cell r="K23">
            <v>302.56900000000002</v>
          </cell>
          <cell r="S23">
            <v>183.875</v>
          </cell>
          <cell r="W23"/>
          <cell r="AA23">
            <v>11.84</v>
          </cell>
          <cell r="AE23">
            <v>60.499000000000002</v>
          </cell>
          <cell r="AU23">
            <v>11.19</v>
          </cell>
        </row>
        <row r="24">
          <cell r="K24">
            <v>310.31</v>
          </cell>
          <cell r="S24">
            <v>186.00299999999999</v>
          </cell>
          <cell r="W24"/>
          <cell r="AA24">
            <v>12.141</v>
          </cell>
          <cell r="AE24">
            <v>62.023000000000003</v>
          </cell>
          <cell r="AU24">
            <v>9.9580000000000002</v>
          </cell>
        </row>
        <row r="25">
          <cell r="K25">
            <v>302.654</v>
          </cell>
          <cell r="S25">
            <v>180.7741</v>
          </cell>
          <cell r="W25"/>
          <cell r="AA25">
            <v>12.48</v>
          </cell>
          <cell r="AE25">
            <v>60.512999999999998</v>
          </cell>
          <cell r="AU25">
            <v>10.301</v>
          </cell>
        </row>
        <row r="26">
          <cell r="K26">
            <v>310.30500000000001</v>
          </cell>
          <cell r="S26">
            <v>185.31299999999999</v>
          </cell>
          <cell r="W26"/>
          <cell r="AA26">
            <v>12.714</v>
          </cell>
          <cell r="AE26">
            <v>62.029000000000003</v>
          </cell>
          <cell r="AU26">
            <v>10.11</v>
          </cell>
        </row>
        <row r="27">
          <cell r="K27">
            <v>302.613</v>
          </cell>
          <cell r="S27">
            <v>181.46100000000001</v>
          </cell>
          <cell r="W27"/>
          <cell r="AA27">
            <v>12.238</v>
          </cell>
          <cell r="AE27">
            <v>60.473999999999997</v>
          </cell>
          <cell r="AU27">
            <v>9.8640000000000008</v>
          </cell>
        </row>
        <row r="28">
          <cell r="K28">
            <v>280.12599999999998</v>
          </cell>
          <cell r="S28">
            <v>172.91200000000001</v>
          </cell>
          <cell r="W28"/>
          <cell r="AA28">
            <v>11.39</v>
          </cell>
          <cell r="AE28">
            <v>56.04</v>
          </cell>
          <cell r="AU28">
            <v>9.7029999999999994</v>
          </cell>
        </row>
        <row r="29">
          <cell r="K29">
            <v>292.85000000000002</v>
          </cell>
          <cell r="S29">
            <v>180.137</v>
          </cell>
          <cell r="W29"/>
          <cell r="AA29">
            <v>11.696999999999999</v>
          </cell>
          <cell r="AE29">
            <v>58.515999999999998</v>
          </cell>
          <cell r="AU29">
            <v>10.407</v>
          </cell>
        </row>
        <row r="30">
          <cell r="K30">
            <v>300.02800000000002</v>
          </cell>
          <cell r="S30">
            <v>188.76499999999999</v>
          </cell>
          <cell r="W30"/>
          <cell r="AA30">
            <v>11.997999999999999</v>
          </cell>
          <cell r="AE30">
            <v>60.009</v>
          </cell>
          <cell r="AU30">
            <v>9.6780000000000008</v>
          </cell>
        </row>
        <row r="31">
          <cell r="K31">
            <v>304.39699999999999</v>
          </cell>
          <cell r="S31">
            <v>192.15600000000001</v>
          </cell>
          <cell r="W31"/>
          <cell r="AA31">
            <v>12.352</v>
          </cell>
          <cell r="AE31">
            <v>60.97</v>
          </cell>
          <cell r="AU31">
            <v>10.97</v>
          </cell>
        </row>
        <row r="32">
          <cell r="K32">
            <v>270.73700000000002</v>
          </cell>
          <cell r="S32">
            <v>169.47800000000001</v>
          </cell>
          <cell r="W32"/>
          <cell r="AA32">
            <v>10.759</v>
          </cell>
          <cell r="AE32">
            <v>54.037999999999997</v>
          </cell>
          <cell r="AU32">
            <v>9.8569999999999993</v>
          </cell>
        </row>
        <row r="33">
          <cell r="K33">
            <v>228.916</v>
          </cell>
          <cell r="S33">
            <v>141.52199999999999</v>
          </cell>
          <cell r="W33"/>
          <cell r="AA33">
            <v>9.1750000000000007</v>
          </cell>
          <cell r="AE33">
            <v>46.01</v>
          </cell>
          <cell r="AU33">
            <v>8.4809999999999999</v>
          </cell>
        </row>
        <row r="34">
          <cell r="K34">
            <v>205.846</v>
          </cell>
          <cell r="S34">
            <v>123.229</v>
          </cell>
          <cell r="W34"/>
          <cell r="AA34">
            <v>8.1980000000000004</v>
          </cell>
          <cell r="AE34">
            <v>41.02</v>
          </cell>
          <cell r="AU34">
            <v>8.1440000000000001</v>
          </cell>
        </row>
        <row r="35">
          <cell r="K35">
            <v>240.08600000000001</v>
          </cell>
          <cell r="S35">
            <v>142.49799999999999</v>
          </cell>
          <cell r="W35"/>
          <cell r="AA35">
            <v>9.375</v>
          </cell>
          <cell r="AE35">
            <v>47.99</v>
          </cell>
          <cell r="AU35">
            <v>9.6989999999999998</v>
          </cell>
        </row>
        <row r="36">
          <cell r="K36">
            <v>239.97900000000001</v>
          </cell>
          <cell r="S36">
            <v>140.47399999999999</v>
          </cell>
          <cell r="W36"/>
          <cell r="AA36">
            <v>9.4939999999999998</v>
          </cell>
          <cell r="AE36">
            <v>48.021000000000001</v>
          </cell>
          <cell r="AU36">
            <v>9.4359999999999999</v>
          </cell>
        </row>
      </sheetData>
      <sheetData sheetId="3">
        <row r="6">
          <cell r="K6">
            <v>262.62599999999998</v>
          </cell>
          <cell r="S6">
            <v>152.09100000000001</v>
          </cell>
          <cell r="W6"/>
          <cell r="AA6">
            <v>10.566000000000001</v>
          </cell>
          <cell r="AE6">
            <v>52.503</v>
          </cell>
          <cell r="AU6">
            <v>10.776</v>
          </cell>
        </row>
        <row r="7">
          <cell r="K7">
            <v>242.44800000000001</v>
          </cell>
          <cell r="S7">
            <v>139.82900000000001</v>
          </cell>
          <cell r="W7"/>
          <cell r="AA7">
            <v>9.83</v>
          </cell>
          <cell r="AE7">
            <v>66.998999999999995</v>
          </cell>
          <cell r="AU7">
            <v>3.573</v>
          </cell>
        </row>
        <row r="8">
          <cell r="K8">
            <v>272.995</v>
          </cell>
          <cell r="S8">
            <v>157.95599999999999</v>
          </cell>
          <cell r="W8"/>
          <cell r="AA8">
            <v>10.863</v>
          </cell>
          <cell r="AE8">
            <v>84.444000000000003</v>
          </cell>
          <cell r="AU8">
            <v>5.1790000000000003</v>
          </cell>
        </row>
        <row r="9">
          <cell r="K9">
            <v>307.59500000000003</v>
          </cell>
          <cell r="S9">
            <v>179.928</v>
          </cell>
          <cell r="W9"/>
          <cell r="AA9">
            <v>12.077999999999999</v>
          </cell>
          <cell r="AE9">
            <v>61.381</v>
          </cell>
          <cell r="AU9">
            <v>12.17</v>
          </cell>
        </row>
        <row r="10">
          <cell r="K10">
            <v>315.36399999999998</v>
          </cell>
          <cell r="S10">
            <v>183.249</v>
          </cell>
          <cell r="W10"/>
          <cell r="AA10">
            <v>12.853</v>
          </cell>
          <cell r="AE10">
            <v>63.091999999999999</v>
          </cell>
          <cell r="AU10">
            <v>13.879</v>
          </cell>
        </row>
        <row r="11">
          <cell r="K11">
            <v>300.24200000000002</v>
          </cell>
          <cell r="S11">
            <v>176.209</v>
          </cell>
          <cell r="W11"/>
          <cell r="AA11">
            <v>11.805999999999999</v>
          </cell>
          <cell r="AE11">
            <v>59.987000000000002</v>
          </cell>
          <cell r="AU11">
            <v>13.115</v>
          </cell>
        </row>
        <row r="12">
          <cell r="K12">
            <v>314.72699999999998</v>
          </cell>
          <cell r="S12">
            <v>183.42</v>
          </cell>
          <cell r="W12"/>
          <cell r="AA12">
            <v>12.968999999999999</v>
          </cell>
          <cell r="AE12">
            <v>66.846000000000004</v>
          </cell>
          <cell r="AU12">
            <v>9.2829999999999995</v>
          </cell>
        </row>
        <row r="13">
          <cell r="K13">
            <v>302.34699999999998</v>
          </cell>
          <cell r="S13">
            <v>175.072</v>
          </cell>
          <cell r="W13"/>
          <cell r="AA13">
            <v>12.308999999999999</v>
          </cell>
          <cell r="AE13">
            <v>67.867999999999995</v>
          </cell>
          <cell r="AU13">
            <v>0.92</v>
          </cell>
        </row>
        <row r="14">
          <cell r="K14">
            <v>252.42099999999999</v>
          </cell>
          <cell r="S14">
            <v>148.52699999999999</v>
          </cell>
          <cell r="W14"/>
          <cell r="AA14">
            <v>10.073</v>
          </cell>
          <cell r="AE14">
            <v>55.555</v>
          </cell>
          <cell r="AU14">
            <v>2.57</v>
          </cell>
        </row>
        <row r="15">
          <cell r="K15">
            <v>262.89</v>
          </cell>
          <cell r="S15">
            <v>155.52000000000001</v>
          </cell>
          <cell r="W15"/>
          <cell r="AA15">
            <v>10.414999999999999</v>
          </cell>
          <cell r="AE15">
            <v>53.100999999999999</v>
          </cell>
          <cell r="AU15">
            <v>2.6120000000000001</v>
          </cell>
        </row>
        <row r="16">
          <cell r="K16">
            <v>257.92599999999999</v>
          </cell>
          <cell r="S16">
            <v>157.005</v>
          </cell>
          <cell r="W16"/>
          <cell r="AA16">
            <v>10.39</v>
          </cell>
          <cell r="AE16">
            <v>46.591999999999999</v>
          </cell>
          <cell r="AU16">
            <v>2.5659999999999998</v>
          </cell>
        </row>
        <row r="17">
          <cell r="K17">
            <v>262.61500000000001</v>
          </cell>
          <cell r="S17">
            <v>157.38800000000001</v>
          </cell>
          <cell r="W17"/>
          <cell r="AA17">
            <v>10.268000000000001</v>
          </cell>
          <cell r="AE17">
            <v>47.268999999999998</v>
          </cell>
          <cell r="AU17">
            <v>2.1150000000000002</v>
          </cell>
        </row>
        <row r="18">
          <cell r="K18">
            <v>256.70699999999999</v>
          </cell>
          <cell r="S18">
            <v>155.16800000000001</v>
          </cell>
          <cell r="W18"/>
          <cell r="AA18">
            <v>10.188000000000001</v>
          </cell>
          <cell r="AE18">
            <v>46.334000000000003</v>
          </cell>
          <cell r="AU18">
            <v>1.6160000000000001</v>
          </cell>
        </row>
        <row r="19">
          <cell r="K19">
            <v>232.53299999999999</v>
          </cell>
          <cell r="S19">
            <v>141.774</v>
          </cell>
          <cell r="W19"/>
          <cell r="AA19">
            <v>9.1910000000000007</v>
          </cell>
          <cell r="AE19">
            <v>41.856999999999999</v>
          </cell>
          <cell r="AU19">
            <v>1.423</v>
          </cell>
        </row>
        <row r="20">
          <cell r="K20">
            <v>248.92699999999999</v>
          </cell>
          <cell r="S20">
            <v>150.245</v>
          </cell>
          <cell r="W20"/>
          <cell r="AA20">
            <v>9.6379999999999999</v>
          </cell>
          <cell r="AE20">
            <v>44.542000000000002</v>
          </cell>
          <cell r="AU20">
            <v>1.4930000000000001</v>
          </cell>
        </row>
        <row r="21">
          <cell r="K21">
            <v>260.05399999999997</v>
          </cell>
          <cell r="S21">
            <v>157.09200000000001</v>
          </cell>
          <cell r="W21"/>
          <cell r="AA21">
            <v>10.282999999999999</v>
          </cell>
          <cell r="AE21">
            <v>48.548000000000002</v>
          </cell>
          <cell r="AU21">
            <v>1.3720000000000001</v>
          </cell>
        </row>
        <row r="22">
          <cell r="K22">
            <v>272.38799999999998</v>
          </cell>
          <cell r="S22">
            <v>164.47900000000001</v>
          </cell>
          <cell r="W22"/>
          <cell r="AA22">
            <v>10.832000000000001</v>
          </cell>
          <cell r="AE22">
            <v>54.463000000000001</v>
          </cell>
          <cell r="AU22">
            <v>0.52200000000000002</v>
          </cell>
        </row>
        <row r="23">
          <cell r="K23">
            <v>252.47399999999999</v>
          </cell>
          <cell r="S23">
            <v>153.84399999999999</v>
          </cell>
          <cell r="W23"/>
          <cell r="AA23">
            <v>10.425000000000001</v>
          </cell>
          <cell r="AE23">
            <v>50.499000000000002</v>
          </cell>
          <cell r="AU23"/>
        </row>
        <row r="24">
          <cell r="K24">
            <v>272.74799999999999</v>
          </cell>
          <cell r="S24">
            <v>169.78800000000001</v>
          </cell>
          <cell r="W24"/>
          <cell r="AA24">
            <v>10.978</v>
          </cell>
          <cell r="AE24">
            <v>54.475999999999999</v>
          </cell>
          <cell r="AU24">
            <v>0.57499999999999996</v>
          </cell>
        </row>
        <row r="25">
          <cell r="K25">
            <v>257.71100000000001</v>
          </cell>
          <cell r="S25">
            <v>158.30500000000001</v>
          </cell>
          <cell r="W25"/>
          <cell r="AA25">
            <v>10.118</v>
          </cell>
          <cell r="AE25">
            <v>51.453000000000003</v>
          </cell>
          <cell r="AU25"/>
        </row>
        <row r="26">
          <cell r="K26">
            <v>250.01400000000001</v>
          </cell>
          <cell r="S26">
            <v>154.19200000000001</v>
          </cell>
          <cell r="W26"/>
          <cell r="AA26">
            <v>9.9550000000000001</v>
          </cell>
          <cell r="AE26">
            <v>49.966000000000001</v>
          </cell>
          <cell r="AU26"/>
        </row>
        <row r="27">
          <cell r="K27">
            <v>226.982</v>
          </cell>
          <cell r="S27">
            <v>143.672</v>
          </cell>
          <cell r="W27"/>
          <cell r="AA27">
            <v>9.1679999999999993</v>
          </cell>
          <cell r="AE27">
            <v>45.426000000000002</v>
          </cell>
          <cell r="AU27">
            <v>9.0709999999999997</v>
          </cell>
        </row>
        <row r="28">
          <cell r="K28">
            <v>170.02099999999999</v>
          </cell>
          <cell r="S28">
            <v>114.852</v>
          </cell>
          <cell r="W28"/>
          <cell r="AA28">
            <v>6.7539999999999996</v>
          </cell>
          <cell r="AE28">
            <v>34.137</v>
          </cell>
          <cell r="AU28">
            <v>6.4409999999999998</v>
          </cell>
        </row>
        <row r="29">
          <cell r="K29">
            <v>247.58099999999999</v>
          </cell>
          <cell r="S29">
            <v>154.054</v>
          </cell>
          <cell r="W29"/>
          <cell r="AA29">
            <v>9.8209999999999997</v>
          </cell>
          <cell r="AE29">
            <v>52.673999999999999</v>
          </cell>
          <cell r="AU29"/>
        </row>
        <row r="30">
          <cell r="K30">
            <v>269.85399999999998</v>
          </cell>
          <cell r="S30">
            <v>164.93299999999999</v>
          </cell>
          <cell r="W30"/>
          <cell r="AA30">
            <v>10.728999999999999</v>
          </cell>
          <cell r="AE30">
            <v>53.868000000000002</v>
          </cell>
          <cell r="AU30"/>
        </row>
        <row r="31">
          <cell r="K31">
            <v>287.58</v>
          </cell>
          <cell r="S31">
            <v>173.16</v>
          </cell>
          <cell r="W31"/>
          <cell r="AA31">
            <v>11.61</v>
          </cell>
          <cell r="AE31">
            <v>85.435000000000002</v>
          </cell>
          <cell r="AU31"/>
        </row>
        <row r="32">
          <cell r="K32">
            <v>285.04000000000002</v>
          </cell>
          <cell r="S32">
            <v>169.62200000000001</v>
          </cell>
          <cell r="W32"/>
          <cell r="AA32">
            <v>11.135</v>
          </cell>
          <cell r="AE32">
            <v>79.593000000000004</v>
          </cell>
          <cell r="AU32">
            <v>0.24</v>
          </cell>
        </row>
        <row r="33">
          <cell r="K33">
            <v>292.50799999999998</v>
          </cell>
          <cell r="S33">
            <v>173.02699999999999</v>
          </cell>
          <cell r="W33"/>
          <cell r="AA33">
            <v>11.646000000000001</v>
          </cell>
          <cell r="AE33">
            <v>66.856999999999999</v>
          </cell>
          <cell r="AU33"/>
        </row>
        <row r="34">
          <cell r="K34">
            <v>292.15899999999999</v>
          </cell>
          <cell r="S34">
            <v>170.69300000000001</v>
          </cell>
          <cell r="W34"/>
          <cell r="AA34">
            <v>11.722</v>
          </cell>
          <cell r="AE34">
            <v>56.542999999999999</v>
          </cell>
          <cell r="AU34"/>
        </row>
        <row r="35">
          <cell r="K35">
            <v>282.35500000000002</v>
          </cell>
          <cell r="S35">
            <v>162.83500000000001</v>
          </cell>
          <cell r="W35"/>
          <cell r="AA35">
            <v>11.096</v>
          </cell>
          <cell r="AE35">
            <v>46.128</v>
          </cell>
          <cell r="AU35"/>
        </row>
        <row r="36">
          <cell r="K36"/>
          <cell r="S36"/>
          <cell r="W36"/>
          <cell r="AA36"/>
          <cell r="AE36"/>
          <cell r="AU36"/>
        </row>
      </sheetData>
      <sheetData sheetId="4">
        <row r="6">
          <cell r="K6">
            <v>305.24599999999998</v>
          </cell>
          <cell r="S6">
            <v>178.17699999999999</v>
          </cell>
          <cell r="W6"/>
          <cell r="AA6">
            <v>12.218999999999999</v>
          </cell>
          <cell r="AE6">
            <v>59.238999999999997</v>
          </cell>
          <cell r="AU6"/>
        </row>
        <row r="7">
          <cell r="K7">
            <v>294.99599999999998</v>
          </cell>
          <cell r="S7">
            <v>174.672</v>
          </cell>
          <cell r="W7"/>
          <cell r="AA7">
            <v>11.805</v>
          </cell>
          <cell r="AE7">
            <v>66.510000000000005</v>
          </cell>
          <cell r="AU7"/>
        </row>
        <row r="8">
          <cell r="K8">
            <v>285.01499999999999</v>
          </cell>
          <cell r="S8">
            <v>168.15700000000001</v>
          </cell>
          <cell r="W8"/>
          <cell r="AA8">
            <v>8.0280000000000005</v>
          </cell>
          <cell r="AE8">
            <v>68.394999999999996</v>
          </cell>
          <cell r="AU8"/>
        </row>
        <row r="9">
          <cell r="K9">
            <v>297.44799999999998</v>
          </cell>
          <cell r="S9">
            <v>174.654</v>
          </cell>
          <cell r="W9"/>
          <cell r="AA9">
            <v>5.9320000000000004</v>
          </cell>
          <cell r="AE9">
            <v>71.358000000000004</v>
          </cell>
          <cell r="AU9"/>
        </row>
        <row r="10">
          <cell r="K10">
            <v>284.83999999999997</v>
          </cell>
          <cell r="S10">
            <v>167.56800000000001</v>
          </cell>
          <cell r="W10"/>
          <cell r="AA10">
            <v>5.6909999999999998</v>
          </cell>
          <cell r="AE10">
            <v>69.882000000000005</v>
          </cell>
          <cell r="AU10"/>
        </row>
        <row r="11">
          <cell r="K11">
            <v>277.25599999999997</v>
          </cell>
          <cell r="S11">
            <v>160.476</v>
          </cell>
          <cell r="W11"/>
          <cell r="AA11">
            <v>5.6319999999999997</v>
          </cell>
          <cell r="AE11">
            <v>73.718999999999994</v>
          </cell>
          <cell r="AU11"/>
        </row>
        <row r="12">
          <cell r="K12">
            <v>270.01100000000002</v>
          </cell>
          <cell r="S12">
            <v>156.96</v>
          </cell>
          <cell r="W12"/>
          <cell r="AA12">
            <v>6.1509999999999998</v>
          </cell>
          <cell r="AE12">
            <v>75.614000000000004</v>
          </cell>
          <cell r="AU12"/>
        </row>
        <row r="13">
          <cell r="K13">
            <v>270.06099999999998</v>
          </cell>
          <cell r="S13">
            <v>156.31399999999999</v>
          </cell>
          <cell r="W13"/>
          <cell r="AA13">
            <v>5.3860000000000001</v>
          </cell>
          <cell r="AE13">
            <v>75.573999999999998</v>
          </cell>
          <cell r="AU13"/>
        </row>
        <row r="14">
          <cell r="K14">
            <v>262.43400000000003</v>
          </cell>
          <cell r="S14">
            <v>152.13399999999999</v>
          </cell>
          <cell r="W14"/>
          <cell r="AA14">
            <v>5.3310000000000004</v>
          </cell>
          <cell r="AE14">
            <v>73.394999999999996</v>
          </cell>
          <cell r="AU14"/>
        </row>
        <row r="15">
          <cell r="K15">
            <v>277.45800000000003</v>
          </cell>
          <cell r="S15">
            <v>160.68299999999999</v>
          </cell>
          <cell r="W15"/>
          <cell r="AA15">
            <v>5.4980000000000002</v>
          </cell>
          <cell r="AE15">
            <v>77.62</v>
          </cell>
          <cell r="AU15"/>
        </row>
        <row r="16">
          <cell r="K16">
            <v>269.93900000000002</v>
          </cell>
          <cell r="S16">
            <v>156.125</v>
          </cell>
          <cell r="W16"/>
          <cell r="AA16">
            <v>5.2640000000000002</v>
          </cell>
          <cell r="AE16">
            <v>75.578999999999994</v>
          </cell>
          <cell r="AU16"/>
        </row>
        <row r="17">
          <cell r="K17">
            <v>247.52799999999999</v>
          </cell>
          <cell r="S17">
            <v>142.946</v>
          </cell>
          <cell r="W17"/>
          <cell r="AA17">
            <v>5.01</v>
          </cell>
          <cell r="AE17">
            <v>72.706999999999994</v>
          </cell>
          <cell r="AU17"/>
        </row>
        <row r="18">
          <cell r="K18">
            <v>285.10500000000002</v>
          </cell>
          <cell r="S18">
            <v>164.07499999999999</v>
          </cell>
          <cell r="W18">
            <v>1.2130000000000001</v>
          </cell>
          <cell r="AA18">
            <v>5.6829999999999998</v>
          </cell>
          <cell r="AE18">
            <v>80.147000000000006</v>
          </cell>
          <cell r="AU18"/>
        </row>
        <row r="19">
          <cell r="K19">
            <v>255.203</v>
          </cell>
          <cell r="S19">
            <v>144.25800000000001</v>
          </cell>
          <cell r="W19">
            <v>5.4560000000000004</v>
          </cell>
          <cell r="AA19">
            <v>5.05</v>
          </cell>
          <cell r="AE19">
            <v>40.795000000000002</v>
          </cell>
          <cell r="AU19"/>
        </row>
        <row r="20">
          <cell r="K20">
            <v>270.161</v>
          </cell>
          <cell r="S20">
            <v>153.102</v>
          </cell>
          <cell r="W20">
            <v>7.399</v>
          </cell>
          <cell r="AA20">
            <v>5.3879999999999999</v>
          </cell>
          <cell r="AE20">
            <v>43.18</v>
          </cell>
          <cell r="AU20"/>
        </row>
        <row r="21">
          <cell r="K21">
            <v>220.14099999999999</v>
          </cell>
          <cell r="S21">
            <v>124.60299999999999</v>
          </cell>
          <cell r="W21">
            <v>6.9930000000000003</v>
          </cell>
          <cell r="AA21">
            <v>6.3689999999999998</v>
          </cell>
          <cell r="AE21">
            <v>35.201000000000001</v>
          </cell>
          <cell r="AU21"/>
        </row>
        <row r="22">
          <cell r="K22">
            <v>234.99</v>
          </cell>
          <cell r="S22">
            <v>134.93299999999999</v>
          </cell>
          <cell r="W22">
            <v>9.4030000000000005</v>
          </cell>
          <cell r="AA22">
            <v>4.633</v>
          </cell>
          <cell r="AE22">
            <v>39.722999999999999</v>
          </cell>
          <cell r="AU22"/>
        </row>
        <row r="23">
          <cell r="K23">
            <v>200.07599999999999</v>
          </cell>
          <cell r="S23">
            <v>114.08799999999999</v>
          </cell>
          <cell r="W23">
            <v>8.8450000000000006</v>
          </cell>
          <cell r="AA23">
            <v>4.0259999999999998</v>
          </cell>
          <cell r="AE23">
            <v>40.305</v>
          </cell>
          <cell r="AU23"/>
        </row>
        <row r="24">
          <cell r="K24">
            <v>210.10900000000001</v>
          </cell>
          <cell r="S24">
            <v>118.699</v>
          </cell>
          <cell r="W24">
            <v>9.6440000000000001</v>
          </cell>
          <cell r="AA24">
            <v>7.0389999999999997</v>
          </cell>
          <cell r="AE24">
            <v>46.213999999999999</v>
          </cell>
          <cell r="AU24"/>
        </row>
        <row r="25">
          <cell r="K25">
            <v>130.04300000000001</v>
          </cell>
          <cell r="S25">
            <v>76.591999999999999</v>
          </cell>
          <cell r="W25">
            <v>7.0709999999999997</v>
          </cell>
          <cell r="AA25">
            <v>5.2190000000000003</v>
          </cell>
          <cell r="AE25">
            <v>28.616</v>
          </cell>
          <cell r="AU25"/>
        </row>
        <row r="26">
          <cell r="K26">
            <v>232.55699999999999</v>
          </cell>
          <cell r="S26">
            <v>131.608</v>
          </cell>
          <cell r="W26">
            <v>12.987</v>
          </cell>
          <cell r="AA26">
            <v>9.2230000000000008</v>
          </cell>
          <cell r="AE26">
            <v>51.145000000000003</v>
          </cell>
          <cell r="AU26"/>
        </row>
        <row r="27">
          <cell r="K27">
            <v>235.10300000000001</v>
          </cell>
          <cell r="S27">
            <v>133.38200000000001</v>
          </cell>
          <cell r="W27">
            <v>13.023</v>
          </cell>
          <cell r="AA27">
            <v>5.4720000000000004</v>
          </cell>
          <cell r="AE27">
            <v>51.677999999999997</v>
          </cell>
          <cell r="AU27"/>
        </row>
        <row r="28">
          <cell r="K28">
            <v>220.166</v>
          </cell>
          <cell r="S28">
            <v>125.92400000000001</v>
          </cell>
          <cell r="W28">
            <v>12.943</v>
          </cell>
          <cell r="AA28">
            <v>4.5890000000000004</v>
          </cell>
          <cell r="AE28">
            <v>48.401000000000003</v>
          </cell>
          <cell r="AU28"/>
        </row>
        <row r="29">
          <cell r="K29">
            <v>202.446</v>
          </cell>
          <cell r="S29">
            <v>116.589</v>
          </cell>
          <cell r="W29">
            <v>10.58</v>
          </cell>
          <cell r="AA29">
            <v>4.2960000000000003</v>
          </cell>
          <cell r="AE29">
            <v>44.609000000000002</v>
          </cell>
          <cell r="AU29"/>
        </row>
        <row r="30">
          <cell r="K30">
            <v>212.57900000000001</v>
          </cell>
          <cell r="S30">
            <v>126.496</v>
          </cell>
          <cell r="W30">
            <v>10.988</v>
          </cell>
          <cell r="AA30">
            <v>4.3099999999999996</v>
          </cell>
          <cell r="AE30">
            <v>41.213000000000001</v>
          </cell>
          <cell r="AU30"/>
        </row>
        <row r="31">
          <cell r="K31">
            <v>207.58099999999999</v>
          </cell>
          <cell r="S31">
            <v>119.306</v>
          </cell>
          <cell r="W31">
            <v>10.97</v>
          </cell>
          <cell r="AA31">
            <v>4.2370000000000001</v>
          </cell>
          <cell r="AE31">
            <v>33.186999999999998</v>
          </cell>
          <cell r="AU31"/>
        </row>
        <row r="32">
          <cell r="K32">
            <v>240.102</v>
          </cell>
          <cell r="S32">
            <v>137.125</v>
          </cell>
          <cell r="W32">
            <v>12.702999999999999</v>
          </cell>
          <cell r="AA32">
            <v>4.7869999999999999</v>
          </cell>
          <cell r="AE32">
            <v>38.399000000000001</v>
          </cell>
          <cell r="AU32"/>
        </row>
        <row r="33">
          <cell r="K33">
            <v>212.571</v>
          </cell>
          <cell r="S33">
            <v>123.068</v>
          </cell>
          <cell r="W33">
            <v>10.662000000000001</v>
          </cell>
          <cell r="AA33">
            <v>4.5570000000000004</v>
          </cell>
          <cell r="AE33">
            <v>34.116999999999997</v>
          </cell>
          <cell r="AU33"/>
        </row>
        <row r="34">
          <cell r="K34">
            <v>237.249</v>
          </cell>
          <cell r="S34">
            <v>134.31</v>
          </cell>
          <cell r="W34"/>
          <cell r="AA34">
            <v>6.6120000000000001</v>
          </cell>
          <cell r="AE34">
            <v>42.777000000000001</v>
          </cell>
          <cell r="AU34"/>
        </row>
        <row r="35">
          <cell r="K35">
            <v>232.64</v>
          </cell>
          <cell r="S35">
            <v>132.048</v>
          </cell>
          <cell r="W35"/>
          <cell r="AA35">
            <v>9.2070000000000007</v>
          </cell>
          <cell r="AE35">
            <v>41.835999999999999</v>
          </cell>
          <cell r="AU35"/>
        </row>
        <row r="36">
          <cell r="K36">
            <v>232.34700000000001</v>
          </cell>
          <cell r="S36">
            <v>134.42699999999999</v>
          </cell>
          <cell r="W36"/>
          <cell r="AA36">
            <v>9.157</v>
          </cell>
          <cell r="AE36">
            <v>41.838999999999999</v>
          </cell>
          <cell r="AU36"/>
        </row>
      </sheetData>
      <sheetData sheetId="5">
        <row r="6">
          <cell r="K6">
            <v>210.154</v>
          </cell>
          <cell r="S6">
            <v>125.67</v>
          </cell>
          <cell r="W6"/>
          <cell r="AA6">
            <v>8.4429999999999996</v>
          </cell>
          <cell r="AE6">
            <v>40.000999999999998</v>
          </cell>
          <cell r="AU6"/>
        </row>
        <row r="7">
          <cell r="K7">
            <v>243.179</v>
          </cell>
          <cell r="S7">
            <v>144.42099999999999</v>
          </cell>
          <cell r="W7"/>
          <cell r="AA7">
            <v>9.8919999999999995</v>
          </cell>
          <cell r="AE7">
            <v>48.396000000000001</v>
          </cell>
          <cell r="AU7"/>
        </row>
        <row r="8">
          <cell r="K8">
            <v>225.11699999999999</v>
          </cell>
          <cell r="S8">
            <v>134.41200000000001</v>
          </cell>
          <cell r="W8"/>
          <cell r="AA8">
            <v>8.9960000000000004</v>
          </cell>
          <cell r="AE8">
            <v>45.046999999999997</v>
          </cell>
          <cell r="AU8"/>
        </row>
        <row r="9">
          <cell r="K9">
            <v>227.25200000000001</v>
          </cell>
          <cell r="S9">
            <v>139.62899999999999</v>
          </cell>
          <cell r="W9"/>
          <cell r="AA9">
            <v>9.17</v>
          </cell>
          <cell r="AE9">
            <v>45.500999999999998</v>
          </cell>
          <cell r="AU9"/>
        </row>
        <row r="10">
          <cell r="K10">
            <v>235.114</v>
          </cell>
          <cell r="S10">
            <v>140.721</v>
          </cell>
          <cell r="W10"/>
          <cell r="AA10">
            <v>9.6319999999999997</v>
          </cell>
          <cell r="AE10">
            <v>51.921999999999997</v>
          </cell>
          <cell r="AU10"/>
        </row>
        <row r="11">
          <cell r="K11">
            <v>214.93199999999999</v>
          </cell>
          <cell r="S11">
            <v>128.69900000000001</v>
          </cell>
          <cell r="W11"/>
          <cell r="AA11">
            <v>8.59</v>
          </cell>
          <cell r="AE11">
            <v>51.575000000000003</v>
          </cell>
          <cell r="AU11"/>
        </row>
        <row r="12">
          <cell r="K12">
            <v>238.10499999999999</v>
          </cell>
          <cell r="S12">
            <v>141.97200000000001</v>
          </cell>
          <cell r="W12"/>
          <cell r="AA12">
            <v>9.3239999999999998</v>
          </cell>
          <cell r="AE12">
            <v>54.420999999999999</v>
          </cell>
          <cell r="AU12"/>
        </row>
        <row r="13">
          <cell r="K13">
            <v>217.376</v>
          </cell>
          <cell r="S13">
            <v>129.53299999999999</v>
          </cell>
          <cell r="W13"/>
          <cell r="AA13">
            <v>8.7850000000000001</v>
          </cell>
          <cell r="AE13">
            <v>43.506999999999998</v>
          </cell>
          <cell r="AU13"/>
        </row>
        <row r="14">
          <cell r="K14">
            <v>225.34899999999999</v>
          </cell>
          <cell r="S14">
            <v>133.63999999999999</v>
          </cell>
          <cell r="W14"/>
          <cell r="AA14">
            <v>9.0180000000000007</v>
          </cell>
          <cell r="AE14">
            <v>44.533000000000001</v>
          </cell>
          <cell r="AU14"/>
        </row>
        <row r="15">
          <cell r="K15">
            <v>227.547</v>
          </cell>
          <cell r="S15">
            <v>136.464</v>
          </cell>
          <cell r="W15"/>
          <cell r="AA15">
            <v>8.9670000000000005</v>
          </cell>
          <cell r="AE15">
            <v>36.390999999999998</v>
          </cell>
          <cell r="AU15"/>
        </row>
        <row r="16">
          <cell r="K16">
            <v>222.39500000000001</v>
          </cell>
          <cell r="S16">
            <v>133.041</v>
          </cell>
          <cell r="W16"/>
          <cell r="AA16">
            <v>10.555999999999999</v>
          </cell>
          <cell r="AE16">
            <v>35.6</v>
          </cell>
          <cell r="AU16"/>
        </row>
        <row r="17">
          <cell r="K17">
            <v>230.035</v>
          </cell>
          <cell r="S17">
            <v>138.53899999999999</v>
          </cell>
          <cell r="W17"/>
          <cell r="AA17">
            <v>9.2029999999999994</v>
          </cell>
          <cell r="AE17">
            <v>36.804000000000002</v>
          </cell>
          <cell r="AU17"/>
        </row>
        <row r="18">
          <cell r="K18">
            <v>219.928</v>
          </cell>
          <cell r="S18">
            <v>132.059</v>
          </cell>
          <cell r="W18"/>
          <cell r="AA18">
            <v>8.7070000000000007</v>
          </cell>
          <cell r="AE18">
            <v>35.167999999999999</v>
          </cell>
          <cell r="AU18"/>
        </row>
        <row r="19">
          <cell r="K19">
            <v>227.589</v>
          </cell>
          <cell r="S19">
            <v>136.31899999999999</v>
          </cell>
          <cell r="W19"/>
          <cell r="AA19">
            <v>8.968</v>
          </cell>
          <cell r="AE19">
            <v>36.363</v>
          </cell>
          <cell r="AU19"/>
        </row>
        <row r="20">
          <cell r="K20">
            <v>239.66</v>
          </cell>
          <cell r="S20">
            <v>144.28299999999999</v>
          </cell>
          <cell r="W20"/>
          <cell r="AA20">
            <v>9.7360000000000007</v>
          </cell>
          <cell r="AE20">
            <v>38.200000000000003</v>
          </cell>
          <cell r="AU20"/>
        </row>
        <row r="21">
          <cell r="K21">
            <v>89.546000000000006</v>
          </cell>
          <cell r="S21">
            <v>60.564999999999998</v>
          </cell>
          <cell r="W21"/>
          <cell r="AA21">
            <v>3.5880000000000001</v>
          </cell>
          <cell r="AE21">
            <v>13.933</v>
          </cell>
          <cell r="AU21"/>
        </row>
        <row r="22">
          <cell r="K22">
            <v>207.58</v>
          </cell>
          <cell r="S22">
            <v>130.595</v>
          </cell>
          <cell r="W22"/>
          <cell r="AA22">
            <v>8.4149999999999991</v>
          </cell>
          <cell r="AE22">
            <v>33.219000000000001</v>
          </cell>
          <cell r="AU22"/>
        </row>
        <row r="23">
          <cell r="K23">
            <v>219.96100000000001</v>
          </cell>
          <cell r="S23">
            <v>134.113</v>
          </cell>
          <cell r="W23"/>
          <cell r="AA23">
            <v>8.7989999999999995</v>
          </cell>
          <cell r="AE23">
            <v>35.210999999999999</v>
          </cell>
          <cell r="AU23"/>
        </row>
        <row r="24">
          <cell r="K24">
            <v>215.18100000000001</v>
          </cell>
          <cell r="S24">
            <v>131.39599999999999</v>
          </cell>
          <cell r="W24"/>
          <cell r="AA24">
            <v>8.5670000000000002</v>
          </cell>
          <cell r="AE24">
            <v>34.362000000000002</v>
          </cell>
          <cell r="AU24"/>
        </row>
        <row r="25">
          <cell r="K25">
            <v>227.29599999999999</v>
          </cell>
          <cell r="S25">
            <v>138.83799999999999</v>
          </cell>
          <cell r="W25"/>
          <cell r="AA25">
            <v>9.1829999999999998</v>
          </cell>
          <cell r="AE25">
            <v>36.405999999999999</v>
          </cell>
          <cell r="AU25"/>
        </row>
        <row r="26">
          <cell r="K26">
            <v>242.62899999999999</v>
          </cell>
          <cell r="S26">
            <v>149.24100000000001</v>
          </cell>
          <cell r="W26"/>
          <cell r="AA26">
            <v>9.6989999999999998</v>
          </cell>
          <cell r="AE26">
            <v>32.404000000000003</v>
          </cell>
          <cell r="AU26"/>
        </row>
        <row r="27">
          <cell r="K27">
            <v>217.31100000000001</v>
          </cell>
          <cell r="S27">
            <v>133.238</v>
          </cell>
          <cell r="W27"/>
          <cell r="AA27">
            <v>8.8010000000000002</v>
          </cell>
          <cell r="AE27">
            <v>21.765000000000001</v>
          </cell>
          <cell r="AU27"/>
        </row>
        <row r="28">
          <cell r="K28">
            <v>224.90899999999999</v>
          </cell>
          <cell r="S28">
            <v>136.11799999999999</v>
          </cell>
          <cell r="W28"/>
          <cell r="AA28">
            <v>9.2029999999999994</v>
          </cell>
          <cell r="AE28">
            <v>22.378</v>
          </cell>
          <cell r="AU28"/>
        </row>
        <row r="29">
          <cell r="K29">
            <v>219.971</v>
          </cell>
          <cell r="S29">
            <v>130.70500000000001</v>
          </cell>
          <cell r="W29"/>
          <cell r="AA29">
            <v>8.7899999999999991</v>
          </cell>
          <cell r="AE29">
            <v>22.033000000000001</v>
          </cell>
          <cell r="AU29"/>
        </row>
        <row r="30">
          <cell r="K30">
            <v>235.108</v>
          </cell>
          <cell r="S30">
            <v>137.23400000000001</v>
          </cell>
          <cell r="W30"/>
          <cell r="AA30">
            <v>9.2609999999999992</v>
          </cell>
          <cell r="AE30">
            <v>24.818999999999999</v>
          </cell>
          <cell r="AU30"/>
        </row>
        <row r="31">
          <cell r="K31">
            <v>225.02500000000001</v>
          </cell>
          <cell r="S31">
            <v>130.96100000000001</v>
          </cell>
          <cell r="W31"/>
          <cell r="AA31">
            <v>8.9149999999999991</v>
          </cell>
          <cell r="AE31">
            <v>27.004000000000001</v>
          </cell>
          <cell r="AU31"/>
        </row>
        <row r="32">
          <cell r="K32">
            <v>217.33199999999999</v>
          </cell>
          <cell r="S32">
            <v>127.462</v>
          </cell>
          <cell r="W32"/>
          <cell r="AA32">
            <v>8.7379999999999995</v>
          </cell>
          <cell r="AE32">
            <v>26.141999999999999</v>
          </cell>
          <cell r="AU32"/>
        </row>
        <row r="33">
          <cell r="K33">
            <v>225.173</v>
          </cell>
          <cell r="S33">
            <v>132.77600000000001</v>
          </cell>
          <cell r="W33"/>
          <cell r="AA33">
            <v>8.9710000000000001</v>
          </cell>
          <cell r="AE33">
            <v>27.116</v>
          </cell>
          <cell r="AU33"/>
        </row>
        <row r="34">
          <cell r="K34">
            <v>224.648</v>
          </cell>
          <cell r="S34">
            <v>135.054</v>
          </cell>
          <cell r="W34"/>
          <cell r="AA34">
            <v>8.9629999999999992</v>
          </cell>
          <cell r="AE34">
            <v>26.963000000000001</v>
          </cell>
          <cell r="AU34"/>
        </row>
        <row r="35">
          <cell r="K35">
            <v>215.148</v>
          </cell>
          <cell r="S35">
            <v>128.45500000000001</v>
          </cell>
          <cell r="W35"/>
          <cell r="AA35">
            <v>8.3650000000000002</v>
          </cell>
          <cell r="AE35">
            <v>23.678999999999998</v>
          </cell>
          <cell r="AU35"/>
        </row>
        <row r="36">
          <cell r="K36"/>
          <cell r="S36"/>
          <cell r="W36"/>
          <cell r="AA36"/>
          <cell r="AE36"/>
          <cell r="AU36"/>
        </row>
      </sheetData>
      <sheetData sheetId="6">
        <row r="6">
          <cell r="K6">
            <v>219.99700000000001</v>
          </cell>
          <cell r="S6">
            <v>133.10400000000001</v>
          </cell>
          <cell r="W6"/>
          <cell r="AA6">
            <v>8.7469999999999999</v>
          </cell>
          <cell r="AE6">
            <v>22.004999999999999</v>
          </cell>
          <cell r="AI6"/>
          <cell r="AU6"/>
        </row>
        <row r="7">
          <cell r="K7">
            <v>217.72300000000001</v>
          </cell>
          <cell r="S7">
            <v>130.73400000000001</v>
          </cell>
          <cell r="W7"/>
          <cell r="AA7">
            <v>8.6479999999999997</v>
          </cell>
          <cell r="AE7">
            <v>21.776</v>
          </cell>
          <cell r="AI7"/>
          <cell r="AU7"/>
        </row>
        <row r="8">
          <cell r="K8">
            <v>217.70599999999999</v>
          </cell>
          <cell r="S8">
            <v>130.684</v>
          </cell>
          <cell r="W8"/>
          <cell r="AA8">
            <v>8.1340000000000003</v>
          </cell>
          <cell r="AE8">
            <v>22.135000000000002</v>
          </cell>
          <cell r="AI8"/>
          <cell r="AU8"/>
        </row>
        <row r="9">
          <cell r="K9">
            <v>227.625</v>
          </cell>
          <cell r="S9">
            <v>137.465</v>
          </cell>
          <cell r="W9"/>
          <cell r="AA9">
            <v>8.9819999999999993</v>
          </cell>
          <cell r="AE9">
            <v>22.782</v>
          </cell>
          <cell r="AI9"/>
          <cell r="AU9"/>
        </row>
        <row r="10">
          <cell r="K10">
            <v>200.10499999999999</v>
          </cell>
          <cell r="S10">
            <v>123.333</v>
          </cell>
          <cell r="W10"/>
          <cell r="AA10">
            <v>8.0210000000000008</v>
          </cell>
          <cell r="AE10">
            <v>20.855</v>
          </cell>
          <cell r="AI10"/>
          <cell r="AU10"/>
        </row>
        <row r="11">
          <cell r="K11">
            <v>217.577</v>
          </cell>
          <cell r="S11">
            <v>135.46799999999999</v>
          </cell>
          <cell r="W11"/>
          <cell r="AA11">
            <v>8.968</v>
          </cell>
          <cell r="AE11">
            <v>26.177</v>
          </cell>
          <cell r="AI11"/>
          <cell r="AU11"/>
        </row>
        <row r="12">
          <cell r="K12">
            <v>227.46199999999999</v>
          </cell>
          <cell r="S12">
            <v>141.24100000000001</v>
          </cell>
          <cell r="W12"/>
          <cell r="AA12">
            <v>8.9909999999999997</v>
          </cell>
          <cell r="AE12">
            <v>27.295000000000002</v>
          </cell>
          <cell r="AI12"/>
          <cell r="AU12"/>
        </row>
        <row r="13">
          <cell r="K13">
            <v>210.447</v>
          </cell>
          <cell r="S13">
            <v>128.49799999999999</v>
          </cell>
          <cell r="W13"/>
          <cell r="AA13">
            <v>8.4329999999999998</v>
          </cell>
          <cell r="AE13">
            <v>22.815999999999999</v>
          </cell>
          <cell r="AI13"/>
          <cell r="AU13"/>
        </row>
        <row r="14">
          <cell r="K14">
            <v>220.28</v>
          </cell>
          <cell r="S14">
            <v>134.661</v>
          </cell>
          <cell r="W14"/>
          <cell r="AA14">
            <v>8.8379999999999992</v>
          </cell>
          <cell r="AE14">
            <v>20.864000000000001</v>
          </cell>
          <cell r="AI14"/>
          <cell r="AU14"/>
        </row>
        <row r="15">
          <cell r="K15">
            <v>222.732</v>
          </cell>
          <cell r="S15">
            <v>136.70099999999999</v>
          </cell>
          <cell r="W15"/>
          <cell r="AA15">
            <v>8.7919999999999998</v>
          </cell>
          <cell r="AE15">
            <v>17.856999999999999</v>
          </cell>
          <cell r="AI15"/>
          <cell r="AU15"/>
        </row>
        <row r="16">
          <cell r="K16">
            <v>224.952</v>
          </cell>
          <cell r="S16">
            <v>139.12299999999999</v>
          </cell>
          <cell r="W16"/>
          <cell r="AA16">
            <v>8.9190000000000005</v>
          </cell>
          <cell r="AE16">
            <v>18</v>
          </cell>
          <cell r="AI16"/>
          <cell r="AU16"/>
        </row>
        <row r="17">
          <cell r="K17">
            <v>220.04499999999999</v>
          </cell>
          <cell r="S17">
            <v>136.309</v>
          </cell>
          <cell r="W17"/>
          <cell r="AA17">
            <v>8.5830000000000002</v>
          </cell>
          <cell r="AE17">
            <v>17.613</v>
          </cell>
          <cell r="AI17"/>
          <cell r="AU17"/>
        </row>
        <row r="18">
          <cell r="K18">
            <v>202.53200000000001</v>
          </cell>
          <cell r="S18">
            <v>126.361</v>
          </cell>
          <cell r="W18"/>
          <cell r="AA18">
            <v>8.1920000000000002</v>
          </cell>
          <cell r="AE18">
            <v>16.204000000000001</v>
          </cell>
          <cell r="AI18"/>
          <cell r="AU18"/>
        </row>
        <row r="19">
          <cell r="K19">
            <v>207.80799999999999</v>
          </cell>
          <cell r="S19">
            <v>128.89500000000001</v>
          </cell>
          <cell r="W19"/>
          <cell r="AA19">
            <v>8.2249999999999996</v>
          </cell>
          <cell r="AE19">
            <v>16.602</v>
          </cell>
          <cell r="AI19"/>
          <cell r="AU19"/>
        </row>
        <row r="20">
          <cell r="K20">
            <v>222.01300000000001</v>
          </cell>
          <cell r="S20">
            <v>138.80000000000001</v>
          </cell>
          <cell r="W20"/>
          <cell r="AA20">
            <v>9.0169999999999995</v>
          </cell>
          <cell r="AE20">
            <v>17.879000000000001</v>
          </cell>
          <cell r="AI20"/>
          <cell r="AU20"/>
        </row>
        <row r="21">
          <cell r="K21">
            <v>212.93100000000001</v>
          </cell>
          <cell r="S21">
            <v>131.417</v>
          </cell>
          <cell r="W21"/>
          <cell r="AA21">
            <v>8.4280000000000008</v>
          </cell>
          <cell r="AE21">
            <v>17.413</v>
          </cell>
          <cell r="AI21"/>
          <cell r="AU21"/>
        </row>
        <row r="22">
          <cell r="K22">
            <v>195.047</v>
          </cell>
          <cell r="S22">
            <v>120.92</v>
          </cell>
          <cell r="W22"/>
          <cell r="AA22">
            <v>8.0190000000000001</v>
          </cell>
          <cell r="AE22">
            <v>15.641</v>
          </cell>
          <cell r="AI22"/>
          <cell r="AU22"/>
        </row>
        <row r="23">
          <cell r="K23">
            <v>227.7</v>
          </cell>
          <cell r="S23">
            <v>141.13200000000001</v>
          </cell>
          <cell r="W23"/>
          <cell r="AA23">
            <v>8.9920000000000009</v>
          </cell>
          <cell r="AE23">
            <v>18.379000000000001</v>
          </cell>
          <cell r="AI23"/>
          <cell r="AU23"/>
        </row>
        <row r="24">
          <cell r="K24">
            <v>153.10599999999999</v>
          </cell>
          <cell r="S24">
            <v>96.513999999999996</v>
          </cell>
          <cell r="W24"/>
          <cell r="AA24">
            <v>6.2140000000000004</v>
          </cell>
          <cell r="AE24">
            <v>12.481</v>
          </cell>
          <cell r="AI24"/>
          <cell r="AU24"/>
        </row>
        <row r="25">
          <cell r="K25">
            <v>220.232</v>
          </cell>
          <cell r="S25">
            <v>139.00399999999999</v>
          </cell>
          <cell r="W25"/>
          <cell r="AA25">
            <v>8.7110000000000003</v>
          </cell>
          <cell r="AE25">
            <v>17.888000000000002</v>
          </cell>
          <cell r="AI25"/>
          <cell r="AU25"/>
        </row>
        <row r="26">
          <cell r="K26">
            <v>197.74199999999999</v>
          </cell>
          <cell r="S26">
            <v>125.651</v>
          </cell>
          <cell r="W26"/>
          <cell r="AA26">
            <v>7.8360000000000003</v>
          </cell>
          <cell r="AE26">
            <v>16.088000000000001</v>
          </cell>
          <cell r="AI26"/>
          <cell r="AU26"/>
        </row>
        <row r="27">
          <cell r="K27">
            <v>205.09200000000001</v>
          </cell>
          <cell r="S27">
            <v>130.11000000000001</v>
          </cell>
          <cell r="W27"/>
          <cell r="AA27">
            <v>8.2119999999999997</v>
          </cell>
          <cell r="AE27">
            <v>16.488</v>
          </cell>
          <cell r="AI27"/>
          <cell r="AU27"/>
        </row>
        <row r="28">
          <cell r="K28">
            <v>198.309</v>
          </cell>
          <cell r="S28">
            <v>123.967</v>
          </cell>
          <cell r="W28"/>
          <cell r="AA28">
            <v>8.0530000000000008</v>
          </cell>
          <cell r="AE28">
            <v>16.43</v>
          </cell>
          <cell r="AI28"/>
          <cell r="AU28"/>
        </row>
        <row r="29">
          <cell r="K29">
            <v>207.40799999999999</v>
          </cell>
          <cell r="S29">
            <v>130.316</v>
          </cell>
          <cell r="W29"/>
          <cell r="AA29">
            <v>8.1929999999999996</v>
          </cell>
          <cell r="AE29">
            <v>16.599</v>
          </cell>
          <cell r="AI29"/>
          <cell r="AU29"/>
        </row>
        <row r="30">
          <cell r="K30">
            <v>191.203</v>
          </cell>
          <cell r="S30">
            <v>120.575</v>
          </cell>
          <cell r="W30"/>
          <cell r="AA30">
            <v>7.7619999999999996</v>
          </cell>
          <cell r="AE30">
            <v>15.218999999999999</v>
          </cell>
          <cell r="AI30"/>
          <cell r="AU30"/>
        </row>
        <row r="31">
          <cell r="K31">
            <v>217.48699999999999</v>
          </cell>
          <cell r="S31">
            <v>136.46</v>
          </cell>
          <cell r="W31"/>
          <cell r="AA31">
            <v>8.6020000000000003</v>
          </cell>
          <cell r="AE31">
            <v>17.39</v>
          </cell>
          <cell r="AI31"/>
          <cell r="AU31"/>
        </row>
        <row r="32">
          <cell r="K32">
            <v>217.703</v>
          </cell>
          <cell r="S32">
            <v>136.57900000000001</v>
          </cell>
          <cell r="W32"/>
          <cell r="AA32">
            <v>8.8119999999999994</v>
          </cell>
          <cell r="AE32">
            <v>17.558</v>
          </cell>
          <cell r="AI32"/>
          <cell r="AU32"/>
        </row>
        <row r="33">
          <cell r="K33">
            <v>217.517</v>
          </cell>
          <cell r="S33">
            <v>135.77799999999999</v>
          </cell>
          <cell r="W33"/>
          <cell r="AA33">
            <v>8.6310000000000002</v>
          </cell>
          <cell r="AE33">
            <v>17.387</v>
          </cell>
          <cell r="AI33"/>
          <cell r="AU33"/>
        </row>
        <row r="34">
          <cell r="K34">
            <v>187.45099999999999</v>
          </cell>
          <cell r="S34">
            <v>116.355</v>
          </cell>
          <cell r="W34"/>
          <cell r="AA34">
            <v>7.6059999999999999</v>
          </cell>
          <cell r="AE34">
            <v>15.02</v>
          </cell>
          <cell r="AI34"/>
          <cell r="AU34"/>
        </row>
        <row r="35">
          <cell r="K35">
            <v>214.93100000000001</v>
          </cell>
          <cell r="S35">
            <v>133.93199999999999</v>
          </cell>
          <cell r="W35"/>
          <cell r="AA35">
            <v>8.5009999999999994</v>
          </cell>
          <cell r="AE35">
            <v>30.468</v>
          </cell>
          <cell r="AI35"/>
          <cell r="AU35"/>
        </row>
        <row r="36">
          <cell r="K36">
            <v>207.49700000000001</v>
          </cell>
          <cell r="S36">
            <v>129.68</v>
          </cell>
          <cell r="W36"/>
          <cell r="AA36">
            <v>8.1639999999999997</v>
          </cell>
          <cell r="AE36">
            <v>95.459000000000003</v>
          </cell>
          <cell r="AI36"/>
          <cell r="AU36"/>
        </row>
      </sheetData>
      <sheetData sheetId="7">
        <row r="6">
          <cell r="K6">
            <v>222.863</v>
          </cell>
          <cell r="S6">
            <v>142.30500000000001</v>
          </cell>
          <cell r="W6"/>
          <cell r="AA6">
            <v>9.1289999999999996</v>
          </cell>
          <cell r="AE6">
            <v>114.459</v>
          </cell>
          <cell r="AU6"/>
        </row>
        <row r="7">
          <cell r="K7">
            <v>182.32499999999999</v>
          </cell>
          <cell r="S7">
            <v>117.52800000000001</v>
          </cell>
          <cell r="W7"/>
          <cell r="AA7">
            <v>7.2910000000000004</v>
          </cell>
          <cell r="AE7">
            <v>116.678</v>
          </cell>
          <cell r="AU7"/>
        </row>
        <row r="8">
          <cell r="K8">
            <v>200.00200000000001</v>
          </cell>
          <cell r="S8">
            <v>128.565</v>
          </cell>
          <cell r="W8"/>
          <cell r="AA8">
            <v>7.9909999999999997</v>
          </cell>
          <cell r="AE8">
            <v>127.962</v>
          </cell>
          <cell r="AU8"/>
        </row>
        <row r="9">
          <cell r="K9">
            <v>120.307</v>
          </cell>
          <cell r="S9">
            <v>87.697999999999993</v>
          </cell>
          <cell r="W9"/>
          <cell r="AA9">
            <v>4.8239999999999998</v>
          </cell>
          <cell r="AE9">
            <v>76.942999999999998</v>
          </cell>
          <cell r="AU9"/>
        </row>
        <row r="10">
          <cell r="K10">
            <v>212.636</v>
          </cell>
          <cell r="S10">
            <v>138.036</v>
          </cell>
          <cell r="W10"/>
          <cell r="AA10">
            <v>8.8879999999999999</v>
          </cell>
          <cell r="AE10">
            <v>133.72499999999999</v>
          </cell>
          <cell r="AU10"/>
        </row>
        <row r="11">
          <cell r="K11">
            <v>200.13</v>
          </cell>
          <cell r="S11">
            <v>129.23599999999999</v>
          </cell>
          <cell r="W11"/>
          <cell r="AA11">
            <v>7.9619999999999997</v>
          </cell>
          <cell r="AE11">
            <v>117.69199999999999</v>
          </cell>
          <cell r="AU11"/>
        </row>
        <row r="12">
          <cell r="K12">
            <v>221.209</v>
          </cell>
          <cell r="S12">
            <v>140.33199999999999</v>
          </cell>
          <cell r="W12"/>
          <cell r="AA12">
            <v>8.9969999999999999</v>
          </cell>
          <cell r="AE12">
            <v>120.249</v>
          </cell>
          <cell r="AU12"/>
        </row>
        <row r="13">
          <cell r="K13">
            <v>182.51300000000001</v>
          </cell>
          <cell r="S13">
            <v>114.95</v>
          </cell>
          <cell r="W13"/>
          <cell r="AA13">
            <v>7.41</v>
          </cell>
          <cell r="AE13">
            <v>95.501000000000005</v>
          </cell>
          <cell r="AU13"/>
        </row>
        <row r="14">
          <cell r="K14">
            <v>205.21899999999999</v>
          </cell>
          <cell r="S14">
            <v>128.80500000000001</v>
          </cell>
          <cell r="W14"/>
          <cell r="AA14">
            <v>8.3510000000000009</v>
          </cell>
          <cell r="AE14">
            <v>106.80500000000001</v>
          </cell>
          <cell r="AU14"/>
        </row>
        <row r="15">
          <cell r="K15">
            <v>217.63200000000001</v>
          </cell>
          <cell r="S15">
            <v>122.22</v>
          </cell>
          <cell r="W15"/>
          <cell r="AA15">
            <v>8.6760000000000002</v>
          </cell>
          <cell r="AE15">
            <v>113.491</v>
          </cell>
          <cell r="AU15">
            <v>0.24299999999999999</v>
          </cell>
        </row>
        <row r="16">
          <cell r="K16">
            <v>227.357</v>
          </cell>
          <cell r="S16">
            <v>148.834</v>
          </cell>
          <cell r="W16"/>
          <cell r="AA16">
            <v>9.0169999999999995</v>
          </cell>
          <cell r="AE16">
            <v>127.33799999999999</v>
          </cell>
          <cell r="AU16">
            <v>2.7869999999999999</v>
          </cell>
        </row>
        <row r="17">
          <cell r="K17">
            <v>207.643</v>
          </cell>
          <cell r="S17">
            <v>138.20500000000001</v>
          </cell>
          <cell r="W17"/>
          <cell r="AA17">
            <v>8.4760000000000009</v>
          </cell>
          <cell r="AE17">
            <v>116.14100000000001</v>
          </cell>
          <cell r="AU17">
            <v>3.2549999999999999</v>
          </cell>
        </row>
        <row r="18">
          <cell r="K18">
            <v>187.23699999999999</v>
          </cell>
          <cell r="S18">
            <v>122.651</v>
          </cell>
          <cell r="W18"/>
          <cell r="AA18">
            <v>7.5129999999999999</v>
          </cell>
          <cell r="AE18">
            <v>104.76300000000001</v>
          </cell>
          <cell r="AU18">
            <v>2.9780000000000002</v>
          </cell>
        </row>
        <row r="19">
          <cell r="K19">
            <v>202.50800000000001</v>
          </cell>
          <cell r="S19">
            <v>131.107</v>
          </cell>
          <cell r="W19"/>
          <cell r="AA19">
            <v>8.2110000000000003</v>
          </cell>
          <cell r="AE19">
            <v>113.377</v>
          </cell>
          <cell r="AU19">
            <v>3.6240000000000001</v>
          </cell>
        </row>
        <row r="20">
          <cell r="K20">
            <v>197.50399999999999</v>
          </cell>
          <cell r="S20">
            <v>128.38200000000001</v>
          </cell>
          <cell r="W20"/>
          <cell r="AA20">
            <v>8.3940000000000001</v>
          </cell>
          <cell r="AE20">
            <v>110.57899999999999</v>
          </cell>
          <cell r="AU20">
            <v>3.51</v>
          </cell>
        </row>
        <row r="21">
          <cell r="K21">
            <v>194.76400000000001</v>
          </cell>
          <cell r="S21">
            <v>126.471</v>
          </cell>
          <cell r="W21"/>
          <cell r="AA21">
            <v>7.88</v>
          </cell>
          <cell r="AE21">
            <v>109.185</v>
          </cell>
          <cell r="AU21">
            <v>3.5169999999999999</v>
          </cell>
        </row>
        <row r="22">
          <cell r="K22">
            <v>202.36199999999999</v>
          </cell>
          <cell r="S22">
            <v>131.387</v>
          </cell>
          <cell r="W22"/>
          <cell r="AA22">
            <v>8.0489999999999995</v>
          </cell>
          <cell r="AE22">
            <v>113.33799999999999</v>
          </cell>
          <cell r="AU22">
            <v>3.6930000000000001</v>
          </cell>
        </row>
        <row r="23">
          <cell r="K23">
            <v>192.518</v>
          </cell>
          <cell r="S23">
            <v>125.21599999999999</v>
          </cell>
          <cell r="W23"/>
          <cell r="AA23">
            <v>7.8559999999999999</v>
          </cell>
          <cell r="AE23">
            <v>107.636</v>
          </cell>
          <cell r="AU23">
            <v>3.411</v>
          </cell>
        </row>
        <row r="24">
          <cell r="K24">
            <v>200.405</v>
          </cell>
          <cell r="S24">
            <v>130.041</v>
          </cell>
          <cell r="W24"/>
          <cell r="AA24">
            <v>8.1820000000000004</v>
          </cell>
          <cell r="AE24">
            <v>111.82</v>
          </cell>
          <cell r="AU24">
            <v>3.9049999999999998</v>
          </cell>
        </row>
        <row r="25">
          <cell r="K25">
            <v>194.85900000000001</v>
          </cell>
          <cell r="S25">
            <v>127.61799999999999</v>
          </cell>
          <cell r="W25"/>
          <cell r="AA25">
            <v>7.6710000000000003</v>
          </cell>
          <cell r="AE25">
            <v>109.062</v>
          </cell>
          <cell r="AU25">
            <v>4.1790000000000003</v>
          </cell>
        </row>
        <row r="26">
          <cell r="K26">
            <v>212.512</v>
          </cell>
          <cell r="S26">
            <v>139.155</v>
          </cell>
          <cell r="W26"/>
          <cell r="AA26">
            <v>8.7530000000000001</v>
          </cell>
          <cell r="AE26">
            <v>118.92100000000001</v>
          </cell>
          <cell r="AU26">
            <v>4.7300000000000004</v>
          </cell>
        </row>
        <row r="27">
          <cell r="K27">
            <v>205.05</v>
          </cell>
          <cell r="S27">
            <v>134.89599999999999</v>
          </cell>
          <cell r="W27"/>
          <cell r="AA27">
            <v>8.1020000000000003</v>
          </cell>
          <cell r="AE27">
            <v>114.788</v>
          </cell>
          <cell r="AU27">
            <v>4.5129999999999999</v>
          </cell>
        </row>
        <row r="28">
          <cell r="K28">
            <v>205.096</v>
          </cell>
          <cell r="S28">
            <v>135.12700000000001</v>
          </cell>
          <cell r="W28"/>
          <cell r="AA28">
            <v>8.5950000000000006</v>
          </cell>
          <cell r="AE28">
            <v>114.75700000000001</v>
          </cell>
          <cell r="AU28">
            <v>5.2569999999999997</v>
          </cell>
        </row>
        <row r="29">
          <cell r="K29">
            <v>172.334</v>
          </cell>
          <cell r="S29">
            <v>124.90300000000001</v>
          </cell>
          <cell r="W29"/>
          <cell r="AA29">
            <v>6.976</v>
          </cell>
          <cell r="AE29">
            <v>100.571</v>
          </cell>
          <cell r="AU29">
            <v>5.6589999999999998</v>
          </cell>
        </row>
        <row r="30">
          <cell r="K30">
            <v>52.44</v>
          </cell>
          <cell r="S30">
            <v>42.319000000000003</v>
          </cell>
          <cell r="W30"/>
          <cell r="AA30">
            <v>2.2040000000000002</v>
          </cell>
          <cell r="AE30">
            <v>31.495000000000001</v>
          </cell>
          <cell r="AU30">
            <v>1.9850000000000001</v>
          </cell>
        </row>
        <row r="31">
          <cell r="K31">
            <v>137.53200000000001</v>
          </cell>
          <cell r="S31">
            <v>93.555000000000007</v>
          </cell>
          <cell r="W31"/>
          <cell r="AA31">
            <v>5.1459999999999999</v>
          </cell>
          <cell r="AE31">
            <v>85.254999999999995</v>
          </cell>
          <cell r="AU31"/>
        </row>
        <row r="32">
          <cell r="K32">
            <v>224.95699999999999</v>
          </cell>
          <cell r="S32">
            <v>154.15700000000001</v>
          </cell>
          <cell r="W32"/>
          <cell r="AA32">
            <v>9.1319999999999997</v>
          </cell>
          <cell r="AE32">
            <v>139.43799999999999</v>
          </cell>
          <cell r="AU32"/>
        </row>
        <row r="33">
          <cell r="K33">
            <v>227.87899999999999</v>
          </cell>
          <cell r="S33">
            <v>155.73599999999999</v>
          </cell>
          <cell r="W33"/>
          <cell r="AA33">
            <v>9.0109999999999992</v>
          </cell>
          <cell r="AE33">
            <v>126.435</v>
          </cell>
          <cell r="AU33"/>
        </row>
        <row r="34">
          <cell r="K34">
            <v>243.56700000000001</v>
          </cell>
          <cell r="S34">
            <v>165.32599999999999</v>
          </cell>
          <cell r="W34"/>
          <cell r="AA34">
            <v>9.7669999999999995</v>
          </cell>
          <cell r="AE34">
            <v>49.354999999999997</v>
          </cell>
          <cell r="AU34"/>
        </row>
        <row r="35">
          <cell r="K35">
            <v>260.07400000000001</v>
          </cell>
          <cell r="S35">
            <v>173.548</v>
          </cell>
          <cell r="W35"/>
          <cell r="AA35">
            <v>10.497</v>
          </cell>
          <cell r="AE35">
            <v>52.021000000000001</v>
          </cell>
          <cell r="AU35"/>
        </row>
        <row r="36">
          <cell r="K36">
            <v>257.30099999999999</v>
          </cell>
          <cell r="S36">
            <v>170.09700000000001</v>
          </cell>
          <cell r="W36"/>
          <cell r="AA36">
            <v>10.077</v>
          </cell>
          <cell r="AE36">
            <v>51.45</v>
          </cell>
          <cell r="AU36">
            <v>0.69599999999999995</v>
          </cell>
        </row>
      </sheetData>
      <sheetData sheetId="8">
        <row r="6">
          <cell r="K6">
            <v>267.84699999999998</v>
          </cell>
          <cell r="S6">
            <v>176.84800000000001</v>
          </cell>
          <cell r="W6"/>
          <cell r="AA6">
            <v>10.622999999999999</v>
          </cell>
          <cell r="AE6">
            <v>50.697000000000003</v>
          </cell>
          <cell r="AM6"/>
          <cell r="AU6">
            <v>2.472</v>
          </cell>
        </row>
        <row r="7">
          <cell r="K7">
            <v>257.54000000000002</v>
          </cell>
          <cell r="S7">
            <v>168.48</v>
          </cell>
          <cell r="W7"/>
          <cell r="AA7">
            <v>10.063000000000001</v>
          </cell>
          <cell r="AE7">
            <v>46.265000000000001</v>
          </cell>
          <cell r="AM7"/>
          <cell r="AU7">
            <v>3.484</v>
          </cell>
        </row>
        <row r="8">
          <cell r="K8">
            <v>257.649</v>
          </cell>
          <cell r="S8">
            <v>166.315</v>
          </cell>
          <cell r="W8"/>
          <cell r="AA8">
            <v>10.5</v>
          </cell>
          <cell r="AE8">
            <v>46.445</v>
          </cell>
          <cell r="AM8"/>
          <cell r="AU8">
            <v>4.4210000000000003</v>
          </cell>
        </row>
        <row r="9">
          <cell r="K9">
            <v>260.13</v>
          </cell>
          <cell r="S9">
            <v>166.37200000000001</v>
          </cell>
          <cell r="W9"/>
          <cell r="AA9">
            <v>10.749000000000001</v>
          </cell>
          <cell r="AE9">
            <v>46.822000000000003</v>
          </cell>
          <cell r="AM9"/>
          <cell r="AU9">
            <v>5.79</v>
          </cell>
        </row>
        <row r="10">
          <cell r="K10">
            <v>252.49</v>
          </cell>
          <cell r="S10">
            <v>159.714</v>
          </cell>
          <cell r="W10"/>
          <cell r="AA10">
            <v>10.679</v>
          </cell>
          <cell r="AE10">
            <v>45.378</v>
          </cell>
          <cell r="AM10"/>
          <cell r="AU10">
            <v>5.9850000000000003</v>
          </cell>
        </row>
        <row r="11">
          <cell r="K11">
            <v>277.66899999999998</v>
          </cell>
          <cell r="S11">
            <v>173.71899999999999</v>
          </cell>
          <cell r="W11"/>
          <cell r="AA11">
            <v>11.157</v>
          </cell>
          <cell r="AE11">
            <v>49.942999999999998</v>
          </cell>
          <cell r="AM11"/>
          <cell r="AU11">
            <v>6.7560000000000002</v>
          </cell>
        </row>
        <row r="12">
          <cell r="K12">
            <v>257.45600000000002</v>
          </cell>
          <cell r="S12">
            <v>161.137</v>
          </cell>
          <cell r="W12"/>
          <cell r="AA12">
            <v>10.173</v>
          </cell>
          <cell r="AE12">
            <v>46.262</v>
          </cell>
          <cell r="AM12"/>
          <cell r="AU12">
            <v>6.1070000000000002</v>
          </cell>
        </row>
        <row r="13">
          <cell r="K13">
            <v>253.464</v>
          </cell>
          <cell r="S13">
            <v>159.90100000000001</v>
          </cell>
          <cell r="W13"/>
          <cell r="AA13">
            <v>10.599</v>
          </cell>
          <cell r="AE13">
            <v>46.387</v>
          </cell>
          <cell r="AM13"/>
          <cell r="AU13">
            <v>6.7930000000000001</v>
          </cell>
        </row>
        <row r="14">
          <cell r="K14">
            <v>287.24400000000003</v>
          </cell>
          <cell r="S14">
            <v>182.15600000000001</v>
          </cell>
          <cell r="W14"/>
          <cell r="AA14">
            <v>11.726000000000001</v>
          </cell>
          <cell r="AE14">
            <v>51.616999999999997</v>
          </cell>
          <cell r="AM14"/>
          <cell r="AU14">
            <v>9.173</v>
          </cell>
        </row>
        <row r="15">
          <cell r="K15">
            <v>254.98400000000001</v>
          </cell>
          <cell r="S15">
            <v>160.22999999999999</v>
          </cell>
          <cell r="W15"/>
          <cell r="AA15">
            <v>10.343</v>
          </cell>
          <cell r="AE15">
            <v>45.887999999999998</v>
          </cell>
          <cell r="AM15"/>
          <cell r="AU15">
            <v>8.2520000000000007</v>
          </cell>
        </row>
        <row r="16">
          <cell r="K16">
            <v>282.637</v>
          </cell>
          <cell r="S16">
            <v>176.00399999999999</v>
          </cell>
          <cell r="W16"/>
          <cell r="AA16">
            <v>11.753</v>
          </cell>
          <cell r="AE16">
            <v>50.954999999999998</v>
          </cell>
          <cell r="AM16"/>
          <cell r="AU16">
            <v>9.2029999999999994</v>
          </cell>
        </row>
        <row r="17">
          <cell r="K17">
            <v>262.517</v>
          </cell>
          <cell r="S17">
            <v>162.94399999999999</v>
          </cell>
          <cell r="W17"/>
          <cell r="AA17">
            <v>10.577999999999999</v>
          </cell>
          <cell r="AE17">
            <v>47.207000000000001</v>
          </cell>
          <cell r="AM17"/>
          <cell r="AU17">
            <v>8.5950000000000006</v>
          </cell>
        </row>
        <row r="18">
          <cell r="K18">
            <v>259.98500000000001</v>
          </cell>
          <cell r="S18">
            <v>160.25200000000001</v>
          </cell>
          <cell r="W18"/>
          <cell r="AA18">
            <v>10.220000000000001</v>
          </cell>
          <cell r="AE18">
            <v>46.762999999999998</v>
          </cell>
          <cell r="AM18"/>
          <cell r="AU18">
            <v>8.4700000000000006</v>
          </cell>
        </row>
        <row r="19">
          <cell r="K19">
            <v>277.476</v>
          </cell>
          <cell r="S19">
            <v>168.571</v>
          </cell>
          <cell r="W19"/>
          <cell r="AA19">
            <v>10.837999999999999</v>
          </cell>
          <cell r="AE19">
            <v>49.991</v>
          </cell>
          <cell r="AM19"/>
          <cell r="AU19">
            <v>9.0830000000000002</v>
          </cell>
        </row>
        <row r="20">
          <cell r="K20">
            <v>280.03199999999998</v>
          </cell>
          <cell r="S20">
            <v>167.74799999999999</v>
          </cell>
          <cell r="W20"/>
          <cell r="AA20">
            <v>11.045</v>
          </cell>
          <cell r="AE20">
            <v>50.384</v>
          </cell>
          <cell r="AM20"/>
          <cell r="AU20">
            <v>9.8040000000000003</v>
          </cell>
        </row>
        <row r="21">
          <cell r="K21">
            <v>267.23200000000003</v>
          </cell>
          <cell r="S21">
            <v>160.22800000000001</v>
          </cell>
          <cell r="W21"/>
          <cell r="AA21">
            <v>10.55</v>
          </cell>
          <cell r="AE21">
            <v>48.01</v>
          </cell>
          <cell r="AM21"/>
          <cell r="AU21">
            <v>8.7430000000000003</v>
          </cell>
        </row>
        <row r="22">
          <cell r="K22">
            <v>297.61399999999998</v>
          </cell>
          <cell r="S22">
            <v>179.721</v>
          </cell>
          <cell r="W22"/>
          <cell r="AA22">
            <v>11.911</v>
          </cell>
          <cell r="AE22">
            <v>53.584000000000003</v>
          </cell>
          <cell r="AM22"/>
          <cell r="AU22">
            <v>9.4649999999999999</v>
          </cell>
        </row>
        <row r="23">
          <cell r="K23">
            <v>299.94499999999999</v>
          </cell>
          <cell r="S23">
            <v>182.322</v>
          </cell>
          <cell r="W23"/>
          <cell r="AA23">
            <v>11.907999999999999</v>
          </cell>
          <cell r="AE23">
            <v>53.905000000000001</v>
          </cell>
          <cell r="AM23"/>
          <cell r="AU23">
            <v>9.7140000000000004</v>
          </cell>
        </row>
        <row r="24">
          <cell r="K24">
            <v>312.39800000000002</v>
          </cell>
          <cell r="S24">
            <v>189.71700000000001</v>
          </cell>
          <cell r="W24"/>
          <cell r="AA24">
            <v>12.593</v>
          </cell>
          <cell r="AE24">
            <v>56.274000000000001</v>
          </cell>
          <cell r="AM24"/>
          <cell r="AU24">
            <v>9.9309999999999992</v>
          </cell>
        </row>
        <row r="25">
          <cell r="K25">
            <v>267.745</v>
          </cell>
          <cell r="S25">
            <v>160.84399999999999</v>
          </cell>
          <cell r="W25"/>
          <cell r="AA25">
            <v>11.116</v>
          </cell>
          <cell r="AE25">
            <v>48.255000000000003</v>
          </cell>
          <cell r="AM25"/>
          <cell r="AU25">
            <v>8.5909999999999993</v>
          </cell>
        </row>
        <row r="26">
          <cell r="K26">
            <v>280.28399999999999</v>
          </cell>
          <cell r="S26">
            <v>167.46</v>
          </cell>
          <cell r="W26"/>
          <cell r="AA26">
            <v>10.885</v>
          </cell>
          <cell r="AE26">
            <v>50.521000000000001</v>
          </cell>
          <cell r="AM26"/>
          <cell r="AU26">
            <v>9.3490000000000002</v>
          </cell>
        </row>
        <row r="27">
          <cell r="K27">
            <v>287.44400000000002</v>
          </cell>
          <cell r="S27">
            <v>170.14699999999999</v>
          </cell>
          <cell r="W27"/>
          <cell r="AA27">
            <v>11.541</v>
          </cell>
          <cell r="AE27">
            <v>51.89</v>
          </cell>
          <cell r="AM27"/>
          <cell r="AU27">
            <v>9.2520000000000007</v>
          </cell>
        </row>
        <row r="28">
          <cell r="K28">
            <v>292.37900000000002</v>
          </cell>
          <cell r="S28">
            <v>172.53800000000001</v>
          </cell>
          <cell r="W28"/>
          <cell r="AA28">
            <v>12.048999999999999</v>
          </cell>
          <cell r="AE28">
            <v>52.58</v>
          </cell>
          <cell r="AM28"/>
          <cell r="AU28">
            <v>6.923</v>
          </cell>
        </row>
        <row r="29">
          <cell r="K29">
            <v>177.726</v>
          </cell>
          <cell r="S29">
            <v>105.111</v>
          </cell>
          <cell r="W29"/>
          <cell r="AA29">
            <v>7.2140000000000004</v>
          </cell>
          <cell r="AE29">
            <v>31.984999999999999</v>
          </cell>
          <cell r="AM29"/>
          <cell r="AU29">
            <v>2.1850000000000001</v>
          </cell>
        </row>
        <row r="30">
          <cell r="K30">
            <v>175.01499999999999</v>
          </cell>
          <cell r="S30">
            <v>110.96899999999999</v>
          </cell>
          <cell r="W30"/>
          <cell r="AA30">
            <v>6.9870000000000001</v>
          </cell>
          <cell r="AE30">
            <v>31.5</v>
          </cell>
          <cell r="AM30"/>
          <cell r="AU30">
            <v>2.1589999999999998</v>
          </cell>
        </row>
        <row r="31">
          <cell r="K31">
            <v>279.37299999999999</v>
          </cell>
          <cell r="S31">
            <v>166.87200000000001</v>
          </cell>
          <cell r="W31"/>
          <cell r="AA31">
            <v>11.503</v>
          </cell>
          <cell r="AE31">
            <v>49.981999999999999</v>
          </cell>
          <cell r="AM31"/>
          <cell r="AU31">
            <v>3.452</v>
          </cell>
        </row>
        <row r="32">
          <cell r="K32">
            <v>269.99200000000002</v>
          </cell>
          <cell r="S32">
            <v>163.58099999999999</v>
          </cell>
          <cell r="W32"/>
          <cell r="AA32">
            <v>10.503</v>
          </cell>
          <cell r="AE32">
            <v>48.6</v>
          </cell>
          <cell r="AM32"/>
          <cell r="AU32">
            <v>3.2570000000000001</v>
          </cell>
        </row>
        <row r="33">
          <cell r="K33">
            <v>255.27</v>
          </cell>
          <cell r="S33">
            <v>153.90899999999999</v>
          </cell>
          <cell r="W33"/>
          <cell r="AA33">
            <v>10.412000000000001</v>
          </cell>
          <cell r="AE33">
            <v>45.91</v>
          </cell>
          <cell r="AM33"/>
          <cell r="AU33">
            <v>3.1309999999999998</v>
          </cell>
        </row>
        <row r="34">
          <cell r="K34">
            <v>300.12299999999999</v>
          </cell>
          <cell r="S34">
            <v>182.13399999999999</v>
          </cell>
          <cell r="W34"/>
          <cell r="AA34">
            <v>12.260999999999999</v>
          </cell>
          <cell r="AE34">
            <v>54.000999999999998</v>
          </cell>
          <cell r="AM34"/>
          <cell r="AU34">
            <v>3.762</v>
          </cell>
        </row>
        <row r="35">
          <cell r="K35">
            <v>274.911</v>
          </cell>
          <cell r="S35">
            <v>167.42400000000001</v>
          </cell>
          <cell r="W35"/>
          <cell r="AA35">
            <v>10.983000000000001</v>
          </cell>
          <cell r="AE35">
            <v>49.444000000000003</v>
          </cell>
          <cell r="AM35"/>
          <cell r="AU35">
            <v>3.327</v>
          </cell>
        </row>
        <row r="36">
          <cell r="K36"/>
          <cell r="S36"/>
          <cell r="W36"/>
          <cell r="AA36"/>
          <cell r="AE36"/>
          <cell r="AM36"/>
          <cell r="AU36"/>
        </row>
      </sheetData>
      <sheetData sheetId="9">
        <row r="6">
          <cell r="K6">
            <v>132.47499999999999</v>
          </cell>
          <cell r="S6">
            <v>80.995000000000005</v>
          </cell>
          <cell r="W6"/>
          <cell r="AA6">
            <v>5.29</v>
          </cell>
          <cell r="AE6">
            <v>23.908999999999999</v>
          </cell>
          <cell r="AU6">
            <v>1.611</v>
          </cell>
        </row>
        <row r="7">
          <cell r="K7">
            <v>230.01599999999999</v>
          </cell>
          <cell r="S7">
            <v>144.113</v>
          </cell>
          <cell r="W7"/>
          <cell r="AA7">
            <v>9.5519999999999996</v>
          </cell>
          <cell r="AE7">
            <v>41.393000000000001</v>
          </cell>
          <cell r="AU7">
            <v>3.7610000000000001</v>
          </cell>
        </row>
        <row r="8">
          <cell r="K8">
            <v>267.55099999999999</v>
          </cell>
          <cell r="S8">
            <v>164.19200000000001</v>
          </cell>
          <cell r="W8"/>
          <cell r="AA8">
            <v>10.295999999999999</v>
          </cell>
          <cell r="AE8">
            <v>48.256999999999998</v>
          </cell>
          <cell r="AU8">
            <v>3.2410000000000001</v>
          </cell>
        </row>
        <row r="9">
          <cell r="K9">
            <v>282.63799999999998</v>
          </cell>
          <cell r="S9">
            <v>173.917</v>
          </cell>
          <cell r="W9"/>
          <cell r="AA9">
            <v>11.222</v>
          </cell>
          <cell r="AE9">
            <v>50.828000000000003</v>
          </cell>
          <cell r="AU9">
            <v>3.37</v>
          </cell>
        </row>
        <row r="10">
          <cell r="K10">
            <v>282.57299999999998</v>
          </cell>
          <cell r="S10">
            <v>173.98400000000001</v>
          </cell>
          <cell r="W10"/>
          <cell r="AA10">
            <v>11.162000000000001</v>
          </cell>
          <cell r="AE10">
            <v>49.97</v>
          </cell>
          <cell r="AU10">
            <v>3.6720000000000002</v>
          </cell>
        </row>
        <row r="11">
          <cell r="K11">
            <v>260.03800000000001</v>
          </cell>
          <cell r="S11">
            <v>160.05099999999999</v>
          </cell>
          <cell r="W11"/>
          <cell r="AA11">
            <v>10.382999999999999</v>
          </cell>
          <cell r="AE11">
            <v>36.405000000000001</v>
          </cell>
          <cell r="AU11">
            <v>6.2560000000000002</v>
          </cell>
        </row>
        <row r="12">
          <cell r="K12">
            <v>207.51</v>
          </cell>
          <cell r="S12">
            <v>140.03800000000001</v>
          </cell>
          <cell r="W12"/>
          <cell r="AA12">
            <v>8.3490000000000002</v>
          </cell>
          <cell r="AE12">
            <v>29.033000000000001</v>
          </cell>
          <cell r="AU12">
            <v>5.0970000000000004</v>
          </cell>
        </row>
        <row r="13">
          <cell r="K13">
            <v>43.593000000000004</v>
          </cell>
          <cell r="S13">
            <v>30.611000000000001</v>
          </cell>
          <cell r="W13"/>
          <cell r="AA13">
            <v>2.0190000000000001</v>
          </cell>
          <cell r="AE13">
            <v>6.3159999999999998</v>
          </cell>
          <cell r="AU13">
            <v>1.1830000000000001</v>
          </cell>
        </row>
        <row r="14">
          <cell r="K14">
            <v>232.63</v>
          </cell>
          <cell r="S14">
            <v>146.29499999999999</v>
          </cell>
          <cell r="W14"/>
          <cell r="AA14">
            <v>9.1739999999999995</v>
          </cell>
          <cell r="AE14">
            <v>32.557000000000002</v>
          </cell>
          <cell r="AU14">
            <v>5.8390000000000004</v>
          </cell>
        </row>
        <row r="15">
          <cell r="K15">
            <v>247.505</v>
          </cell>
          <cell r="S15">
            <v>154.34299999999999</v>
          </cell>
          <cell r="W15"/>
          <cell r="AA15">
            <v>10.016</v>
          </cell>
          <cell r="AE15">
            <v>34.649000000000001</v>
          </cell>
          <cell r="AU15">
            <v>6.0220000000000002</v>
          </cell>
        </row>
        <row r="16">
          <cell r="K16">
            <v>255.04</v>
          </cell>
          <cell r="S16">
            <v>159.477</v>
          </cell>
          <cell r="W16"/>
          <cell r="AA16">
            <v>10.188000000000001</v>
          </cell>
          <cell r="AE16">
            <v>35.719000000000001</v>
          </cell>
          <cell r="AU16">
            <v>6.1459999999999999</v>
          </cell>
        </row>
        <row r="17">
          <cell r="K17">
            <v>254.66800000000001</v>
          </cell>
          <cell r="S17">
            <v>161.018</v>
          </cell>
          <cell r="W17"/>
          <cell r="AA17">
            <v>10.260999999999999</v>
          </cell>
          <cell r="AE17">
            <v>38.679000000000002</v>
          </cell>
          <cell r="AU17">
            <v>6.1180000000000003</v>
          </cell>
        </row>
        <row r="18">
          <cell r="K18">
            <v>290.01100000000002</v>
          </cell>
          <cell r="S18">
            <v>181.37700000000001</v>
          </cell>
          <cell r="W18"/>
          <cell r="AA18">
            <v>11.61</v>
          </cell>
          <cell r="AE18">
            <v>46.377000000000002</v>
          </cell>
          <cell r="AU18">
            <v>7.0970000000000004</v>
          </cell>
        </row>
        <row r="19">
          <cell r="K19">
            <v>262.48899999999998</v>
          </cell>
          <cell r="S19">
            <v>163.68299999999999</v>
          </cell>
          <cell r="W19"/>
          <cell r="AA19">
            <v>10.417999999999999</v>
          </cell>
          <cell r="AE19">
            <v>41.997999999999998</v>
          </cell>
          <cell r="AU19">
            <v>7.3129999999999997</v>
          </cell>
        </row>
        <row r="20">
          <cell r="K20">
            <v>262.64400000000001</v>
          </cell>
          <cell r="S20">
            <v>163.625</v>
          </cell>
          <cell r="W20"/>
          <cell r="AA20">
            <v>10.599</v>
          </cell>
          <cell r="AE20">
            <v>50.537999999999997</v>
          </cell>
          <cell r="AU20">
            <v>6.36</v>
          </cell>
        </row>
        <row r="21">
          <cell r="K21">
            <v>260.32400000000001</v>
          </cell>
          <cell r="S21">
            <v>161.55000000000001</v>
          </cell>
          <cell r="W21"/>
          <cell r="AA21">
            <v>10.432</v>
          </cell>
          <cell r="AE21">
            <v>57.62</v>
          </cell>
          <cell r="AU21">
            <v>5.21</v>
          </cell>
        </row>
        <row r="22">
          <cell r="K22">
            <v>262.65100000000001</v>
          </cell>
          <cell r="S22">
            <v>163.86</v>
          </cell>
          <cell r="W22"/>
          <cell r="AA22">
            <v>10.48</v>
          </cell>
          <cell r="AE22">
            <v>57.71</v>
          </cell>
          <cell r="AU22">
            <v>5.68</v>
          </cell>
        </row>
        <row r="23">
          <cell r="K23">
            <v>277.44299999999998</v>
          </cell>
          <cell r="S23">
            <v>174.03800000000001</v>
          </cell>
          <cell r="W23"/>
          <cell r="AA23">
            <v>11.198</v>
          </cell>
          <cell r="AE23">
            <v>60.945999999999998</v>
          </cell>
          <cell r="AU23">
            <v>6.6820000000000004</v>
          </cell>
        </row>
        <row r="24">
          <cell r="K24">
            <v>267.63799999999998</v>
          </cell>
          <cell r="S24">
            <v>167.43600000000001</v>
          </cell>
          <cell r="W24"/>
          <cell r="AA24">
            <v>10.523</v>
          </cell>
          <cell r="AE24">
            <v>58.892000000000003</v>
          </cell>
          <cell r="AU24">
            <v>7.4669999999999996</v>
          </cell>
        </row>
        <row r="25">
          <cell r="K25">
            <v>272.75400000000002</v>
          </cell>
          <cell r="S25">
            <v>170.256</v>
          </cell>
          <cell r="W25"/>
          <cell r="AA25">
            <v>10.984</v>
          </cell>
          <cell r="AE25">
            <v>60.095999999999997</v>
          </cell>
          <cell r="AU25">
            <v>6.9880000000000004</v>
          </cell>
        </row>
        <row r="26">
          <cell r="K26">
            <v>262.59100000000001</v>
          </cell>
          <cell r="S26">
            <v>163.24799999999999</v>
          </cell>
          <cell r="W26"/>
          <cell r="AA26">
            <v>10.436</v>
          </cell>
          <cell r="AE26">
            <v>58.722000000000001</v>
          </cell>
          <cell r="AU26">
            <v>5.851</v>
          </cell>
        </row>
        <row r="27">
          <cell r="K27">
            <v>250.04400000000001</v>
          </cell>
          <cell r="S27">
            <v>154.125</v>
          </cell>
          <cell r="W27"/>
          <cell r="AA27">
            <v>9.952</v>
          </cell>
          <cell r="AE27">
            <v>60.027999999999999</v>
          </cell>
          <cell r="AU27">
            <v>4.202</v>
          </cell>
        </row>
        <row r="28">
          <cell r="K28">
            <v>275.03800000000001</v>
          </cell>
          <cell r="S28">
            <v>168.786</v>
          </cell>
          <cell r="W28"/>
          <cell r="AA28">
            <v>10.836</v>
          </cell>
          <cell r="AE28">
            <v>66.132999999999996</v>
          </cell>
          <cell r="AU28">
            <v>5.3369999999999997</v>
          </cell>
        </row>
        <row r="29">
          <cell r="K29">
            <v>272.67500000000001</v>
          </cell>
          <cell r="S29">
            <v>168.334</v>
          </cell>
          <cell r="W29"/>
          <cell r="AA29">
            <v>10.855</v>
          </cell>
          <cell r="AE29">
            <v>65.738</v>
          </cell>
          <cell r="AU29">
            <v>5.0049999999999999</v>
          </cell>
        </row>
        <row r="30">
          <cell r="K30">
            <v>240.21700000000001</v>
          </cell>
          <cell r="S30">
            <v>152.55799999999999</v>
          </cell>
          <cell r="W30"/>
          <cell r="AA30">
            <v>9.8070000000000004</v>
          </cell>
          <cell r="AE30">
            <v>57.817</v>
          </cell>
          <cell r="AU30">
            <v>3.9609999999999999</v>
          </cell>
        </row>
        <row r="31">
          <cell r="K31">
            <v>67.507999999999996</v>
          </cell>
          <cell r="S31">
            <v>45.698999999999998</v>
          </cell>
          <cell r="W31"/>
          <cell r="AA31">
            <v>2.6110000000000002</v>
          </cell>
          <cell r="AE31">
            <v>16.088000000000001</v>
          </cell>
          <cell r="AU31">
            <v>1.093</v>
          </cell>
        </row>
        <row r="32">
          <cell r="K32">
            <v>235.137</v>
          </cell>
          <cell r="S32">
            <v>149.27500000000001</v>
          </cell>
          <cell r="W32"/>
          <cell r="AA32">
            <v>9.3759999999999994</v>
          </cell>
          <cell r="AE32">
            <v>56.465000000000003</v>
          </cell>
          <cell r="AU32">
            <v>3.8540000000000001</v>
          </cell>
        </row>
        <row r="33">
          <cell r="K33">
            <v>267.35000000000002</v>
          </cell>
          <cell r="S33">
            <v>170.58099999999999</v>
          </cell>
          <cell r="W33"/>
          <cell r="AA33">
            <v>10.598000000000001</v>
          </cell>
          <cell r="AE33">
            <v>64.072000000000003</v>
          </cell>
          <cell r="AU33">
            <v>5.5149999999999997</v>
          </cell>
        </row>
        <row r="34">
          <cell r="K34">
            <v>269.90199999999999</v>
          </cell>
          <cell r="S34">
            <v>171.673</v>
          </cell>
          <cell r="W34"/>
          <cell r="AA34">
            <v>10.869</v>
          </cell>
          <cell r="AE34">
            <v>64.775999999999996</v>
          </cell>
          <cell r="AU34">
            <v>5.45</v>
          </cell>
        </row>
        <row r="35">
          <cell r="K35">
            <v>247.69</v>
          </cell>
          <cell r="S35">
            <v>156.035</v>
          </cell>
          <cell r="W35"/>
          <cell r="AA35">
            <v>9.9390000000000001</v>
          </cell>
          <cell r="AE35">
            <v>59.494</v>
          </cell>
          <cell r="AU35">
            <v>5.875</v>
          </cell>
        </row>
        <row r="36">
          <cell r="K36">
            <v>270.02199999999999</v>
          </cell>
          <cell r="S36">
            <v>171.68700000000001</v>
          </cell>
          <cell r="W36"/>
          <cell r="AA36">
            <v>10.762</v>
          </cell>
          <cell r="AE36">
            <v>64.894999999999996</v>
          </cell>
          <cell r="AU36">
            <v>6.5430000000000001</v>
          </cell>
        </row>
      </sheetData>
      <sheetData sheetId="10">
        <row r="6">
          <cell r="K6">
            <v>257.52300000000002</v>
          </cell>
          <cell r="S6">
            <v>163.23699999999999</v>
          </cell>
          <cell r="W6"/>
          <cell r="AA6">
            <v>10.202</v>
          </cell>
          <cell r="AE6">
            <v>61.756</v>
          </cell>
          <cell r="AU6">
            <v>6.1260000000000003</v>
          </cell>
        </row>
        <row r="7">
          <cell r="K7">
            <v>277.286</v>
          </cell>
          <cell r="S7">
            <v>179.06800000000001</v>
          </cell>
          <cell r="W7"/>
          <cell r="AA7">
            <v>11.031000000000001</v>
          </cell>
          <cell r="AE7">
            <v>66.504999999999995</v>
          </cell>
          <cell r="AU7">
            <v>6.5640000000000001</v>
          </cell>
        </row>
        <row r="8">
          <cell r="K8">
            <v>259.88799999999998</v>
          </cell>
          <cell r="S8">
            <v>168.08199999999999</v>
          </cell>
          <cell r="W8"/>
          <cell r="AA8">
            <v>10.334</v>
          </cell>
          <cell r="AE8">
            <v>62.426000000000002</v>
          </cell>
          <cell r="AU8">
            <v>5.2</v>
          </cell>
        </row>
        <row r="9">
          <cell r="K9">
            <v>255.02</v>
          </cell>
          <cell r="S9">
            <v>167.27799999999999</v>
          </cell>
          <cell r="W9"/>
          <cell r="AA9">
            <v>10.141</v>
          </cell>
          <cell r="AE9">
            <v>61.19</v>
          </cell>
          <cell r="AU9">
            <v>5.0890000000000004</v>
          </cell>
        </row>
        <row r="10">
          <cell r="K10">
            <v>279.96100000000001</v>
          </cell>
          <cell r="S10">
            <v>184.24700000000001</v>
          </cell>
          <cell r="W10"/>
          <cell r="AA10">
            <v>11.196</v>
          </cell>
          <cell r="AE10">
            <v>67.212999999999994</v>
          </cell>
          <cell r="AU10">
            <v>5.6120000000000001</v>
          </cell>
        </row>
        <row r="11">
          <cell r="K11">
            <v>259.99900000000002</v>
          </cell>
          <cell r="S11">
            <v>171.149</v>
          </cell>
          <cell r="W11"/>
          <cell r="AA11">
            <v>10.516</v>
          </cell>
          <cell r="AE11">
            <v>62.38</v>
          </cell>
          <cell r="AU11">
            <v>5.1890000000000001</v>
          </cell>
        </row>
        <row r="12">
          <cell r="K12">
            <v>258.01600000000002</v>
          </cell>
          <cell r="S12">
            <v>169.17400000000001</v>
          </cell>
          <cell r="W12"/>
          <cell r="AA12">
            <v>10.221</v>
          </cell>
          <cell r="AE12">
            <v>62.155999999999999</v>
          </cell>
          <cell r="AU12">
            <v>6.149</v>
          </cell>
        </row>
        <row r="13">
          <cell r="K13">
            <v>262.41699999999997</v>
          </cell>
          <cell r="S13">
            <v>173.74100000000001</v>
          </cell>
          <cell r="W13"/>
          <cell r="AA13">
            <v>10.583</v>
          </cell>
          <cell r="AE13">
            <v>63.197000000000003</v>
          </cell>
          <cell r="AU13">
            <v>7.423</v>
          </cell>
        </row>
        <row r="14">
          <cell r="K14">
            <v>268.25599999999997</v>
          </cell>
          <cell r="S14">
            <v>176.96199999999999</v>
          </cell>
          <cell r="W14"/>
          <cell r="AA14">
            <v>10.625</v>
          </cell>
          <cell r="AE14">
            <v>64.66</v>
          </cell>
          <cell r="AU14">
            <v>7.4329999999999998</v>
          </cell>
        </row>
        <row r="15">
          <cell r="K15">
            <v>278.06700000000001</v>
          </cell>
          <cell r="S15">
            <v>181.774</v>
          </cell>
          <cell r="W15"/>
          <cell r="AA15">
            <v>11.215</v>
          </cell>
          <cell r="AE15">
            <v>67.069999999999993</v>
          </cell>
          <cell r="AU15">
            <v>7.8360000000000003</v>
          </cell>
        </row>
        <row r="16">
          <cell r="K16">
            <v>282.45999999999998</v>
          </cell>
          <cell r="S16">
            <v>183.71600000000001</v>
          </cell>
          <cell r="W16"/>
          <cell r="AA16">
            <v>10.381</v>
          </cell>
          <cell r="AE16">
            <v>67.731999999999999</v>
          </cell>
          <cell r="AU16">
            <v>7.8339999999999996</v>
          </cell>
        </row>
        <row r="17">
          <cell r="K17">
            <v>272.64600000000002</v>
          </cell>
          <cell r="S17">
            <v>174.73599999999999</v>
          </cell>
          <cell r="W17"/>
          <cell r="AA17">
            <v>10.872999999999999</v>
          </cell>
          <cell r="AE17">
            <v>65.328000000000003</v>
          </cell>
          <cell r="AU17">
            <v>7.5519999999999996</v>
          </cell>
        </row>
        <row r="18">
          <cell r="K18">
            <v>252.517</v>
          </cell>
          <cell r="S18">
            <v>160.482</v>
          </cell>
          <cell r="W18"/>
          <cell r="AA18">
            <v>10.138999999999999</v>
          </cell>
          <cell r="AE18">
            <v>60.622</v>
          </cell>
          <cell r="AU18">
            <v>7.1420000000000003</v>
          </cell>
        </row>
        <row r="19">
          <cell r="K19">
            <v>260.5</v>
          </cell>
          <cell r="S19">
            <v>164.25899999999999</v>
          </cell>
          <cell r="W19"/>
          <cell r="AA19">
            <v>10.484</v>
          </cell>
          <cell r="AE19">
            <v>62.552</v>
          </cell>
          <cell r="AU19">
            <v>7.13</v>
          </cell>
        </row>
        <row r="20">
          <cell r="K20">
            <v>232.477</v>
          </cell>
          <cell r="S20">
            <v>148.07900000000001</v>
          </cell>
          <cell r="W20"/>
          <cell r="AA20">
            <v>9.2349999999999994</v>
          </cell>
          <cell r="AE20">
            <v>55.651000000000003</v>
          </cell>
          <cell r="AU20">
            <v>5.3120000000000003</v>
          </cell>
        </row>
        <row r="21">
          <cell r="K21">
            <v>242.34700000000001</v>
          </cell>
          <cell r="S21">
            <v>154.595</v>
          </cell>
          <cell r="W21"/>
          <cell r="AA21">
            <v>9.734</v>
          </cell>
          <cell r="AE21">
            <v>58.241</v>
          </cell>
          <cell r="AU21">
            <v>5.883</v>
          </cell>
        </row>
        <row r="22">
          <cell r="K22">
            <v>90.256</v>
          </cell>
          <cell r="S22">
            <v>64.081000000000003</v>
          </cell>
          <cell r="W22"/>
          <cell r="AA22">
            <v>3.4470000000000001</v>
          </cell>
          <cell r="AE22">
            <v>21.728999999999999</v>
          </cell>
          <cell r="AU22">
            <v>2.0409999999999999</v>
          </cell>
        </row>
        <row r="23">
          <cell r="K23">
            <v>265.108</v>
          </cell>
          <cell r="S23">
            <v>170.87700000000001</v>
          </cell>
          <cell r="W23"/>
          <cell r="AA23">
            <v>10.557</v>
          </cell>
          <cell r="AE23">
            <v>62.381999999999998</v>
          </cell>
          <cell r="AU23">
            <v>6.6749999999999998</v>
          </cell>
        </row>
        <row r="24">
          <cell r="K24">
            <v>292.67200000000003</v>
          </cell>
          <cell r="S24">
            <v>188.83099999999999</v>
          </cell>
          <cell r="W24"/>
          <cell r="AA24">
            <v>11.75</v>
          </cell>
          <cell r="AE24">
            <v>64.382999999999996</v>
          </cell>
          <cell r="AU24">
            <v>8.4260000000000002</v>
          </cell>
        </row>
        <row r="25">
          <cell r="K25">
            <v>290.15300000000002</v>
          </cell>
          <cell r="S25">
            <v>185.65700000000001</v>
          </cell>
          <cell r="W25"/>
          <cell r="AA25">
            <v>11.617000000000001</v>
          </cell>
          <cell r="AE25">
            <v>63.88</v>
          </cell>
          <cell r="AU25">
            <v>8.2449999999999992</v>
          </cell>
        </row>
        <row r="26">
          <cell r="K26">
            <v>285.31</v>
          </cell>
          <cell r="S26">
            <v>184.291</v>
          </cell>
          <cell r="W26"/>
          <cell r="AA26">
            <v>11.522</v>
          </cell>
          <cell r="AE26">
            <v>62.933999999999997</v>
          </cell>
          <cell r="AU26">
            <v>7.4829999999999997</v>
          </cell>
        </row>
        <row r="27">
          <cell r="K27">
            <v>284.90300000000002</v>
          </cell>
          <cell r="S27">
            <v>184.06100000000001</v>
          </cell>
          <cell r="W27"/>
          <cell r="AA27">
            <v>11.241</v>
          </cell>
          <cell r="AE27">
            <v>62.594000000000001</v>
          </cell>
          <cell r="AU27">
            <v>8.4420000000000002</v>
          </cell>
        </row>
        <row r="28">
          <cell r="K28">
            <v>292.87299999999999</v>
          </cell>
          <cell r="S28">
            <v>187.67</v>
          </cell>
          <cell r="W28"/>
          <cell r="AA28">
            <v>11.933</v>
          </cell>
          <cell r="AE28">
            <v>64.503</v>
          </cell>
          <cell r="AU28">
            <v>9.2959999999999994</v>
          </cell>
        </row>
        <row r="29">
          <cell r="K29">
            <v>280.36399999999998</v>
          </cell>
          <cell r="S29">
            <v>179.51599999999999</v>
          </cell>
          <cell r="W29"/>
          <cell r="AA29">
            <v>11.246</v>
          </cell>
          <cell r="AE29">
            <v>61.588999999999999</v>
          </cell>
          <cell r="AU29">
            <v>8.8689999999999998</v>
          </cell>
        </row>
        <row r="30">
          <cell r="K30">
            <v>283.02800000000002</v>
          </cell>
          <cell r="S30">
            <v>181.55500000000001</v>
          </cell>
          <cell r="W30"/>
          <cell r="AA30">
            <v>11.159000000000001</v>
          </cell>
          <cell r="AE30">
            <v>62.104999999999997</v>
          </cell>
          <cell r="AU30">
            <v>7.8470000000000004</v>
          </cell>
        </row>
        <row r="31">
          <cell r="K31">
            <v>295.08300000000003</v>
          </cell>
          <cell r="S31">
            <v>187.005</v>
          </cell>
          <cell r="W31"/>
          <cell r="AA31">
            <v>11.0801</v>
          </cell>
          <cell r="AE31">
            <v>64.882999999999996</v>
          </cell>
          <cell r="AU31">
            <v>8.2750000000000004</v>
          </cell>
        </row>
        <row r="32">
          <cell r="K32">
            <v>275.26299999999998</v>
          </cell>
          <cell r="S32">
            <v>172.91300000000001</v>
          </cell>
          <cell r="W32"/>
          <cell r="AA32">
            <v>10.952</v>
          </cell>
          <cell r="AE32">
            <v>71.025000000000006</v>
          </cell>
          <cell r="AU32">
            <v>6.665</v>
          </cell>
        </row>
        <row r="33">
          <cell r="K33">
            <v>305.42899999999997</v>
          </cell>
          <cell r="S33">
            <v>190.93199999999999</v>
          </cell>
          <cell r="W33"/>
          <cell r="AA33">
            <v>12.154999999999999</v>
          </cell>
          <cell r="AE33">
            <v>91.561000000000007</v>
          </cell>
          <cell r="AU33">
            <v>6.1189999999999998</v>
          </cell>
        </row>
        <row r="34">
          <cell r="K34">
            <v>298.84699999999998</v>
          </cell>
          <cell r="S34">
            <v>188.38900000000001</v>
          </cell>
          <cell r="W34"/>
          <cell r="AA34">
            <v>12.084</v>
          </cell>
          <cell r="AE34">
            <v>88.852999999999994</v>
          </cell>
          <cell r="AU34">
            <v>6.1470000000000002</v>
          </cell>
        </row>
        <row r="35">
          <cell r="K35">
            <v>295.26799999999997</v>
          </cell>
          <cell r="S35">
            <v>184.96799999999999</v>
          </cell>
          <cell r="W35"/>
          <cell r="AA35">
            <v>11.685</v>
          </cell>
          <cell r="AE35">
            <v>76.763999999999996</v>
          </cell>
          <cell r="AU35">
            <v>6.3959999999999999</v>
          </cell>
        </row>
        <row r="36">
          <cell r="K36"/>
          <cell r="S36"/>
          <cell r="W36"/>
          <cell r="AA36"/>
          <cell r="AE36"/>
          <cell r="AU36"/>
        </row>
      </sheetData>
      <sheetData sheetId="11">
        <row r="6">
          <cell r="K6">
            <v>292.77199999999999</v>
          </cell>
          <cell r="S6">
            <v>184.17599999999999</v>
          </cell>
          <cell r="W6"/>
          <cell r="AA6">
            <v>11.538</v>
          </cell>
          <cell r="AE6">
            <v>81.238</v>
          </cell>
          <cell r="AU6">
            <v>7.7519999999999998</v>
          </cell>
        </row>
        <row r="7">
          <cell r="K7">
            <v>272.94099999999997</v>
          </cell>
          <cell r="S7">
            <v>171.809</v>
          </cell>
          <cell r="W7"/>
          <cell r="AA7">
            <v>11.029</v>
          </cell>
          <cell r="AE7">
            <v>76.331000000000003</v>
          </cell>
          <cell r="AU7">
            <v>8.6560000000000006</v>
          </cell>
        </row>
        <row r="8">
          <cell r="K8">
            <v>274.59800000000001</v>
          </cell>
          <cell r="S8">
            <v>174.125</v>
          </cell>
          <cell r="W8"/>
          <cell r="AA8">
            <v>10.601000000000001</v>
          </cell>
          <cell r="AE8">
            <v>77.406999999999996</v>
          </cell>
          <cell r="AU8">
            <v>8.4939999999999998</v>
          </cell>
        </row>
        <row r="9">
          <cell r="K9">
            <v>255.64</v>
          </cell>
          <cell r="S9">
            <v>162.19999999999999</v>
          </cell>
          <cell r="W9"/>
          <cell r="AA9">
            <v>9.7829999999999995</v>
          </cell>
          <cell r="AE9">
            <v>71.385000000000005</v>
          </cell>
          <cell r="AU9">
            <v>8.6769999999999996</v>
          </cell>
        </row>
        <row r="10">
          <cell r="K10">
            <v>237.75</v>
          </cell>
          <cell r="S10">
            <v>152.315</v>
          </cell>
          <cell r="W10"/>
          <cell r="AA10">
            <v>9.3819999999999997</v>
          </cell>
          <cell r="AE10">
            <v>66.507999999999996</v>
          </cell>
          <cell r="AU10">
            <v>9.3780000000000001</v>
          </cell>
        </row>
        <row r="11">
          <cell r="K11">
            <v>215.42400000000001</v>
          </cell>
          <cell r="S11">
            <v>138.16999999999999</v>
          </cell>
          <cell r="W11"/>
          <cell r="AA11">
            <v>8.8670000000000009</v>
          </cell>
          <cell r="AE11">
            <v>60.234999999999999</v>
          </cell>
          <cell r="AU11">
            <v>8.8209999999999997</v>
          </cell>
        </row>
        <row r="12">
          <cell r="K12">
            <v>242.74299999999999</v>
          </cell>
          <cell r="S12">
            <v>172.33500000000001</v>
          </cell>
          <cell r="W12"/>
          <cell r="AA12">
            <v>9.6419999999999995</v>
          </cell>
          <cell r="AE12">
            <v>67.881</v>
          </cell>
          <cell r="AU12">
            <v>9.7349999999999994</v>
          </cell>
        </row>
        <row r="13">
          <cell r="K13">
            <v>65.198999999999998</v>
          </cell>
          <cell r="S13">
            <v>50.758000000000003</v>
          </cell>
          <cell r="W13"/>
          <cell r="AA13">
            <v>2.6230000000000002</v>
          </cell>
          <cell r="AE13">
            <v>18.190000000000001</v>
          </cell>
          <cell r="AU13">
            <v>2.8660000000000001</v>
          </cell>
        </row>
        <row r="14">
          <cell r="K14">
            <v>10.019</v>
          </cell>
          <cell r="S14">
            <v>9.9440000000000008</v>
          </cell>
          <cell r="W14"/>
          <cell r="AA14">
            <v>0.68200000000000005</v>
          </cell>
          <cell r="AE14">
            <v>2.7949999999999999</v>
          </cell>
          <cell r="AU14">
            <v>0.60899999999999999</v>
          </cell>
        </row>
        <row r="15">
          <cell r="K15">
            <v>107.428</v>
          </cell>
          <cell r="S15">
            <v>79.966999999999999</v>
          </cell>
          <cell r="W15"/>
          <cell r="AA15">
            <v>4.18</v>
          </cell>
          <cell r="AE15">
            <v>30.111000000000001</v>
          </cell>
          <cell r="AU15">
            <v>4.67</v>
          </cell>
        </row>
        <row r="16">
          <cell r="K16">
            <v>70.165999999999997</v>
          </cell>
          <cell r="S16">
            <v>57.332999999999998</v>
          </cell>
          <cell r="W16"/>
          <cell r="AA16">
            <v>1.2310000000000001</v>
          </cell>
          <cell r="AE16">
            <v>19.632000000000001</v>
          </cell>
          <cell r="AU16">
            <v>3.1030000000000002</v>
          </cell>
        </row>
        <row r="17">
          <cell r="K17">
            <v>97.623999999999995</v>
          </cell>
          <cell r="S17">
            <v>69.888000000000005</v>
          </cell>
          <cell r="W17"/>
          <cell r="AA17">
            <v>1.39</v>
          </cell>
          <cell r="AE17">
            <v>27.324000000000002</v>
          </cell>
          <cell r="AU17">
            <v>4.4459999999999997</v>
          </cell>
        </row>
        <row r="18">
          <cell r="K18">
            <v>172.566</v>
          </cell>
          <cell r="S18">
            <v>115.947</v>
          </cell>
          <cell r="W18"/>
          <cell r="AA18">
            <v>6.8730000000000002</v>
          </cell>
          <cell r="AE18">
            <v>48.406999999999996</v>
          </cell>
          <cell r="AU18">
            <v>7.4880000000000004</v>
          </cell>
        </row>
        <row r="19">
          <cell r="K19">
            <v>258.5</v>
          </cell>
          <cell r="S19">
            <v>172.46100000000001</v>
          </cell>
          <cell r="W19"/>
          <cell r="AA19">
            <v>17.186</v>
          </cell>
          <cell r="AE19">
            <v>57.296999999999997</v>
          </cell>
          <cell r="AU19">
            <v>13.965</v>
          </cell>
        </row>
        <row r="20">
          <cell r="K20">
            <v>265.22000000000003</v>
          </cell>
          <cell r="S20">
            <v>173.113</v>
          </cell>
          <cell r="W20"/>
          <cell r="AA20">
            <v>22.876999999999999</v>
          </cell>
          <cell r="AE20">
            <v>58.372999999999998</v>
          </cell>
          <cell r="AU20">
            <v>12.625</v>
          </cell>
        </row>
        <row r="21">
          <cell r="K21">
            <v>260.67200000000003</v>
          </cell>
          <cell r="S21">
            <v>167.52500000000001</v>
          </cell>
          <cell r="W21"/>
          <cell r="AA21">
            <v>25.957999999999998</v>
          </cell>
          <cell r="AE21">
            <v>60.421999999999997</v>
          </cell>
          <cell r="AU21">
            <v>11.153</v>
          </cell>
        </row>
        <row r="22">
          <cell r="K22">
            <v>275.27300000000002</v>
          </cell>
          <cell r="S22">
            <v>173.649</v>
          </cell>
          <cell r="W22"/>
          <cell r="AA22">
            <v>27.492999999999999</v>
          </cell>
          <cell r="AE22">
            <v>69.81</v>
          </cell>
          <cell r="AU22">
            <v>10.993</v>
          </cell>
        </row>
        <row r="23">
          <cell r="K23">
            <v>277.63200000000001</v>
          </cell>
          <cell r="S23">
            <v>173.904</v>
          </cell>
          <cell r="W23"/>
          <cell r="AA23">
            <v>27.940999999999999</v>
          </cell>
          <cell r="AE23">
            <v>72.17</v>
          </cell>
          <cell r="AU23">
            <v>10.054</v>
          </cell>
        </row>
        <row r="24">
          <cell r="K24">
            <v>282.39299999999997</v>
          </cell>
          <cell r="S24">
            <v>177.012</v>
          </cell>
          <cell r="W24"/>
          <cell r="AA24">
            <v>28.256</v>
          </cell>
          <cell r="AE24">
            <v>73.340999999999994</v>
          </cell>
          <cell r="AU24">
            <v>8.99</v>
          </cell>
        </row>
        <row r="25">
          <cell r="K25">
            <v>305.17500000000001</v>
          </cell>
          <cell r="S25">
            <v>192.97</v>
          </cell>
          <cell r="W25"/>
          <cell r="AA25">
            <v>30.542000000000002</v>
          </cell>
          <cell r="AE25">
            <v>79.28</v>
          </cell>
          <cell r="AU25">
            <v>9.7840000000000007</v>
          </cell>
        </row>
        <row r="26">
          <cell r="K26">
            <v>292.73</v>
          </cell>
          <cell r="S26">
            <v>183.46600000000001</v>
          </cell>
          <cell r="W26"/>
          <cell r="AA26">
            <v>18.077999999999999</v>
          </cell>
          <cell r="AE26">
            <v>76.162999999999997</v>
          </cell>
          <cell r="AU26">
            <v>9.4770000000000003</v>
          </cell>
        </row>
        <row r="27">
          <cell r="K27">
            <v>300.077</v>
          </cell>
          <cell r="S27">
            <v>189.53800000000001</v>
          </cell>
          <cell r="W27"/>
          <cell r="AA27">
            <v>12.002000000000001</v>
          </cell>
          <cell r="AE27">
            <v>78.022000000000006</v>
          </cell>
          <cell r="AU27">
            <v>10.173999999999999</v>
          </cell>
        </row>
        <row r="28">
          <cell r="K28">
            <v>277.64499999999998</v>
          </cell>
          <cell r="S28">
            <v>176.50200000000001</v>
          </cell>
          <cell r="W28"/>
          <cell r="AA28">
            <v>11.016999999999999</v>
          </cell>
          <cell r="AE28">
            <v>72.05</v>
          </cell>
          <cell r="AU28">
            <v>9.7899999999999991</v>
          </cell>
        </row>
        <row r="29">
          <cell r="K29">
            <v>307.59699999999998</v>
          </cell>
          <cell r="S29">
            <v>196.166</v>
          </cell>
          <cell r="W29"/>
          <cell r="AA29">
            <v>12.311</v>
          </cell>
          <cell r="AE29">
            <v>80.016999999999996</v>
          </cell>
          <cell r="AU29">
            <v>11.757999999999999</v>
          </cell>
        </row>
        <row r="30">
          <cell r="K30">
            <v>294.97399999999999</v>
          </cell>
          <cell r="S30">
            <v>187.35599999999999</v>
          </cell>
          <cell r="W30"/>
          <cell r="AA30">
            <v>11.798</v>
          </cell>
          <cell r="AE30">
            <v>76.727999999999994</v>
          </cell>
          <cell r="AU30">
            <v>11.781000000000001</v>
          </cell>
        </row>
        <row r="31">
          <cell r="K31">
            <v>292.89400000000001</v>
          </cell>
          <cell r="S31">
            <v>184.51900000000001</v>
          </cell>
          <cell r="W31"/>
          <cell r="AA31">
            <v>11.627000000000001</v>
          </cell>
          <cell r="AE31">
            <v>75.942999999999998</v>
          </cell>
          <cell r="AU31">
            <v>11.553000000000001</v>
          </cell>
        </row>
        <row r="32">
          <cell r="K32">
            <v>265.06400000000002</v>
          </cell>
          <cell r="S32">
            <v>167.149</v>
          </cell>
          <cell r="W32"/>
          <cell r="AA32">
            <v>10.63</v>
          </cell>
          <cell r="AE32">
            <v>68.906000000000006</v>
          </cell>
          <cell r="AU32">
            <v>10.581</v>
          </cell>
        </row>
        <row r="33">
          <cell r="K33">
            <v>285.048</v>
          </cell>
          <cell r="S33">
            <v>180.64</v>
          </cell>
          <cell r="W33"/>
          <cell r="AA33">
            <v>11.365</v>
          </cell>
          <cell r="AE33">
            <v>74.103999999999999</v>
          </cell>
          <cell r="AU33">
            <v>11.717000000000001</v>
          </cell>
        </row>
        <row r="34">
          <cell r="K34">
            <v>175.06899999999999</v>
          </cell>
          <cell r="S34">
            <v>114.123</v>
          </cell>
          <cell r="W34"/>
          <cell r="AA34">
            <v>6.97</v>
          </cell>
          <cell r="AE34">
            <v>45.529000000000003</v>
          </cell>
          <cell r="AU34">
            <v>7.7169999999999996</v>
          </cell>
        </row>
        <row r="35">
          <cell r="K35">
            <v>300.05200000000002</v>
          </cell>
          <cell r="S35">
            <v>195.636</v>
          </cell>
          <cell r="W35"/>
          <cell r="AA35">
            <v>12.013</v>
          </cell>
          <cell r="AE35">
            <v>78.036000000000001</v>
          </cell>
          <cell r="AU35">
            <v>13.243</v>
          </cell>
        </row>
        <row r="36">
          <cell r="K36">
            <v>292.98599999999999</v>
          </cell>
          <cell r="S36">
            <v>187.81100000000001</v>
          </cell>
          <cell r="W36"/>
          <cell r="AA36">
            <v>11.653</v>
          </cell>
          <cell r="AE36">
            <v>76.191000000000003</v>
          </cell>
          <cell r="AU36">
            <v>13.068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январь 20"/>
      <sheetName val="январь 20 (+руда,-агл,-кокс)"/>
      <sheetName val="февраль 20"/>
      <sheetName val="февраль 20 (-руда,+агл)"/>
      <sheetName val="март 20 "/>
      <sheetName val="март 20  (-руда,+агл)"/>
      <sheetName val="апрель 20 "/>
      <sheetName val="апрель 20  (+371т,+ру,кок)"/>
      <sheetName val="май 20"/>
      <sheetName val="май 20 (+руда,+кокс,-агл)"/>
      <sheetName val="июнь 20"/>
      <sheetName val="июнь 20 (+руда,кокс)"/>
      <sheetName val="июль 20 (факт)"/>
      <sheetName val="июль 20"/>
      <sheetName val="июль 20 (+руда,кокс,агл)"/>
      <sheetName val="август 20  (факт)"/>
      <sheetName val="август 20 "/>
      <sheetName val="август 20  (-руда,+агл.кокс)"/>
      <sheetName val="сентябрь 20 (факт)"/>
      <sheetName val="сентябрь 20"/>
      <sheetName val="сентябрь 20 (-руда,+кокс)"/>
      <sheetName val="октябрь 20 (факт)"/>
      <sheetName val="октябрь 20 "/>
      <sheetName val="октябрь 20  (+руда,кокс)"/>
      <sheetName val="ноябрь 20 (факт)"/>
      <sheetName val="ноябрь 20"/>
      <sheetName val="ноябрь 20 (+агл,кокс)"/>
      <sheetName val="декабрь 20 (факт)"/>
      <sheetName val="декабрь 20"/>
      <sheetName val="Лист1"/>
    </sheetNames>
    <sheetDataSet>
      <sheetData sheetId="0">
        <row r="7">
          <cell r="D7">
            <v>481.92931298693395</v>
          </cell>
          <cell r="R7">
            <v>284.70000020000003</v>
          </cell>
          <cell r="AX7">
            <v>230.78999999999996</v>
          </cell>
        </row>
        <row r="8">
          <cell r="D8">
            <v>510.33683899999994</v>
          </cell>
          <cell r="R8">
            <v>304.64999999999998</v>
          </cell>
          <cell r="AX8">
            <v>214.07999999999998</v>
          </cell>
        </row>
        <row r="9">
          <cell r="D9">
            <v>549.0915311</v>
          </cell>
          <cell r="R9">
            <v>327.51</v>
          </cell>
          <cell r="AX9">
            <v>279.44</v>
          </cell>
        </row>
        <row r="10">
          <cell r="D10">
            <v>451.26145839999998</v>
          </cell>
          <cell r="R10">
            <v>273.02999999999997</v>
          </cell>
          <cell r="AX10">
            <v>227.42</v>
          </cell>
        </row>
        <row r="11">
          <cell r="D11">
            <v>429.54913729999998</v>
          </cell>
          <cell r="R11">
            <v>255.02</v>
          </cell>
          <cell r="AX11">
            <v>218.05</v>
          </cell>
        </row>
        <row r="12">
          <cell r="D12">
            <v>453.34183260000003</v>
          </cell>
          <cell r="R12">
            <v>269.09000000000003</v>
          </cell>
          <cell r="AX12">
            <v>202.39999999999998</v>
          </cell>
        </row>
        <row r="13">
          <cell r="D13">
            <v>498.58652569999998</v>
          </cell>
          <cell r="R13">
            <v>299.2</v>
          </cell>
          <cell r="AX13">
            <v>212.18</v>
          </cell>
        </row>
        <row r="14">
          <cell r="D14">
            <v>414.22930359999998</v>
          </cell>
          <cell r="R14">
            <v>249.23999999999998</v>
          </cell>
          <cell r="AX14">
            <v>206.26999999999998</v>
          </cell>
        </row>
        <row r="15">
          <cell r="D15">
            <v>464.51375089999999</v>
          </cell>
          <cell r="R15">
            <v>280.14</v>
          </cell>
          <cell r="AX15">
            <v>221.13</v>
          </cell>
        </row>
        <row r="16">
          <cell r="D16">
            <v>421.17487549999998</v>
          </cell>
          <cell r="R16">
            <v>252.27</v>
          </cell>
          <cell r="AX16">
            <v>210.45000000000002</v>
          </cell>
        </row>
        <row r="17">
          <cell r="D17">
            <v>447.34943139999996</v>
          </cell>
          <cell r="R17">
            <v>268.15999999999997</v>
          </cell>
          <cell r="AX17">
            <v>214.44999999999996</v>
          </cell>
        </row>
        <row r="18">
          <cell r="D18">
            <v>250.86483000000001</v>
          </cell>
          <cell r="R18">
            <v>152.9</v>
          </cell>
          <cell r="AX18">
            <v>82.08</v>
          </cell>
        </row>
        <row r="19">
          <cell r="D19">
            <v>344.86797289999998</v>
          </cell>
          <cell r="R19">
            <v>206.17</v>
          </cell>
          <cell r="AX19">
            <v>171.82000000000002</v>
          </cell>
        </row>
        <row r="20">
          <cell r="D20">
            <v>449.64928330000004</v>
          </cell>
          <cell r="R20">
            <v>267.36</v>
          </cell>
          <cell r="AX20">
            <v>185.27</v>
          </cell>
        </row>
        <row r="21">
          <cell r="D21">
            <v>371.03970250000003</v>
          </cell>
          <cell r="R21">
            <v>229.36</v>
          </cell>
          <cell r="AX21">
            <v>205.62</v>
          </cell>
        </row>
        <row r="22">
          <cell r="D22">
            <v>445.18826490000004</v>
          </cell>
          <cell r="R22">
            <v>276.7</v>
          </cell>
          <cell r="AX22">
            <v>145.92999999999998</v>
          </cell>
        </row>
        <row r="23">
          <cell r="D23">
            <v>409.64603840000001</v>
          </cell>
          <cell r="R23">
            <v>256.45</v>
          </cell>
          <cell r="AX23">
            <v>173.52</v>
          </cell>
        </row>
        <row r="24">
          <cell r="D24">
            <v>474.80786890000002</v>
          </cell>
          <cell r="R24">
            <v>292.89</v>
          </cell>
          <cell r="AX24">
            <v>255.79</v>
          </cell>
        </row>
        <row r="25">
          <cell r="D25">
            <v>436.82262730000002</v>
          </cell>
          <cell r="R25">
            <v>276.57</v>
          </cell>
          <cell r="AX25">
            <v>217.52000000000004</v>
          </cell>
        </row>
        <row r="26">
          <cell r="D26">
            <v>465.15769740000002</v>
          </cell>
          <cell r="R26">
            <v>289.8</v>
          </cell>
          <cell r="AX26">
            <v>212.03000000000003</v>
          </cell>
        </row>
        <row r="27">
          <cell r="D27">
            <v>401.22622280000002</v>
          </cell>
          <cell r="R27">
            <v>250</v>
          </cell>
          <cell r="AX27">
            <v>228.20000000000002</v>
          </cell>
        </row>
        <row r="28">
          <cell r="D28">
            <v>460.11736940000003</v>
          </cell>
          <cell r="R28">
            <v>282.77</v>
          </cell>
          <cell r="AX28">
            <v>228.74</v>
          </cell>
        </row>
        <row r="29">
          <cell r="D29">
            <v>495.12199759999999</v>
          </cell>
          <cell r="R29">
            <v>304.57</v>
          </cell>
          <cell r="AX29">
            <v>231.63</v>
          </cell>
        </row>
        <row r="30">
          <cell r="D30">
            <v>470.42877149999998</v>
          </cell>
          <cell r="R30">
            <v>290.10000000000002</v>
          </cell>
          <cell r="AX30">
            <v>226.06000000000003</v>
          </cell>
        </row>
        <row r="31">
          <cell r="D31">
            <v>459.30227790000004</v>
          </cell>
          <cell r="R31">
            <v>281.7</v>
          </cell>
          <cell r="AX31">
            <v>230.61999999999998</v>
          </cell>
        </row>
        <row r="32">
          <cell r="D32">
            <v>441.98177279999999</v>
          </cell>
          <cell r="R32">
            <v>270.41999999999996</v>
          </cell>
          <cell r="AX32">
            <v>221.29999999999995</v>
          </cell>
        </row>
        <row r="33">
          <cell r="D33">
            <v>421.16747910000004</v>
          </cell>
          <cell r="R33">
            <v>258.41000000000003</v>
          </cell>
          <cell r="AX33">
            <v>208.21999999999997</v>
          </cell>
        </row>
        <row r="34">
          <cell r="D34">
            <v>487.67686400000002</v>
          </cell>
          <cell r="R34">
            <v>300.3</v>
          </cell>
          <cell r="AX34">
            <v>214.85</v>
          </cell>
        </row>
        <row r="35">
          <cell r="D35">
            <v>161.07076090000001</v>
          </cell>
          <cell r="R35">
            <v>104.68</v>
          </cell>
          <cell r="AX35">
            <v>101.75000000000001</v>
          </cell>
        </row>
        <row r="36">
          <cell r="D36">
            <v>471.70543800000007</v>
          </cell>
          <cell r="R36">
            <v>292.06</v>
          </cell>
          <cell r="AX36">
            <v>208.92000000000002</v>
          </cell>
        </row>
        <row r="37">
          <cell r="D37">
            <v>489.63091260000004</v>
          </cell>
          <cell r="R37">
            <v>303.89999999999998</v>
          </cell>
          <cell r="AX37">
            <v>232.85000000000002</v>
          </cell>
        </row>
        <row r="38">
          <cell r="D38">
            <v>13528.838150686937</v>
          </cell>
          <cell r="R38">
            <v>8250.1200002000023</v>
          </cell>
          <cell r="AX38">
            <v>6419.380000000001</v>
          </cell>
        </row>
      </sheetData>
      <sheetData sheetId="1"/>
      <sheetData sheetId="2">
        <row r="7">
          <cell r="D7">
            <v>452.86934335561</v>
          </cell>
          <cell r="R7">
            <v>276.6400003</v>
          </cell>
          <cell r="AX7">
            <v>225.87999999999997</v>
          </cell>
        </row>
        <row r="8">
          <cell r="D8">
            <v>475.80935679999999</v>
          </cell>
          <cell r="R8">
            <v>289.98</v>
          </cell>
          <cell r="AX8">
            <v>232.20999999999998</v>
          </cell>
        </row>
        <row r="9">
          <cell r="D9">
            <v>452.12212</v>
          </cell>
          <cell r="R9">
            <v>278.12</v>
          </cell>
          <cell r="AX9">
            <v>222.29999999999998</v>
          </cell>
        </row>
        <row r="10">
          <cell r="D10">
            <v>487.13177820000004</v>
          </cell>
          <cell r="R10">
            <v>297.26000000000005</v>
          </cell>
          <cell r="AX10">
            <v>242.69</v>
          </cell>
        </row>
        <row r="11">
          <cell r="D11">
            <v>475.12441660000002</v>
          </cell>
          <cell r="R11">
            <v>288.86</v>
          </cell>
          <cell r="AX11">
            <v>220.98</v>
          </cell>
        </row>
        <row r="12">
          <cell r="D12">
            <v>512.9110101</v>
          </cell>
          <cell r="R12">
            <v>309.72000000000008</v>
          </cell>
          <cell r="AX12">
            <v>251.26999999999998</v>
          </cell>
        </row>
        <row r="13">
          <cell r="D13">
            <v>505.8201492</v>
          </cell>
          <cell r="R13">
            <v>306.16000000000003</v>
          </cell>
          <cell r="AX13">
            <v>247.23999999999998</v>
          </cell>
        </row>
        <row r="14">
          <cell r="D14">
            <v>499.9761795</v>
          </cell>
          <cell r="R14">
            <v>304.38</v>
          </cell>
          <cell r="AX14">
            <v>227.97</v>
          </cell>
        </row>
        <row r="15">
          <cell r="D15">
            <v>526.39679899999999</v>
          </cell>
          <cell r="R15">
            <v>320.39</v>
          </cell>
          <cell r="AX15">
            <v>250.45</v>
          </cell>
        </row>
        <row r="16">
          <cell r="D16">
            <v>511.44255440000001</v>
          </cell>
          <cell r="R16">
            <v>311.54000000000002</v>
          </cell>
          <cell r="AX16">
            <v>238.13000000000002</v>
          </cell>
        </row>
        <row r="17">
          <cell r="D17">
            <v>479.1408495</v>
          </cell>
          <cell r="R17">
            <v>296.33999999999997</v>
          </cell>
          <cell r="AX17">
            <v>226.39000000000004</v>
          </cell>
        </row>
        <row r="18">
          <cell r="D18">
            <v>489.44535619999999</v>
          </cell>
          <cell r="R18">
            <v>301.66000000000003</v>
          </cell>
          <cell r="AX18">
            <v>247.98000000000002</v>
          </cell>
        </row>
        <row r="19">
          <cell r="D19">
            <v>488.1699284</v>
          </cell>
          <cell r="R19">
            <v>298.94</v>
          </cell>
          <cell r="AX19">
            <v>230.30000000000004</v>
          </cell>
        </row>
        <row r="20">
          <cell r="D20">
            <v>461.93712540000001</v>
          </cell>
          <cell r="R20">
            <v>281.24</v>
          </cell>
          <cell r="AX20">
            <v>233.87</v>
          </cell>
        </row>
        <row r="21">
          <cell r="D21">
            <v>537.30655639999998</v>
          </cell>
          <cell r="R21">
            <v>332.79</v>
          </cell>
          <cell r="AX21">
            <v>237.39000000000004</v>
          </cell>
        </row>
        <row r="22">
          <cell r="D22">
            <v>545.81647420000002</v>
          </cell>
          <cell r="R22">
            <v>345.74</v>
          </cell>
          <cell r="AX22">
            <v>207.53</v>
          </cell>
        </row>
        <row r="23">
          <cell r="D23">
            <v>556.31457599999987</v>
          </cell>
          <cell r="R23">
            <v>358.17999999999995</v>
          </cell>
          <cell r="AX23">
            <v>252.20000000000002</v>
          </cell>
        </row>
        <row r="24">
          <cell r="D24">
            <v>239.11817260000001</v>
          </cell>
          <cell r="R24">
            <v>165.7</v>
          </cell>
          <cell r="AX24">
            <v>94.28</v>
          </cell>
        </row>
        <row r="25">
          <cell r="D25">
            <v>475.26704459999996</v>
          </cell>
          <cell r="R25">
            <v>311.44</v>
          </cell>
          <cell r="AX25">
            <v>230.89</v>
          </cell>
        </row>
        <row r="26">
          <cell r="D26">
            <v>502.17201499999999</v>
          </cell>
          <cell r="R26">
            <v>327.14999999999998</v>
          </cell>
          <cell r="AX26">
            <v>203.05000000000004</v>
          </cell>
        </row>
        <row r="27">
          <cell r="D27">
            <v>428.54236099999997</v>
          </cell>
          <cell r="R27">
            <v>273.5</v>
          </cell>
          <cell r="AX27">
            <v>235.28</v>
          </cell>
        </row>
        <row r="28">
          <cell r="D28">
            <v>473.61209520000006</v>
          </cell>
          <cell r="R28">
            <v>300.8</v>
          </cell>
          <cell r="AX28">
            <v>227.21</v>
          </cell>
        </row>
        <row r="29">
          <cell r="D29">
            <v>472.1179932</v>
          </cell>
          <cell r="R29">
            <v>299.07000000000005</v>
          </cell>
          <cell r="AX29">
            <v>234.26999999999998</v>
          </cell>
        </row>
        <row r="30">
          <cell r="D30">
            <v>468.35136249999999</v>
          </cell>
          <cell r="R30">
            <v>299.46000000000009</v>
          </cell>
          <cell r="AX30">
            <v>245.09999999999997</v>
          </cell>
        </row>
        <row r="31">
          <cell r="D31">
            <v>455.09146529999998</v>
          </cell>
          <cell r="R31">
            <v>291.12000000000006</v>
          </cell>
          <cell r="AX31">
            <v>223.49999999999997</v>
          </cell>
        </row>
        <row r="32">
          <cell r="D32">
            <v>442.67405399999996</v>
          </cell>
          <cell r="R32">
            <v>275.16000000000003</v>
          </cell>
          <cell r="AX32">
            <v>243.46</v>
          </cell>
        </row>
        <row r="33">
          <cell r="D33">
            <v>470.07647760000003</v>
          </cell>
          <cell r="R33">
            <v>303.02</v>
          </cell>
          <cell r="AX33">
            <v>239.56</v>
          </cell>
        </row>
        <row r="34">
          <cell r="D34">
            <v>510.12567520000005</v>
          </cell>
          <cell r="R34">
            <v>329.08</v>
          </cell>
          <cell r="AX34">
            <v>196.63</v>
          </cell>
        </row>
        <row r="35">
          <cell r="D35">
            <v>456.20116730000001</v>
          </cell>
          <cell r="R35">
            <v>298.72000000000003</v>
          </cell>
          <cell r="AX35">
            <v>227.54</v>
          </cell>
        </row>
        <row r="36">
          <cell r="D36">
            <v>0</v>
          </cell>
          <cell r="R36">
            <v>0</v>
          </cell>
          <cell r="AX36">
            <v>0</v>
          </cell>
        </row>
        <row r="37">
          <cell r="D37">
            <v>0</v>
          </cell>
          <cell r="R37">
            <v>0</v>
          </cell>
          <cell r="AX37">
            <v>0</v>
          </cell>
        </row>
        <row r="38">
          <cell r="D38">
            <v>13851.084456755605</v>
          </cell>
          <cell r="R38">
            <v>8672.1600002999985</v>
          </cell>
          <cell r="AX38">
            <v>6595.5500000000011</v>
          </cell>
        </row>
      </sheetData>
      <sheetData sheetId="3"/>
      <sheetData sheetId="4">
        <row r="7">
          <cell r="D7">
            <v>477.65953468658796</v>
          </cell>
          <cell r="R7">
            <v>309.90000020000002</v>
          </cell>
          <cell r="AX7">
            <v>211.76000000000002</v>
          </cell>
        </row>
        <row r="8">
          <cell r="D8">
            <v>406.30146960000002</v>
          </cell>
          <cell r="R8">
            <v>264.75000000000006</v>
          </cell>
          <cell r="AX8">
            <v>209.32999999999998</v>
          </cell>
        </row>
        <row r="9">
          <cell r="D9">
            <v>377.66687639999998</v>
          </cell>
          <cell r="R9">
            <v>239.77</v>
          </cell>
          <cell r="AX9">
            <v>163.37</v>
          </cell>
        </row>
        <row r="10">
          <cell r="D10">
            <v>221.9830312</v>
          </cell>
          <cell r="R10">
            <v>143.67000000000002</v>
          </cell>
          <cell r="AX10">
            <v>99.77</v>
          </cell>
        </row>
        <row r="11">
          <cell r="D11">
            <v>330.8472921</v>
          </cell>
          <cell r="R11">
            <v>210.613</v>
          </cell>
          <cell r="AX11">
            <v>149.43</v>
          </cell>
        </row>
        <row r="12">
          <cell r="D12">
            <v>473.76392060000001</v>
          </cell>
          <cell r="R12">
            <v>299.86</v>
          </cell>
          <cell r="AX12">
            <v>235.23</v>
          </cell>
        </row>
        <row r="13">
          <cell r="D13">
            <v>494.80037470000002</v>
          </cell>
          <cell r="R13">
            <v>309.41000000000003</v>
          </cell>
          <cell r="AX13">
            <v>230.09</v>
          </cell>
        </row>
        <row r="14">
          <cell r="D14">
            <v>502.61382009999994</v>
          </cell>
          <cell r="R14">
            <v>309.39999999999992</v>
          </cell>
          <cell r="AX14">
            <v>249.64999999999998</v>
          </cell>
        </row>
        <row r="15">
          <cell r="D15">
            <v>483.72147589999997</v>
          </cell>
          <cell r="R15">
            <v>303.55999999999995</v>
          </cell>
          <cell r="AX15">
            <v>228.65999999999997</v>
          </cell>
        </row>
        <row r="16">
          <cell r="D16">
            <v>482.15210910000002</v>
          </cell>
          <cell r="R16">
            <v>306.56</v>
          </cell>
          <cell r="AX16">
            <v>202.96</v>
          </cell>
        </row>
        <row r="17">
          <cell r="D17">
            <v>409.29682860000008</v>
          </cell>
          <cell r="R17">
            <v>269.14000000000004</v>
          </cell>
          <cell r="AX17">
            <v>175.32000000000002</v>
          </cell>
        </row>
        <row r="18">
          <cell r="D18">
            <v>134.56193999999999</v>
          </cell>
          <cell r="R18">
            <v>93.24</v>
          </cell>
          <cell r="AX18">
            <v>87.85</v>
          </cell>
        </row>
        <row r="19">
          <cell r="D19">
            <v>208.28400960000002</v>
          </cell>
          <cell r="R19">
            <v>133.59</v>
          </cell>
          <cell r="AX19">
            <v>64.16</v>
          </cell>
        </row>
        <row r="20">
          <cell r="D20">
            <v>293.29815719999999</v>
          </cell>
          <cell r="R20">
            <v>184.59</v>
          </cell>
          <cell r="AX20">
            <v>126.57000000000001</v>
          </cell>
        </row>
        <row r="21">
          <cell r="D21">
            <v>441.1190297</v>
          </cell>
          <cell r="R21">
            <v>274.91000000000003</v>
          </cell>
          <cell r="AX21">
            <v>183.70000000000002</v>
          </cell>
        </row>
        <row r="22">
          <cell r="D22">
            <v>491.0006932</v>
          </cell>
          <cell r="R22">
            <v>296.35000000000002</v>
          </cell>
          <cell r="AX22">
            <v>238.44000000000003</v>
          </cell>
        </row>
        <row r="23">
          <cell r="D23">
            <v>502.54116800000003</v>
          </cell>
          <cell r="R23">
            <v>302.64999999999998</v>
          </cell>
          <cell r="AX23">
            <v>232.82</v>
          </cell>
        </row>
        <row r="24">
          <cell r="D24">
            <v>533.25893359999998</v>
          </cell>
          <cell r="R24">
            <v>319.72000000000003</v>
          </cell>
          <cell r="AX24">
            <v>235.49</v>
          </cell>
        </row>
        <row r="25">
          <cell r="D25">
            <v>563.005357</v>
          </cell>
          <cell r="R25">
            <v>330.04</v>
          </cell>
          <cell r="AX25">
            <v>231.20000000000005</v>
          </cell>
        </row>
        <row r="26">
          <cell r="D26">
            <v>511.3682546</v>
          </cell>
          <cell r="R26">
            <v>301.86000000000007</v>
          </cell>
          <cell r="AX26">
            <v>226.06</v>
          </cell>
        </row>
        <row r="27">
          <cell r="D27">
            <v>525.93966750000004</v>
          </cell>
          <cell r="R27">
            <v>311.39999999999998</v>
          </cell>
          <cell r="AX27">
            <v>215.29000000000002</v>
          </cell>
        </row>
        <row r="28">
          <cell r="D28">
            <v>528.82787600000006</v>
          </cell>
          <cell r="R28">
            <v>312.83</v>
          </cell>
          <cell r="AX28">
            <v>245.57</v>
          </cell>
        </row>
        <row r="29">
          <cell r="D29">
            <v>535.01328310000008</v>
          </cell>
          <cell r="R29">
            <v>315.45</v>
          </cell>
          <cell r="AX29">
            <v>238.61</v>
          </cell>
        </row>
        <row r="30">
          <cell r="D30">
            <v>514.76296319999994</v>
          </cell>
          <cell r="R30">
            <v>308.95999999999992</v>
          </cell>
          <cell r="AX30">
            <v>227.66000000000003</v>
          </cell>
        </row>
        <row r="31">
          <cell r="D31">
            <v>527.98500159999992</v>
          </cell>
          <cell r="R31">
            <v>319.05</v>
          </cell>
          <cell r="AX31">
            <v>228.63999999999996</v>
          </cell>
        </row>
        <row r="32">
          <cell r="D32">
            <v>493.47390360000003</v>
          </cell>
          <cell r="R32">
            <v>298.92999999999995</v>
          </cell>
          <cell r="AX32">
            <v>233.46999999999997</v>
          </cell>
        </row>
        <row r="33">
          <cell r="D33">
            <v>453.03913440000002</v>
          </cell>
          <cell r="R33">
            <v>274.56</v>
          </cell>
          <cell r="AX33">
            <v>200.04</v>
          </cell>
        </row>
        <row r="34">
          <cell r="D34">
            <v>409.18655279999996</v>
          </cell>
          <cell r="R34">
            <v>242.91</v>
          </cell>
          <cell r="AX34">
            <v>191.5</v>
          </cell>
        </row>
        <row r="35">
          <cell r="D35">
            <v>423.84251039999998</v>
          </cell>
          <cell r="R35">
            <v>248.95</v>
          </cell>
          <cell r="AX35">
            <v>180.68</v>
          </cell>
        </row>
        <row r="36">
          <cell r="D36">
            <v>351.10064450000004</v>
          </cell>
          <cell r="R36">
            <v>206.57999999999998</v>
          </cell>
          <cell r="AX36">
            <v>160.64000000000001</v>
          </cell>
        </row>
        <row r="37">
          <cell r="D37">
            <v>428.22676340000004</v>
          </cell>
          <cell r="R37">
            <v>248.22</v>
          </cell>
          <cell r="AX37">
            <v>180.01999999999998</v>
          </cell>
        </row>
        <row r="38">
          <cell r="D38">
            <v>13530.642576386586</v>
          </cell>
          <cell r="R38">
            <v>8291.4230001999986</v>
          </cell>
          <cell r="AX38">
            <v>6083.9800000000014</v>
          </cell>
        </row>
      </sheetData>
      <sheetData sheetId="5"/>
      <sheetData sheetId="6">
        <row r="7">
          <cell r="D7">
            <v>420.50534151466201</v>
          </cell>
          <cell r="R7">
            <v>245.2300003</v>
          </cell>
          <cell r="AX7">
            <v>176.72</v>
          </cell>
        </row>
        <row r="8">
          <cell r="D8">
            <v>442.71640599999995</v>
          </cell>
          <cell r="R8">
            <v>261.73</v>
          </cell>
          <cell r="AX8">
            <v>190.4</v>
          </cell>
        </row>
        <row r="9">
          <cell r="D9">
            <v>419.6633056</v>
          </cell>
          <cell r="R9">
            <v>249.12</v>
          </cell>
          <cell r="AX9">
            <v>206.98</v>
          </cell>
        </row>
        <row r="10">
          <cell r="D10">
            <v>489.78724</v>
          </cell>
          <cell r="R10">
            <v>287.09999999999997</v>
          </cell>
          <cell r="AX10">
            <v>229.19</v>
          </cell>
        </row>
        <row r="11">
          <cell r="D11">
            <v>497.67005599999999</v>
          </cell>
          <cell r="R11">
            <v>291.13000000000005</v>
          </cell>
          <cell r="AX11">
            <v>221.34000000000003</v>
          </cell>
        </row>
        <row r="12">
          <cell r="D12">
            <v>495.3601304</v>
          </cell>
          <cell r="R12">
            <v>292.76</v>
          </cell>
          <cell r="AX12">
            <v>230.46</v>
          </cell>
        </row>
        <row r="13">
          <cell r="D13">
            <v>517.68206639999994</v>
          </cell>
          <cell r="R13">
            <v>305.41000000000003</v>
          </cell>
          <cell r="AX13">
            <v>244.07999999999998</v>
          </cell>
        </row>
        <row r="14">
          <cell r="D14">
            <v>506.01787579999996</v>
          </cell>
          <cell r="R14">
            <v>298.23000000000008</v>
          </cell>
          <cell r="AX14">
            <v>215.8</v>
          </cell>
        </row>
        <row r="15">
          <cell r="D15">
            <v>480.46066799999994</v>
          </cell>
          <cell r="R15">
            <v>280.26</v>
          </cell>
          <cell r="AX15">
            <v>221.92999999999998</v>
          </cell>
        </row>
        <row r="16">
          <cell r="D16">
            <v>491.48518619999999</v>
          </cell>
          <cell r="R16">
            <v>291.08</v>
          </cell>
          <cell r="AX16">
            <v>198.15</v>
          </cell>
        </row>
        <row r="17">
          <cell r="D17">
            <v>500.9738772</v>
          </cell>
          <cell r="R17">
            <v>300.64999999999998</v>
          </cell>
          <cell r="AX17">
            <v>210.78</v>
          </cell>
        </row>
        <row r="18">
          <cell r="D18">
            <v>465.19852410000004</v>
          </cell>
          <cell r="R18">
            <v>280.23</v>
          </cell>
          <cell r="AX18">
            <v>203.58</v>
          </cell>
        </row>
        <row r="19">
          <cell r="D19">
            <v>475.67629740000001</v>
          </cell>
          <cell r="R19">
            <v>287.87</v>
          </cell>
          <cell r="AX19">
            <v>201.29000000000002</v>
          </cell>
        </row>
        <row r="20">
          <cell r="D20">
            <v>473.66225739999999</v>
          </cell>
          <cell r="R20">
            <v>287.35000000000002</v>
          </cell>
          <cell r="AX20">
            <v>198.23</v>
          </cell>
        </row>
        <row r="21">
          <cell r="D21">
            <v>409.31498220000003</v>
          </cell>
          <cell r="R21">
            <v>246.41</v>
          </cell>
          <cell r="AX21">
            <v>174.07999999999998</v>
          </cell>
        </row>
        <row r="22">
          <cell r="D22">
            <v>477.24550590000001</v>
          </cell>
          <cell r="R22">
            <v>284.42</v>
          </cell>
          <cell r="AX22">
            <v>217.08999999999997</v>
          </cell>
        </row>
        <row r="23">
          <cell r="D23">
            <v>502.8267457</v>
          </cell>
          <cell r="R23">
            <v>301.14999999999998</v>
          </cell>
          <cell r="AX23">
            <v>207.98</v>
          </cell>
        </row>
        <row r="24">
          <cell r="D24">
            <v>495.64301749999998</v>
          </cell>
          <cell r="R24">
            <v>300.24</v>
          </cell>
          <cell r="AX24">
            <v>211.19000000000003</v>
          </cell>
        </row>
        <row r="25">
          <cell r="D25">
            <v>494.02101329999999</v>
          </cell>
          <cell r="R25">
            <v>300.45999999999998</v>
          </cell>
          <cell r="AX25">
            <v>220.31999999999996</v>
          </cell>
        </row>
        <row r="26">
          <cell r="D26">
            <v>471.0288668</v>
          </cell>
          <cell r="R26">
            <v>287.79000000000002</v>
          </cell>
          <cell r="AX26">
            <v>205.45000000000002</v>
          </cell>
        </row>
        <row r="27">
          <cell r="D27">
            <v>488.25039289999995</v>
          </cell>
          <cell r="R27">
            <v>297.56</v>
          </cell>
          <cell r="AX27">
            <v>203.25</v>
          </cell>
        </row>
        <row r="28">
          <cell r="D28">
            <v>443.18536970000002</v>
          </cell>
          <cell r="R28">
            <v>274.89</v>
          </cell>
          <cell r="AX28">
            <v>203.32999999999998</v>
          </cell>
        </row>
        <row r="29">
          <cell r="D29">
            <v>449.71161080000002</v>
          </cell>
          <cell r="R29">
            <v>279.19</v>
          </cell>
          <cell r="AX29">
            <v>203.70000000000002</v>
          </cell>
        </row>
        <row r="30">
          <cell r="D30">
            <v>456.88228399999997</v>
          </cell>
          <cell r="R30">
            <v>278.52</v>
          </cell>
          <cell r="AX30">
            <v>204.38999999999996</v>
          </cell>
        </row>
        <row r="31">
          <cell r="D31">
            <v>485.65654300000006</v>
          </cell>
          <cell r="R31">
            <v>289.58</v>
          </cell>
          <cell r="AX31">
            <v>212.40999999999997</v>
          </cell>
        </row>
        <row r="32">
          <cell r="D32">
            <v>449.38782800000001</v>
          </cell>
          <cell r="R32">
            <v>263.02999999999997</v>
          </cell>
          <cell r="AX32">
            <v>206.82000000000005</v>
          </cell>
        </row>
        <row r="33">
          <cell r="D33">
            <v>456.60760370000003</v>
          </cell>
          <cell r="R33">
            <v>265.64999999999998</v>
          </cell>
          <cell r="AX33">
            <v>202.60999999999999</v>
          </cell>
        </row>
        <row r="34">
          <cell r="D34">
            <v>257.04866439999995</v>
          </cell>
          <cell r="R34">
            <v>158.25</v>
          </cell>
          <cell r="AX34">
            <v>113.13999999999997</v>
          </cell>
        </row>
        <row r="35">
          <cell r="D35">
            <v>453.30338349999994</v>
          </cell>
          <cell r="R35">
            <v>268.57</v>
          </cell>
          <cell r="AX35">
            <v>191.83999999999997</v>
          </cell>
        </row>
        <row r="36">
          <cell r="D36">
            <v>438.61411809999993</v>
          </cell>
          <cell r="R36">
            <v>263.76</v>
          </cell>
          <cell r="AX36">
            <v>202.76999999999998</v>
          </cell>
        </row>
        <row r="37">
          <cell r="D37">
            <v>0</v>
          </cell>
          <cell r="R37">
            <v>0</v>
          </cell>
          <cell r="AX37">
            <v>0</v>
          </cell>
        </row>
        <row r="38">
          <cell r="D38">
            <v>13905.587161514663</v>
          </cell>
          <cell r="R38">
            <v>8317.6200002999994</v>
          </cell>
          <cell r="AX38">
            <v>6129.3000000000011</v>
          </cell>
        </row>
      </sheetData>
      <sheetData sheetId="7"/>
      <sheetData sheetId="8">
        <row r="7">
          <cell r="D7">
            <v>420.90047132902498</v>
          </cell>
          <cell r="R7">
            <v>253.19000030000001</v>
          </cell>
          <cell r="AX7">
            <v>188.76</v>
          </cell>
        </row>
        <row r="8">
          <cell r="D8">
            <v>438.81458319999996</v>
          </cell>
          <cell r="R8">
            <v>264.38</v>
          </cell>
          <cell r="AX8">
            <v>189.86</v>
          </cell>
        </row>
        <row r="9">
          <cell r="D9">
            <v>418.11367700000005</v>
          </cell>
          <cell r="R9">
            <v>255.17</v>
          </cell>
          <cell r="AX9">
            <v>185.97</v>
          </cell>
        </row>
        <row r="10">
          <cell r="D10">
            <v>418.37435349999998</v>
          </cell>
          <cell r="R10">
            <v>251.2</v>
          </cell>
          <cell r="AX10">
            <v>196.44</v>
          </cell>
        </row>
        <row r="11">
          <cell r="D11">
            <v>393.03895040000003</v>
          </cell>
          <cell r="R11">
            <v>238.56</v>
          </cell>
          <cell r="AX11">
            <v>185.32999999999998</v>
          </cell>
        </row>
        <row r="12">
          <cell r="D12">
            <v>436.73615029999996</v>
          </cell>
          <cell r="R12">
            <v>262.16999999999996</v>
          </cell>
          <cell r="AX12">
            <v>186.68</v>
          </cell>
        </row>
        <row r="13">
          <cell r="D13">
            <v>416.96582659999996</v>
          </cell>
          <cell r="R13">
            <v>244.8</v>
          </cell>
          <cell r="AX13">
            <v>185.95000000000002</v>
          </cell>
        </row>
        <row r="14">
          <cell r="D14">
            <v>427.34028050000001</v>
          </cell>
          <cell r="R14">
            <v>246.26</v>
          </cell>
          <cell r="AX14">
            <v>192.69</v>
          </cell>
        </row>
        <row r="15">
          <cell r="D15">
            <v>429.36663519999996</v>
          </cell>
          <cell r="R15">
            <v>246.24</v>
          </cell>
          <cell r="AX15">
            <v>191.95000000000002</v>
          </cell>
        </row>
        <row r="16">
          <cell r="D16">
            <v>447.68838679999993</v>
          </cell>
          <cell r="R16">
            <v>254.85</v>
          </cell>
          <cell r="AX16">
            <v>186.36</v>
          </cell>
        </row>
        <row r="17">
          <cell r="D17">
            <v>435.32338279999999</v>
          </cell>
          <cell r="R17">
            <v>249.42</v>
          </cell>
          <cell r="AX17">
            <v>187.24</v>
          </cell>
        </row>
        <row r="18">
          <cell r="D18">
            <v>415.28080100000005</v>
          </cell>
          <cell r="R18">
            <v>239.98</v>
          </cell>
          <cell r="AX18">
            <v>175.97</v>
          </cell>
        </row>
        <row r="19">
          <cell r="D19">
            <v>416.34190619999998</v>
          </cell>
          <cell r="R19">
            <v>238.81</v>
          </cell>
          <cell r="AX19">
            <v>172.96</v>
          </cell>
        </row>
        <row r="20">
          <cell r="D20">
            <v>435.17166850000001</v>
          </cell>
          <cell r="R20">
            <v>244.74</v>
          </cell>
          <cell r="AX20">
            <v>180.06</v>
          </cell>
        </row>
        <row r="21">
          <cell r="D21">
            <v>472.26713099999995</v>
          </cell>
          <cell r="R21">
            <v>266.88</v>
          </cell>
          <cell r="AX21">
            <v>196.31000000000003</v>
          </cell>
        </row>
        <row r="22">
          <cell r="D22">
            <v>432.11249500000008</v>
          </cell>
          <cell r="R22">
            <v>242.44000000000003</v>
          </cell>
          <cell r="AX22">
            <v>180.62999999999997</v>
          </cell>
        </row>
        <row r="23">
          <cell r="D23">
            <v>440.56866139999994</v>
          </cell>
          <cell r="R23">
            <v>247.14</v>
          </cell>
          <cell r="AX23">
            <v>186.76999999999998</v>
          </cell>
        </row>
        <row r="24">
          <cell r="D24">
            <v>433.5503688</v>
          </cell>
          <cell r="R24">
            <v>244.67</v>
          </cell>
          <cell r="AX24">
            <v>177.90000000000003</v>
          </cell>
        </row>
        <row r="25">
          <cell r="D25">
            <v>430.65683639999997</v>
          </cell>
          <cell r="R25">
            <v>245.7</v>
          </cell>
          <cell r="AX25">
            <v>197.12</v>
          </cell>
        </row>
        <row r="26">
          <cell r="D26">
            <v>244.4303597</v>
          </cell>
          <cell r="R26">
            <v>143.80000000000001</v>
          </cell>
          <cell r="AX26">
            <v>117.85</v>
          </cell>
        </row>
        <row r="27">
          <cell r="D27">
            <v>439.17768180000002</v>
          </cell>
          <cell r="R27">
            <v>253.78</v>
          </cell>
          <cell r="AX27">
            <v>191.55999999999997</v>
          </cell>
        </row>
        <row r="28">
          <cell r="D28">
            <v>426.0465264</v>
          </cell>
          <cell r="R28">
            <v>248.82</v>
          </cell>
          <cell r="AX28">
            <v>178.4</v>
          </cell>
        </row>
        <row r="29">
          <cell r="D29">
            <v>411.35817400000002</v>
          </cell>
          <cell r="R29">
            <v>241.8</v>
          </cell>
          <cell r="AX29">
            <v>185.72000000000003</v>
          </cell>
        </row>
        <row r="30">
          <cell r="D30">
            <v>419.81067740000003</v>
          </cell>
          <cell r="R30">
            <v>248.16</v>
          </cell>
          <cell r="AX30">
            <v>185.92</v>
          </cell>
        </row>
        <row r="31">
          <cell r="D31">
            <v>423.3644668</v>
          </cell>
          <cell r="R31">
            <v>251.31</v>
          </cell>
          <cell r="AX31">
            <v>188</v>
          </cell>
        </row>
        <row r="32">
          <cell r="D32">
            <v>422.98799459999998</v>
          </cell>
          <cell r="R32">
            <v>251.09</v>
          </cell>
          <cell r="AX32">
            <v>177.52</v>
          </cell>
        </row>
        <row r="33">
          <cell r="D33">
            <v>417.94222919999999</v>
          </cell>
          <cell r="R33">
            <v>245.99</v>
          </cell>
          <cell r="AX33">
            <v>183.42</v>
          </cell>
        </row>
        <row r="34">
          <cell r="D34">
            <v>435.91031420000002</v>
          </cell>
          <cell r="R34">
            <v>255.25</v>
          </cell>
          <cell r="AX34">
            <v>187.67999999999998</v>
          </cell>
        </row>
        <row r="35">
          <cell r="D35">
            <v>450.9598661</v>
          </cell>
          <cell r="R35">
            <v>256.83</v>
          </cell>
          <cell r="AX35">
            <v>201.76999999999998</v>
          </cell>
        </row>
        <row r="36">
          <cell r="D36">
            <v>421.46940330000001</v>
          </cell>
          <cell r="R36">
            <v>241.11</v>
          </cell>
          <cell r="AX36">
            <v>193.72000000000003</v>
          </cell>
        </row>
        <row r="37">
          <cell r="D37">
            <v>466.21337080000001</v>
          </cell>
          <cell r="R37">
            <v>267.35000000000002</v>
          </cell>
          <cell r="AX37">
            <v>202.07</v>
          </cell>
        </row>
        <row r="38">
          <cell r="D38">
            <v>13138.283630229025</v>
          </cell>
          <cell r="R38">
            <v>7641.8900002999999</v>
          </cell>
          <cell r="AX38">
            <v>5738.5800000000008</v>
          </cell>
        </row>
      </sheetData>
      <sheetData sheetId="9"/>
      <sheetData sheetId="10">
        <row r="7">
          <cell r="D7">
            <v>430.25197662224997</v>
          </cell>
          <cell r="R7">
            <v>255.2600003</v>
          </cell>
          <cell r="AX7">
            <v>199.36999999999998</v>
          </cell>
        </row>
        <row r="8">
          <cell r="D8">
            <v>206.68819619999999</v>
          </cell>
          <cell r="R8">
            <v>129.12</v>
          </cell>
          <cell r="AX8">
            <v>87.65</v>
          </cell>
        </row>
        <row r="9">
          <cell r="D9">
            <v>400.23236750000001</v>
          </cell>
          <cell r="R9">
            <v>241.68</v>
          </cell>
          <cell r="AX9">
            <v>177.23000000000002</v>
          </cell>
        </row>
        <row r="10">
          <cell r="D10">
            <v>412.99950590000003</v>
          </cell>
          <cell r="R10">
            <v>250.25</v>
          </cell>
          <cell r="AX10">
            <v>193.29000000000002</v>
          </cell>
        </row>
        <row r="11">
          <cell r="D11">
            <v>406.89916890000001</v>
          </cell>
          <cell r="R11">
            <v>245.63</v>
          </cell>
          <cell r="AX11">
            <v>191.63</v>
          </cell>
        </row>
        <row r="12">
          <cell r="D12">
            <v>410.60394829999996</v>
          </cell>
          <cell r="R12">
            <v>246.15</v>
          </cell>
          <cell r="AX12">
            <v>193.32999999999998</v>
          </cell>
        </row>
        <row r="13">
          <cell r="D13">
            <v>418.67811509999996</v>
          </cell>
          <cell r="R13">
            <v>248.93</v>
          </cell>
          <cell r="AX13">
            <v>188.92</v>
          </cell>
        </row>
        <row r="14">
          <cell r="D14">
            <v>427.08094599999998</v>
          </cell>
          <cell r="R14">
            <v>253.24000000000004</v>
          </cell>
          <cell r="AX14">
            <v>192.44</v>
          </cell>
        </row>
        <row r="15">
          <cell r="D15">
            <v>409.94536010000002</v>
          </cell>
          <cell r="R15">
            <v>243.41000000000003</v>
          </cell>
          <cell r="AX15">
            <v>183.75</v>
          </cell>
        </row>
        <row r="16">
          <cell r="D16">
            <v>415.68953399999998</v>
          </cell>
          <cell r="R16">
            <v>244.77</v>
          </cell>
          <cell r="AX16">
            <v>189.92000000000002</v>
          </cell>
        </row>
        <row r="17">
          <cell r="D17">
            <v>418.77541980000001</v>
          </cell>
          <cell r="R17">
            <v>245</v>
          </cell>
          <cell r="AX17">
            <v>179.79</v>
          </cell>
        </row>
        <row r="18">
          <cell r="D18">
            <v>426.98194009999997</v>
          </cell>
          <cell r="R18">
            <v>250.14000000000001</v>
          </cell>
          <cell r="AX18">
            <v>180.25000000000003</v>
          </cell>
        </row>
        <row r="19">
          <cell r="D19">
            <v>426.84605370000003</v>
          </cell>
          <cell r="R19">
            <v>248.45</v>
          </cell>
          <cell r="AX19">
            <v>186.22</v>
          </cell>
        </row>
        <row r="20">
          <cell r="D20">
            <v>442.08172450000001</v>
          </cell>
          <cell r="R20">
            <v>255.84</v>
          </cell>
          <cell r="AX20">
            <v>198.91</v>
          </cell>
        </row>
        <row r="21">
          <cell r="D21">
            <v>435.79834549999993</v>
          </cell>
          <cell r="R21">
            <v>251.12000000000003</v>
          </cell>
          <cell r="AX21">
            <v>203.36999999999998</v>
          </cell>
        </row>
        <row r="22">
          <cell r="D22">
            <v>436.71322250000003</v>
          </cell>
          <cell r="R22">
            <v>251.12</v>
          </cell>
          <cell r="AX22">
            <v>180.96</v>
          </cell>
        </row>
        <row r="23">
          <cell r="D23">
            <v>435.86807500000003</v>
          </cell>
          <cell r="R23">
            <v>251.12</v>
          </cell>
          <cell r="AX23">
            <v>189.43</v>
          </cell>
        </row>
        <row r="24">
          <cell r="D24">
            <v>423.23568080000001</v>
          </cell>
          <cell r="R24">
            <v>244.23999999999998</v>
          </cell>
          <cell r="AX24">
            <v>189.64</v>
          </cell>
        </row>
        <row r="25">
          <cell r="D25">
            <v>421.3013029</v>
          </cell>
          <cell r="R25">
            <v>242.52</v>
          </cell>
          <cell r="AX25">
            <v>186.39</v>
          </cell>
        </row>
        <row r="26">
          <cell r="D26">
            <v>447.72163969999997</v>
          </cell>
          <cell r="R26">
            <v>258.00000000000006</v>
          </cell>
          <cell r="AX26">
            <v>188.32</v>
          </cell>
        </row>
        <row r="27">
          <cell r="D27">
            <v>427.73678699999999</v>
          </cell>
          <cell r="R27">
            <v>247.15</v>
          </cell>
          <cell r="AX27">
            <v>192.04</v>
          </cell>
        </row>
        <row r="28">
          <cell r="D28">
            <v>412.52134839999997</v>
          </cell>
          <cell r="R28">
            <v>238.82</v>
          </cell>
          <cell r="AX28">
            <v>181.01999999999998</v>
          </cell>
        </row>
        <row r="29">
          <cell r="D29">
            <v>405.3927554</v>
          </cell>
          <cell r="R29">
            <v>237.04</v>
          </cell>
          <cell r="AX29">
            <v>163.51</v>
          </cell>
        </row>
        <row r="30">
          <cell r="D30">
            <v>417.53688100000005</v>
          </cell>
          <cell r="R30">
            <v>246.26999999999998</v>
          </cell>
          <cell r="AX30">
            <v>186.17</v>
          </cell>
        </row>
        <row r="31">
          <cell r="D31">
            <v>422.64467400000001</v>
          </cell>
          <cell r="R31">
            <v>248.49999999999997</v>
          </cell>
          <cell r="AX31">
            <v>172.76</v>
          </cell>
        </row>
        <row r="32">
          <cell r="D32">
            <v>426.04689139999999</v>
          </cell>
          <cell r="R32">
            <v>248.39</v>
          </cell>
          <cell r="AX32">
            <v>176.88</v>
          </cell>
        </row>
        <row r="33">
          <cell r="D33">
            <v>422.9764801</v>
          </cell>
          <cell r="R33">
            <v>249.43</v>
          </cell>
          <cell r="AX33">
            <v>177.76000000000002</v>
          </cell>
        </row>
        <row r="34">
          <cell r="D34">
            <v>413.54277389999999</v>
          </cell>
          <cell r="R34">
            <v>246.82</v>
          </cell>
          <cell r="AX34">
            <v>180.24</v>
          </cell>
        </row>
        <row r="35">
          <cell r="D35">
            <v>383.82511890000006</v>
          </cell>
          <cell r="R35">
            <v>232.97</v>
          </cell>
          <cell r="AX35">
            <v>170.51</v>
          </cell>
        </row>
        <row r="36">
          <cell r="D36">
            <v>275.39262969999999</v>
          </cell>
          <cell r="R36">
            <v>170.35000000000005</v>
          </cell>
          <cell r="AX36">
            <v>101.67000000000002</v>
          </cell>
        </row>
        <row r="37">
          <cell r="D37">
            <v>0</v>
          </cell>
          <cell r="R37">
            <v>0</v>
          </cell>
          <cell r="AX37">
            <v>0</v>
          </cell>
        </row>
        <row r="38">
          <cell r="D38">
            <v>12262.008862922252</v>
          </cell>
          <cell r="R38">
            <v>7221.7300003</v>
          </cell>
          <cell r="AX38">
            <v>5383.37</v>
          </cell>
        </row>
      </sheetData>
      <sheetData sheetId="11"/>
      <sheetData sheetId="12"/>
      <sheetData sheetId="13">
        <row r="7">
          <cell r="D7">
            <v>406.98747765881302</v>
          </cell>
          <cell r="R7">
            <v>257.30900000000003</v>
          </cell>
          <cell r="BA7">
            <v>173.89100000000002</v>
          </cell>
        </row>
        <row r="8">
          <cell r="D8">
            <v>355.21183250000001</v>
          </cell>
          <cell r="R8">
            <v>223.42400000000001</v>
          </cell>
          <cell r="BA8">
            <v>159.458</v>
          </cell>
        </row>
        <row r="9">
          <cell r="D9">
            <v>161.21761360000002</v>
          </cell>
          <cell r="R9">
            <v>107.497</v>
          </cell>
          <cell r="BA9">
            <v>72.264500000000012</v>
          </cell>
        </row>
        <row r="10">
          <cell r="D10">
            <v>364.50265209999998</v>
          </cell>
          <cell r="R10">
            <v>229.07</v>
          </cell>
          <cell r="BA10">
            <v>167.76750000000001</v>
          </cell>
        </row>
        <row r="11">
          <cell r="D11">
            <v>387.6616214</v>
          </cell>
          <cell r="R11">
            <v>247.369</v>
          </cell>
          <cell r="BA11">
            <v>167.7535</v>
          </cell>
        </row>
        <row r="12">
          <cell r="D12">
            <v>412.52180149999998</v>
          </cell>
          <cell r="R12">
            <v>268.07100000000003</v>
          </cell>
          <cell r="BA12">
            <v>175.22750000000002</v>
          </cell>
        </row>
        <row r="13">
          <cell r="D13">
            <v>406.57184039999999</v>
          </cell>
          <cell r="R13">
            <v>265.11500000000001</v>
          </cell>
          <cell r="BA13">
            <v>181.98300000000003</v>
          </cell>
        </row>
        <row r="14">
          <cell r="D14">
            <v>412.80015459999998</v>
          </cell>
          <cell r="R14">
            <v>267.56599999999997</v>
          </cell>
          <cell r="BA14">
            <v>186.93</v>
          </cell>
        </row>
        <row r="15">
          <cell r="D15">
            <v>409.33402139999998</v>
          </cell>
          <cell r="R15">
            <v>265.52100000000002</v>
          </cell>
          <cell r="BA15">
            <v>181.27300000000002</v>
          </cell>
        </row>
        <row r="16">
          <cell r="D16">
            <v>408.87807879999997</v>
          </cell>
          <cell r="R16">
            <v>266.767</v>
          </cell>
          <cell r="BA16">
            <v>184.97450000000001</v>
          </cell>
        </row>
        <row r="17">
          <cell r="D17">
            <v>406.65143990000001</v>
          </cell>
          <cell r="R17">
            <v>264.95499999999998</v>
          </cell>
          <cell r="BA17">
            <v>178.52</v>
          </cell>
        </row>
        <row r="18">
          <cell r="D18">
            <v>401.04217479999994</v>
          </cell>
          <cell r="R18">
            <v>261.26</v>
          </cell>
          <cell r="BA18">
            <v>184.078</v>
          </cell>
        </row>
        <row r="19">
          <cell r="D19">
            <v>409.30407650000001</v>
          </cell>
          <cell r="R19">
            <v>265.92500000000001</v>
          </cell>
          <cell r="BA19">
            <v>192.33150000000001</v>
          </cell>
        </row>
        <row r="20">
          <cell r="D20">
            <v>391.94273040000002</v>
          </cell>
          <cell r="R20">
            <v>253.70599999999999</v>
          </cell>
          <cell r="BA20">
            <v>187.19550000000001</v>
          </cell>
        </row>
        <row r="21">
          <cell r="D21">
            <v>430.2844149</v>
          </cell>
          <cell r="R21">
            <v>277.18900000000002</v>
          </cell>
          <cell r="BA21">
            <v>183.78549999999998</v>
          </cell>
        </row>
        <row r="22">
          <cell r="D22">
            <v>395.37525199999999</v>
          </cell>
          <cell r="R22">
            <v>251.667</v>
          </cell>
          <cell r="BA22">
            <v>175.25900000000001</v>
          </cell>
        </row>
        <row r="23">
          <cell r="D23">
            <v>391.95339080000008</v>
          </cell>
          <cell r="R23">
            <v>248.756</v>
          </cell>
          <cell r="BA23">
            <v>182.20349999999999</v>
          </cell>
        </row>
        <row r="24">
          <cell r="D24">
            <v>397.42570280000001</v>
          </cell>
          <cell r="R24">
            <v>252.46600000000001</v>
          </cell>
          <cell r="BA24">
            <v>189.15300000000002</v>
          </cell>
        </row>
        <row r="25">
          <cell r="D25">
            <v>409.52149799999995</v>
          </cell>
          <cell r="R25">
            <v>259.447</v>
          </cell>
          <cell r="BA25">
            <v>187.91300000000001</v>
          </cell>
        </row>
        <row r="26">
          <cell r="D26">
            <v>424.53116489999996</v>
          </cell>
          <cell r="R26">
            <v>269.29700000000003</v>
          </cell>
          <cell r="BA26">
            <v>200.36600000000001</v>
          </cell>
        </row>
        <row r="27">
          <cell r="D27">
            <v>415.55644320000005</v>
          </cell>
          <cell r="R27">
            <v>261.76299999999998</v>
          </cell>
          <cell r="BA27">
            <v>190.99250000000001</v>
          </cell>
        </row>
        <row r="28">
          <cell r="D28">
            <v>403.75965230000003</v>
          </cell>
          <cell r="R28">
            <v>253.08099999999999</v>
          </cell>
          <cell r="BA28">
            <v>184.10699999999997</v>
          </cell>
        </row>
        <row r="29">
          <cell r="D29">
            <v>419.96362220000003</v>
          </cell>
          <cell r="R29">
            <v>261.68599999999998</v>
          </cell>
          <cell r="BA29">
            <v>194.34150000000002</v>
          </cell>
        </row>
        <row r="30">
          <cell r="D30">
            <v>387.25132830000001</v>
          </cell>
          <cell r="R30">
            <v>243.245</v>
          </cell>
          <cell r="BA30">
            <v>188.733</v>
          </cell>
        </row>
        <row r="31">
          <cell r="D31">
            <v>419.02189219999997</v>
          </cell>
          <cell r="R31">
            <v>262.26299999999998</v>
          </cell>
          <cell r="BA31">
            <v>180.70599999999999</v>
          </cell>
        </row>
        <row r="32">
          <cell r="D32">
            <v>411.42021500000004</v>
          </cell>
          <cell r="R32">
            <v>264.33600000000001</v>
          </cell>
          <cell r="BA32">
            <v>189.56450000000001</v>
          </cell>
        </row>
        <row r="33">
          <cell r="D33">
            <v>411.51168269999999</v>
          </cell>
          <cell r="R33">
            <v>257.34399999999999</v>
          </cell>
          <cell r="BA33">
            <v>192.46350000000001</v>
          </cell>
        </row>
        <row r="34">
          <cell r="D34">
            <v>430.34110459999999</v>
          </cell>
          <cell r="R34">
            <v>264.94200000000001</v>
          </cell>
          <cell r="BA34">
            <v>178.97549999999998</v>
          </cell>
        </row>
        <row r="35">
          <cell r="D35">
            <v>375.40800419999999</v>
          </cell>
          <cell r="R35">
            <v>233.90600000000001</v>
          </cell>
          <cell r="BA35">
            <v>172.381</v>
          </cell>
        </row>
        <row r="36">
          <cell r="D36">
            <v>423.25879250000003</v>
          </cell>
          <cell r="R36">
            <v>264.15899999999999</v>
          </cell>
          <cell r="BA36">
            <v>175.42250000000001</v>
          </cell>
        </row>
        <row r="37">
          <cell r="D37">
            <v>403.29493500000007</v>
          </cell>
          <cell r="R37">
            <v>253.428</v>
          </cell>
          <cell r="BA37">
            <v>202.85000000000002</v>
          </cell>
        </row>
        <row r="38">
          <cell r="D38">
            <v>12284.506611158815</v>
          </cell>
          <cell r="R38">
            <v>7822.53</v>
          </cell>
          <cell r="BA38">
            <v>5562.8644999999997</v>
          </cell>
        </row>
      </sheetData>
      <sheetData sheetId="14"/>
      <sheetData sheetId="15"/>
      <sheetData sheetId="16">
        <row r="7">
          <cell r="D7">
            <v>397.913653747365</v>
          </cell>
          <cell r="T7">
            <v>250.04000029999997</v>
          </cell>
          <cell r="BA7">
            <v>203.57400000000001</v>
          </cell>
        </row>
        <row r="8">
          <cell r="D8">
            <v>399.82673990000001</v>
          </cell>
          <cell r="T8">
            <v>250.82</v>
          </cell>
          <cell r="BA8">
            <v>180.261</v>
          </cell>
        </row>
        <row r="9">
          <cell r="D9">
            <v>403.18158400000004</v>
          </cell>
          <cell r="T9">
            <v>252.91</v>
          </cell>
          <cell r="BA9">
            <v>190.80600000000001</v>
          </cell>
        </row>
        <row r="10">
          <cell r="D10">
            <v>379.5391032</v>
          </cell>
          <cell r="T10">
            <v>237.23</v>
          </cell>
          <cell r="BA10">
            <v>185.26650000000001</v>
          </cell>
        </row>
        <row r="11">
          <cell r="D11">
            <v>409.02483080000002</v>
          </cell>
          <cell r="T11">
            <v>253.07</v>
          </cell>
          <cell r="BA11">
            <v>191.42100000000002</v>
          </cell>
        </row>
        <row r="12">
          <cell r="D12">
            <v>390.90138239999999</v>
          </cell>
          <cell r="T12">
            <v>241.45</v>
          </cell>
          <cell r="BA12">
            <v>179.29849999999999</v>
          </cell>
        </row>
        <row r="13">
          <cell r="D13">
            <v>396.83874349999996</v>
          </cell>
          <cell r="T13">
            <v>241.79</v>
          </cell>
          <cell r="BA13">
            <v>181.48300000000003</v>
          </cell>
        </row>
        <row r="14">
          <cell r="D14">
            <v>405.9364612</v>
          </cell>
          <cell r="T14">
            <v>246.04</v>
          </cell>
          <cell r="BA14">
            <v>181.12199999999999</v>
          </cell>
        </row>
        <row r="15">
          <cell r="D15">
            <v>392.55157160000005</v>
          </cell>
          <cell r="T15">
            <v>239.49999999999997</v>
          </cell>
          <cell r="BA15">
            <v>178.0035</v>
          </cell>
        </row>
        <row r="16">
          <cell r="D16">
            <v>421.69647029999999</v>
          </cell>
          <cell r="T16">
            <v>259.57</v>
          </cell>
          <cell r="BA16">
            <v>186.70349999999996</v>
          </cell>
        </row>
        <row r="17">
          <cell r="D17">
            <v>395.512</v>
          </cell>
          <cell r="T17">
            <v>244.72</v>
          </cell>
          <cell r="BA17">
            <v>184.57550000000001</v>
          </cell>
        </row>
        <row r="18">
          <cell r="D18">
            <v>154.5901078</v>
          </cell>
          <cell r="T18">
            <v>104.86</v>
          </cell>
          <cell r="BA18">
            <v>75.980999999999995</v>
          </cell>
        </row>
        <row r="19">
          <cell r="D19">
            <v>391.16121750000002</v>
          </cell>
          <cell r="T19">
            <v>246.28</v>
          </cell>
          <cell r="BA19">
            <v>203.08199999999999</v>
          </cell>
        </row>
        <row r="20">
          <cell r="D20">
            <v>407.63013050000001</v>
          </cell>
          <cell r="T20">
            <v>256.95999999999998</v>
          </cell>
          <cell r="BA20">
            <v>178.59349999999998</v>
          </cell>
        </row>
        <row r="21">
          <cell r="D21">
            <v>414.32216969999996</v>
          </cell>
          <cell r="T21">
            <v>259.55999999999995</v>
          </cell>
          <cell r="BA21">
            <v>203.11850000000001</v>
          </cell>
        </row>
        <row r="22">
          <cell r="D22">
            <v>429.37408840000001</v>
          </cell>
          <cell r="T22">
            <v>270.89</v>
          </cell>
          <cell r="BA22">
            <v>196.16849999999999</v>
          </cell>
        </row>
        <row r="23">
          <cell r="D23">
            <v>432.13429580000002</v>
          </cell>
          <cell r="T23">
            <v>274.26999999999992</v>
          </cell>
          <cell r="BA23">
            <v>193.1105</v>
          </cell>
        </row>
        <row r="24">
          <cell r="D24">
            <v>438.1060923</v>
          </cell>
          <cell r="T24">
            <v>278.92</v>
          </cell>
          <cell r="BA24">
            <v>205.99149999999997</v>
          </cell>
        </row>
        <row r="25">
          <cell r="D25">
            <v>413.70782389999999</v>
          </cell>
          <cell r="T25">
            <v>263.54000000000002</v>
          </cell>
          <cell r="BA25">
            <v>177.83</v>
          </cell>
        </row>
        <row r="26">
          <cell r="D26">
            <v>398.84748500000006</v>
          </cell>
          <cell r="T26">
            <v>253.91000000000003</v>
          </cell>
          <cell r="BA26">
            <v>199.92050000000003</v>
          </cell>
        </row>
        <row r="27">
          <cell r="D27">
            <v>396.16510099999999</v>
          </cell>
          <cell r="T27">
            <v>251.37000000000003</v>
          </cell>
          <cell r="BA27">
            <v>179.10449999999997</v>
          </cell>
        </row>
        <row r="28">
          <cell r="D28">
            <v>391.66694040000004</v>
          </cell>
          <cell r="T28">
            <v>251.33</v>
          </cell>
          <cell r="BA28">
            <v>181.66749999999999</v>
          </cell>
        </row>
        <row r="29">
          <cell r="D29">
            <v>392.3284079</v>
          </cell>
          <cell r="T29">
            <v>252.12</v>
          </cell>
          <cell r="BA29">
            <v>188.05500000000001</v>
          </cell>
        </row>
        <row r="30">
          <cell r="D30">
            <v>396.15467970000003</v>
          </cell>
          <cell r="T30">
            <v>263.82999999999993</v>
          </cell>
          <cell r="BA30">
            <v>191.3775</v>
          </cell>
        </row>
        <row r="31">
          <cell r="D31">
            <v>89.658851600000006</v>
          </cell>
          <cell r="T31">
            <v>65.099999999999994</v>
          </cell>
          <cell r="BA31">
            <v>62.930000000000007</v>
          </cell>
        </row>
        <row r="32">
          <cell r="D32">
            <v>113.39918560000001</v>
          </cell>
          <cell r="T32">
            <v>75.959999999999994</v>
          </cell>
          <cell r="BA32">
            <v>0</v>
          </cell>
        </row>
        <row r="33">
          <cell r="D33">
            <v>299.1361331</v>
          </cell>
          <cell r="T33">
            <v>195.66</v>
          </cell>
          <cell r="BA33">
            <v>111.52699999999999</v>
          </cell>
        </row>
        <row r="34">
          <cell r="D34">
            <v>426.72025679999996</v>
          </cell>
          <cell r="T34">
            <v>276.61</v>
          </cell>
          <cell r="BA34">
            <v>200.22449999999998</v>
          </cell>
        </row>
        <row r="35">
          <cell r="D35">
            <v>433.45383549999997</v>
          </cell>
          <cell r="T35">
            <v>279.25</v>
          </cell>
          <cell r="BA35">
            <v>208.16300000000001</v>
          </cell>
        </row>
        <row r="36">
          <cell r="D36">
            <v>434.52220500000004</v>
          </cell>
          <cell r="T36">
            <v>275.81000000000006</v>
          </cell>
          <cell r="BA36">
            <v>205.04349999999999</v>
          </cell>
        </row>
        <row r="37">
          <cell r="D37">
            <v>454.5244672</v>
          </cell>
          <cell r="T37">
            <v>285.60000000000008</v>
          </cell>
          <cell r="BA37">
            <v>178.08999999999997</v>
          </cell>
        </row>
        <row r="38">
          <cell r="D38">
            <v>11700.526015347365</v>
          </cell>
          <cell r="T38">
            <v>7398.9700002999998</v>
          </cell>
          <cell r="BA38">
            <v>5382.4930000000004</v>
          </cell>
        </row>
      </sheetData>
      <sheetData sheetId="17"/>
      <sheetData sheetId="18"/>
      <sheetData sheetId="19">
        <row r="7">
          <cell r="D7">
            <v>444.65522251005797</v>
          </cell>
          <cell r="T7">
            <v>279.0700003</v>
          </cell>
          <cell r="BA7">
            <v>229.41449999999998</v>
          </cell>
        </row>
        <row r="8">
          <cell r="D8">
            <v>469.03323119999999</v>
          </cell>
          <cell r="T8">
            <v>292.83</v>
          </cell>
          <cell r="BA8">
            <v>213.45550000000003</v>
          </cell>
        </row>
        <row r="9">
          <cell r="D9">
            <v>474.11125519999996</v>
          </cell>
          <cell r="T9">
            <v>294.61</v>
          </cell>
          <cell r="BA9">
            <v>228.46050000000002</v>
          </cell>
        </row>
        <row r="10">
          <cell r="D10">
            <v>464.67742369999996</v>
          </cell>
          <cell r="T10">
            <v>288.47000000000008</v>
          </cell>
          <cell r="BA10">
            <v>194.75900000000001</v>
          </cell>
        </row>
        <row r="11">
          <cell r="D11">
            <v>467.84209440000001</v>
          </cell>
          <cell r="T11">
            <v>288.39999999999998</v>
          </cell>
          <cell r="BA11">
            <v>217.83699999999996</v>
          </cell>
        </row>
        <row r="12">
          <cell r="D12">
            <v>474.59655779999997</v>
          </cell>
          <cell r="T12">
            <v>293.70999999999998</v>
          </cell>
          <cell r="BA12">
            <v>217.55699999999999</v>
          </cell>
        </row>
        <row r="13">
          <cell r="D13">
            <v>444.82030849999995</v>
          </cell>
          <cell r="T13">
            <v>277.91000000000003</v>
          </cell>
          <cell r="BA13">
            <v>189.696</v>
          </cell>
        </row>
        <row r="14">
          <cell r="D14">
            <v>467.01408080000004</v>
          </cell>
          <cell r="T14">
            <v>292.48</v>
          </cell>
          <cell r="BA14">
            <v>228.45100000000002</v>
          </cell>
        </row>
        <row r="15">
          <cell r="D15">
            <v>458.83681489999998</v>
          </cell>
          <cell r="T15">
            <v>290.55</v>
          </cell>
          <cell r="BA15">
            <v>159.64999999999998</v>
          </cell>
        </row>
        <row r="16">
          <cell r="D16">
            <v>436.16652419999997</v>
          </cell>
          <cell r="T16">
            <v>277.95999999999998</v>
          </cell>
          <cell r="BA16">
            <v>201.47550000000001</v>
          </cell>
        </row>
        <row r="17">
          <cell r="D17">
            <v>451.04358230000003</v>
          </cell>
          <cell r="T17">
            <v>286.25</v>
          </cell>
          <cell r="BA17">
            <v>209.7355</v>
          </cell>
        </row>
        <row r="18">
          <cell r="D18">
            <v>378.08917149999996</v>
          </cell>
          <cell r="T18">
            <v>239.61</v>
          </cell>
          <cell r="BA18">
            <v>177.35150000000002</v>
          </cell>
        </row>
        <row r="19">
          <cell r="D19">
            <v>449.88627109999999</v>
          </cell>
          <cell r="T19">
            <v>283.33000000000004</v>
          </cell>
          <cell r="BA19">
            <v>225.73899999999998</v>
          </cell>
        </row>
        <row r="20">
          <cell r="D20">
            <v>452.81228219999997</v>
          </cell>
          <cell r="T20">
            <v>279.12</v>
          </cell>
          <cell r="BA20">
            <v>217.60899999999998</v>
          </cell>
        </row>
        <row r="21">
          <cell r="D21">
            <v>447.08628339999996</v>
          </cell>
          <cell r="T21">
            <v>271.57</v>
          </cell>
          <cell r="BA21">
            <v>214.48820000000003</v>
          </cell>
        </row>
        <row r="22">
          <cell r="D22">
            <v>389.09820810000002</v>
          </cell>
          <cell r="T22">
            <v>234</v>
          </cell>
          <cell r="BA22">
            <v>220.749</v>
          </cell>
        </row>
        <row r="23">
          <cell r="D23">
            <v>345.0664792</v>
          </cell>
          <cell r="T23">
            <v>212.54</v>
          </cell>
          <cell r="BA23">
            <v>117.77749999999999</v>
          </cell>
        </row>
        <row r="24">
          <cell r="D24">
            <v>477.45535339999998</v>
          </cell>
          <cell r="T24">
            <v>293.11</v>
          </cell>
          <cell r="BA24">
            <v>212.34899999999999</v>
          </cell>
        </row>
        <row r="25">
          <cell r="D25">
            <v>453.53774459999994</v>
          </cell>
          <cell r="T25">
            <v>276.75</v>
          </cell>
          <cell r="BA25">
            <v>126.28</v>
          </cell>
        </row>
        <row r="26">
          <cell r="D26">
            <v>456.19521120000002</v>
          </cell>
          <cell r="T26">
            <v>276.22000000000003</v>
          </cell>
          <cell r="BA26">
            <v>226.03449999999998</v>
          </cell>
        </row>
        <row r="27">
          <cell r="D27">
            <v>453.35507460000002</v>
          </cell>
          <cell r="T27">
            <v>273.51</v>
          </cell>
          <cell r="BA27">
            <v>221.66050000000001</v>
          </cell>
        </row>
        <row r="28">
          <cell r="D28">
            <v>481.38816159999999</v>
          </cell>
          <cell r="T28">
            <v>288.03999999999996</v>
          </cell>
          <cell r="BA28">
            <v>251.0615</v>
          </cell>
        </row>
        <row r="29">
          <cell r="D29">
            <v>450.71252300000003</v>
          </cell>
          <cell r="T29">
            <v>268.17999999999995</v>
          </cell>
          <cell r="BA29">
            <v>181.542</v>
          </cell>
        </row>
        <row r="30">
          <cell r="D30">
            <v>472.95444270000002</v>
          </cell>
          <cell r="T30">
            <v>280</v>
          </cell>
          <cell r="BA30">
            <v>212.78199999999998</v>
          </cell>
        </row>
        <row r="31">
          <cell r="D31">
            <v>513.84080199999994</v>
          </cell>
          <cell r="T31">
            <v>300.41999999999996</v>
          </cell>
          <cell r="BA31">
            <v>239.37800000000001</v>
          </cell>
        </row>
        <row r="32">
          <cell r="D32">
            <v>505.281273</v>
          </cell>
          <cell r="T32">
            <v>294.77</v>
          </cell>
          <cell r="BA32">
            <v>229.41550000000001</v>
          </cell>
        </row>
        <row r="33">
          <cell r="D33">
            <v>506.1100338</v>
          </cell>
          <cell r="T33">
            <v>293.33000000000004</v>
          </cell>
          <cell r="BA33">
            <v>238.39250000000001</v>
          </cell>
        </row>
        <row r="34">
          <cell r="D34">
            <v>502.76946579999998</v>
          </cell>
          <cell r="T34">
            <v>291.80000000000007</v>
          </cell>
          <cell r="BA34">
            <v>226.35899999999998</v>
          </cell>
        </row>
        <row r="35">
          <cell r="D35">
            <v>502.1133761000001</v>
          </cell>
          <cell r="T35">
            <v>294.40999999999997</v>
          </cell>
          <cell r="BA35">
            <v>226.68899999999996</v>
          </cell>
        </row>
        <row r="36">
          <cell r="D36">
            <v>519.13566049999997</v>
          </cell>
          <cell r="T36">
            <v>311.85000000000002</v>
          </cell>
          <cell r="BA36">
            <v>188.05</v>
          </cell>
        </row>
        <row r="37">
          <cell r="D37">
            <v>0</v>
          </cell>
          <cell r="T37">
            <v>0</v>
          </cell>
          <cell r="BA37">
            <v>0</v>
          </cell>
        </row>
        <row r="38">
          <cell r="D38">
            <v>13809.684913310059</v>
          </cell>
          <cell r="T38">
            <v>8424.8000002999997</v>
          </cell>
          <cell r="BA38">
            <v>6244.1992</v>
          </cell>
        </row>
      </sheetData>
      <sheetData sheetId="20"/>
      <sheetData sheetId="21"/>
      <sheetData sheetId="22">
        <row r="7">
          <cell r="D7">
            <v>202.60049026262396</v>
          </cell>
          <cell r="T7">
            <v>127.7200002</v>
          </cell>
          <cell r="BA7">
            <v>92.281499999999994</v>
          </cell>
        </row>
        <row r="8">
          <cell r="D8">
            <v>479.42358080000002</v>
          </cell>
          <cell r="T8">
            <v>288.19</v>
          </cell>
          <cell r="BA8">
            <v>225.04300000000001</v>
          </cell>
        </row>
        <row r="9">
          <cell r="D9">
            <v>505.15968290000006</v>
          </cell>
          <cell r="T9">
            <v>303.77999999999992</v>
          </cell>
          <cell r="BA9">
            <v>234.67000000000002</v>
          </cell>
        </row>
        <row r="10">
          <cell r="D10">
            <v>485.03826520000001</v>
          </cell>
          <cell r="T10">
            <v>292.3</v>
          </cell>
          <cell r="BA10">
            <v>227.947</v>
          </cell>
        </row>
        <row r="11">
          <cell r="D11">
            <v>525.22490929999992</v>
          </cell>
          <cell r="T11">
            <v>316.94</v>
          </cell>
          <cell r="BA11">
            <v>233.74249999999998</v>
          </cell>
        </row>
        <row r="12">
          <cell r="D12">
            <v>499.09640309999997</v>
          </cell>
          <cell r="T12">
            <v>301.22000000000003</v>
          </cell>
          <cell r="BA12">
            <v>228.09900000000002</v>
          </cell>
        </row>
        <row r="13">
          <cell r="D13">
            <v>429.77229920000002</v>
          </cell>
          <cell r="T13">
            <v>261.34000000000003</v>
          </cell>
          <cell r="BA13">
            <v>199.23500000000001</v>
          </cell>
        </row>
        <row r="14">
          <cell r="D14">
            <v>496.58437150000003</v>
          </cell>
          <cell r="T14">
            <v>302.89</v>
          </cell>
          <cell r="BA14">
            <v>223.62899999999996</v>
          </cell>
        </row>
        <row r="15">
          <cell r="D15">
            <v>440.69203629999998</v>
          </cell>
          <cell r="T15">
            <v>273.52</v>
          </cell>
          <cell r="BA15">
            <v>207.22350000000003</v>
          </cell>
        </row>
        <row r="16">
          <cell r="D16">
            <v>476.99913679999997</v>
          </cell>
          <cell r="T16">
            <v>293.24</v>
          </cell>
          <cell r="BA16">
            <v>155.44</v>
          </cell>
        </row>
        <row r="17">
          <cell r="D17">
            <v>470.62323260000005</v>
          </cell>
          <cell r="T17">
            <v>289.48</v>
          </cell>
          <cell r="BA17">
            <v>214.15949999999998</v>
          </cell>
        </row>
        <row r="18">
          <cell r="D18">
            <v>493.43610850000005</v>
          </cell>
          <cell r="T18">
            <v>303.77999999999997</v>
          </cell>
          <cell r="BA18">
            <v>223.84199999999998</v>
          </cell>
        </row>
        <row r="19">
          <cell r="D19">
            <v>452.47709150000003</v>
          </cell>
          <cell r="T19">
            <v>276.85000000000002</v>
          </cell>
          <cell r="BA19">
            <v>210.12949999999998</v>
          </cell>
        </row>
        <row r="20">
          <cell r="D20">
            <v>277.25270699999999</v>
          </cell>
          <cell r="T20">
            <v>172.99</v>
          </cell>
          <cell r="BA20">
            <v>114.6855</v>
          </cell>
        </row>
        <row r="21">
          <cell r="D21">
            <v>462.29540280000003</v>
          </cell>
          <cell r="T21">
            <v>282.09000000000003</v>
          </cell>
          <cell r="BA21">
            <v>221.14</v>
          </cell>
        </row>
        <row r="22">
          <cell r="D22">
            <v>466.84783150000004</v>
          </cell>
          <cell r="T22">
            <v>285.27999999999997</v>
          </cell>
          <cell r="BA22">
            <v>238.79699999999997</v>
          </cell>
        </row>
        <row r="23">
          <cell r="D23">
            <v>476.60699760000006</v>
          </cell>
          <cell r="T23">
            <v>288</v>
          </cell>
          <cell r="BA23">
            <v>226.2045</v>
          </cell>
        </row>
        <row r="24">
          <cell r="D24">
            <v>495.72107740000001</v>
          </cell>
          <cell r="T24">
            <v>298.8</v>
          </cell>
          <cell r="BA24">
            <v>243.28149999999999</v>
          </cell>
        </row>
        <row r="25">
          <cell r="D25">
            <v>477.40075809999996</v>
          </cell>
          <cell r="T25">
            <v>287.27999999999997</v>
          </cell>
          <cell r="BA25">
            <v>225.27699999999999</v>
          </cell>
        </row>
        <row r="26">
          <cell r="D26">
            <v>502.41344400000003</v>
          </cell>
          <cell r="T26">
            <v>305.48</v>
          </cell>
          <cell r="BA26">
            <v>189.10999999999999</v>
          </cell>
        </row>
        <row r="27">
          <cell r="D27">
            <v>464.01561450000003</v>
          </cell>
          <cell r="T27">
            <v>280.82</v>
          </cell>
          <cell r="BA27">
            <v>233.70350000000002</v>
          </cell>
        </row>
        <row r="28">
          <cell r="D28">
            <v>483.4413189</v>
          </cell>
          <cell r="T28">
            <v>289.01</v>
          </cell>
          <cell r="BA28">
            <v>243.44050000000001</v>
          </cell>
        </row>
        <row r="29">
          <cell r="D29">
            <v>501.128376</v>
          </cell>
          <cell r="T29">
            <v>298.8</v>
          </cell>
          <cell r="BA29">
            <v>238.45600000000002</v>
          </cell>
        </row>
        <row r="30">
          <cell r="D30">
            <v>498.92925440000005</v>
          </cell>
          <cell r="T30">
            <v>302.67</v>
          </cell>
          <cell r="BA30">
            <v>235.53149999999997</v>
          </cell>
        </row>
        <row r="31">
          <cell r="D31">
            <v>496.13862139999998</v>
          </cell>
          <cell r="T31">
            <v>299.62</v>
          </cell>
          <cell r="BA31">
            <v>223.14150000000001</v>
          </cell>
        </row>
        <row r="32">
          <cell r="D32">
            <v>492.94202089999999</v>
          </cell>
          <cell r="T32">
            <v>298.5</v>
          </cell>
          <cell r="BA32">
            <v>231.018</v>
          </cell>
        </row>
        <row r="33">
          <cell r="D33">
            <v>494.05984979999999</v>
          </cell>
          <cell r="T33">
            <v>302.12</v>
          </cell>
          <cell r="BA33">
            <v>244.4975</v>
          </cell>
        </row>
        <row r="34">
          <cell r="D34">
            <v>498.22737050000001</v>
          </cell>
          <cell r="T34">
            <v>304.82</v>
          </cell>
          <cell r="BA34">
            <v>228.93100000000001</v>
          </cell>
        </row>
        <row r="35">
          <cell r="D35">
            <v>490.68493280000001</v>
          </cell>
          <cell r="T35">
            <v>296.84000000000003</v>
          </cell>
          <cell r="BA35">
            <v>240.54000000000002</v>
          </cell>
        </row>
        <row r="36">
          <cell r="D36">
            <v>353.54843749999998</v>
          </cell>
          <cell r="T36">
            <v>214.96999999999997</v>
          </cell>
          <cell r="BA36">
            <v>163.66149999999999</v>
          </cell>
        </row>
        <row r="37">
          <cell r="D37">
            <v>487.49774130000003</v>
          </cell>
          <cell r="T37">
            <v>290.36999999999995</v>
          </cell>
          <cell r="BA37">
            <v>169.02000000000004</v>
          </cell>
        </row>
        <row r="38">
          <cell r="D38">
            <v>14376.279364362625</v>
          </cell>
          <cell r="T38">
            <v>8729.7100001999988</v>
          </cell>
          <cell r="BA38">
            <v>6585.8779999999997</v>
          </cell>
        </row>
      </sheetData>
      <sheetData sheetId="23"/>
      <sheetData sheetId="24"/>
      <sheetData sheetId="25">
        <row r="7">
          <cell r="D7">
            <v>478.05404387701697</v>
          </cell>
          <cell r="T7">
            <v>288.8000002</v>
          </cell>
          <cell r="BA7">
            <v>234.28850000000003</v>
          </cell>
        </row>
        <row r="8">
          <cell r="D8">
            <v>511.65711239999996</v>
          </cell>
          <cell r="T8">
            <v>307.47000000000003</v>
          </cell>
          <cell r="BA8">
            <v>226.73500000000001</v>
          </cell>
        </row>
        <row r="9">
          <cell r="D9">
            <v>510.81697959999997</v>
          </cell>
          <cell r="T9">
            <v>310.98</v>
          </cell>
          <cell r="BA9">
            <v>229.35149999999999</v>
          </cell>
        </row>
        <row r="10">
          <cell r="D10">
            <v>510.19338499999998</v>
          </cell>
          <cell r="T10">
            <v>314.06000000000006</v>
          </cell>
          <cell r="BA10">
            <v>242.66850000000002</v>
          </cell>
        </row>
        <row r="11">
          <cell r="D11">
            <v>504.17825530000005</v>
          </cell>
          <cell r="T11">
            <v>311.14</v>
          </cell>
          <cell r="BA11">
            <v>247.75149999999996</v>
          </cell>
        </row>
        <row r="12">
          <cell r="D12">
            <v>471.42819079999998</v>
          </cell>
          <cell r="T12">
            <v>289.14</v>
          </cell>
          <cell r="BA12">
            <v>209.81449999999998</v>
          </cell>
        </row>
        <row r="13">
          <cell r="D13">
            <v>496.30746809999999</v>
          </cell>
          <cell r="T13">
            <v>308.61</v>
          </cell>
          <cell r="BA13">
            <v>223.48849999999999</v>
          </cell>
        </row>
        <row r="14">
          <cell r="D14">
            <v>504.97155220000002</v>
          </cell>
          <cell r="T14">
            <v>309.57</v>
          </cell>
          <cell r="BA14">
            <v>237.97900000000001</v>
          </cell>
        </row>
        <row r="15">
          <cell r="D15">
            <v>480.39416620000003</v>
          </cell>
          <cell r="T15">
            <v>296.46000000000004</v>
          </cell>
          <cell r="BA15">
            <v>238.73350000000002</v>
          </cell>
        </row>
        <row r="16">
          <cell r="D16">
            <v>525.01331640000001</v>
          </cell>
          <cell r="T16">
            <v>322.7</v>
          </cell>
          <cell r="BA16">
            <v>241.31</v>
          </cell>
        </row>
        <row r="17">
          <cell r="D17">
            <v>139.85242500000001</v>
          </cell>
          <cell r="T17">
            <v>93.09</v>
          </cell>
          <cell r="BA17">
            <v>89.502499999999998</v>
          </cell>
        </row>
        <row r="18">
          <cell r="D18">
            <v>409.61762899999997</v>
          </cell>
          <cell r="T18">
            <v>261.98</v>
          </cell>
          <cell r="BA18">
            <v>161.68799999999999</v>
          </cell>
        </row>
        <row r="19">
          <cell r="D19">
            <v>484.6806267</v>
          </cell>
          <cell r="T19">
            <v>300.39999999999998</v>
          </cell>
          <cell r="BA19">
            <v>213.73350000000002</v>
          </cell>
        </row>
        <row r="20">
          <cell r="D20">
            <v>494.58993680000003</v>
          </cell>
          <cell r="T20">
            <v>302.02999999999997</v>
          </cell>
          <cell r="BA20">
            <v>249.64149999999995</v>
          </cell>
        </row>
        <row r="21">
          <cell r="D21">
            <v>464.01419270000002</v>
          </cell>
          <cell r="T21">
            <v>280.43000000000006</v>
          </cell>
          <cell r="BA21">
            <v>238.78899999999996</v>
          </cell>
        </row>
        <row r="22">
          <cell r="D22">
            <v>529.11082499999998</v>
          </cell>
          <cell r="T22">
            <v>317.73</v>
          </cell>
          <cell r="BA22">
            <v>238.51850000000005</v>
          </cell>
        </row>
        <row r="23">
          <cell r="D23">
            <v>481.88750129999994</v>
          </cell>
          <cell r="T23">
            <v>285.68</v>
          </cell>
          <cell r="BA23">
            <v>224.05850000000001</v>
          </cell>
        </row>
        <row r="24">
          <cell r="D24">
            <v>444.42064000000005</v>
          </cell>
          <cell r="T24">
            <v>265</v>
          </cell>
          <cell r="BA24">
            <v>223.61749999999998</v>
          </cell>
        </row>
        <row r="25">
          <cell r="D25">
            <v>496.40566000000001</v>
          </cell>
          <cell r="T25">
            <v>295.68</v>
          </cell>
          <cell r="BA25">
            <v>225.6335</v>
          </cell>
        </row>
        <row r="26">
          <cell r="D26">
            <v>490.78495920000006</v>
          </cell>
          <cell r="T26">
            <v>290.27999999999997</v>
          </cell>
          <cell r="BA26">
            <v>198.4</v>
          </cell>
        </row>
        <row r="27">
          <cell r="D27">
            <v>447.36053019999997</v>
          </cell>
          <cell r="T27">
            <v>266.20000000000005</v>
          </cell>
          <cell r="BA27">
            <v>223.083</v>
          </cell>
        </row>
        <row r="28">
          <cell r="D28">
            <v>494.2928283</v>
          </cell>
          <cell r="T28">
            <v>290.62</v>
          </cell>
          <cell r="BA28">
            <v>229.45050000000001</v>
          </cell>
        </row>
        <row r="29">
          <cell r="D29">
            <v>490.59000409999999</v>
          </cell>
          <cell r="T29">
            <v>283.73</v>
          </cell>
          <cell r="BA29">
            <v>251.44649999999999</v>
          </cell>
        </row>
        <row r="30">
          <cell r="D30">
            <v>522.4251984</v>
          </cell>
          <cell r="T30">
            <v>307.36</v>
          </cell>
          <cell r="BA30">
            <v>245.75949999999997</v>
          </cell>
        </row>
        <row r="31">
          <cell r="D31">
            <v>510.79417189999998</v>
          </cell>
          <cell r="T31">
            <v>301.12</v>
          </cell>
          <cell r="BA31">
            <v>236.59149999999997</v>
          </cell>
        </row>
        <row r="32">
          <cell r="D32">
            <v>496.86162000000002</v>
          </cell>
          <cell r="T32">
            <v>295.67999999999989</v>
          </cell>
          <cell r="BA32">
            <v>233.27649999999997</v>
          </cell>
        </row>
        <row r="33">
          <cell r="D33">
            <v>508.48792909999997</v>
          </cell>
          <cell r="T33">
            <v>301.20999999999998</v>
          </cell>
          <cell r="BA33">
            <v>248.215</v>
          </cell>
        </row>
        <row r="34">
          <cell r="D34">
            <v>503.33618409999997</v>
          </cell>
          <cell r="T34">
            <v>295.75000000000006</v>
          </cell>
          <cell r="BA34">
            <v>242.8725</v>
          </cell>
        </row>
        <row r="35">
          <cell r="D35">
            <v>557.42081759999996</v>
          </cell>
          <cell r="T35">
            <v>331.04</v>
          </cell>
          <cell r="BA35">
            <v>257.25100000000003</v>
          </cell>
        </row>
        <row r="36">
          <cell r="D36">
            <v>502.3822376</v>
          </cell>
          <cell r="T36">
            <v>298.72000000000003</v>
          </cell>
          <cell r="BA36">
            <v>211.48</v>
          </cell>
        </row>
        <row r="37">
          <cell r="D37">
            <v>0</v>
          </cell>
          <cell r="T37">
            <v>0</v>
          </cell>
          <cell r="BA37">
            <v>0</v>
          </cell>
        </row>
        <row r="38">
          <cell r="D38">
            <v>14462.330386877016</v>
          </cell>
          <cell r="T38">
            <v>8722.6600001999996</v>
          </cell>
          <cell r="BA38">
            <v>6775.128999999999</v>
          </cell>
        </row>
      </sheetData>
      <sheetData sheetId="26"/>
      <sheetData sheetId="27"/>
      <sheetData sheetId="28">
        <row r="7">
          <cell r="D7">
            <v>231.09960273759899</v>
          </cell>
          <cell r="T7">
            <v>145.06000019999999</v>
          </cell>
          <cell r="BA7">
            <v>129.42699999999999</v>
          </cell>
        </row>
        <row r="8">
          <cell r="D8">
            <v>512.00235099999998</v>
          </cell>
          <cell r="T8">
            <v>309.78000000000003</v>
          </cell>
          <cell r="BA8">
            <v>202.91300000000001</v>
          </cell>
        </row>
        <row r="9">
          <cell r="D9">
            <v>480.96090799999996</v>
          </cell>
          <cell r="T9">
            <v>296.02</v>
          </cell>
          <cell r="BA9">
            <v>216.72199999999998</v>
          </cell>
        </row>
        <row r="10">
          <cell r="D10">
            <v>496.85097459999997</v>
          </cell>
          <cell r="T10">
            <v>305.02999999999997</v>
          </cell>
          <cell r="BA10">
            <v>238.827</v>
          </cell>
        </row>
        <row r="11">
          <cell r="D11">
            <v>499.40628679999998</v>
          </cell>
          <cell r="T11">
            <v>314.12</v>
          </cell>
          <cell r="BA11">
            <v>234.30799999999999</v>
          </cell>
        </row>
        <row r="12">
          <cell r="D12">
            <v>491.0845726</v>
          </cell>
          <cell r="T12">
            <v>308.41999999999996</v>
          </cell>
          <cell r="BA12">
            <v>236.51399999999998</v>
          </cell>
        </row>
        <row r="13">
          <cell r="D13">
            <v>495.62887769999998</v>
          </cell>
          <cell r="T13">
            <v>312.5800000000001</v>
          </cell>
          <cell r="BA13">
            <v>232.33800000000002</v>
          </cell>
        </row>
        <row r="14">
          <cell r="D14">
            <v>502.54457239999999</v>
          </cell>
          <cell r="T14">
            <v>317.39999999999998</v>
          </cell>
          <cell r="BA14">
            <v>218.64149999999998</v>
          </cell>
        </row>
        <row r="15">
          <cell r="D15">
            <v>374.00077020000003</v>
          </cell>
          <cell r="T15">
            <v>235.42000000000002</v>
          </cell>
          <cell r="BA15">
            <v>222.643</v>
          </cell>
        </row>
        <row r="16">
          <cell r="D16">
            <v>504.97455000000002</v>
          </cell>
          <cell r="T16">
            <v>316.44</v>
          </cell>
          <cell r="BA16">
            <v>126.58000000000001</v>
          </cell>
        </row>
        <row r="17">
          <cell r="D17">
            <v>496.23969340000008</v>
          </cell>
          <cell r="T17">
            <v>309.01</v>
          </cell>
          <cell r="BA17">
            <v>242.4205</v>
          </cell>
        </row>
        <row r="18">
          <cell r="D18">
            <v>505.70438120000006</v>
          </cell>
          <cell r="T18">
            <v>314.81</v>
          </cell>
          <cell r="BA18">
            <v>241.464</v>
          </cell>
        </row>
        <row r="19">
          <cell r="D19">
            <v>496.471744</v>
          </cell>
          <cell r="T19">
            <v>308.95</v>
          </cell>
          <cell r="BA19">
            <v>232.02800000000002</v>
          </cell>
        </row>
        <row r="20">
          <cell r="D20">
            <v>466.44417930000009</v>
          </cell>
          <cell r="T20">
            <v>297.85000000000002</v>
          </cell>
          <cell r="BA20">
            <v>225.49099999999999</v>
          </cell>
        </row>
        <row r="21">
          <cell r="D21">
            <v>523.58389340000008</v>
          </cell>
          <cell r="T21">
            <v>329.44</v>
          </cell>
          <cell r="BA21">
            <v>228.03600000000003</v>
          </cell>
        </row>
        <row r="22">
          <cell r="D22">
            <v>475.47538199999997</v>
          </cell>
          <cell r="T22">
            <v>288.79000000000002</v>
          </cell>
          <cell r="BA22">
            <v>223.62749999999997</v>
          </cell>
        </row>
        <row r="23">
          <cell r="D23">
            <v>489.97058599999997</v>
          </cell>
          <cell r="T23">
            <v>293.60000000000002</v>
          </cell>
          <cell r="BA23">
            <v>226.35350000000003</v>
          </cell>
        </row>
        <row r="24">
          <cell r="D24">
            <v>522.51207000000011</v>
          </cell>
          <cell r="T24">
            <v>312.77</v>
          </cell>
          <cell r="BA24">
            <v>232.8605</v>
          </cell>
        </row>
        <row r="25">
          <cell r="D25">
            <v>519.50364660000002</v>
          </cell>
          <cell r="T25">
            <v>311.40000000000003</v>
          </cell>
          <cell r="BA25">
            <v>242.63100000000006</v>
          </cell>
        </row>
        <row r="26">
          <cell r="D26">
            <v>512.82258239999999</v>
          </cell>
          <cell r="T26">
            <v>301.19000000000005</v>
          </cell>
          <cell r="BA26">
            <v>242.94</v>
          </cell>
        </row>
        <row r="27">
          <cell r="D27">
            <v>493.35363519999999</v>
          </cell>
          <cell r="T27">
            <v>301.11</v>
          </cell>
          <cell r="BA27">
            <v>221.16200000000001</v>
          </cell>
        </row>
        <row r="28">
          <cell r="D28">
            <v>483.22155419999996</v>
          </cell>
          <cell r="T28">
            <v>290.79000000000002</v>
          </cell>
          <cell r="BA28">
            <v>207.0215</v>
          </cell>
        </row>
        <row r="29">
          <cell r="D29">
            <v>465.94533440000009</v>
          </cell>
          <cell r="T29">
            <v>281.24000000000007</v>
          </cell>
          <cell r="BA29">
            <v>221.96600000000001</v>
          </cell>
        </row>
        <row r="30">
          <cell r="D30">
            <v>530.40700399999992</v>
          </cell>
          <cell r="T30">
            <v>320.91000000000003</v>
          </cell>
          <cell r="BA30">
            <v>235.93149999999997</v>
          </cell>
        </row>
        <row r="31">
          <cell r="D31">
            <v>222.66904499999998</v>
          </cell>
          <cell r="T31">
            <v>138</v>
          </cell>
          <cell r="BA31">
            <v>124.89900000000002</v>
          </cell>
        </row>
        <row r="32">
          <cell r="D32">
            <v>494.03264540000004</v>
          </cell>
          <cell r="T32">
            <v>302.22000000000003</v>
          </cell>
          <cell r="BA32">
            <v>198.4135</v>
          </cell>
        </row>
        <row r="33">
          <cell r="D33">
            <v>512.62684999999999</v>
          </cell>
          <cell r="T33">
            <v>312.49</v>
          </cell>
          <cell r="BA33">
            <v>240.42350000000002</v>
          </cell>
        </row>
        <row r="34">
          <cell r="D34">
            <v>481.71841440000003</v>
          </cell>
          <cell r="T34">
            <v>294.00999999999993</v>
          </cell>
          <cell r="BA34">
            <v>233.70299999999997</v>
          </cell>
        </row>
        <row r="35">
          <cell r="D35">
            <v>443.34982279999997</v>
          </cell>
          <cell r="T35">
            <v>270.31</v>
          </cell>
          <cell r="BA35">
            <v>232.845</v>
          </cell>
        </row>
        <row r="36">
          <cell r="D36">
            <v>370.62491220000004</v>
          </cell>
          <cell r="T36">
            <v>233.28</v>
          </cell>
          <cell r="BA36">
            <v>150.58599999999998</v>
          </cell>
        </row>
        <row r="37">
          <cell r="D37">
            <v>513.54707090000011</v>
          </cell>
          <cell r="T37">
            <v>314.39000000000004</v>
          </cell>
          <cell r="BA37">
            <v>221.61</v>
          </cell>
        </row>
        <row r="38">
          <cell r="D38">
            <v>14608.777912837602</v>
          </cell>
          <cell r="T38">
            <v>8986.8300001999996</v>
          </cell>
          <cell r="BA38">
            <v>6685.3265000000001</v>
          </cell>
        </row>
      </sheetData>
      <sheetData sheetId="29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январь 20"/>
      <sheetName val="январь 20 (+руда,-агл)"/>
      <sheetName val="февраль 20 "/>
    </sheetNames>
    <sheetDataSet>
      <sheetData sheetId="0"/>
      <sheetData sheetId="1">
        <row r="6">
          <cell r="BF6" t="str">
            <v>FeMn
НИ</v>
          </cell>
          <cell r="BH6" t="str">
            <v>План по нараст.</v>
          </cell>
        </row>
        <row r="7">
          <cell r="BF7">
            <v>138.10999999999999</v>
          </cell>
          <cell r="BH7">
            <v>116.12903225806451</v>
          </cell>
        </row>
        <row r="8">
          <cell r="BF8">
            <v>284.81999999999994</v>
          </cell>
          <cell r="BH8">
            <v>232.25806451612902</v>
          </cell>
        </row>
        <row r="9">
          <cell r="BF9">
            <v>436.53</v>
          </cell>
          <cell r="BH9">
            <v>348.38709677419354</v>
          </cell>
        </row>
        <row r="10">
          <cell r="BF10">
            <v>573.55999999999995</v>
          </cell>
          <cell r="BH10">
            <v>464.51612903225805</v>
          </cell>
        </row>
        <row r="11">
          <cell r="BF11">
            <v>700.65</v>
          </cell>
          <cell r="BH11">
            <v>580.64516129032256</v>
          </cell>
        </row>
        <row r="12">
          <cell r="BF12">
            <v>840.58999999999992</v>
          </cell>
          <cell r="BH12">
            <v>696.77419354838707</v>
          </cell>
        </row>
        <row r="13">
          <cell r="BF13">
            <v>984.63999999999987</v>
          </cell>
          <cell r="BH13">
            <v>812.90322580645159</v>
          </cell>
        </row>
        <row r="14">
          <cell r="BF14">
            <v>1123.82</v>
          </cell>
          <cell r="BH14">
            <v>929.0322580645161</v>
          </cell>
        </row>
        <row r="15">
          <cell r="BF15">
            <v>1189.6499999999999</v>
          </cell>
          <cell r="BH15">
            <v>1045.1612903225805</v>
          </cell>
        </row>
        <row r="16">
          <cell r="BF16">
            <v>1298.0899999999999</v>
          </cell>
          <cell r="BH16">
            <v>1161.2903225806449</v>
          </cell>
        </row>
        <row r="17">
          <cell r="BF17">
            <v>1423.8899999999999</v>
          </cell>
          <cell r="BH17">
            <v>1277.4193548387093</v>
          </cell>
        </row>
        <row r="18">
          <cell r="BF18">
            <v>1546.8899999999999</v>
          </cell>
          <cell r="BH18">
            <v>1393.5483870967737</v>
          </cell>
        </row>
        <row r="19">
          <cell r="BF19">
            <v>1665.4699999999998</v>
          </cell>
          <cell r="BH19">
            <v>1509.6774193548381</v>
          </cell>
        </row>
        <row r="20">
          <cell r="BF20">
            <v>1803.9999999999998</v>
          </cell>
          <cell r="BH20">
            <v>1625.8064516129025</v>
          </cell>
        </row>
        <row r="21">
          <cell r="BF21">
            <v>1929.7599999999998</v>
          </cell>
          <cell r="BH21">
            <v>1741.9354838709669</v>
          </cell>
        </row>
        <row r="22">
          <cell r="BF22">
            <v>2053.4699999999998</v>
          </cell>
          <cell r="BH22">
            <v>1858.0645161290313</v>
          </cell>
        </row>
        <row r="23">
          <cell r="BF23">
            <v>2172.6299999999997</v>
          </cell>
          <cell r="BH23">
            <v>1974.1935483870957</v>
          </cell>
        </row>
        <row r="24">
          <cell r="BF24">
            <v>2303.7899999999995</v>
          </cell>
          <cell r="BH24">
            <v>2090.3225806451601</v>
          </cell>
        </row>
        <row r="25">
          <cell r="BF25">
            <v>2433.5699999999997</v>
          </cell>
          <cell r="BH25">
            <v>2206.4516129032245</v>
          </cell>
        </row>
        <row r="26">
          <cell r="BF26">
            <v>2530.0399999999995</v>
          </cell>
          <cell r="BH26">
            <v>2322.5806451612889</v>
          </cell>
        </row>
        <row r="27">
          <cell r="BF27">
            <v>2656.8099999999995</v>
          </cell>
          <cell r="BH27">
            <v>2438.7096774193533</v>
          </cell>
        </row>
        <row r="28">
          <cell r="BF28">
            <v>2779.6899999999996</v>
          </cell>
          <cell r="BH28">
            <v>2554.8387096774177</v>
          </cell>
        </row>
        <row r="29">
          <cell r="BF29">
            <v>2895.4199999999996</v>
          </cell>
          <cell r="BH29">
            <v>2670.9677419354821</v>
          </cell>
        </row>
        <row r="30">
          <cell r="BF30">
            <v>3003.6499999999996</v>
          </cell>
          <cell r="BH30">
            <v>2787.0967741935465</v>
          </cell>
        </row>
        <row r="31">
          <cell r="BF31">
            <v>3138.0199999999995</v>
          </cell>
          <cell r="BH31">
            <v>2903.2258064516109</v>
          </cell>
        </row>
        <row r="32">
          <cell r="BF32">
            <v>3270.5199999999995</v>
          </cell>
          <cell r="BH32">
            <v>3019.3548387096753</v>
          </cell>
        </row>
        <row r="33">
          <cell r="BF33">
            <v>3403.6499999999996</v>
          </cell>
          <cell r="BH33">
            <v>3135.4838709677397</v>
          </cell>
        </row>
        <row r="34">
          <cell r="BF34">
            <v>3499.3299999999995</v>
          </cell>
          <cell r="BH34">
            <v>3251.6129032258041</v>
          </cell>
        </row>
        <row r="35">
          <cell r="BF35">
            <v>3651.9199999999996</v>
          </cell>
          <cell r="BH35">
            <v>3367.7419354838685</v>
          </cell>
        </row>
        <row r="36">
          <cell r="BF36">
            <v>3749.1199999999994</v>
          </cell>
          <cell r="BH36">
            <v>3483.8709677419329</v>
          </cell>
        </row>
        <row r="37">
          <cell r="BF37">
            <v>3908.2299999999996</v>
          </cell>
          <cell r="BH37">
            <v>3599.9999999999973</v>
          </cell>
        </row>
      </sheetData>
      <sheetData sheetId="2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январь 20"/>
      <sheetName val="январь 20 (+руда,-агл,-кокс)"/>
      <sheetName val="февраль 20 "/>
      <sheetName val="февраль 20  (+агл,-руда)"/>
      <sheetName val="март 20 "/>
      <sheetName val="март 20  (+руда,-агл)"/>
      <sheetName val="апрель 20 "/>
    </sheetNames>
    <sheetDataSet>
      <sheetData sheetId="0"/>
      <sheetData sheetId="1"/>
      <sheetData sheetId="2"/>
      <sheetData sheetId="3"/>
      <sheetData sheetId="4"/>
      <sheetData sheetId="5">
        <row r="6">
          <cell r="BF6" t="str">
            <v>FeMn
НИ</v>
          </cell>
          <cell r="BH6" t="str">
            <v>План по нараст.</v>
          </cell>
        </row>
        <row r="7">
          <cell r="BF7">
            <v>129.39000000000001</v>
          </cell>
          <cell r="BH7">
            <v>124.19354838709677</v>
          </cell>
        </row>
        <row r="8">
          <cell r="BF8">
            <v>250.64</v>
          </cell>
          <cell r="BH8">
            <v>248.38709677419354</v>
          </cell>
        </row>
        <row r="9">
          <cell r="BF9">
            <v>374.54</v>
          </cell>
          <cell r="BH9">
            <v>372.58064516129031</v>
          </cell>
        </row>
        <row r="10">
          <cell r="BF10">
            <v>510.87</v>
          </cell>
          <cell r="BH10">
            <v>496.77419354838707</v>
          </cell>
        </row>
        <row r="11">
          <cell r="BF11">
            <v>660.67</v>
          </cell>
          <cell r="BH11">
            <v>620.9677419354839</v>
          </cell>
        </row>
        <row r="12">
          <cell r="BF12">
            <v>805.93</v>
          </cell>
          <cell r="BH12">
            <v>745.16129032258073</v>
          </cell>
        </row>
        <row r="13">
          <cell r="BF13">
            <v>936.31999999999994</v>
          </cell>
          <cell r="BH13">
            <v>869.35483870967755</v>
          </cell>
        </row>
        <row r="14">
          <cell r="BF14">
            <v>1068.8899999999999</v>
          </cell>
          <cell r="BH14">
            <v>993.54838709677438</v>
          </cell>
        </row>
        <row r="15">
          <cell r="BF15">
            <v>1195.4899999999998</v>
          </cell>
          <cell r="BH15">
            <v>1117.7419354838712</v>
          </cell>
        </row>
        <row r="16">
          <cell r="BF16">
            <v>1321.8199999999997</v>
          </cell>
          <cell r="BH16">
            <v>1241.935483870968</v>
          </cell>
        </row>
        <row r="17">
          <cell r="BF17">
            <v>1380.3399999999997</v>
          </cell>
          <cell r="BH17">
            <v>1366.1290322580649</v>
          </cell>
        </row>
        <row r="18">
          <cell r="BF18">
            <v>1463.0799999999997</v>
          </cell>
          <cell r="BH18">
            <v>1490.3225806451617</v>
          </cell>
        </row>
        <row r="19">
          <cell r="BF19">
            <v>1555.0099999999998</v>
          </cell>
          <cell r="BH19">
            <v>1614.5161290322585</v>
          </cell>
        </row>
        <row r="20">
          <cell r="BF20">
            <v>1658.1599999999999</v>
          </cell>
          <cell r="BH20">
            <v>1738.7096774193553</v>
          </cell>
        </row>
        <row r="21">
          <cell r="BF21">
            <v>1767.7099999999998</v>
          </cell>
          <cell r="BH21">
            <v>1862.9032258064522</v>
          </cell>
        </row>
        <row r="22">
          <cell r="BF22">
            <v>1884.5199999999998</v>
          </cell>
          <cell r="BH22">
            <v>1987.096774193549</v>
          </cell>
        </row>
        <row r="23">
          <cell r="BF23">
            <v>2009.0799999999997</v>
          </cell>
          <cell r="BH23">
            <v>2111.2903225806458</v>
          </cell>
        </row>
        <row r="24">
          <cell r="BF24">
            <v>2139.9699999999998</v>
          </cell>
          <cell r="BH24">
            <v>2235.4838709677424</v>
          </cell>
        </row>
        <row r="25">
          <cell r="BF25">
            <v>2272.41</v>
          </cell>
          <cell r="BH25">
            <v>2359.677419354839</v>
          </cell>
        </row>
        <row r="26">
          <cell r="BF26">
            <v>2407.9499999999998</v>
          </cell>
          <cell r="BH26">
            <v>2483.8709677419356</v>
          </cell>
        </row>
        <row r="27">
          <cell r="BF27">
            <v>2527.4899999999998</v>
          </cell>
          <cell r="BH27">
            <v>2608.0645161290322</v>
          </cell>
        </row>
        <row r="28">
          <cell r="BF28">
            <v>2661.08</v>
          </cell>
          <cell r="BH28">
            <v>2732.2580645161288</v>
          </cell>
        </row>
        <row r="29">
          <cell r="BF29">
            <v>2777.62</v>
          </cell>
          <cell r="BH29">
            <v>2856.4516129032254</v>
          </cell>
        </row>
        <row r="30">
          <cell r="BF30">
            <v>2891.7999999999997</v>
          </cell>
          <cell r="BH30">
            <v>2980.645161290322</v>
          </cell>
        </row>
        <row r="31">
          <cell r="BF31">
            <v>3023.5299999999997</v>
          </cell>
          <cell r="BH31">
            <v>3104.8387096774186</v>
          </cell>
        </row>
        <row r="32">
          <cell r="BF32">
            <v>3141.1299999999997</v>
          </cell>
          <cell r="BH32">
            <v>3229.0322580645152</v>
          </cell>
        </row>
        <row r="33">
          <cell r="BF33">
            <v>3244.1899999999996</v>
          </cell>
          <cell r="BH33">
            <v>3353.2258064516118</v>
          </cell>
        </row>
        <row r="34">
          <cell r="BF34">
            <v>3340.24</v>
          </cell>
          <cell r="BH34">
            <v>3477.4193548387084</v>
          </cell>
        </row>
        <row r="35">
          <cell r="BF35">
            <v>3432.1699999999996</v>
          </cell>
          <cell r="BH35">
            <v>3601.612903225805</v>
          </cell>
        </row>
        <row r="36">
          <cell r="BF36">
            <v>3538.7899999999995</v>
          </cell>
          <cell r="BH36">
            <v>3725.8064516129016</v>
          </cell>
        </row>
        <row r="37">
          <cell r="BF37">
            <v>3637.6999999999994</v>
          </cell>
          <cell r="BH37">
            <v>3849.9999999999982</v>
          </cell>
        </row>
      </sheetData>
      <sheetData sheetId="6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январь 20  "/>
      <sheetName val="февраль 20  "/>
      <sheetName val="март 20 "/>
      <sheetName val="апрель 20 "/>
      <sheetName val="май 20"/>
      <sheetName val="июнь 20 "/>
      <sheetName val="июль 20 "/>
      <sheetName val="август 20"/>
      <sheetName val="сентябрь 20"/>
      <sheetName val="октябрь 20"/>
      <sheetName val="ноябрь 20"/>
      <sheetName val="декабрь 20"/>
    </sheetNames>
    <sheetDataSet>
      <sheetData sheetId="0"/>
      <sheetData sheetId="1"/>
      <sheetData sheetId="2"/>
      <sheetData sheetId="3"/>
      <sheetData sheetId="4"/>
      <sheetData sheetId="5"/>
      <sheetData sheetId="6">
        <row r="38">
          <cell r="B38">
            <v>779.46999999999991</v>
          </cell>
          <cell r="F38">
            <v>779.47</v>
          </cell>
        </row>
      </sheetData>
      <sheetData sheetId="7">
        <row r="38">
          <cell r="B38">
            <v>788.86</v>
          </cell>
          <cell r="F38">
            <v>788.86</v>
          </cell>
        </row>
      </sheetData>
      <sheetData sheetId="8">
        <row r="38">
          <cell r="B38">
            <v>1056.06</v>
          </cell>
          <cell r="F38">
            <v>1056.06</v>
          </cell>
        </row>
      </sheetData>
      <sheetData sheetId="9">
        <row r="38">
          <cell r="B38">
            <v>958.31000000000006</v>
          </cell>
          <cell r="F38">
            <v>958.30999999999983</v>
          </cell>
        </row>
      </sheetData>
      <sheetData sheetId="10">
        <row r="38">
          <cell r="B38">
            <v>1021.32</v>
          </cell>
          <cell r="F38">
            <v>1021.3199999999999</v>
          </cell>
        </row>
      </sheetData>
      <sheetData sheetId="11">
        <row r="38">
          <cell r="B38">
            <v>900.36</v>
          </cell>
          <cell r="F38">
            <v>900.35760000000005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J75"/>
  <sheetViews>
    <sheetView showZeros="0" zoomScale="90" zoomScaleNormal="90" workbookViewId="0">
      <pane xSplit="1" ySplit="6" topLeftCell="CN28" activePane="bottomRight" state="frozen"/>
      <selection pane="topRight" activeCell="B1" sqref="B1"/>
      <selection pane="bottomLeft" activeCell="A7" sqref="A7"/>
      <selection pane="bottomRight" activeCell="CW45" sqref="CW45"/>
    </sheetView>
  </sheetViews>
  <sheetFormatPr defaultColWidth="8.7109375" defaultRowHeight="12.75"/>
  <cols>
    <col min="1" max="1" width="3.5703125" customWidth="1"/>
    <col min="2" max="2" width="9" customWidth="1"/>
    <col min="3" max="3" width="6" customWidth="1"/>
    <col min="4" max="4" width="12" style="1" hidden="1" customWidth="1"/>
    <col min="5" max="5" width="7.140625" customWidth="1"/>
    <col min="6" max="6" width="7.5703125" customWidth="1"/>
    <col min="7" max="7" width="8" customWidth="1"/>
    <col min="8" max="8" width="7.28515625" customWidth="1"/>
    <col min="9" max="9" width="7.42578125" hidden="1" customWidth="1"/>
    <col min="10" max="10" width="9.140625" customWidth="1"/>
    <col min="11" max="11" width="5.5703125" hidden="1" customWidth="1"/>
    <col min="12" max="12" width="8.42578125" customWidth="1"/>
    <col min="13" max="13" width="7" customWidth="1"/>
    <col min="14" max="14" width="8.42578125" customWidth="1"/>
    <col min="15" max="15" width="7.140625" customWidth="1"/>
    <col min="16" max="16" width="9.85546875" hidden="1" customWidth="1"/>
    <col min="17" max="17" width="9.28515625" customWidth="1"/>
    <col min="18" max="18" width="6" customWidth="1"/>
    <col min="19" max="19" width="6.7109375" customWidth="1"/>
    <col min="20" max="20" width="9.140625" hidden="1" customWidth="1"/>
    <col min="21" max="21" width="7.140625" customWidth="1"/>
    <col min="22" max="22" width="7.85546875" customWidth="1"/>
    <col min="23" max="23" width="8.28515625" customWidth="1"/>
    <col min="24" max="24" width="6" customWidth="1"/>
    <col min="25" max="25" width="5.42578125" customWidth="1"/>
    <col min="26" max="26" width="6.85546875" customWidth="1"/>
    <col min="27" max="27" width="6.5703125" customWidth="1"/>
    <col min="28" max="28" width="7.5703125" customWidth="1"/>
    <col min="29" max="29" width="6.5703125" customWidth="1"/>
    <col min="30" max="30" width="4.28515625" customWidth="1"/>
    <col min="31" max="32" width="6.85546875" customWidth="1"/>
    <col min="33" max="33" width="0" hidden="1" customWidth="1"/>
    <col min="34" max="34" width="8.42578125" customWidth="1"/>
    <col min="35" max="35" width="7" customWidth="1"/>
    <col min="36" max="36" width="7.85546875" customWidth="1"/>
    <col min="37" max="37" width="0" hidden="1" customWidth="1"/>
    <col min="38" max="38" width="6.7109375" customWidth="1"/>
    <col min="39" max="39" width="7.7109375" customWidth="1"/>
    <col min="40" max="40" width="7" customWidth="1"/>
    <col min="41" max="41" width="9.42578125" customWidth="1"/>
    <col min="42" max="42" width="6.28515625" customWidth="1"/>
    <col min="43" max="43" width="6.85546875" customWidth="1"/>
    <col min="44" max="44" width="0" hidden="1" customWidth="1"/>
    <col min="45" max="45" width="6.7109375" customWidth="1"/>
    <col min="46" max="46" width="9.7109375" customWidth="1"/>
    <col min="47" max="47" width="7" customWidth="1"/>
    <col min="48" max="48" width="0" hidden="1" customWidth="1"/>
    <col min="49" max="49" width="6.140625" hidden="1" customWidth="1"/>
    <col min="50" max="50" width="5.140625" hidden="1" customWidth="1"/>
    <col min="51" max="51" width="8.42578125" customWidth="1"/>
    <col min="52" max="52" width="10" customWidth="1"/>
    <col min="53" max="53" width="8.7109375" hidden="1" customWidth="1"/>
    <col min="54" max="54" width="3.85546875" hidden="1" customWidth="1"/>
    <col min="55" max="55" width="6.5703125" customWidth="1"/>
    <col min="56" max="56" width="6.140625" customWidth="1"/>
    <col min="57" max="57" width="6.7109375" customWidth="1"/>
    <col min="58" max="58" width="8.85546875" customWidth="1"/>
    <col min="59" max="59" width="7.85546875" customWidth="1"/>
    <col min="60" max="60" width="9.85546875" customWidth="1"/>
    <col min="61" max="62" width="8.7109375" customWidth="1"/>
    <col min="63" max="63" width="10.28515625" customWidth="1"/>
    <col min="64" max="64" width="10.85546875" customWidth="1"/>
    <col min="65" max="65" width="10.7109375" customWidth="1"/>
    <col min="66" max="66" width="11.28515625" customWidth="1"/>
    <col min="67" max="68" width="8.85546875" customWidth="1"/>
    <col min="69" max="69" width="11.28515625" customWidth="1"/>
    <col min="70" max="70" width="7.7109375" customWidth="1"/>
    <col min="71" max="71" width="10" customWidth="1"/>
    <col min="72" max="72" width="8.85546875" customWidth="1"/>
    <col min="73" max="73" width="10.140625" customWidth="1"/>
    <col min="74" max="75" width="8.85546875" customWidth="1"/>
    <col min="76" max="76" width="10.85546875" customWidth="1"/>
    <col min="77" max="78" width="8.7109375" customWidth="1"/>
    <col min="79" max="79" width="10" customWidth="1"/>
    <col min="80" max="80" width="10.42578125" customWidth="1"/>
    <col min="81" max="82" width="8.42578125" customWidth="1"/>
    <col min="83" max="83" width="9.85546875" customWidth="1"/>
    <col min="84" max="85" width="11.42578125" customWidth="1"/>
    <col min="86" max="86" width="11.140625" customWidth="1"/>
    <col min="87" max="87" width="11.28515625" customWidth="1"/>
    <col min="88" max="89" width="10" customWidth="1"/>
    <col min="90" max="90" width="8.7109375" customWidth="1"/>
    <col min="91" max="91" width="11.85546875" customWidth="1"/>
    <col min="92" max="92" width="8.7109375" customWidth="1"/>
    <col min="93" max="93" width="12.140625" customWidth="1"/>
    <col min="94" max="94" width="12.5703125" customWidth="1"/>
    <col min="95" max="95" width="11.7109375" customWidth="1"/>
    <col min="96" max="98" width="12.28515625" customWidth="1"/>
    <col min="99" max="99" width="13.28515625" customWidth="1"/>
    <col min="100" max="100" width="12.85546875" customWidth="1"/>
    <col min="101" max="101" width="13.42578125" customWidth="1"/>
    <col min="102" max="102" width="11.5703125" customWidth="1"/>
    <col min="103" max="103" width="12.5703125" customWidth="1"/>
    <col min="104" max="104" width="9.5703125" customWidth="1"/>
    <col min="105" max="105" width="19.140625" customWidth="1"/>
    <col min="106" max="106" width="19.42578125" customWidth="1"/>
    <col min="111" max="111" width="8.7109375" hidden="1" customWidth="1"/>
    <col min="112" max="112" width="9" bestFit="1" customWidth="1"/>
    <col min="114" max="114" width="9.5703125" bestFit="1" customWidth="1"/>
  </cols>
  <sheetData>
    <row r="1" spans="1:114" ht="17.25" customHeight="1">
      <c r="A1" s="310" t="s">
        <v>0</v>
      </c>
      <c r="B1" s="310"/>
      <c r="C1" s="310"/>
      <c r="D1" s="311"/>
      <c r="E1" s="310"/>
      <c r="F1" s="310"/>
      <c r="G1" s="310"/>
      <c r="H1" s="310"/>
      <c r="I1" s="310"/>
      <c r="J1" s="310"/>
      <c r="K1" s="310"/>
      <c r="L1" s="310"/>
      <c r="M1" s="310"/>
      <c r="N1" s="310"/>
      <c r="O1" s="310"/>
      <c r="P1" s="77"/>
      <c r="Q1" s="77"/>
      <c r="R1" s="77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</row>
    <row r="2" spans="1:114" ht="19.5" customHeight="1" thickBot="1">
      <c r="A2" s="22"/>
      <c r="B2" s="78"/>
      <c r="C2" s="78"/>
      <c r="D2" s="79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80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80"/>
      <c r="AT2" s="312" t="s">
        <v>1</v>
      </c>
      <c r="AU2" s="313">
        <v>31</v>
      </c>
      <c r="AV2" s="314"/>
      <c r="AW2" s="314"/>
      <c r="AX2" s="315" t="s">
        <v>81</v>
      </c>
      <c r="AY2" s="556" t="s">
        <v>2</v>
      </c>
      <c r="AZ2" s="556"/>
      <c r="BA2" s="556"/>
      <c r="BB2" s="556"/>
      <c r="BC2" s="556"/>
      <c r="BD2" s="316" t="s">
        <v>107</v>
      </c>
      <c r="BE2" s="317"/>
    </row>
    <row r="3" spans="1:114" ht="39.75" customHeight="1" thickBot="1">
      <c r="A3" s="557" t="s">
        <v>3</v>
      </c>
      <c r="B3" s="558" t="s">
        <v>71</v>
      </c>
      <c r="C3" s="558"/>
      <c r="D3" s="558"/>
      <c r="E3" s="558"/>
      <c r="F3" s="558"/>
      <c r="G3" s="558"/>
      <c r="H3" s="554" t="s">
        <v>4</v>
      </c>
      <c r="I3" s="554"/>
      <c r="J3" s="554"/>
      <c r="K3" s="554"/>
      <c r="L3" s="554"/>
      <c r="M3" s="554"/>
      <c r="N3" s="554"/>
      <c r="O3" s="554"/>
      <c r="P3" s="559"/>
      <c r="Q3" s="560" t="s">
        <v>5</v>
      </c>
      <c r="R3" s="561"/>
      <c r="S3" s="561"/>
      <c r="T3" s="561"/>
      <c r="U3" s="562"/>
      <c r="V3" s="563" t="s">
        <v>6</v>
      </c>
      <c r="W3" s="563" t="s">
        <v>7</v>
      </c>
      <c r="X3" s="564" t="s">
        <v>8</v>
      </c>
      <c r="Y3" s="564" t="s">
        <v>9</v>
      </c>
      <c r="Z3" s="564" t="s">
        <v>10</v>
      </c>
      <c r="AA3" s="564" t="s">
        <v>11</v>
      </c>
      <c r="AB3" s="564" t="s">
        <v>12</v>
      </c>
      <c r="AC3" s="564" t="s">
        <v>13</v>
      </c>
      <c r="AD3" s="564" t="s">
        <v>14</v>
      </c>
      <c r="AE3" s="554" t="s">
        <v>15</v>
      </c>
      <c r="AF3" s="554"/>
      <c r="AG3" s="554" t="s">
        <v>16</v>
      </c>
      <c r="AH3" s="554"/>
      <c r="AI3" s="554"/>
      <c r="AJ3" s="593" t="s">
        <v>17</v>
      </c>
      <c r="AK3" s="593"/>
      <c r="AL3" s="564" t="s">
        <v>18</v>
      </c>
      <c r="AM3" s="599" t="s">
        <v>19</v>
      </c>
      <c r="AN3" s="600" t="s">
        <v>95</v>
      </c>
      <c r="AO3" s="603" t="s">
        <v>20</v>
      </c>
      <c r="AP3" s="564" t="s">
        <v>105</v>
      </c>
      <c r="AQ3" s="564" t="s">
        <v>21</v>
      </c>
      <c r="AR3" s="81"/>
      <c r="AS3" s="593" t="s">
        <v>22</v>
      </c>
      <c r="AT3" s="554" t="s">
        <v>23</v>
      </c>
      <c r="AU3" s="554"/>
      <c r="AV3" s="554"/>
      <c r="AW3" s="554"/>
      <c r="AX3" s="554"/>
      <c r="AY3" s="554"/>
      <c r="AZ3" s="564" t="s">
        <v>24</v>
      </c>
      <c r="BA3" s="594" t="s">
        <v>25</v>
      </c>
      <c r="BB3" s="594"/>
      <c r="BC3" s="564" t="s">
        <v>26</v>
      </c>
      <c r="BD3" s="564" t="s">
        <v>27</v>
      </c>
      <c r="BE3" s="572" t="s">
        <v>28</v>
      </c>
      <c r="BF3" s="3"/>
      <c r="BG3" s="3"/>
      <c r="BH3" s="3"/>
      <c r="BI3" s="3"/>
      <c r="BJ3" s="3"/>
      <c r="BK3" s="573" t="s">
        <v>29</v>
      </c>
      <c r="BL3" s="574"/>
      <c r="BM3" s="574"/>
      <c r="BN3" s="574"/>
      <c r="BO3" s="575"/>
      <c r="BP3" s="575"/>
      <c r="BQ3" s="576"/>
      <c r="BR3" s="573" t="s">
        <v>30</v>
      </c>
      <c r="BS3" s="585"/>
      <c r="BT3" s="585"/>
      <c r="BU3" s="585"/>
      <c r="BV3" s="585"/>
      <c r="BW3" s="585"/>
      <c r="BX3" s="586"/>
      <c r="BY3" s="566" t="s">
        <v>31</v>
      </c>
      <c r="BZ3" s="566"/>
      <c r="CA3" s="566"/>
      <c r="CB3" s="566"/>
      <c r="CC3" s="566"/>
      <c r="CD3" s="566"/>
      <c r="CE3" s="566"/>
      <c r="CF3" s="566" t="s">
        <v>87</v>
      </c>
      <c r="CG3" s="566"/>
      <c r="CH3" s="566"/>
      <c r="CI3" s="566"/>
      <c r="CJ3" s="566" t="s">
        <v>32</v>
      </c>
      <c r="CK3" s="566"/>
      <c r="CL3" s="566"/>
      <c r="CM3" s="566"/>
      <c r="CN3" s="4"/>
      <c r="CO3" s="5"/>
      <c r="CP3" s="6"/>
      <c r="CQ3" s="6"/>
    </row>
    <row r="4" spans="1:114" s="7" customFormat="1" ht="30.75" customHeight="1" thickBot="1">
      <c r="A4" s="557"/>
      <c r="B4" s="565" t="s">
        <v>72</v>
      </c>
      <c r="C4" s="565" t="s">
        <v>73</v>
      </c>
      <c r="D4" s="568" t="s">
        <v>33</v>
      </c>
      <c r="E4" s="565" t="s">
        <v>74</v>
      </c>
      <c r="F4" s="569" t="s">
        <v>75</v>
      </c>
      <c r="G4" s="569" t="s">
        <v>34</v>
      </c>
      <c r="H4" s="555" t="s">
        <v>76</v>
      </c>
      <c r="I4" s="570" t="s">
        <v>101</v>
      </c>
      <c r="J4" s="555" t="s">
        <v>89</v>
      </c>
      <c r="K4" s="565" t="s">
        <v>35</v>
      </c>
      <c r="L4" s="565" t="s">
        <v>77</v>
      </c>
      <c r="M4" s="565" t="s">
        <v>78</v>
      </c>
      <c r="N4" s="565" t="s">
        <v>101</v>
      </c>
      <c r="O4" s="565" t="s">
        <v>96</v>
      </c>
      <c r="P4" s="555" t="s">
        <v>79</v>
      </c>
      <c r="Q4" s="555" t="s">
        <v>36</v>
      </c>
      <c r="R4" s="555" t="s">
        <v>32</v>
      </c>
      <c r="S4" s="555" t="s">
        <v>37</v>
      </c>
      <c r="T4" s="555" t="s">
        <v>38</v>
      </c>
      <c r="U4" s="555" t="s">
        <v>39</v>
      </c>
      <c r="V4" s="563"/>
      <c r="W4" s="563"/>
      <c r="X4" s="564"/>
      <c r="Y4" s="564"/>
      <c r="Z4" s="564"/>
      <c r="AA4" s="564"/>
      <c r="AB4" s="564"/>
      <c r="AC4" s="564"/>
      <c r="AD4" s="564"/>
      <c r="AE4" s="554"/>
      <c r="AF4" s="554"/>
      <c r="AG4" s="554"/>
      <c r="AH4" s="554"/>
      <c r="AI4" s="554"/>
      <c r="AJ4" s="593"/>
      <c r="AK4" s="593"/>
      <c r="AL4" s="564"/>
      <c r="AM4" s="599"/>
      <c r="AN4" s="601"/>
      <c r="AO4" s="603"/>
      <c r="AP4" s="564"/>
      <c r="AQ4" s="564"/>
      <c r="AR4" s="82"/>
      <c r="AS4" s="593"/>
      <c r="AT4" s="554"/>
      <c r="AU4" s="554"/>
      <c r="AV4" s="554"/>
      <c r="AW4" s="554"/>
      <c r="AX4" s="554"/>
      <c r="AY4" s="554"/>
      <c r="AZ4" s="564"/>
      <c r="BA4" s="594"/>
      <c r="BB4" s="594"/>
      <c r="BC4" s="564"/>
      <c r="BD4" s="564"/>
      <c r="BE4" s="572"/>
      <c r="BF4" s="3"/>
      <c r="BG4" s="3"/>
      <c r="BH4" s="3"/>
      <c r="BI4" s="3"/>
      <c r="BJ4" s="3"/>
      <c r="BK4" s="577"/>
      <c r="BL4" s="578"/>
      <c r="BM4" s="578"/>
      <c r="BN4" s="578"/>
      <c r="BO4" s="579"/>
      <c r="BP4" s="579"/>
      <c r="BQ4" s="580"/>
      <c r="BR4" s="577"/>
      <c r="BS4" s="566"/>
      <c r="BT4" s="566"/>
      <c r="BU4" s="566"/>
      <c r="BV4" s="566"/>
      <c r="BW4" s="566"/>
      <c r="BX4" s="587"/>
      <c r="BY4" s="566"/>
      <c r="BZ4" s="566"/>
      <c r="CA4" s="566"/>
      <c r="CB4" s="566"/>
      <c r="CC4" s="566"/>
      <c r="CD4" s="566"/>
      <c r="CE4" s="566"/>
      <c r="CF4" s="566"/>
      <c r="CG4" s="566"/>
      <c r="CH4" s="566"/>
      <c r="CI4" s="566"/>
      <c r="CJ4" s="566"/>
      <c r="CK4" s="566"/>
      <c r="CL4" s="566"/>
      <c r="CM4" s="566"/>
      <c r="CN4" s="4"/>
      <c r="CO4" s="6"/>
      <c r="CP4" s="6"/>
      <c r="CQ4" s="262"/>
      <c r="CR4" s="231"/>
      <c r="CS4" s="231"/>
      <c r="CT4" s="231"/>
      <c r="CU4" s="231"/>
      <c r="CV4" s="231"/>
      <c r="CW4" s="231"/>
      <c r="CX4" s="231"/>
      <c r="CY4" s="231"/>
      <c r="DD4" s="590" t="s">
        <v>90</v>
      </c>
      <c r="DE4" s="591"/>
      <c r="DF4" s="591"/>
      <c r="DG4" s="591"/>
      <c r="DH4" s="592"/>
    </row>
    <row r="5" spans="1:114" s="7" customFormat="1" ht="8.25" hidden="1" customHeight="1">
      <c r="A5" s="557"/>
      <c r="B5" s="565"/>
      <c r="C5" s="565"/>
      <c r="D5" s="568"/>
      <c r="E5" s="565"/>
      <c r="F5" s="569"/>
      <c r="G5" s="569"/>
      <c r="H5" s="555"/>
      <c r="I5" s="570"/>
      <c r="J5" s="565"/>
      <c r="K5" s="565"/>
      <c r="L5" s="565"/>
      <c r="M5" s="565"/>
      <c r="N5" s="565"/>
      <c r="O5" s="565"/>
      <c r="P5" s="555"/>
      <c r="Q5" s="555"/>
      <c r="R5" s="555"/>
      <c r="S5" s="555"/>
      <c r="T5" s="555"/>
      <c r="U5" s="555"/>
      <c r="V5" s="563"/>
      <c r="W5" s="563"/>
      <c r="X5" s="564"/>
      <c r="Y5" s="564"/>
      <c r="Z5" s="564"/>
      <c r="AA5" s="564"/>
      <c r="AB5" s="564"/>
      <c r="AC5" s="564"/>
      <c r="AD5" s="564"/>
      <c r="AE5" s="555" t="s">
        <v>40</v>
      </c>
      <c r="AF5" s="555" t="s">
        <v>41</v>
      </c>
      <c r="AG5" s="555" t="s">
        <v>42</v>
      </c>
      <c r="AH5" s="555" t="s">
        <v>40</v>
      </c>
      <c r="AI5" s="555" t="s">
        <v>41</v>
      </c>
      <c r="AJ5" s="593"/>
      <c r="AK5" s="593"/>
      <c r="AL5" s="564"/>
      <c r="AM5" s="599"/>
      <c r="AN5" s="601"/>
      <c r="AO5" s="603"/>
      <c r="AP5" s="564"/>
      <c r="AQ5" s="564"/>
      <c r="AR5" s="83"/>
      <c r="AS5" s="593"/>
      <c r="AT5" s="555" t="s">
        <v>43</v>
      </c>
      <c r="AU5" s="84"/>
      <c r="AV5" s="85"/>
      <c r="AW5" s="598" t="s">
        <v>44</v>
      </c>
      <c r="AX5" s="598" t="s">
        <v>45</v>
      </c>
      <c r="AY5" s="555" t="s">
        <v>46</v>
      </c>
      <c r="AZ5" s="564"/>
      <c r="BA5" s="86" t="s">
        <v>47</v>
      </c>
      <c r="BB5" s="86" t="s">
        <v>48</v>
      </c>
      <c r="BC5" s="564"/>
      <c r="BD5" s="564"/>
      <c r="BE5" s="572"/>
      <c r="BF5" s="3"/>
      <c r="BG5" s="3"/>
      <c r="BH5" s="3"/>
      <c r="BI5" s="3"/>
      <c r="BJ5" s="3"/>
      <c r="BK5" s="581"/>
      <c r="BL5" s="582"/>
      <c r="BM5" s="582"/>
      <c r="BN5" s="582"/>
      <c r="BO5" s="583"/>
      <c r="BP5" s="583"/>
      <c r="BQ5" s="584"/>
      <c r="BR5" s="581"/>
      <c r="BS5" s="588"/>
      <c r="BT5" s="588"/>
      <c r="BU5" s="588"/>
      <c r="BV5" s="588"/>
      <c r="BW5" s="588"/>
      <c r="BX5" s="589"/>
      <c r="BY5" s="567"/>
      <c r="BZ5" s="566"/>
      <c r="CA5" s="566"/>
      <c r="CB5" s="566"/>
      <c r="CC5" s="566"/>
      <c r="CD5" s="566"/>
      <c r="CE5" s="566"/>
      <c r="CF5" s="567"/>
      <c r="CG5" s="567"/>
      <c r="CH5" s="567"/>
      <c r="CI5" s="567"/>
      <c r="CJ5" s="567"/>
      <c r="CK5" s="567"/>
      <c r="CL5" s="567"/>
      <c r="CM5" s="567"/>
      <c r="CN5" s="4"/>
      <c r="CO5"/>
      <c r="CP5"/>
      <c r="CQ5" s="255"/>
      <c r="CR5" s="256"/>
      <c r="CS5" s="256"/>
      <c r="CT5" s="256"/>
      <c r="CU5" s="256"/>
      <c r="CV5" s="257"/>
      <c r="CW5" s="257"/>
      <c r="CX5" s="257"/>
      <c r="CY5" s="258"/>
      <c r="DA5" s="595" t="s">
        <v>49</v>
      </c>
      <c r="DB5" s="595"/>
    </row>
    <row r="6" spans="1:114" s="7" customFormat="1" ht="106.5" customHeight="1" thickBot="1">
      <c r="A6" s="557"/>
      <c r="B6" s="565"/>
      <c r="C6" s="565"/>
      <c r="D6" s="568"/>
      <c r="E6" s="565"/>
      <c r="F6" s="569"/>
      <c r="G6" s="569"/>
      <c r="H6" s="555"/>
      <c r="I6" s="570"/>
      <c r="J6" s="571"/>
      <c r="K6" s="565"/>
      <c r="L6" s="565"/>
      <c r="M6" s="565"/>
      <c r="N6" s="565"/>
      <c r="O6" s="565"/>
      <c r="P6" s="565"/>
      <c r="Q6" s="565"/>
      <c r="R6" s="565"/>
      <c r="S6" s="565"/>
      <c r="T6" s="555"/>
      <c r="U6" s="555"/>
      <c r="V6" s="563"/>
      <c r="W6" s="563"/>
      <c r="X6" s="564"/>
      <c r="Y6" s="564"/>
      <c r="Z6" s="564"/>
      <c r="AA6" s="564"/>
      <c r="AB6" s="564"/>
      <c r="AC6" s="564"/>
      <c r="AD6" s="564"/>
      <c r="AE6" s="555"/>
      <c r="AF6" s="555"/>
      <c r="AG6" s="555"/>
      <c r="AH6" s="555"/>
      <c r="AI6" s="555"/>
      <c r="AJ6" s="593"/>
      <c r="AK6" s="593"/>
      <c r="AL6" s="564"/>
      <c r="AM6" s="599"/>
      <c r="AN6" s="602"/>
      <c r="AO6" s="603"/>
      <c r="AP6" s="564"/>
      <c r="AQ6" s="564"/>
      <c r="AR6" s="408"/>
      <c r="AS6" s="593"/>
      <c r="AT6" s="555"/>
      <c r="AU6" s="409" t="s">
        <v>50</v>
      </c>
      <c r="AV6" s="409" t="s">
        <v>51</v>
      </c>
      <c r="AW6" s="598"/>
      <c r="AX6" s="598"/>
      <c r="AY6" s="555"/>
      <c r="AZ6" s="555"/>
      <c r="BA6" s="87"/>
      <c r="BB6" s="88">
        <v>0.04</v>
      </c>
      <c r="BC6" s="564"/>
      <c r="BD6" s="564"/>
      <c r="BE6" s="572"/>
      <c r="BF6" s="8" t="s">
        <v>52</v>
      </c>
      <c r="BG6" s="8" t="s">
        <v>53</v>
      </c>
      <c r="BH6" s="8" t="s">
        <v>54</v>
      </c>
      <c r="BI6" s="3"/>
      <c r="BJ6" s="3"/>
      <c r="BK6" s="308" t="s">
        <v>104</v>
      </c>
      <c r="BL6" s="280" t="s">
        <v>82</v>
      </c>
      <c r="BM6" s="279" t="s">
        <v>100</v>
      </c>
      <c r="BN6" s="307" t="s">
        <v>102</v>
      </c>
      <c r="BO6" s="308" t="s">
        <v>97</v>
      </c>
      <c r="BP6" s="326" t="s">
        <v>99</v>
      </c>
      <c r="BQ6" s="306" t="s">
        <v>86</v>
      </c>
      <c r="BR6" s="308" t="s">
        <v>104</v>
      </c>
      <c r="BS6" s="280" t="s">
        <v>82</v>
      </c>
      <c r="BT6" s="279" t="s">
        <v>100</v>
      </c>
      <c r="BU6" s="327"/>
      <c r="BV6" s="308" t="s">
        <v>97</v>
      </c>
      <c r="BW6" s="326" t="s">
        <v>99</v>
      </c>
      <c r="BX6" s="306"/>
      <c r="BY6" s="308" t="s">
        <v>104</v>
      </c>
      <c r="BZ6" s="280" t="s">
        <v>82</v>
      </c>
      <c r="CA6" s="279" t="s">
        <v>100</v>
      </c>
      <c r="CB6" s="307" t="s">
        <v>102</v>
      </c>
      <c r="CC6" s="308" t="s">
        <v>97</v>
      </c>
      <c r="CD6" s="326" t="s">
        <v>99</v>
      </c>
      <c r="CE6" s="306" t="s">
        <v>86</v>
      </c>
      <c r="CF6" s="267" t="s">
        <v>106</v>
      </c>
      <c r="CG6" s="268" t="s">
        <v>85</v>
      </c>
      <c r="CH6" s="244" t="s">
        <v>109</v>
      </c>
      <c r="CI6" s="245" t="s">
        <v>103</v>
      </c>
      <c r="CJ6" s="267" t="s">
        <v>106</v>
      </c>
      <c r="CK6" s="268" t="s">
        <v>85</v>
      </c>
      <c r="CL6" s="244" t="s">
        <v>109</v>
      </c>
      <c r="CM6" s="245" t="s">
        <v>103</v>
      </c>
      <c r="CN6" s="243"/>
      <c r="CO6" s="248" t="s">
        <v>104</v>
      </c>
      <c r="CP6" s="10" t="s">
        <v>82</v>
      </c>
      <c r="CQ6" s="264" t="s">
        <v>100</v>
      </c>
      <c r="CR6" s="23" t="s">
        <v>102</v>
      </c>
      <c r="CS6" s="248" t="s">
        <v>98</v>
      </c>
      <c r="CT6" s="248" t="s">
        <v>99</v>
      </c>
      <c r="CU6" s="9" t="s">
        <v>83</v>
      </c>
      <c r="CV6" s="259" t="s">
        <v>106</v>
      </c>
      <c r="CW6" s="248" t="s">
        <v>84</v>
      </c>
      <c r="CX6" s="232" t="s">
        <v>108</v>
      </c>
      <c r="CY6" s="263" t="s">
        <v>103</v>
      </c>
      <c r="CZ6" s="253"/>
      <c r="DA6" s="321" t="s">
        <v>80</v>
      </c>
      <c r="DB6" s="321" t="s">
        <v>55</v>
      </c>
      <c r="DD6" s="288" t="s">
        <v>91</v>
      </c>
      <c r="DE6" s="289" t="s">
        <v>92</v>
      </c>
      <c r="DF6" s="290" t="s">
        <v>93</v>
      </c>
      <c r="DG6" s="290"/>
      <c r="DH6" s="289" t="s">
        <v>94</v>
      </c>
    </row>
    <row r="7" spans="1:114" s="76" customFormat="1" ht="16.5" customHeight="1" thickBot="1">
      <c r="A7" s="121">
        <v>1</v>
      </c>
      <c r="B7" s="122">
        <f>'[1]январь 20'!K6</f>
        <v>286.94</v>
      </c>
      <c r="C7" s="123">
        <f>IF(B7=0,0,(BK7*BR7+BL7*BS7+BM7*BT7+BN7*BU7+BQ7*BX7+BO7*BV7+BP7*BW7)/B7)</f>
        <v>2.0078771381020566</v>
      </c>
      <c r="D7" s="124">
        <f>B7*((100-C7)/100)</f>
        <v>281.17859733992992</v>
      </c>
      <c r="E7" s="125">
        <f>IF(B7=0,0,(BK7*BY7+BL7*BZ7+BM7*CA7+BQ7*CE7+BN7*CB7+BO7*CC7+BP7*CD7)/B7)</f>
        <v>40.515350700494899</v>
      </c>
      <c r="F7" s="126">
        <f>IF(AY7=0,0,D7/AY7)</f>
        <v>2.0359032462524795</v>
      </c>
      <c r="G7" s="127"/>
      <c r="H7" s="126">
        <f>IF(AY7=0,0,(CP7+CO7+CS7+CQ7+CT7)/AY7)</f>
        <v>1.1235363304612267</v>
      </c>
      <c r="I7" s="230">
        <f>'[1]июль 20'!AI6</f>
        <v>0</v>
      </c>
      <c r="J7" s="246">
        <f>'[1]январь 20'!AA6</f>
        <v>11.661</v>
      </c>
      <c r="K7" s="276">
        <f>'[1]сентябрь 20'!AM6</f>
        <v>0</v>
      </c>
      <c r="L7" s="122">
        <f>'[1]январь 20'!AE6</f>
        <v>126.00700000000001</v>
      </c>
      <c r="M7" s="128">
        <f>IF(AY7=0,0,(CR7+CU7)/AY7)</f>
        <v>0.91236694475367464</v>
      </c>
      <c r="N7" s="128">
        <f>'[1]январь 20'!W6</f>
        <v>0</v>
      </c>
      <c r="O7" s="402">
        <f>'[1]январь 20'!AU6</f>
        <v>3.3330000000000002</v>
      </c>
      <c r="P7" s="125">
        <f t="shared" ref="P7:P37" si="0">CF7+CH7+CI7+CG7</f>
        <v>172.86300199999999</v>
      </c>
      <c r="Q7" s="122">
        <f>'[1]январь 20'!S6</f>
        <v>172.863</v>
      </c>
      <c r="R7" s="123">
        <f>IF(Q7=0,0,(CI7*CM7+CG7*CK7+CH7*CL7+CF7*CJ7)/Q7)</f>
        <v>2.0900000000000118</v>
      </c>
      <c r="S7" s="129">
        <v>8.17</v>
      </c>
      <c r="T7" s="125">
        <f t="shared" ref="T7:T37" si="1">Q7*((100-R7)/100)</f>
        <v>169.25016329999997</v>
      </c>
      <c r="U7" s="128">
        <f t="shared" ref="U7:U37" si="2">IF(AY7=0,0,T7/AY7)</f>
        <v>1.2254736318876258</v>
      </c>
      <c r="V7" s="130">
        <v>71.92</v>
      </c>
      <c r="W7" s="130">
        <v>138.11000000000001</v>
      </c>
      <c r="X7" s="129">
        <v>0.7</v>
      </c>
      <c r="Y7" s="131">
        <v>496</v>
      </c>
      <c r="Z7" s="131">
        <v>1205</v>
      </c>
      <c r="AA7" s="132" t="s">
        <v>110</v>
      </c>
      <c r="AB7" s="129">
        <v>75.09</v>
      </c>
      <c r="AC7" s="131">
        <v>115</v>
      </c>
      <c r="AD7" s="133">
        <v>4</v>
      </c>
      <c r="AE7" s="129">
        <v>21.45</v>
      </c>
      <c r="AF7" s="134">
        <f t="shared" ref="AF7:AF37" si="3">IF(AY7=0,0,AE7/AY7*1000)</f>
        <v>155.31098399826226</v>
      </c>
      <c r="AG7" s="135"/>
      <c r="AH7" s="129">
        <v>83.7</v>
      </c>
      <c r="AI7" s="134">
        <f t="shared" ref="AI7:AI37" si="4">IF(AY7=0,0,AH7/AY7*1000)</f>
        <v>606.03866483238016</v>
      </c>
      <c r="AJ7" s="136">
        <v>12.89</v>
      </c>
      <c r="AK7" s="127"/>
      <c r="AL7" s="137">
        <v>5.28</v>
      </c>
      <c r="AM7" s="138">
        <v>33.97</v>
      </c>
      <c r="AN7" s="126">
        <f>IF(AM7=0,0,AM7/AT7)</f>
        <v>0.1941697627893684</v>
      </c>
      <c r="AO7" s="139" t="s">
        <v>111</v>
      </c>
      <c r="AP7" s="138">
        <v>13.52</v>
      </c>
      <c r="AQ7" s="138">
        <v>6.59</v>
      </c>
      <c r="AR7" s="129"/>
      <c r="AS7" s="129">
        <v>9.57</v>
      </c>
      <c r="AT7" s="129">
        <v>174.95</v>
      </c>
      <c r="AU7" s="129">
        <v>2.41</v>
      </c>
      <c r="AV7" s="129"/>
      <c r="AW7" s="129"/>
      <c r="AX7" s="140">
        <f t="shared" ref="AX7:AX37" si="5">IF(AY7=0,0,AW7/AY7*100)</f>
        <v>0</v>
      </c>
      <c r="AY7" s="125">
        <f t="shared" ref="AY7:AY37" si="6">AT7-AL7-AM7+AV7+AW7+AU7</f>
        <v>138.10999999999999</v>
      </c>
      <c r="AZ7" s="125">
        <f>IF(AB7=0,0,((D7*0.97)*(E7/100)*0.9)/(AB7/100))+DH7</f>
        <v>134.63403624018562</v>
      </c>
      <c r="BA7" s="141">
        <f t="shared" ref="BA7:BA37" si="7">(AH7*AS7)/100*(55/71)</f>
        <v>6.2049992957746474</v>
      </c>
      <c r="BB7" s="142">
        <f t="shared" ref="BB7:BB37" si="8">AY7*$BB$6</f>
        <v>5.5243999999999991</v>
      </c>
      <c r="BC7" s="122">
        <f t="shared" ref="BC7:BC37" si="9">IF((D7*E7)=0,0,(AY7*AB7)/(D7*E7))</f>
        <v>0.91034364953989833</v>
      </c>
      <c r="BD7" s="142">
        <f>BA7+BB7</f>
        <v>11.729399295774646</v>
      </c>
      <c r="BE7" s="143">
        <v>0.91</v>
      </c>
      <c r="BF7" s="25">
        <f>AY7</f>
        <v>138.10999999999999</v>
      </c>
      <c r="BG7" s="25">
        <f t="shared" ref="BG7:BG38" si="10">IF(A7&lt;=$BE$43,$AT$43,0)</f>
        <v>116.12903225806451</v>
      </c>
      <c r="BH7" s="25">
        <f>BG7</f>
        <v>116.12903225806451</v>
      </c>
      <c r="BI7" s="26">
        <f t="shared" ref="BI7:BI37" si="11">IF(AY7&lt;&gt;0,1,0)</f>
        <v>1</v>
      </c>
      <c r="BJ7" s="27">
        <f>BG7*BI7</f>
        <v>116.12903225806451</v>
      </c>
      <c r="BK7" s="28">
        <v>9.9999999999999995E-7</v>
      </c>
      <c r="BL7" s="28">
        <v>160.93299999999999</v>
      </c>
      <c r="BM7" s="28">
        <v>9.9999999999999995E-7</v>
      </c>
      <c r="BN7" s="28">
        <v>80.203999999999994</v>
      </c>
      <c r="BO7" s="28">
        <v>9.9999999999999995E-7</v>
      </c>
      <c r="BP7" s="28">
        <v>9.9999999999999995E-7</v>
      </c>
      <c r="BQ7" s="28">
        <v>45.802999999999997</v>
      </c>
      <c r="BR7" s="28">
        <v>9.9999999999999995E-7</v>
      </c>
      <c r="BS7" s="28">
        <v>3.58</v>
      </c>
      <c r="BT7" s="28">
        <v>9.9999999999999995E-7</v>
      </c>
      <c r="BU7" s="28">
        <v>9.9999999999999995E-7</v>
      </c>
      <c r="BV7" s="28">
        <v>9.9999999999999995E-7</v>
      </c>
      <c r="BW7" s="28">
        <v>9.9999999999999995E-7</v>
      </c>
      <c r="BX7" s="28">
        <v>9.9999999999999995E-7</v>
      </c>
      <c r="BY7" s="28">
        <v>9.9999999999999995E-7</v>
      </c>
      <c r="BZ7" s="28">
        <v>36.340000000000003</v>
      </c>
      <c r="CA7" s="28">
        <v>9.9999999999999995E-7</v>
      </c>
      <c r="CB7" s="28">
        <v>45.39</v>
      </c>
      <c r="CC7" s="28">
        <v>9.9999999999999995E-7</v>
      </c>
      <c r="CD7" s="28">
        <v>9.9999999999999995E-7</v>
      </c>
      <c r="CE7" s="28">
        <v>46.65</v>
      </c>
      <c r="CF7" s="28">
        <v>9.9999999999999995E-7</v>
      </c>
      <c r="CG7" s="28">
        <v>115.38500000000001</v>
      </c>
      <c r="CH7" s="28">
        <v>57.478000000000002</v>
      </c>
      <c r="CI7" s="28">
        <v>9.9999999999999995E-7</v>
      </c>
      <c r="CJ7" s="28">
        <v>9.9999999999999995E-7</v>
      </c>
      <c r="CK7" s="28">
        <v>2.09</v>
      </c>
      <c r="CL7" s="28">
        <v>2.09</v>
      </c>
      <c r="CM7" s="28">
        <v>9.9999999999999995E-7</v>
      </c>
      <c r="CN7" s="286"/>
      <c r="CO7" s="252">
        <f t="shared" ref="CO7:CU22" si="12">BK7*((100-BR7)/100)</f>
        <v>9.9999998999999992E-7</v>
      </c>
      <c r="CP7" s="11">
        <f t="shared" si="12"/>
        <v>155.17159860000001</v>
      </c>
      <c r="CQ7" s="11">
        <f t="shared" si="12"/>
        <v>9.9999998999999992E-7</v>
      </c>
      <c r="CR7" s="11">
        <f t="shared" si="12"/>
        <v>80.203999197960002</v>
      </c>
      <c r="CS7" s="11">
        <f t="shared" si="12"/>
        <v>9.9999998999999992E-7</v>
      </c>
      <c r="CT7" s="11">
        <f t="shared" si="12"/>
        <v>9.9999998999999992E-7</v>
      </c>
      <c r="CU7" s="271">
        <f t="shared" si="12"/>
        <v>45.802999541970003</v>
      </c>
      <c r="CV7" s="260">
        <f t="shared" ref="CV7:CY37" si="13">CF7*((100-CJ7)/100)</f>
        <v>9.9999998999999992E-7</v>
      </c>
      <c r="CW7" s="250">
        <f t="shared" si="13"/>
        <v>112.97345350000001</v>
      </c>
      <c r="CX7" s="260">
        <f t="shared" si="13"/>
        <v>56.276709799999999</v>
      </c>
      <c r="CY7" s="271">
        <f t="shared" si="13"/>
        <v>9.9999998999999992E-7</v>
      </c>
      <c r="CZ7" s="13"/>
      <c r="DA7" s="240">
        <f>(D7+'[2]январь 20'!D7)/(AY7+'[2]январь 20'!AX7)</f>
        <v>2.0686037146296123</v>
      </c>
      <c r="DB7" s="241">
        <f>(T7+'[2]январь 20'!R7)/(AY7+'[2]январь 20'!AX7)</f>
        <v>1.2305507278395231</v>
      </c>
      <c r="DD7" s="292">
        <f t="shared" ref="DD7:DD37" si="14">J7</f>
        <v>11.661</v>
      </c>
      <c r="DE7" s="291">
        <v>0.64</v>
      </c>
      <c r="DF7" s="291">
        <v>14.19</v>
      </c>
      <c r="DG7" s="145">
        <f t="shared" ref="DG7:DG37" si="15">DD7*((100-DE7)/100)</f>
        <v>11.586369599999999</v>
      </c>
      <c r="DH7" s="293">
        <f>IF(AB7=0,0,(DG7*DF7%)/(AB7/100))</f>
        <v>2.1895137118657613</v>
      </c>
      <c r="DJ7" s="322"/>
    </row>
    <row r="8" spans="1:114" s="76" customFormat="1" ht="16.5" customHeight="1" thickBot="1">
      <c r="A8" s="144">
        <v>2</v>
      </c>
      <c r="B8" s="122">
        <f>'[1]январь 20'!K7</f>
        <v>299.49400000000003</v>
      </c>
      <c r="C8" s="123">
        <f t="shared" ref="C8:C37" si="16">IF(B8=0,0,(BK8*BR8+BL8*BS8+BM8*BT8+BN8*BU8+BQ8*BX8+BO8*BV8+BP8*BW8)/B8)</f>
        <v>1.5323722678918443</v>
      </c>
      <c r="D8" s="145">
        <f t="shared" ref="D8:D37" si="17">B8*((100-C8)/100)</f>
        <v>294.90463700000004</v>
      </c>
      <c r="E8" s="125">
        <f t="shared" ref="E8:E37" si="18">IF(B8=0,0,(BK8*BY8+BL8*BZ8+BM8*CA8+BQ8*CE8+BN8*CB8+BO8*CC8+BP8*CD8)/B8)</f>
        <v>40.528882448396288</v>
      </c>
      <c r="F8" s="146">
        <f t="shared" ref="F8:F37" si="19">IF(AY8=0,0,D8/AY8)</f>
        <v>2.0101195351373464</v>
      </c>
      <c r="G8" s="127"/>
      <c r="H8" s="126">
        <f t="shared" ref="H8:H37" si="20">IF(AY8=0,0,(CP8+CO8+CS8+CQ8+CT8)/AY8)</f>
        <v>1.1103921818553613</v>
      </c>
      <c r="I8" s="230">
        <f>'[1]июль 20'!AI7</f>
        <v>0</v>
      </c>
      <c r="J8" s="247">
        <f>'[1]январь 20'!AA7</f>
        <v>12.211</v>
      </c>
      <c r="K8" s="276">
        <f>'[1]сентябрь 20'!AM7</f>
        <v>0</v>
      </c>
      <c r="L8" s="122">
        <f>'[1]январь 20'!AE7</f>
        <v>131.999</v>
      </c>
      <c r="M8" s="128">
        <f t="shared" ref="M8:M37" si="21">IF(AY8=0,0,(CR8+CU8)/AY8)</f>
        <v>0.89972735328198494</v>
      </c>
      <c r="N8" s="400">
        <f>'[1]январь 20'!W7</f>
        <v>0</v>
      </c>
      <c r="O8" s="403">
        <f>'[1]январь 20'!AU7</f>
        <v>1.99</v>
      </c>
      <c r="P8" s="401">
        <f t="shared" si="0"/>
        <v>184.73000000000002</v>
      </c>
      <c r="Q8" s="122">
        <f>'[1]январь 20'!S7</f>
        <v>184.73</v>
      </c>
      <c r="R8" s="123">
        <f t="shared" ref="R8:R37" si="22">IF(Q8=0,0,(CI8*CM8+CG8*CK8+CH8*CL8+CF8*CJ8)/Q8)</f>
        <v>2.0700000000000003</v>
      </c>
      <c r="S8" s="129">
        <v>8.85</v>
      </c>
      <c r="T8" s="125">
        <f t="shared" si="1"/>
        <v>180.90608900000001</v>
      </c>
      <c r="U8" s="147">
        <f t="shared" si="2"/>
        <v>1.2330862858700842</v>
      </c>
      <c r="V8" s="130">
        <v>110.91</v>
      </c>
      <c r="W8" s="130">
        <v>146.71</v>
      </c>
      <c r="X8" s="129">
        <v>0.18</v>
      </c>
      <c r="Y8" s="131">
        <v>500</v>
      </c>
      <c r="Z8" s="131">
        <v>1206</v>
      </c>
      <c r="AA8" s="148" t="s">
        <v>112</v>
      </c>
      <c r="AB8" s="149">
        <v>75.64</v>
      </c>
      <c r="AC8" s="150">
        <v>121</v>
      </c>
      <c r="AD8" s="151">
        <v>4</v>
      </c>
      <c r="AE8" s="149">
        <v>16</v>
      </c>
      <c r="AF8" s="134">
        <f t="shared" si="3"/>
        <v>109.05868720605277</v>
      </c>
      <c r="AG8" s="152"/>
      <c r="AH8" s="129">
        <v>97.45</v>
      </c>
      <c r="AI8" s="134">
        <f t="shared" si="4"/>
        <v>664.23556676436522</v>
      </c>
      <c r="AJ8" s="153">
        <v>15.55</v>
      </c>
      <c r="AK8" s="154"/>
      <c r="AL8" s="155">
        <v>8.39</v>
      </c>
      <c r="AM8" s="156">
        <v>34.6</v>
      </c>
      <c r="AN8" s="126">
        <f t="shared" ref="AN8:AN37" si="23">IF(AM8=0,0,AM8/AT8)</f>
        <v>0.18297197250132208</v>
      </c>
      <c r="AO8" s="157" t="s">
        <v>113</v>
      </c>
      <c r="AP8" s="156">
        <v>12</v>
      </c>
      <c r="AQ8" s="156">
        <v>6.44</v>
      </c>
      <c r="AR8" s="149"/>
      <c r="AS8" s="149">
        <v>10.93</v>
      </c>
      <c r="AT8" s="149">
        <v>189.1</v>
      </c>
      <c r="AU8" s="149">
        <v>0.6</v>
      </c>
      <c r="AV8" s="149"/>
      <c r="AW8" s="149"/>
      <c r="AX8" s="158">
        <f t="shared" si="5"/>
        <v>0</v>
      </c>
      <c r="AY8" s="125">
        <f t="shared" si="6"/>
        <v>146.70999999999998</v>
      </c>
      <c r="AZ8" s="125">
        <f>IF(AB8=0,0,((D8*0.97)*(E8/100)*0.9)/(AB8/100))+DH8</f>
        <v>140.59703399253783</v>
      </c>
      <c r="BA8" s="159">
        <f t="shared" si="7"/>
        <v>8.25099542253521</v>
      </c>
      <c r="BB8" s="160">
        <f t="shared" si="8"/>
        <v>5.8683999999999994</v>
      </c>
      <c r="BC8" s="161">
        <f t="shared" si="9"/>
        <v>0.92846386779247336</v>
      </c>
      <c r="BD8" s="160">
        <f t="shared" ref="BD8:BD37" si="24">BA8+BB8</f>
        <v>14.119395422535209</v>
      </c>
      <c r="BE8" s="162">
        <v>0.92</v>
      </c>
      <c r="BF8" s="25">
        <f t="shared" ref="BF8:BF37" si="25">BF7+AY8</f>
        <v>284.81999999999994</v>
      </c>
      <c r="BG8" s="25">
        <f t="shared" si="10"/>
        <v>116.12903225806451</v>
      </c>
      <c r="BH8" s="25">
        <f t="shared" ref="BH8:BH37" si="26">BG8+BH7</f>
        <v>232.25806451612902</v>
      </c>
      <c r="BI8" s="26">
        <f t="shared" si="11"/>
        <v>1</v>
      </c>
      <c r="BJ8" s="27">
        <f t="shared" ref="BJ8:BJ37" si="27">BG8*BI8+BJ7</f>
        <v>232.25806451612902</v>
      </c>
      <c r="BK8" s="30"/>
      <c r="BL8" s="31">
        <v>167.495</v>
      </c>
      <c r="BM8" s="31"/>
      <c r="BN8" s="31">
        <v>131.999</v>
      </c>
      <c r="BO8" s="40"/>
      <c r="BP8" s="40"/>
      <c r="BQ8" s="32"/>
      <c r="BR8" s="33"/>
      <c r="BS8" s="34">
        <v>2.74</v>
      </c>
      <c r="BT8" s="35"/>
      <c r="BU8" s="28"/>
      <c r="BV8" s="287"/>
      <c r="BW8" s="28"/>
      <c r="BX8" s="36"/>
      <c r="BY8" s="33"/>
      <c r="BZ8" s="34">
        <v>36.43</v>
      </c>
      <c r="CA8" s="35"/>
      <c r="CB8" s="35">
        <v>45.73</v>
      </c>
      <c r="CC8" s="235"/>
      <c r="CD8" s="235"/>
      <c r="CE8" s="36"/>
      <c r="CF8" s="30"/>
      <c r="CG8" s="30">
        <v>121.661</v>
      </c>
      <c r="CH8" s="31">
        <v>63.069000000000003</v>
      </c>
      <c r="CI8" s="32"/>
      <c r="CJ8" s="33"/>
      <c r="CK8" s="33">
        <v>2.0699999999999998</v>
      </c>
      <c r="CL8" s="35">
        <v>2.0699999999999998</v>
      </c>
      <c r="CM8" s="28"/>
      <c r="CN8" s="286"/>
      <c r="CO8" s="249">
        <f t="shared" si="12"/>
        <v>0</v>
      </c>
      <c r="CP8" s="12">
        <f t="shared" si="12"/>
        <v>162.90563700000001</v>
      </c>
      <c r="CQ8" s="12">
        <f t="shared" si="12"/>
        <v>0</v>
      </c>
      <c r="CR8" s="12">
        <f t="shared" si="12"/>
        <v>131.999</v>
      </c>
      <c r="CS8" s="11">
        <f t="shared" si="12"/>
        <v>0</v>
      </c>
      <c r="CT8" s="11">
        <f t="shared" si="12"/>
        <v>0</v>
      </c>
      <c r="CU8" s="272">
        <f t="shared" si="12"/>
        <v>0</v>
      </c>
      <c r="CV8" s="249">
        <f t="shared" si="13"/>
        <v>0</v>
      </c>
      <c r="CW8" s="12">
        <f t="shared" si="13"/>
        <v>119.14261730000001</v>
      </c>
      <c r="CX8" s="254">
        <f t="shared" si="13"/>
        <v>61.763471700000004</v>
      </c>
      <c r="CY8" s="272">
        <f t="shared" si="13"/>
        <v>0</v>
      </c>
      <c r="CZ8" s="13"/>
      <c r="DA8" s="240">
        <f>(D8+'[2]январь 20'!D8)/(AY8+'[2]январь 20'!AX8)</f>
        <v>2.2318841320435712</v>
      </c>
      <c r="DB8" s="241">
        <f>(T8+'[2]январь 20'!R8)/(AY8+'[2]январь 20'!AX8)</f>
        <v>1.345813600709554</v>
      </c>
      <c r="DD8" s="292">
        <f t="shared" si="14"/>
        <v>12.211</v>
      </c>
      <c r="DE8" s="291">
        <v>0.11</v>
      </c>
      <c r="DF8" s="291">
        <v>16.440000000000001</v>
      </c>
      <c r="DG8" s="145">
        <f t="shared" si="15"/>
        <v>12.197567900000001</v>
      </c>
      <c r="DH8" s="293">
        <f t="shared" ref="DH8:DH37" si="28">IF(AB8=0,0,(DG8*DF8%)/(AB8/100))</f>
        <v>2.6510842976731896</v>
      </c>
      <c r="DJ8" s="322"/>
    </row>
    <row r="9" spans="1:114" s="76" customFormat="1" ht="16.5" customHeight="1" thickBot="1">
      <c r="A9" s="144">
        <v>3</v>
      </c>
      <c r="B9" s="122">
        <f>'[1]январь 20'!K8</f>
        <v>310.03899999999999</v>
      </c>
      <c r="C9" s="123">
        <f t="shared" si="16"/>
        <v>1.6085067039953038</v>
      </c>
      <c r="D9" s="145">
        <f>B9*((100-C9)/100)</f>
        <v>305.05200189999999</v>
      </c>
      <c r="E9" s="125">
        <f t="shared" si="18"/>
        <v>40.966784275526628</v>
      </c>
      <c r="F9" s="146">
        <f t="shared" si="19"/>
        <v>2.0107573785511832</v>
      </c>
      <c r="G9" s="127"/>
      <c r="H9" s="126">
        <f t="shared" si="20"/>
        <v>1.1124909491793551</v>
      </c>
      <c r="I9" s="230">
        <f>'[1]июль 20'!AI8</f>
        <v>0</v>
      </c>
      <c r="J9" s="247">
        <f>'[1]январь 20'!AA8</f>
        <v>12.244999999999999</v>
      </c>
      <c r="K9" s="276">
        <f>'[1]сентябрь 20'!AM8</f>
        <v>0</v>
      </c>
      <c r="L9" s="122">
        <f>'[1]январь 20'!AE8</f>
        <v>136.27600000000001</v>
      </c>
      <c r="M9" s="128">
        <f t="shared" si="21"/>
        <v>0.89826642937182788</v>
      </c>
      <c r="N9" s="400">
        <f>'[1]январь 20'!W8</f>
        <v>0</v>
      </c>
      <c r="O9" s="403">
        <f>'[1]январь 20'!AU8</f>
        <v>2.1970000000000001</v>
      </c>
      <c r="P9" s="401">
        <f t="shared" si="0"/>
        <v>189.41499999999999</v>
      </c>
      <c r="Q9" s="122">
        <f>'[1]январь 20'!S8</f>
        <v>189.41499999999999</v>
      </c>
      <c r="R9" s="123">
        <f t="shared" si="22"/>
        <v>2.16</v>
      </c>
      <c r="S9" s="129">
        <v>6.22</v>
      </c>
      <c r="T9" s="125">
        <f t="shared" si="1"/>
        <v>185.32363599999999</v>
      </c>
      <c r="U9" s="147">
        <f>IF(AY9=0,0,T9/AY9)</f>
        <v>1.2215650649265044</v>
      </c>
      <c r="V9" s="130">
        <v>63.84</v>
      </c>
      <c r="W9" s="130">
        <v>100.93</v>
      </c>
      <c r="X9" s="129">
        <v>0.98</v>
      </c>
      <c r="Y9" s="131">
        <v>515</v>
      </c>
      <c r="Z9" s="131">
        <v>1206</v>
      </c>
      <c r="AA9" s="148" t="s">
        <v>114</v>
      </c>
      <c r="AB9" s="149">
        <v>75.31</v>
      </c>
      <c r="AC9" s="150">
        <v>124</v>
      </c>
      <c r="AD9" s="151">
        <v>4</v>
      </c>
      <c r="AE9" s="149">
        <v>18.95</v>
      </c>
      <c r="AF9" s="134">
        <f t="shared" si="3"/>
        <v>124.90936655461076</v>
      </c>
      <c r="AG9" s="152"/>
      <c r="AH9" s="129">
        <v>74.95</v>
      </c>
      <c r="AI9" s="134">
        <f t="shared" si="4"/>
        <v>494.0346714125634</v>
      </c>
      <c r="AJ9" s="153">
        <v>23.43</v>
      </c>
      <c r="AK9" s="154"/>
      <c r="AL9" s="155">
        <v>5.7</v>
      </c>
      <c r="AM9" s="156">
        <v>36.270000000000003</v>
      </c>
      <c r="AN9" s="126">
        <f t="shared" si="23"/>
        <v>0.18915254237288137</v>
      </c>
      <c r="AO9" s="157" t="s">
        <v>115</v>
      </c>
      <c r="AP9" s="156">
        <v>14.15</v>
      </c>
      <c r="AQ9" s="156">
        <v>6.54</v>
      </c>
      <c r="AR9" s="149"/>
      <c r="AS9" s="149">
        <v>9.0500000000000007</v>
      </c>
      <c r="AT9" s="149">
        <v>191.75</v>
      </c>
      <c r="AU9" s="149">
        <v>1.93</v>
      </c>
      <c r="AV9" s="149"/>
      <c r="AW9" s="149"/>
      <c r="AX9" s="158">
        <f t="shared" si="5"/>
        <v>0</v>
      </c>
      <c r="AY9" s="125">
        <f t="shared" si="6"/>
        <v>151.71</v>
      </c>
      <c r="AZ9" s="125">
        <f t="shared" ref="AZ9:AZ37" si="29">IF(AB9=0,0,((D9*0.97)*(E9/100)*0.9)/(AB9/100))+DH9</f>
        <v>147.03992861928927</v>
      </c>
      <c r="BA9" s="159">
        <f t="shared" si="7"/>
        <v>5.2544172535211278</v>
      </c>
      <c r="BB9" s="160">
        <f t="shared" si="8"/>
        <v>6.0684000000000005</v>
      </c>
      <c r="BC9" s="161">
        <f t="shared" si="9"/>
        <v>0.91424185861832363</v>
      </c>
      <c r="BD9" s="160">
        <f t="shared" si="24"/>
        <v>11.322817253521128</v>
      </c>
      <c r="BE9" s="162">
        <v>0.91800000000000004</v>
      </c>
      <c r="BF9" s="25">
        <f t="shared" si="25"/>
        <v>436.53</v>
      </c>
      <c r="BG9" s="25">
        <f t="shared" si="10"/>
        <v>116.12903225806451</v>
      </c>
      <c r="BH9" s="25">
        <f t="shared" si="26"/>
        <v>348.38709677419354</v>
      </c>
      <c r="BI9" s="26">
        <f t="shared" si="11"/>
        <v>1</v>
      </c>
      <c r="BJ9" s="37">
        <f t="shared" si="27"/>
        <v>348.38709677419354</v>
      </c>
      <c r="BK9" s="38"/>
      <c r="BL9" s="31">
        <v>173.76300000000001</v>
      </c>
      <c r="BM9" s="31"/>
      <c r="BN9" s="31">
        <v>136.27600000000001</v>
      </c>
      <c r="BO9" s="40"/>
      <c r="BP9" s="40"/>
      <c r="BQ9" s="32"/>
      <c r="BR9" s="33"/>
      <c r="BS9" s="34">
        <v>2.87</v>
      </c>
      <c r="BT9" s="35"/>
      <c r="BU9" s="28"/>
      <c r="BV9" s="287"/>
      <c r="BW9" s="287"/>
      <c r="BX9" s="36"/>
      <c r="BY9" s="33"/>
      <c r="BZ9" s="34">
        <v>37.090000000000003</v>
      </c>
      <c r="CA9" s="35"/>
      <c r="CB9" s="35">
        <v>45.91</v>
      </c>
      <c r="CC9" s="235"/>
      <c r="CD9" s="235"/>
      <c r="CE9" s="36"/>
      <c r="CF9" s="30"/>
      <c r="CG9" s="30">
        <v>127.411</v>
      </c>
      <c r="CH9" s="31">
        <v>62.003999999999998</v>
      </c>
      <c r="CI9" s="32"/>
      <c r="CJ9" s="33"/>
      <c r="CK9" s="33">
        <v>2.16</v>
      </c>
      <c r="CL9" s="35">
        <v>2.16</v>
      </c>
      <c r="CM9" s="36"/>
      <c r="CN9" s="286"/>
      <c r="CO9" s="249">
        <f t="shared" si="12"/>
        <v>0</v>
      </c>
      <c r="CP9" s="12">
        <f t="shared" si="12"/>
        <v>168.77600189999998</v>
      </c>
      <c r="CQ9" s="12">
        <f t="shared" si="12"/>
        <v>0</v>
      </c>
      <c r="CR9" s="12">
        <f t="shared" si="12"/>
        <v>136.27600000000001</v>
      </c>
      <c r="CS9" s="11">
        <f t="shared" si="12"/>
        <v>0</v>
      </c>
      <c r="CT9" s="11">
        <f t="shared" si="12"/>
        <v>0</v>
      </c>
      <c r="CU9" s="272">
        <f t="shared" si="12"/>
        <v>0</v>
      </c>
      <c r="CV9" s="249">
        <f t="shared" si="13"/>
        <v>0</v>
      </c>
      <c r="CW9" s="251">
        <f t="shared" si="13"/>
        <v>124.65892240000001</v>
      </c>
      <c r="CX9" s="249">
        <f t="shared" si="13"/>
        <v>60.664713599999999</v>
      </c>
      <c r="CY9" s="272">
        <f t="shared" si="13"/>
        <v>0</v>
      </c>
      <c r="CZ9" s="13"/>
      <c r="DA9" s="240">
        <f>(D9+'[2]январь 20'!D9)/(AY9+'[2]январь 20'!AX9)</f>
        <v>1.9810820665661601</v>
      </c>
      <c r="DB9" s="241">
        <f>(T9+'[2]январь 20'!R9)/(AY9+'[2]январь 20'!AX9)</f>
        <v>1.1894552615099152</v>
      </c>
      <c r="DD9" s="292">
        <f t="shared" si="14"/>
        <v>12.244999999999999</v>
      </c>
      <c r="DE9" s="291">
        <v>0.31</v>
      </c>
      <c r="DF9" s="291">
        <v>13.41</v>
      </c>
      <c r="DG9" s="145">
        <f t="shared" si="15"/>
        <v>12.2070405</v>
      </c>
      <c r="DH9" s="293">
        <f t="shared" si="28"/>
        <v>2.1736344855264904</v>
      </c>
      <c r="DJ9" s="322"/>
    </row>
    <row r="10" spans="1:114" s="76" customFormat="1" ht="16.5" customHeight="1" thickBot="1">
      <c r="A10" s="144">
        <v>4</v>
      </c>
      <c r="B10" s="122">
        <f>'[1]январь 20'!K9</f>
        <v>287.83999999999997</v>
      </c>
      <c r="C10" s="123">
        <f t="shared" si="16"/>
        <v>2.4316152723735409</v>
      </c>
      <c r="D10" s="145">
        <f t="shared" si="17"/>
        <v>280.84083859999998</v>
      </c>
      <c r="E10" s="125">
        <f>IF(B10=0,0,(BK10*BY10+BL10*BZ10+BM10*CA10+BQ10*CE10+BN10*CB10+BO10*CC10+BP10*CD10)/B10)</f>
        <v>40.696914640077821</v>
      </c>
      <c r="F10" s="146">
        <f t="shared" si="19"/>
        <v>2.0494843362767279</v>
      </c>
      <c r="G10" s="127"/>
      <c r="H10" s="126">
        <f t="shared" si="20"/>
        <v>1.125825283514559</v>
      </c>
      <c r="I10" s="230">
        <f>'[1]июль 20'!AI9</f>
        <v>0</v>
      </c>
      <c r="J10" s="247">
        <f>'[1]январь 20'!AA9</f>
        <v>11.688000000000001</v>
      </c>
      <c r="K10" s="276">
        <f>'[1]сентябрь 20'!AM9</f>
        <v>0</v>
      </c>
      <c r="L10" s="122">
        <f>'[1]январь 20'!AE9</f>
        <v>126.569</v>
      </c>
      <c r="M10" s="128">
        <f t="shared" si="21"/>
        <v>0.92365905276216909</v>
      </c>
      <c r="N10" s="400">
        <f>'[1]январь 20'!W9</f>
        <v>0</v>
      </c>
      <c r="O10" s="403">
        <f>'[1]январь 20'!AU9</f>
        <v>3.1160000000000001</v>
      </c>
      <c r="P10" s="401">
        <f t="shared" si="0"/>
        <v>174.87099999999998</v>
      </c>
      <c r="Q10" s="122">
        <f>'[1]январь 20'!S9</f>
        <v>174.87100000000001</v>
      </c>
      <c r="R10" s="123">
        <f t="shared" si="22"/>
        <v>2.15</v>
      </c>
      <c r="S10" s="129">
        <v>7.86</v>
      </c>
      <c r="T10" s="125">
        <f t="shared" si="1"/>
        <v>171.11127350000001</v>
      </c>
      <c r="U10" s="147">
        <f t="shared" si="2"/>
        <v>1.2487139567977819</v>
      </c>
      <c r="V10" s="130">
        <v>101.22</v>
      </c>
      <c r="W10" s="130">
        <v>102.8</v>
      </c>
      <c r="X10" s="129">
        <v>0.6</v>
      </c>
      <c r="Y10" s="131">
        <v>528</v>
      </c>
      <c r="Z10" s="131">
        <v>1214</v>
      </c>
      <c r="AA10" s="148" t="s">
        <v>116</v>
      </c>
      <c r="AB10" s="149">
        <v>75.17</v>
      </c>
      <c r="AC10" s="150">
        <v>115</v>
      </c>
      <c r="AD10" s="151">
        <v>4</v>
      </c>
      <c r="AE10" s="149">
        <v>17.100000000000001</v>
      </c>
      <c r="AF10" s="134">
        <f t="shared" si="3"/>
        <v>124.79019192877476</v>
      </c>
      <c r="AG10" s="152"/>
      <c r="AH10" s="129">
        <v>76.849999999999994</v>
      </c>
      <c r="AI10" s="134">
        <f t="shared" si="4"/>
        <v>560.82609647522452</v>
      </c>
      <c r="AJ10" s="153">
        <v>15.35</v>
      </c>
      <c r="AK10" s="154"/>
      <c r="AL10" s="155">
        <v>4.46</v>
      </c>
      <c r="AM10" s="156">
        <v>36.99</v>
      </c>
      <c r="AN10" s="126">
        <f t="shared" si="23"/>
        <v>0.20904210228878217</v>
      </c>
      <c r="AO10" s="157" t="s">
        <v>117</v>
      </c>
      <c r="AP10" s="156">
        <v>13.93</v>
      </c>
      <c r="AQ10" s="156">
        <v>6.44</v>
      </c>
      <c r="AR10" s="149"/>
      <c r="AS10" s="149">
        <v>9.0399999999999991</v>
      </c>
      <c r="AT10" s="149">
        <v>176.95</v>
      </c>
      <c r="AU10" s="149">
        <v>1.53</v>
      </c>
      <c r="AV10" s="149"/>
      <c r="AW10" s="149"/>
      <c r="AX10" s="158">
        <f t="shared" si="5"/>
        <v>0</v>
      </c>
      <c r="AY10" s="125">
        <f>AT10-AL10-AM10+AV10+AW10+AU10</f>
        <v>137.02999999999997</v>
      </c>
      <c r="AZ10" s="125">
        <f>IF(AB10=0,0,((D10*0.97)*(E10/100)*0.9)/(AB10/100))+DH10</f>
        <v>135.58710366553356</v>
      </c>
      <c r="BA10" s="159">
        <f t="shared" si="7"/>
        <v>5.381664788732393</v>
      </c>
      <c r="BB10" s="160">
        <f t="shared" si="8"/>
        <v>5.4811999999999994</v>
      </c>
      <c r="BC10" s="161">
        <f t="shared" si="9"/>
        <v>0.90123585511668758</v>
      </c>
      <c r="BD10" s="160">
        <f t="shared" si="24"/>
        <v>10.862864788732391</v>
      </c>
      <c r="BE10" s="162">
        <v>0.91400000000000003</v>
      </c>
      <c r="BF10" s="25">
        <f t="shared" si="25"/>
        <v>573.55999999999995</v>
      </c>
      <c r="BG10" s="25">
        <f t="shared" si="10"/>
        <v>116.12903225806451</v>
      </c>
      <c r="BH10" s="25">
        <f t="shared" si="26"/>
        <v>464.51612903225805</v>
      </c>
      <c r="BI10" s="26">
        <f t="shared" si="11"/>
        <v>1</v>
      </c>
      <c r="BJ10" s="37">
        <f t="shared" si="27"/>
        <v>464.51612903225805</v>
      </c>
      <c r="BK10" s="38"/>
      <c r="BL10" s="31">
        <v>161.27099999999999</v>
      </c>
      <c r="BM10" s="31"/>
      <c r="BN10" s="31">
        <v>126.569</v>
      </c>
      <c r="BO10" s="40"/>
      <c r="BP10" s="40"/>
      <c r="BQ10" s="32"/>
      <c r="BR10" s="33"/>
      <c r="BS10" s="34">
        <v>4.34</v>
      </c>
      <c r="BT10" s="35"/>
      <c r="BU10" s="28"/>
      <c r="BV10" s="287"/>
      <c r="BW10" s="287"/>
      <c r="BX10" s="36"/>
      <c r="BY10" s="33"/>
      <c r="BZ10" s="34">
        <v>36.479999999999997</v>
      </c>
      <c r="CA10" s="35"/>
      <c r="CB10" s="35">
        <v>46.07</v>
      </c>
      <c r="CC10" s="235"/>
      <c r="CD10" s="235"/>
      <c r="CE10" s="36"/>
      <c r="CF10" s="30"/>
      <c r="CG10" s="30">
        <v>117.34699999999999</v>
      </c>
      <c r="CH10" s="31">
        <v>57.524000000000001</v>
      </c>
      <c r="CI10" s="32"/>
      <c r="CJ10" s="33"/>
      <c r="CK10" s="33">
        <v>2.15</v>
      </c>
      <c r="CL10" s="35">
        <v>2.15</v>
      </c>
      <c r="CM10" s="36"/>
      <c r="CN10" s="286"/>
      <c r="CO10" s="249">
        <f t="shared" si="12"/>
        <v>0</v>
      </c>
      <c r="CP10" s="12">
        <f t="shared" si="12"/>
        <v>154.2718386</v>
      </c>
      <c r="CQ10" s="12">
        <f t="shared" si="12"/>
        <v>0</v>
      </c>
      <c r="CR10" s="14">
        <f t="shared" si="12"/>
        <v>126.569</v>
      </c>
      <c r="CS10" s="11">
        <f t="shared" si="12"/>
        <v>0</v>
      </c>
      <c r="CT10" s="11">
        <f t="shared" si="12"/>
        <v>0</v>
      </c>
      <c r="CU10" s="272">
        <f t="shared" si="12"/>
        <v>0</v>
      </c>
      <c r="CV10" s="249">
        <f t="shared" si="13"/>
        <v>0</v>
      </c>
      <c r="CW10" s="12">
        <f t="shared" si="13"/>
        <v>114.82403949999998</v>
      </c>
      <c r="CX10" s="249">
        <f t="shared" si="13"/>
        <v>56.287233999999998</v>
      </c>
      <c r="CY10" s="272">
        <f t="shared" si="13"/>
        <v>0</v>
      </c>
      <c r="CZ10" s="13"/>
      <c r="DA10" s="240">
        <f>(D10+'[2]январь 20'!D10)/(AY10+'[2]январь 20'!AX10)</f>
        <v>2.0087866566058445</v>
      </c>
      <c r="DB10" s="241">
        <f>(T10+'[2]январь 20'!R10)/(AY10+'[2]январь 20'!AX10)</f>
        <v>1.2186617464672798</v>
      </c>
      <c r="DD10" s="292">
        <f t="shared" si="14"/>
        <v>11.688000000000001</v>
      </c>
      <c r="DE10" s="291">
        <v>0.59</v>
      </c>
      <c r="DF10" s="291">
        <v>18.440000000000001</v>
      </c>
      <c r="DG10" s="145">
        <f t="shared" si="15"/>
        <v>11.619040800000001</v>
      </c>
      <c r="DH10" s="293">
        <f t="shared" si="28"/>
        <v>2.8502742098177465</v>
      </c>
      <c r="DJ10" s="322"/>
    </row>
    <row r="11" spans="1:114" s="76" customFormat="1" ht="16.5" customHeight="1" thickBot="1">
      <c r="A11" s="144">
        <v>5</v>
      </c>
      <c r="B11" s="122">
        <f>'[1]январь 20'!K10</f>
        <v>275.03899999999999</v>
      </c>
      <c r="C11" s="123">
        <f t="shared" si="16"/>
        <v>1.3051825741076721</v>
      </c>
      <c r="D11" s="145">
        <f t="shared" si="17"/>
        <v>271.44923889999995</v>
      </c>
      <c r="E11" s="125">
        <f t="shared" si="18"/>
        <v>40.700928813731871</v>
      </c>
      <c r="F11" s="146">
        <f t="shared" si="19"/>
        <v>2.1358819647493896</v>
      </c>
      <c r="G11" s="127"/>
      <c r="H11" s="126">
        <f t="shared" si="20"/>
        <v>1.1840210787630814</v>
      </c>
      <c r="I11" s="230">
        <f>'[1]июль 20'!AI10</f>
        <v>0</v>
      </c>
      <c r="J11" s="247">
        <f>'[1]январь 20'!AA10</f>
        <v>11.196999999999999</v>
      </c>
      <c r="K11" s="276">
        <f>'[1]сентябрь 20'!AM10</f>
        <v>0</v>
      </c>
      <c r="L11" s="122">
        <f>'[1]январь 20'!AE10</f>
        <v>120.97199999999999</v>
      </c>
      <c r="M11" s="128">
        <f t="shared" si="21"/>
        <v>0.9518608859863088</v>
      </c>
      <c r="N11" s="400">
        <f>'[1]январь 20'!W10</f>
        <v>0</v>
      </c>
      <c r="O11" s="403">
        <f>'[1]январь 20'!AU10</f>
        <v>2.2389999999999999</v>
      </c>
      <c r="P11" s="401">
        <f t="shared" si="0"/>
        <v>166.94900000000001</v>
      </c>
      <c r="Q11" s="122">
        <f>'[1]январь 20'!S10</f>
        <v>166.94900000000001</v>
      </c>
      <c r="R11" s="123">
        <f t="shared" si="22"/>
        <v>1.74</v>
      </c>
      <c r="S11" s="129">
        <v>7.46</v>
      </c>
      <c r="T11" s="125">
        <f t="shared" si="1"/>
        <v>164.04408740000002</v>
      </c>
      <c r="U11" s="147">
        <f t="shared" si="2"/>
        <v>1.2907710079471242</v>
      </c>
      <c r="V11" s="130">
        <v>127.09</v>
      </c>
      <c r="W11" s="130">
        <v>127.09</v>
      </c>
      <c r="X11" s="129">
        <v>0.54</v>
      </c>
      <c r="Y11" s="131">
        <v>550</v>
      </c>
      <c r="Z11" s="131">
        <v>1212</v>
      </c>
      <c r="AA11" s="148" t="s">
        <v>118</v>
      </c>
      <c r="AB11" s="149">
        <v>75.42</v>
      </c>
      <c r="AC11" s="150">
        <v>110</v>
      </c>
      <c r="AD11" s="151">
        <v>4</v>
      </c>
      <c r="AE11" s="149">
        <v>14.15</v>
      </c>
      <c r="AF11" s="134">
        <f t="shared" si="3"/>
        <v>111.33842159099851</v>
      </c>
      <c r="AG11" s="152"/>
      <c r="AH11" s="129">
        <v>74.400000000000006</v>
      </c>
      <c r="AI11" s="134">
        <f t="shared" si="4"/>
        <v>585.41191281768818</v>
      </c>
      <c r="AJ11" s="163">
        <v>14.64</v>
      </c>
      <c r="AK11" s="154"/>
      <c r="AL11" s="155">
        <v>7.27</v>
      </c>
      <c r="AM11" s="156">
        <v>34.82</v>
      </c>
      <c r="AN11" s="126">
        <f t="shared" si="23"/>
        <v>0.2070770145703241</v>
      </c>
      <c r="AO11" s="157" t="s">
        <v>119</v>
      </c>
      <c r="AP11" s="156">
        <v>13.89</v>
      </c>
      <c r="AQ11" s="156">
        <v>6.34</v>
      </c>
      <c r="AR11" s="149"/>
      <c r="AS11" s="149">
        <v>9.07</v>
      </c>
      <c r="AT11" s="149">
        <v>168.15</v>
      </c>
      <c r="AU11" s="149">
        <v>1.03</v>
      </c>
      <c r="AV11" s="149"/>
      <c r="AW11" s="149"/>
      <c r="AX11" s="158">
        <f t="shared" si="5"/>
        <v>0</v>
      </c>
      <c r="AY11" s="125">
        <f t="shared" si="6"/>
        <v>127.09</v>
      </c>
      <c r="AZ11" s="125">
        <f t="shared" si="29"/>
        <v>130.37293168711545</v>
      </c>
      <c r="BA11" s="159">
        <f t="shared" si="7"/>
        <v>5.2273859154929578</v>
      </c>
      <c r="BB11" s="160">
        <f t="shared" si="8"/>
        <v>5.0836000000000006</v>
      </c>
      <c r="BC11" s="161">
        <f t="shared" si="9"/>
        <v>0.86757086567690533</v>
      </c>
      <c r="BD11" s="160">
        <f t="shared" si="24"/>
        <v>10.310985915492958</v>
      </c>
      <c r="BE11" s="162">
        <v>0.90500000000000003</v>
      </c>
      <c r="BF11" s="25">
        <f t="shared" si="25"/>
        <v>700.65</v>
      </c>
      <c r="BG11" s="25">
        <f t="shared" si="10"/>
        <v>116.12903225806451</v>
      </c>
      <c r="BH11" s="25">
        <f t="shared" si="26"/>
        <v>580.64516129032256</v>
      </c>
      <c r="BI11" s="26">
        <f t="shared" si="11"/>
        <v>1</v>
      </c>
      <c r="BJ11" s="37">
        <f t="shared" si="27"/>
        <v>580.64516129032256</v>
      </c>
      <c r="BK11" s="38"/>
      <c r="BL11" s="31">
        <v>154.06700000000001</v>
      </c>
      <c r="BM11" s="31"/>
      <c r="BN11" s="31">
        <v>120.97199999999999</v>
      </c>
      <c r="BO11" s="40"/>
      <c r="BP11" s="40"/>
      <c r="BQ11" s="32"/>
      <c r="BR11" s="33"/>
      <c r="BS11" s="34">
        <v>2.33</v>
      </c>
      <c r="BT11" s="35"/>
      <c r="BU11" s="28"/>
      <c r="BV11" s="287"/>
      <c r="BW11" s="287"/>
      <c r="BX11" s="36"/>
      <c r="BY11" s="33"/>
      <c r="BZ11" s="34">
        <v>36.76</v>
      </c>
      <c r="CA11" s="35"/>
      <c r="CB11" s="35">
        <v>45.72</v>
      </c>
      <c r="CC11" s="235"/>
      <c r="CD11" s="235"/>
      <c r="CE11" s="36"/>
      <c r="CF11" s="30"/>
      <c r="CG11" s="30">
        <v>111.93600000000001</v>
      </c>
      <c r="CH11" s="31">
        <v>55.012999999999998</v>
      </c>
      <c r="CI11" s="32"/>
      <c r="CJ11" s="33"/>
      <c r="CK11" s="33">
        <v>1.74</v>
      </c>
      <c r="CL11" s="35">
        <v>1.74</v>
      </c>
      <c r="CM11" s="36"/>
      <c r="CN11" s="286"/>
      <c r="CO11" s="249">
        <f t="shared" si="12"/>
        <v>0</v>
      </c>
      <c r="CP11" s="12">
        <f t="shared" si="12"/>
        <v>150.4772389</v>
      </c>
      <c r="CQ11" s="15">
        <f t="shared" si="12"/>
        <v>0</v>
      </c>
      <c r="CR11" s="16">
        <f t="shared" si="12"/>
        <v>120.97199999999999</v>
      </c>
      <c r="CS11" s="11">
        <f t="shared" si="12"/>
        <v>0</v>
      </c>
      <c r="CT11" s="11">
        <f t="shared" si="12"/>
        <v>0</v>
      </c>
      <c r="CU11" s="272">
        <f t="shared" si="12"/>
        <v>0</v>
      </c>
      <c r="CV11" s="249">
        <f t="shared" si="13"/>
        <v>0</v>
      </c>
      <c r="CW11" s="12">
        <f t="shared" si="13"/>
        <v>109.98831360000001</v>
      </c>
      <c r="CX11" s="249">
        <f t="shared" si="13"/>
        <v>54.055773799999997</v>
      </c>
      <c r="CY11" s="272">
        <f t="shared" si="13"/>
        <v>0</v>
      </c>
      <c r="CZ11" s="13"/>
      <c r="DA11" s="240">
        <f>(D11+'[2]январь 20'!D11)/(AY11+'[2]январь 20'!AX11)</f>
        <v>2.031055155009561</v>
      </c>
      <c r="DB11" s="241">
        <f>(T11+'[2]январь 20'!R11)/(AY11+'[2]январь 20'!AX11)</f>
        <v>1.2141858011241817</v>
      </c>
      <c r="DD11" s="292">
        <f t="shared" si="14"/>
        <v>11.196999999999999</v>
      </c>
      <c r="DE11" s="291">
        <v>0.44</v>
      </c>
      <c r="DF11" s="407">
        <v>16.829999999999998</v>
      </c>
      <c r="DG11" s="145">
        <f t="shared" si="15"/>
        <v>11.147733199999999</v>
      </c>
      <c r="DH11" s="293">
        <f t="shared" si="28"/>
        <v>2.4876206544152741</v>
      </c>
      <c r="DJ11" s="322"/>
    </row>
    <row r="12" spans="1:114" s="76" customFormat="1" ht="16.5" customHeight="1" thickBot="1">
      <c r="A12" s="144">
        <v>6</v>
      </c>
      <c r="B12" s="122">
        <f>'[1]январь 20'!K11</f>
        <v>280.35000000000002</v>
      </c>
      <c r="C12" s="123">
        <f t="shared" si="16"/>
        <v>1.6048542892812554</v>
      </c>
      <c r="D12" s="145">
        <f t="shared" si="17"/>
        <v>275.85079100000002</v>
      </c>
      <c r="E12" s="125">
        <f t="shared" si="18"/>
        <v>40.880697520955941</v>
      </c>
      <c r="F12" s="146">
        <f t="shared" si="19"/>
        <v>1.9712075961126203</v>
      </c>
      <c r="G12" s="127"/>
      <c r="H12" s="126">
        <f t="shared" si="20"/>
        <v>1.0920093683007004</v>
      </c>
      <c r="I12" s="230">
        <f>'[1]июль 20'!AI11</f>
        <v>0</v>
      </c>
      <c r="J12" s="247">
        <f>'[1]январь 20'!AA11</f>
        <v>11.016</v>
      </c>
      <c r="K12" s="276">
        <f>'[1]сентябрь 20'!AM11</f>
        <v>0</v>
      </c>
      <c r="L12" s="122">
        <f>'[1]январь 20'!AE11</f>
        <v>123.035</v>
      </c>
      <c r="M12" s="128">
        <f t="shared" si="21"/>
        <v>0.87919822781191959</v>
      </c>
      <c r="N12" s="400">
        <f>'[1]январь 20'!W11</f>
        <v>0</v>
      </c>
      <c r="O12" s="403">
        <f>'[1]январь 20'!AU11</f>
        <v>2.2120000000000002</v>
      </c>
      <c r="P12" s="401">
        <f t="shared" si="0"/>
        <v>171.35900000000001</v>
      </c>
      <c r="Q12" s="122">
        <f>'[1]январь 20'!S11</f>
        <v>171.35900000000001</v>
      </c>
      <c r="R12" s="123">
        <f t="shared" si="22"/>
        <v>2.11</v>
      </c>
      <c r="S12" s="129">
        <v>8.77</v>
      </c>
      <c r="T12" s="125">
        <f t="shared" si="1"/>
        <v>167.74332510000002</v>
      </c>
      <c r="U12" s="147">
        <f t="shared" si="2"/>
        <v>1.1986803279977136</v>
      </c>
      <c r="V12" s="130">
        <v>104.85</v>
      </c>
      <c r="W12" s="130">
        <v>139.94</v>
      </c>
      <c r="X12" s="129">
        <v>0.35</v>
      </c>
      <c r="Y12" s="131">
        <v>564</v>
      </c>
      <c r="Z12" s="150">
        <v>1214</v>
      </c>
      <c r="AA12" s="148" t="s">
        <v>120</v>
      </c>
      <c r="AB12" s="149">
        <v>75.89</v>
      </c>
      <c r="AC12" s="150">
        <v>112</v>
      </c>
      <c r="AD12" s="151">
        <v>4</v>
      </c>
      <c r="AE12" s="149">
        <v>13.35</v>
      </c>
      <c r="AF12" s="134">
        <f t="shared" si="3"/>
        <v>95.398027726168365</v>
      </c>
      <c r="AG12" s="152"/>
      <c r="AH12" s="129">
        <v>91.45</v>
      </c>
      <c r="AI12" s="134">
        <f t="shared" si="4"/>
        <v>653.49435472345306</v>
      </c>
      <c r="AJ12" s="153">
        <v>13.86</v>
      </c>
      <c r="AK12" s="154"/>
      <c r="AL12" s="155">
        <v>10.34</v>
      </c>
      <c r="AM12" s="156">
        <v>38.090000000000003</v>
      </c>
      <c r="AN12" s="126">
        <f t="shared" si="23"/>
        <v>0.20429069455618132</v>
      </c>
      <c r="AO12" s="157" t="s">
        <v>121</v>
      </c>
      <c r="AP12" s="156">
        <v>11.93</v>
      </c>
      <c r="AQ12" s="156">
        <v>6.47</v>
      </c>
      <c r="AR12" s="149"/>
      <c r="AS12" s="149">
        <v>11.19</v>
      </c>
      <c r="AT12" s="149">
        <v>186.45</v>
      </c>
      <c r="AU12" s="149">
        <v>1.92</v>
      </c>
      <c r="AV12" s="164"/>
      <c r="AW12" s="164"/>
      <c r="AX12" s="158">
        <f t="shared" si="5"/>
        <v>0</v>
      </c>
      <c r="AY12" s="125">
        <f t="shared" si="6"/>
        <v>139.93999999999997</v>
      </c>
      <c r="AZ12" s="125">
        <f t="shared" si="29"/>
        <v>132.14142827674831</v>
      </c>
      <c r="BA12" s="159">
        <f t="shared" si="7"/>
        <v>7.9271693661971829</v>
      </c>
      <c r="BB12" s="160">
        <f t="shared" si="8"/>
        <v>5.597599999999999</v>
      </c>
      <c r="BC12" s="161">
        <f t="shared" si="9"/>
        <v>0.94174623256792667</v>
      </c>
      <c r="BD12" s="160">
        <f t="shared" si="24"/>
        <v>13.524769366197182</v>
      </c>
      <c r="BE12" s="162">
        <v>0.91100000000000003</v>
      </c>
      <c r="BF12" s="25">
        <f t="shared" si="25"/>
        <v>840.58999999999992</v>
      </c>
      <c r="BG12" s="25">
        <f t="shared" si="10"/>
        <v>116.12903225806451</v>
      </c>
      <c r="BH12" s="25">
        <f t="shared" si="26"/>
        <v>696.77419354838707</v>
      </c>
      <c r="BI12" s="26">
        <f t="shared" si="11"/>
        <v>1</v>
      </c>
      <c r="BJ12" s="37">
        <f t="shared" si="27"/>
        <v>696.77419354838707</v>
      </c>
      <c r="BK12" s="38"/>
      <c r="BL12" s="31">
        <v>157.315</v>
      </c>
      <c r="BM12" s="31"/>
      <c r="BN12" s="31">
        <v>123.035</v>
      </c>
      <c r="BO12" s="40"/>
      <c r="BP12" s="40"/>
      <c r="BQ12" s="32"/>
      <c r="BR12" s="33"/>
      <c r="BS12" s="34">
        <v>2.86</v>
      </c>
      <c r="BT12" s="33"/>
      <c r="BU12" s="28"/>
      <c r="BV12" s="287"/>
      <c r="BW12" s="287"/>
      <c r="BX12" s="36"/>
      <c r="BY12" s="33"/>
      <c r="BZ12" s="34">
        <v>36.83</v>
      </c>
      <c r="CA12" s="33"/>
      <c r="CB12" s="35">
        <v>46.06</v>
      </c>
      <c r="CC12" s="235"/>
      <c r="CD12" s="235"/>
      <c r="CE12" s="36"/>
      <c r="CF12" s="30"/>
      <c r="CG12" s="30">
        <v>115.348</v>
      </c>
      <c r="CH12" s="31">
        <v>56.011000000000003</v>
      </c>
      <c r="CI12" s="32"/>
      <c r="CJ12" s="33"/>
      <c r="CK12" s="33">
        <v>2.11</v>
      </c>
      <c r="CL12" s="35">
        <v>2.11</v>
      </c>
      <c r="CM12" s="36"/>
      <c r="CN12" s="286"/>
      <c r="CO12" s="249">
        <f t="shared" si="12"/>
        <v>0</v>
      </c>
      <c r="CP12" s="12">
        <f t="shared" si="12"/>
        <v>152.81579099999999</v>
      </c>
      <c r="CQ12" s="12">
        <f t="shared" si="12"/>
        <v>0</v>
      </c>
      <c r="CR12" s="12">
        <f t="shared" si="12"/>
        <v>123.035</v>
      </c>
      <c r="CS12" s="11">
        <f t="shared" si="12"/>
        <v>0</v>
      </c>
      <c r="CT12" s="11">
        <f t="shared" si="12"/>
        <v>0</v>
      </c>
      <c r="CU12" s="272">
        <f t="shared" si="12"/>
        <v>0</v>
      </c>
      <c r="CV12" s="249">
        <f t="shared" si="13"/>
        <v>0</v>
      </c>
      <c r="CW12" s="12">
        <f t="shared" si="13"/>
        <v>112.91415719999999</v>
      </c>
      <c r="CX12" s="252">
        <f t="shared" si="13"/>
        <v>54.829167900000002</v>
      </c>
      <c r="CY12" s="272">
        <f t="shared" si="13"/>
        <v>0</v>
      </c>
      <c r="CZ12" s="13"/>
      <c r="DA12" s="240">
        <f>(D12+'[2]январь 20'!D12)/(AY12+'[2]январь 20'!AX12)</f>
        <v>2.1300246059473045</v>
      </c>
      <c r="DB12" s="241">
        <f>(T12+'[2]январь 20'!R12)/(AY12+'[2]январь 20'!AX12)</f>
        <v>1.2760218645206525</v>
      </c>
      <c r="DD12" s="292">
        <f t="shared" si="14"/>
        <v>11.016</v>
      </c>
      <c r="DE12" s="291">
        <v>0.24</v>
      </c>
      <c r="DF12" s="291">
        <v>16.690000000000001</v>
      </c>
      <c r="DG12" s="145">
        <f t="shared" si="15"/>
        <v>10.9895616</v>
      </c>
      <c r="DH12" s="293">
        <f t="shared" si="28"/>
        <v>2.4168636592963502</v>
      </c>
      <c r="DJ12" s="322"/>
    </row>
    <row r="13" spans="1:114" s="76" customFormat="1" ht="16.5" customHeight="1" thickBot="1">
      <c r="A13" s="144">
        <v>7</v>
      </c>
      <c r="B13" s="122">
        <f>'[1]январь 20'!K12</f>
        <v>331.49900000000002</v>
      </c>
      <c r="C13" s="123">
        <f t="shared" si="16"/>
        <v>2.5417234139469498</v>
      </c>
      <c r="D13" s="145">
        <f t="shared" si="17"/>
        <v>323.07321230000002</v>
      </c>
      <c r="E13" s="125">
        <f t="shared" si="18"/>
        <v>40.999201988542943</v>
      </c>
      <c r="F13" s="146">
        <f t="shared" si="19"/>
        <v>2.2427852294342241</v>
      </c>
      <c r="G13" s="127"/>
      <c r="H13" s="126">
        <f t="shared" si="20"/>
        <v>1.2674919284970496</v>
      </c>
      <c r="I13" s="230">
        <f>'[1]июль 20'!AI12</f>
        <v>0</v>
      </c>
      <c r="J13" s="247">
        <f>'[1]январь 20'!AA12</f>
        <v>13.452</v>
      </c>
      <c r="K13" s="276">
        <f>'[1]сентябрь 20'!AM12</f>
        <v>0</v>
      </c>
      <c r="L13" s="122">
        <f>'[1]январь 20'!AE12</f>
        <v>140.49100000000001</v>
      </c>
      <c r="M13" s="128">
        <f t="shared" si="21"/>
        <v>0.97529330093717459</v>
      </c>
      <c r="N13" s="400">
        <f>'[1]январь 20'!W12</f>
        <v>0</v>
      </c>
      <c r="O13" s="403">
        <f>'[1]январь 20'!AU12</f>
        <v>0.71499999999999997</v>
      </c>
      <c r="P13" s="401">
        <f t="shared" si="0"/>
        <v>202.364</v>
      </c>
      <c r="Q13" s="122">
        <f>'[1]январь 20'!S12</f>
        <v>202.364</v>
      </c>
      <c r="R13" s="123">
        <f t="shared" si="22"/>
        <v>2.12</v>
      </c>
      <c r="S13" s="129">
        <v>6.03</v>
      </c>
      <c r="T13" s="125">
        <f t="shared" si="1"/>
        <v>198.07388320000001</v>
      </c>
      <c r="U13" s="147">
        <f t="shared" si="2"/>
        <v>1.3750356348490107</v>
      </c>
      <c r="V13" s="130">
        <v>72.91</v>
      </c>
      <c r="W13" s="130">
        <v>144.05000000000001</v>
      </c>
      <c r="X13" s="129">
        <v>0.33</v>
      </c>
      <c r="Y13" s="165">
        <v>518</v>
      </c>
      <c r="Z13" s="166">
        <v>1215</v>
      </c>
      <c r="AA13" s="148" t="s">
        <v>122</v>
      </c>
      <c r="AB13" s="149">
        <v>75.38</v>
      </c>
      <c r="AC13" s="150">
        <v>132</v>
      </c>
      <c r="AD13" s="151">
        <v>4</v>
      </c>
      <c r="AE13" s="149">
        <v>18.100000000000001</v>
      </c>
      <c r="AF13" s="134">
        <f t="shared" si="3"/>
        <v>125.65081568899689</v>
      </c>
      <c r="AG13" s="152"/>
      <c r="AH13" s="129">
        <v>83.65</v>
      </c>
      <c r="AI13" s="134">
        <f t="shared" si="4"/>
        <v>580.7011454356126</v>
      </c>
      <c r="AJ13" s="136">
        <v>11.93</v>
      </c>
      <c r="AK13" s="154"/>
      <c r="AL13" s="155">
        <v>8.23</v>
      </c>
      <c r="AM13" s="156">
        <v>36.409999999999997</v>
      </c>
      <c r="AN13" s="126">
        <f t="shared" si="23"/>
        <v>0.19591068065644335</v>
      </c>
      <c r="AO13" s="157" t="s">
        <v>123</v>
      </c>
      <c r="AP13" s="156">
        <v>13.07</v>
      </c>
      <c r="AQ13" s="156">
        <v>6.41</v>
      </c>
      <c r="AR13" s="149"/>
      <c r="AS13" s="149">
        <v>9.4700000000000006</v>
      </c>
      <c r="AT13" s="149">
        <v>185.85</v>
      </c>
      <c r="AU13" s="149">
        <v>2.84</v>
      </c>
      <c r="AV13" s="149"/>
      <c r="AW13" s="149"/>
      <c r="AX13" s="158">
        <f t="shared" si="5"/>
        <v>0</v>
      </c>
      <c r="AY13" s="125">
        <f t="shared" si="6"/>
        <v>144.05000000000001</v>
      </c>
      <c r="AZ13" s="125">
        <f t="shared" si="29"/>
        <v>155.99955183307083</v>
      </c>
      <c r="BA13" s="159">
        <f t="shared" si="7"/>
        <v>6.136493309859155</v>
      </c>
      <c r="BB13" s="160">
        <f t="shared" si="8"/>
        <v>5.7620000000000005</v>
      </c>
      <c r="BC13" s="161">
        <f t="shared" si="9"/>
        <v>0.81977192762225359</v>
      </c>
      <c r="BD13" s="160">
        <f t="shared" si="24"/>
        <v>11.898493309859155</v>
      </c>
      <c r="BE13" s="162">
        <v>0.89600000000000002</v>
      </c>
      <c r="BF13" s="25">
        <f t="shared" si="25"/>
        <v>984.63999999999987</v>
      </c>
      <c r="BG13" s="25">
        <f t="shared" si="10"/>
        <v>116.12903225806451</v>
      </c>
      <c r="BH13" s="25">
        <f t="shared" si="26"/>
        <v>812.90322580645159</v>
      </c>
      <c r="BI13" s="26">
        <f t="shared" si="11"/>
        <v>1</v>
      </c>
      <c r="BJ13" s="37">
        <f t="shared" si="27"/>
        <v>812.90322580645159</v>
      </c>
      <c r="BK13" s="39">
        <v>25.585000000000001</v>
      </c>
      <c r="BL13" s="40">
        <v>165.423</v>
      </c>
      <c r="BM13" s="325"/>
      <c r="BN13" s="31">
        <v>140.49100000000001</v>
      </c>
      <c r="BO13" s="40"/>
      <c r="BP13" s="40"/>
      <c r="BQ13" s="32"/>
      <c r="BR13" s="33">
        <v>15.54</v>
      </c>
      <c r="BS13" s="34">
        <v>2.69</v>
      </c>
      <c r="BT13" s="33"/>
      <c r="BU13" s="28"/>
      <c r="BV13" s="287"/>
      <c r="BW13" s="287"/>
      <c r="BX13" s="36"/>
      <c r="BY13" s="33">
        <v>43.77</v>
      </c>
      <c r="BZ13" s="34">
        <v>36.4</v>
      </c>
      <c r="CA13" s="33"/>
      <c r="CB13" s="35">
        <v>45.91</v>
      </c>
      <c r="CC13" s="235"/>
      <c r="CD13" s="235"/>
      <c r="CE13" s="36"/>
      <c r="CF13" s="30"/>
      <c r="CG13" s="30">
        <v>136.345</v>
      </c>
      <c r="CH13" s="30">
        <v>66.019000000000005</v>
      </c>
      <c r="CI13" s="32"/>
      <c r="CJ13" s="33"/>
      <c r="CK13" s="33">
        <v>2.12</v>
      </c>
      <c r="CL13" s="33">
        <v>2.12</v>
      </c>
      <c r="CM13" s="36"/>
      <c r="CN13" s="286"/>
      <c r="CO13" s="249">
        <f t="shared" si="12"/>
        <v>21.609091000000003</v>
      </c>
      <c r="CP13" s="12">
        <f t="shared" si="12"/>
        <v>160.9731213</v>
      </c>
      <c r="CQ13" s="12">
        <f t="shared" si="12"/>
        <v>0</v>
      </c>
      <c r="CR13" s="12">
        <f t="shared" si="12"/>
        <v>140.49100000000001</v>
      </c>
      <c r="CS13" s="11">
        <f t="shared" si="12"/>
        <v>0</v>
      </c>
      <c r="CT13" s="11">
        <f t="shared" si="12"/>
        <v>0</v>
      </c>
      <c r="CU13" s="272">
        <f t="shared" si="12"/>
        <v>0</v>
      </c>
      <c r="CV13" s="249">
        <f t="shared" si="13"/>
        <v>0</v>
      </c>
      <c r="CW13" s="251">
        <f t="shared" si="13"/>
        <v>133.454486</v>
      </c>
      <c r="CX13" s="249">
        <f t="shared" si="13"/>
        <v>64.619397200000009</v>
      </c>
      <c r="CY13" s="272">
        <f t="shared" si="13"/>
        <v>0</v>
      </c>
      <c r="CZ13" s="13"/>
      <c r="DA13" s="240">
        <f>(D13+'[2]январь 20'!D13)/(AY13+'[2]январь 20'!AX13)</f>
        <v>2.3065427897706536</v>
      </c>
      <c r="DB13" s="241">
        <f>(T13+'[2]январь 20'!R13)/(AY13+'[2]январь 20'!AX13)</f>
        <v>1.3959348825197204</v>
      </c>
      <c r="DD13" s="292">
        <f t="shared" si="14"/>
        <v>13.452</v>
      </c>
      <c r="DE13" s="291">
        <v>0.35</v>
      </c>
      <c r="DF13" s="291">
        <v>14.6</v>
      </c>
      <c r="DG13" s="145">
        <f t="shared" si="15"/>
        <v>13.404918</v>
      </c>
      <c r="DH13" s="293">
        <f t="shared" si="28"/>
        <v>2.5963359352613429</v>
      </c>
      <c r="DJ13" s="322"/>
    </row>
    <row r="14" spans="1:114" s="76" customFormat="1" ht="16.5" customHeight="1" thickBot="1">
      <c r="A14" s="144">
        <v>8</v>
      </c>
      <c r="B14" s="122">
        <f>'[1]январь 20'!K13</f>
        <v>279.96899999999999</v>
      </c>
      <c r="C14" s="123">
        <f t="shared" si="16"/>
        <v>3.5129309316388602</v>
      </c>
      <c r="D14" s="145">
        <f t="shared" si="17"/>
        <v>270.1338824</v>
      </c>
      <c r="E14" s="125">
        <f t="shared" si="18"/>
        <v>41.925589547414184</v>
      </c>
      <c r="F14" s="146">
        <f t="shared" si="19"/>
        <v>1.9408958356085648</v>
      </c>
      <c r="G14" s="127"/>
      <c r="H14" s="126">
        <f t="shared" si="20"/>
        <v>1.1414347061359393</v>
      </c>
      <c r="I14" s="230">
        <f>'[1]июль 20'!AI13</f>
        <v>0</v>
      </c>
      <c r="J14" s="247">
        <f>'[1]январь 20'!AA13</f>
        <v>11.43</v>
      </c>
      <c r="K14" s="276">
        <f>'[1]сентябрь 20'!AM13</f>
        <v>0</v>
      </c>
      <c r="L14" s="122">
        <f>'[1]январь 20'!AE13</f>
        <v>111.26900000000001</v>
      </c>
      <c r="M14" s="128">
        <f t="shared" si="21"/>
        <v>0.79946112947262549</v>
      </c>
      <c r="N14" s="400">
        <f>'[1]январь 20'!W13</f>
        <v>1.671</v>
      </c>
      <c r="O14" s="403">
        <f>'[1]январь 20'!AU13</f>
        <v>0</v>
      </c>
      <c r="P14" s="401">
        <f t="shared" si="0"/>
        <v>173.376</v>
      </c>
      <c r="Q14" s="122">
        <f>'[1]январь 20'!S13</f>
        <v>173.376</v>
      </c>
      <c r="R14" s="123">
        <f t="shared" si="22"/>
        <v>2.15</v>
      </c>
      <c r="S14" s="129"/>
      <c r="T14" s="125">
        <f t="shared" si="1"/>
        <v>169.648416</v>
      </c>
      <c r="U14" s="147">
        <f t="shared" si="2"/>
        <v>1.2189137519758588</v>
      </c>
      <c r="V14" s="130">
        <v>105.65</v>
      </c>
      <c r="W14" s="130">
        <v>70.790000000000006</v>
      </c>
      <c r="X14" s="129">
        <v>0.78</v>
      </c>
      <c r="Y14" s="131">
        <v>551</v>
      </c>
      <c r="Z14" s="150">
        <v>1201</v>
      </c>
      <c r="AA14" s="148" t="s">
        <v>124</v>
      </c>
      <c r="AB14" s="149">
        <v>75.45</v>
      </c>
      <c r="AC14" s="150">
        <v>113</v>
      </c>
      <c r="AD14" s="151">
        <v>4</v>
      </c>
      <c r="AE14" s="149">
        <v>15.8</v>
      </c>
      <c r="AF14" s="134">
        <f t="shared" si="3"/>
        <v>113.52205776692055</v>
      </c>
      <c r="AG14" s="152"/>
      <c r="AH14" s="129">
        <v>84.65</v>
      </c>
      <c r="AI14" s="134">
        <f t="shared" si="4"/>
        <v>608.20520189682441</v>
      </c>
      <c r="AJ14" s="153">
        <v>15.6</v>
      </c>
      <c r="AK14" s="154"/>
      <c r="AL14" s="155">
        <v>9.36</v>
      </c>
      <c r="AM14" s="156">
        <v>36.5</v>
      </c>
      <c r="AN14" s="126">
        <f t="shared" si="23"/>
        <v>0.19918144611186903</v>
      </c>
      <c r="AO14" s="157" t="s">
        <v>125</v>
      </c>
      <c r="AP14" s="156">
        <v>17.079999999999998</v>
      </c>
      <c r="AQ14" s="156">
        <v>6.17</v>
      </c>
      <c r="AR14" s="149"/>
      <c r="AS14" s="149">
        <v>12.12</v>
      </c>
      <c r="AT14" s="149">
        <v>183.25</v>
      </c>
      <c r="AU14" s="149">
        <v>1.79</v>
      </c>
      <c r="AV14" s="149"/>
      <c r="AW14" s="149"/>
      <c r="AX14" s="158">
        <f t="shared" si="5"/>
        <v>0</v>
      </c>
      <c r="AY14" s="125">
        <f t="shared" si="6"/>
        <v>139.17999999999998</v>
      </c>
      <c r="AZ14" s="125">
        <f t="shared" si="29"/>
        <v>133.13109775421026</v>
      </c>
      <c r="BA14" s="159">
        <f t="shared" si="7"/>
        <v>7.9475619718309867</v>
      </c>
      <c r="BB14" s="160">
        <f t="shared" si="8"/>
        <v>5.5671999999999988</v>
      </c>
      <c r="BC14" s="161">
        <f t="shared" si="9"/>
        <v>0.92720942520476823</v>
      </c>
      <c r="BD14" s="159">
        <f t="shared" si="24"/>
        <v>13.514761971830985</v>
      </c>
      <c r="BE14" s="167">
        <v>0.9</v>
      </c>
      <c r="BF14" s="25">
        <f t="shared" si="25"/>
        <v>1123.82</v>
      </c>
      <c r="BG14" s="25">
        <f t="shared" si="10"/>
        <v>116.12903225806451</v>
      </c>
      <c r="BH14" s="25">
        <f t="shared" si="26"/>
        <v>929.0322580645161</v>
      </c>
      <c r="BI14" s="26">
        <f t="shared" si="11"/>
        <v>1</v>
      </c>
      <c r="BJ14" s="37">
        <f t="shared" si="27"/>
        <v>929.0322580645161</v>
      </c>
      <c r="BK14" s="39">
        <v>56.078000000000003</v>
      </c>
      <c r="BL14" s="40">
        <v>112.622</v>
      </c>
      <c r="BM14" s="325"/>
      <c r="BN14" s="31">
        <v>111.26900000000001</v>
      </c>
      <c r="BO14" s="40"/>
      <c r="BP14" s="40"/>
      <c r="BQ14" s="32"/>
      <c r="BR14" s="33">
        <v>13.12</v>
      </c>
      <c r="BS14" s="34">
        <v>2.2000000000000002</v>
      </c>
      <c r="BT14" s="33"/>
      <c r="BU14" s="28"/>
      <c r="BV14" s="287"/>
      <c r="BW14" s="287"/>
      <c r="BX14" s="36"/>
      <c r="BY14" s="33">
        <v>43.14</v>
      </c>
      <c r="BZ14" s="34">
        <v>36.92</v>
      </c>
      <c r="CA14" s="33"/>
      <c r="CB14" s="35">
        <v>46.38</v>
      </c>
      <c r="CC14" s="235"/>
      <c r="CD14" s="235"/>
      <c r="CE14" s="36"/>
      <c r="CF14" s="30"/>
      <c r="CG14" s="30">
        <v>117.38200000000001</v>
      </c>
      <c r="CH14" s="30">
        <v>55.994</v>
      </c>
      <c r="CI14" s="32"/>
      <c r="CJ14" s="33"/>
      <c r="CK14" s="33">
        <v>2.15</v>
      </c>
      <c r="CL14" s="33">
        <v>2.15</v>
      </c>
      <c r="CM14" s="36"/>
      <c r="CN14" s="286"/>
      <c r="CO14" s="249">
        <f t="shared" si="12"/>
        <v>48.720566399999996</v>
      </c>
      <c r="CP14" s="12">
        <f t="shared" si="12"/>
        <v>110.144316</v>
      </c>
      <c r="CQ14" s="12">
        <f t="shared" si="12"/>
        <v>0</v>
      </c>
      <c r="CR14" s="12">
        <f t="shared" si="12"/>
        <v>111.26900000000001</v>
      </c>
      <c r="CS14" s="11">
        <f t="shared" si="12"/>
        <v>0</v>
      </c>
      <c r="CT14" s="11">
        <f t="shared" si="12"/>
        <v>0</v>
      </c>
      <c r="CU14" s="272">
        <f t="shared" si="12"/>
        <v>0</v>
      </c>
      <c r="CV14" s="249">
        <f t="shared" si="13"/>
        <v>0</v>
      </c>
      <c r="CW14" s="12">
        <f t="shared" si="13"/>
        <v>114.85828699999999</v>
      </c>
      <c r="CX14" s="252">
        <f t="shared" si="13"/>
        <v>54.790128999999993</v>
      </c>
      <c r="CY14" s="272">
        <f t="shared" si="13"/>
        <v>0</v>
      </c>
      <c r="CZ14" s="13"/>
      <c r="DA14" s="240">
        <f>(D14+'[2]январь 20'!D14)/(AY14+'[2]январь 20'!AX14)</f>
        <v>1.9810773947025624</v>
      </c>
      <c r="DB14" s="241">
        <f>(T14+'[2]январь 20'!R14)/(AY14+'[2]январь 20'!AX14)</f>
        <v>1.2125876856274427</v>
      </c>
      <c r="DD14" s="292">
        <f t="shared" si="14"/>
        <v>11.43</v>
      </c>
      <c r="DE14" s="291">
        <v>0.9</v>
      </c>
      <c r="DF14" s="291">
        <v>13.91</v>
      </c>
      <c r="DG14" s="145">
        <f t="shared" si="15"/>
        <v>11.32713</v>
      </c>
      <c r="DH14" s="293">
        <f t="shared" si="28"/>
        <v>2.0882753916500993</v>
      </c>
      <c r="DJ14" s="322"/>
    </row>
    <row r="15" spans="1:114" s="76" customFormat="1" ht="16.5" customHeight="1" thickBot="1">
      <c r="A15" s="144">
        <v>9</v>
      </c>
      <c r="B15" s="122">
        <f>'[1]январь 20'!K14</f>
        <v>127.994</v>
      </c>
      <c r="C15" s="123">
        <f t="shared" si="16"/>
        <v>3.1767714892885603</v>
      </c>
      <c r="D15" s="145">
        <f t="shared" si="17"/>
        <v>123.9279231</v>
      </c>
      <c r="E15" s="125">
        <f t="shared" si="18"/>
        <v>41.727204868978234</v>
      </c>
      <c r="F15" s="146">
        <f t="shared" si="19"/>
        <v>1.8825447835333435</v>
      </c>
      <c r="G15" s="127"/>
      <c r="H15" s="126">
        <f t="shared" si="20"/>
        <v>1.1083536852498861</v>
      </c>
      <c r="I15" s="230">
        <f>'[1]июль 20'!AI14</f>
        <v>0</v>
      </c>
      <c r="J15" s="247">
        <f>'[1]январь 20'!AA14</f>
        <v>4.0620000000000003</v>
      </c>
      <c r="K15" s="276">
        <f>'[1]сентябрь 20'!AM14</f>
        <v>0</v>
      </c>
      <c r="L15" s="122">
        <f>'[1]январь 20'!AE14</f>
        <v>50.965000000000003</v>
      </c>
      <c r="M15" s="128">
        <f t="shared" si="21"/>
        <v>0.77419109828345745</v>
      </c>
      <c r="N15" s="400">
        <f>'[1]январь 20'!W14</f>
        <v>2.58</v>
      </c>
      <c r="O15" s="403">
        <f>'[1]январь 20'!AU14</f>
        <v>0</v>
      </c>
      <c r="P15" s="401">
        <f t="shared" si="0"/>
        <v>85.635999999999996</v>
      </c>
      <c r="Q15" s="122">
        <f>'[1]январь 20'!S14</f>
        <v>85.635999999999996</v>
      </c>
      <c r="R15" s="123">
        <f t="shared" si="22"/>
        <v>2.1600000000000006</v>
      </c>
      <c r="S15" s="129">
        <v>42.77</v>
      </c>
      <c r="T15" s="125">
        <f t="shared" si="1"/>
        <v>83.786262399999998</v>
      </c>
      <c r="U15" s="147">
        <f t="shared" si="2"/>
        <v>1.2727671639070333</v>
      </c>
      <c r="V15" s="130">
        <v>36.479999999999997</v>
      </c>
      <c r="W15" s="130">
        <v>65.83</v>
      </c>
      <c r="X15" s="129">
        <v>0.24</v>
      </c>
      <c r="Y15" s="131">
        <v>548</v>
      </c>
      <c r="Z15" s="150">
        <v>1142</v>
      </c>
      <c r="AA15" s="148" t="s">
        <v>126</v>
      </c>
      <c r="AB15" s="149">
        <v>75.540000000000006</v>
      </c>
      <c r="AC15" s="150">
        <v>53</v>
      </c>
      <c r="AD15" s="151">
        <v>3</v>
      </c>
      <c r="AE15" s="149">
        <v>8.5</v>
      </c>
      <c r="AF15" s="134">
        <f t="shared" si="3"/>
        <v>129.12046179553397</v>
      </c>
      <c r="AG15" s="152"/>
      <c r="AH15" s="129">
        <v>44.75</v>
      </c>
      <c r="AI15" s="134">
        <f t="shared" si="4"/>
        <v>679.78125474707588</v>
      </c>
      <c r="AJ15" s="136">
        <v>11.67</v>
      </c>
      <c r="AK15" s="154"/>
      <c r="AL15" s="155">
        <v>4.53</v>
      </c>
      <c r="AM15" s="156">
        <v>23.37</v>
      </c>
      <c r="AN15" s="126">
        <f t="shared" si="23"/>
        <v>0.2536082474226804</v>
      </c>
      <c r="AO15" s="157" t="s">
        <v>127</v>
      </c>
      <c r="AP15" s="156">
        <v>16.2</v>
      </c>
      <c r="AQ15" s="156">
        <v>5.96</v>
      </c>
      <c r="AR15" s="149"/>
      <c r="AS15" s="149">
        <v>15.76</v>
      </c>
      <c r="AT15" s="149">
        <v>92.15</v>
      </c>
      <c r="AU15" s="149">
        <v>1.58</v>
      </c>
      <c r="AV15" s="149"/>
      <c r="AW15" s="149"/>
      <c r="AX15" s="158">
        <f t="shared" si="5"/>
        <v>0</v>
      </c>
      <c r="AY15" s="125">
        <f t="shared" si="6"/>
        <v>65.83</v>
      </c>
      <c r="AZ15" s="125">
        <f t="shared" si="29"/>
        <v>60.593968027663934</v>
      </c>
      <c r="BA15" s="159">
        <f t="shared" si="7"/>
        <v>5.4632816901408452</v>
      </c>
      <c r="BB15" s="160">
        <f t="shared" si="8"/>
        <v>2.6332</v>
      </c>
      <c r="BC15" s="161">
        <f t="shared" si="9"/>
        <v>0.96163966841040427</v>
      </c>
      <c r="BD15" s="159">
        <f t="shared" si="24"/>
        <v>8.0964816901408447</v>
      </c>
      <c r="BE15" s="167">
        <v>0.90300000000000002</v>
      </c>
      <c r="BF15" s="25">
        <f t="shared" si="25"/>
        <v>1189.6499999999999</v>
      </c>
      <c r="BG15" s="25">
        <f t="shared" si="10"/>
        <v>116.12903225806451</v>
      </c>
      <c r="BH15" s="25">
        <f t="shared" si="26"/>
        <v>1045.1612903225805</v>
      </c>
      <c r="BI15" s="26">
        <f t="shared" si="11"/>
        <v>1</v>
      </c>
      <c r="BJ15" s="37">
        <f t="shared" si="27"/>
        <v>1045.1612903225805</v>
      </c>
      <c r="BK15" s="38">
        <v>25.635999999999999</v>
      </c>
      <c r="BL15" s="42">
        <v>51.393000000000001</v>
      </c>
      <c r="BM15" s="31"/>
      <c r="BN15" s="31">
        <v>50.965000000000003</v>
      </c>
      <c r="BO15" s="40"/>
      <c r="BP15" s="40"/>
      <c r="BQ15" s="32"/>
      <c r="BR15" s="33">
        <v>11.27</v>
      </c>
      <c r="BS15" s="35">
        <v>2.29</v>
      </c>
      <c r="BT15" s="35"/>
      <c r="BU15" s="28"/>
      <c r="BV15" s="287"/>
      <c r="BW15" s="287"/>
      <c r="BX15" s="36"/>
      <c r="BY15" s="33">
        <v>41.72</v>
      </c>
      <c r="BZ15" s="34">
        <v>36.729999999999997</v>
      </c>
      <c r="CA15" s="35"/>
      <c r="CB15" s="35">
        <v>46.77</v>
      </c>
      <c r="CC15" s="35"/>
      <c r="CD15" s="35"/>
      <c r="CE15" s="35"/>
      <c r="CF15" s="38"/>
      <c r="CG15" s="30">
        <v>60.234999999999999</v>
      </c>
      <c r="CH15" s="30">
        <v>25.401</v>
      </c>
      <c r="CI15" s="32"/>
      <c r="CJ15" s="33"/>
      <c r="CK15" s="33">
        <v>2.16</v>
      </c>
      <c r="CL15" s="33">
        <v>2.16</v>
      </c>
      <c r="CM15" s="36"/>
      <c r="CN15" s="286"/>
      <c r="CO15" s="249">
        <f t="shared" si="12"/>
        <v>22.7468228</v>
      </c>
      <c r="CP15" s="12">
        <f t="shared" si="12"/>
        <v>50.216100300000001</v>
      </c>
      <c r="CQ15" s="12">
        <f t="shared" si="12"/>
        <v>0</v>
      </c>
      <c r="CR15" s="17">
        <f t="shared" si="12"/>
        <v>50.965000000000003</v>
      </c>
      <c r="CS15" s="11">
        <f t="shared" si="12"/>
        <v>0</v>
      </c>
      <c r="CT15" s="11">
        <f t="shared" si="12"/>
        <v>0</v>
      </c>
      <c r="CU15" s="272">
        <f t="shared" si="12"/>
        <v>0</v>
      </c>
      <c r="CV15" s="249">
        <f t="shared" si="13"/>
        <v>0</v>
      </c>
      <c r="CW15" s="12">
        <f t="shared" si="13"/>
        <v>58.933924000000005</v>
      </c>
      <c r="CX15" s="249">
        <f t="shared" si="13"/>
        <v>24.852338400000001</v>
      </c>
      <c r="CY15" s="274">
        <f t="shared" si="13"/>
        <v>0</v>
      </c>
      <c r="CZ15" s="13"/>
      <c r="DA15" s="240">
        <f>(D15+'[2]январь 20'!D15)/(AY15+'[2]январь 20'!AX15)</f>
        <v>2.0506052202397549</v>
      </c>
      <c r="DB15" s="241">
        <f>(T15+'[2]январь 20'!R15)/(AY15+'[2]январь 20'!AX15)</f>
        <v>1.2682125118483412</v>
      </c>
      <c r="DD15" s="292">
        <f t="shared" si="14"/>
        <v>4.0620000000000003</v>
      </c>
      <c r="DE15" s="291">
        <v>0.64</v>
      </c>
      <c r="DF15" s="291">
        <v>15.57</v>
      </c>
      <c r="DG15" s="145">
        <f t="shared" si="15"/>
        <v>4.0360032000000006</v>
      </c>
      <c r="DH15" s="293">
        <f t="shared" si="28"/>
        <v>0.83188469451946001</v>
      </c>
      <c r="DJ15" s="322"/>
    </row>
    <row r="16" spans="1:114" s="76" customFormat="1" ht="16.5" customHeight="1" thickBot="1">
      <c r="A16" s="144">
        <v>10</v>
      </c>
      <c r="B16" s="122">
        <f>'[1]январь 20'!K15</f>
        <v>275.25900000000001</v>
      </c>
      <c r="C16" s="123">
        <f t="shared" si="16"/>
        <v>2.932801143650162</v>
      </c>
      <c r="D16" s="145">
        <f t="shared" si="17"/>
        <v>267.18620090000002</v>
      </c>
      <c r="E16" s="125">
        <f t="shared" si="18"/>
        <v>41.121836524872933</v>
      </c>
      <c r="F16" s="146">
        <f t="shared" si="19"/>
        <v>2.463908160272962</v>
      </c>
      <c r="G16" s="127"/>
      <c r="H16" s="126">
        <f t="shared" si="20"/>
        <v>1.6050368950571747</v>
      </c>
      <c r="I16" s="230">
        <f>'[1]июль 20'!AI15</f>
        <v>0</v>
      </c>
      <c r="J16" s="247">
        <f>'[1]январь 20'!AA15</f>
        <v>11.406000000000001</v>
      </c>
      <c r="K16" s="276">
        <f>'[1]сентябрь 20'!AM15</f>
        <v>0</v>
      </c>
      <c r="L16" s="122">
        <f>'[1]январь 20'!AE15</f>
        <v>93.135999999999996</v>
      </c>
      <c r="M16" s="128">
        <f t="shared" si="21"/>
        <v>0.85887126521578749</v>
      </c>
      <c r="N16" s="400">
        <f>'[1]январь 20'!W15</f>
        <v>5.72</v>
      </c>
      <c r="O16" s="403">
        <f>'[1]январь 20'!AU15</f>
        <v>0</v>
      </c>
      <c r="P16" s="401">
        <f t="shared" si="0"/>
        <v>171.32300000000001</v>
      </c>
      <c r="Q16" s="122">
        <f>'[1]январь 20'!S15</f>
        <v>171.32300000000001</v>
      </c>
      <c r="R16" s="123">
        <f t="shared" si="22"/>
        <v>2.1</v>
      </c>
      <c r="S16" s="129">
        <v>16.45</v>
      </c>
      <c r="T16" s="125">
        <f t="shared" si="1"/>
        <v>167.72521700000001</v>
      </c>
      <c r="U16" s="147">
        <f t="shared" si="2"/>
        <v>1.5467098579859833</v>
      </c>
      <c r="V16" s="130">
        <v>88.23</v>
      </c>
      <c r="W16" s="130">
        <v>30.58</v>
      </c>
      <c r="X16" s="129">
        <v>1.1100000000000001</v>
      </c>
      <c r="Y16" s="131">
        <v>586</v>
      </c>
      <c r="Z16" s="150">
        <v>1162</v>
      </c>
      <c r="AA16" s="148" t="s">
        <v>128</v>
      </c>
      <c r="AB16" s="149">
        <v>76.34</v>
      </c>
      <c r="AC16" s="150">
        <v>110</v>
      </c>
      <c r="AD16" s="151">
        <v>4</v>
      </c>
      <c r="AE16" s="149">
        <v>5.85</v>
      </c>
      <c r="AF16" s="134">
        <f t="shared" si="3"/>
        <v>53.946883068978231</v>
      </c>
      <c r="AG16" s="152"/>
      <c r="AH16" s="129">
        <v>64.45</v>
      </c>
      <c r="AI16" s="134">
        <f t="shared" si="4"/>
        <v>594.33788270011064</v>
      </c>
      <c r="AJ16" s="153">
        <v>15.06</v>
      </c>
      <c r="AK16" s="154"/>
      <c r="AL16" s="155">
        <v>5.71</v>
      </c>
      <c r="AM16" s="156">
        <v>35.83</v>
      </c>
      <c r="AN16" s="126">
        <f t="shared" si="23"/>
        <v>0.24063129617192744</v>
      </c>
      <c r="AO16" s="157" t="s">
        <v>129</v>
      </c>
      <c r="AP16" s="156">
        <v>17.41</v>
      </c>
      <c r="AQ16" s="156">
        <v>5.79</v>
      </c>
      <c r="AR16" s="149"/>
      <c r="AS16" s="149">
        <v>11.46</v>
      </c>
      <c r="AT16" s="149">
        <v>148.9</v>
      </c>
      <c r="AU16" s="149">
        <v>1.08</v>
      </c>
      <c r="AV16" s="149"/>
      <c r="AW16" s="149"/>
      <c r="AX16" s="158">
        <f t="shared" si="5"/>
        <v>0</v>
      </c>
      <c r="AY16" s="125">
        <f t="shared" si="6"/>
        <v>108.44</v>
      </c>
      <c r="AZ16" s="125">
        <f t="shared" si="29"/>
        <v>127.86136901425827</v>
      </c>
      <c r="BA16" s="159">
        <f t="shared" si="7"/>
        <v>5.7215260563380292</v>
      </c>
      <c r="BB16" s="160">
        <f t="shared" si="8"/>
        <v>4.3376000000000001</v>
      </c>
      <c r="BC16" s="161">
        <f t="shared" si="9"/>
        <v>0.75345121483021893</v>
      </c>
      <c r="BD16" s="160">
        <f t="shared" si="24"/>
        <v>10.05912605633803</v>
      </c>
      <c r="BE16" s="162">
        <v>0.88800000000000001</v>
      </c>
      <c r="BF16" s="25">
        <f t="shared" si="25"/>
        <v>1298.0899999999999</v>
      </c>
      <c r="BG16" s="25">
        <f t="shared" si="10"/>
        <v>116.12903225806451</v>
      </c>
      <c r="BH16" s="25">
        <f t="shared" si="26"/>
        <v>1161.2903225806449</v>
      </c>
      <c r="BI16" s="26">
        <f t="shared" si="11"/>
        <v>1</v>
      </c>
      <c r="BJ16" s="37">
        <f t="shared" si="27"/>
        <v>1161.2903225806449</v>
      </c>
      <c r="BK16" s="38">
        <v>44.503</v>
      </c>
      <c r="BL16" s="31">
        <v>137.62</v>
      </c>
      <c r="BM16" s="31"/>
      <c r="BN16" s="234">
        <v>93.135999999999996</v>
      </c>
      <c r="BO16" s="42"/>
      <c r="BP16" s="40"/>
      <c r="BQ16" s="32"/>
      <c r="BR16" s="33">
        <v>8.77</v>
      </c>
      <c r="BS16" s="34">
        <v>3.03</v>
      </c>
      <c r="BT16" s="35"/>
      <c r="BU16" s="28"/>
      <c r="BV16" s="287"/>
      <c r="BW16" s="287"/>
      <c r="BX16" s="36"/>
      <c r="BY16" s="33">
        <v>42.28</v>
      </c>
      <c r="BZ16" s="34">
        <v>37.270000000000003</v>
      </c>
      <c r="CA16" s="35"/>
      <c r="CB16" s="405">
        <v>46.26</v>
      </c>
      <c r="CC16" s="404"/>
      <c r="CD16" s="235"/>
      <c r="CE16" s="36"/>
      <c r="CF16" s="38"/>
      <c r="CG16" s="30">
        <v>116.161</v>
      </c>
      <c r="CH16" s="30">
        <v>55.161999999999999</v>
      </c>
      <c r="CI16" s="32"/>
      <c r="CJ16" s="33"/>
      <c r="CK16" s="33">
        <v>2.1</v>
      </c>
      <c r="CL16" s="33">
        <v>2.1</v>
      </c>
      <c r="CM16" s="36"/>
      <c r="CN16" s="286"/>
      <c r="CO16" s="249">
        <f t="shared" si="12"/>
        <v>40.600086900000001</v>
      </c>
      <c r="CP16" s="12">
        <f t="shared" si="12"/>
        <v>133.45011400000001</v>
      </c>
      <c r="CQ16" s="12">
        <f t="shared" si="12"/>
        <v>0</v>
      </c>
      <c r="CR16" s="11">
        <f t="shared" si="12"/>
        <v>93.135999999999996</v>
      </c>
      <c r="CS16" s="11">
        <f t="shared" si="12"/>
        <v>0</v>
      </c>
      <c r="CT16" s="11">
        <f t="shared" si="12"/>
        <v>0</v>
      </c>
      <c r="CU16" s="272">
        <f t="shared" si="12"/>
        <v>0</v>
      </c>
      <c r="CV16" s="249">
        <f t="shared" si="13"/>
        <v>0</v>
      </c>
      <c r="CW16" s="12">
        <f t="shared" si="13"/>
        <v>113.72161900000002</v>
      </c>
      <c r="CX16" s="249">
        <f t="shared" si="13"/>
        <v>54.003598000000004</v>
      </c>
      <c r="CY16" s="272">
        <f t="shared" si="13"/>
        <v>0</v>
      </c>
      <c r="CZ16" s="13"/>
      <c r="DA16" s="240">
        <f>(D16+'[2]январь 20'!D16)/(AY16+'[2]январь 20'!AX16)</f>
        <v>2.1586160632192919</v>
      </c>
      <c r="DB16" s="241">
        <f>(T16+'[2]январь 20'!R16)/(AY16+'[2]январь 20'!AX16)</f>
        <v>1.31705358274013</v>
      </c>
      <c r="DD16" s="292">
        <f t="shared" si="14"/>
        <v>11.406000000000001</v>
      </c>
      <c r="DE16" s="291">
        <v>0.62</v>
      </c>
      <c r="DF16" s="291">
        <v>14.92</v>
      </c>
      <c r="DG16" s="145">
        <f t="shared" si="15"/>
        <v>11.3352828</v>
      </c>
      <c r="DH16" s="293">
        <f t="shared" si="28"/>
        <v>2.215384063086193</v>
      </c>
      <c r="DJ16" s="322"/>
    </row>
    <row r="17" spans="1:114" s="76" customFormat="1" ht="16.5" customHeight="1" thickBot="1">
      <c r="A17" s="144">
        <v>11</v>
      </c>
      <c r="B17" s="122">
        <f>'[1]январь 20'!K16</f>
        <v>280.38299999999998</v>
      </c>
      <c r="C17" s="123">
        <f t="shared" si="16"/>
        <v>3.2965091321513791</v>
      </c>
      <c r="D17" s="145">
        <f t="shared" si="17"/>
        <v>271.14014879999996</v>
      </c>
      <c r="E17" s="125">
        <f t="shared" si="18"/>
        <v>41.083178188406578</v>
      </c>
      <c r="F17" s="146">
        <f t="shared" si="19"/>
        <v>2.1553270969793319</v>
      </c>
      <c r="G17" s="127"/>
      <c r="H17" s="126">
        <f t="shared" si="20"/>
        <v>1.3987054753577108</v>
      </c>
      <c r="I17" s="230">
        <f>'[1]июль 20'!AI16</f>
        <v>0</v>
      </c>
      <c r="J17" s="247">
        <f>'[1]январь 20'!AA16</f>
        <v>11.324999999999999</v>
      </c>
      <c r="K17" s="276">
        <f>'[1]сентябрь 20'!AM16</f>
        <v>0</v>
      </c>
      <c r="L17" s="122">
        <f>'[1]январь 20'!AE16</f>
        <v>95.183000000000007</v>
      </c>
      <c r="M17" s="128">
        <f t="shared" si="21"/>
        <v>0.75662162162162172</v>
      </c>
      <c r="N17" s="400">
        <f>'[1]январь 20'!W16</f>
        <v>6.7889999999999997</v>
      </c>
      <c r="O17" s="403">
        <f>'[1]январь 20'!AU16</f>
        <v>0</v>
      </c>
      <c r="P17" s="401">
        <f t="shared" si="0"/>
        <v>175.54400000000001</v>
      </c>
      <c r="Q17" s="122">
        <f>'[1]январь 20'!S16</f>
        <v>175.54400000000001</v>
      </c>
      <c r="R17" s="123">
        <f t="shared" si="22"/>
        <v>1.43</v>
      </c>
      <c r="S17" s="129">
        <v>7.43</v>
      </c>
      <c r="T17" s="125">
        <f t="shared" si="1"/>
        <v>173.0337208</v>
      </c>
      <c r="U17" s="147">
        <f t="shared" si="2"/>
        <v>1.3754667790143085</v>
      </c>
      <c r="V17" s="130">
        <v>125.8</v>
      </c>
      <c r="W17" s="130">
        <v>125.8</v>
      </c>
      <c r="X17" s="129">
        <v>0.28000000000000003</v>
      </c>
      <c r="Y17" s="131">
        <v>548</v>
      </c>
      <c r="Z17" s="150">
        <v>1191</v>
      </c>
      <c r="AA17" s="148" t="s">
        <v>130</v>
      </c>
      <c r="AB17" s="149">
        <v>76.19</v>
      </c>
      <c r="AC17" s="150">
        <v>111</v>
      </c>
      <c r="AD17" s="151">
        <v>4</v>
      </c>
      <c r="AE17" s="149">
        <v>6.2</v>
      </c>
      <c r="AF17" s="134">
        <f t="shared" si="3"/>
        <v>49.284578696343402</v>
      </c>
      <c r="AG17" s="152"/>
      <c r="AH17" s="129">
        <v>82.95</v>
      </c>
      <c r="AI17" s="134">
        <f t="shared" si="4"/>
        <v>659.3799682034977</v>
      </c>
      <c r="AJ17" s="136">
        <v>11.69</v>
      </c>
      <c r="AK17" s="154"/>
      <c r="AL17" s="155">
        <v>7.87</v>
      </c>
      <c r="AM17" s="156">
        <v>35.65</v>
      </c>
      <c r="AN17" s="126">
        <f t="shared" si="23"/>
        <v>0.21264539218610198</v>
      </c>
      <c r="AO17" s="157" t="s">
        <v>131</v>
      </c>
      <c r="AP17" s="156">
        <v>15.6</v>
      </c>
      <c r="AQ17" s="156">
        <v>6.14</v>
      </c>
      <c r="AR17" s="149"/>
      <c r="AS17" s="149">
        <v>11.57</v>
      </c>
      <c r="AT17" s="149">
        <v>167.65</v>
      </c>
      <c r="AU17" s="149">
        <v>1.67</v>
      </c>
      <c r="AV17" s="149"/>
      <c r="AW17" s="149"/>
      <c r="AX17" s="158">
        <f t="shared" si="5"/>
        <v>0</v>
      </c>
      <c r="AY17" s="125">
        <f t="shared" si="6"/>
        <v>125.8</v>
      </c>
      <c r="AZ17" s="125">
        <f t="shared" si="29"/>
        <v>129.57768001298629</v>
      </c>
      <c r="BA17" s="159">
        <f t="shared" si="7"/>
        <v>7.4345397887323958</v>
      </c>
      <c r="BB17" s="160">
        <f t="shared" si="8"/>
        <v>5.032</v>
      </c>
      <c r="BC17" s="161">
        <f t="shared" si="9"/>
        <v>0.8604403167024387</v>
      </c>
      <c r="BD17" s="160">
        <f t="shared" si="24"/>
        <v>12.466539788732396</v>
      </c>
      <c r="BE17" s="162">
        <v>0.88600000000000001</v>
      </c>
      <c r="BF17" s="25">
        <f t="shared" si="25"/>
        <v>1423.8899999999999</v>
      </c>
      <c r="BG17" s="25">
        <f t="shared" si="10"/>
        <v>116.12903225806451</v>
      </c>
      <c r="BH17" s="25">
        <f t="shared" si="26"/>
        <v>1277.4193548387093</v>
      </c>
      <c r="BI17" s="26">
        <f t="shared" si="11"/>
        <v>1</v>
      </c>
      <c r="BJ17" s="37">
        <f t="shared" si="27"/>
        <v>1277.4193548387093</v>
      </c>
      <c r="BK17" s="39">
        <v>45.152000000000001</v>
      </c>
      <c r="BL17" s="31">
        <v>140.048</v>
      </c>
      <c r="BM17" s="31"/>
      <c r="BN17" s="234">
        <v>95.183000000000007</v>
      </c>
      <c r="BO17" s="42"/>
      <c r="BP17" s="40"/>
      <c r="BQ17" s="32"/>
      <c r="BR17" s="33">
        <v>12.22</v>
      </c>
      <c r="BS17" s="34">
        <v>2.66</v>
      </c>
      <c r="BT17" s="35"/>
      <c r="BU17" s="28"/>
      <c r="BV17" s="287"/>
      <c r="BW17" s="287"/>
      <c r="BX17" s="36"/>
      <c r="BY17" s="33">
        <v>41.88</v>
      </c>
      <c r="BZ17" s="34">
        <v>37.07</v>
      </c>
      <c r="CA17" s="35"/>
      <c r="CB17" s="405">
        <v>46.61</v>
      </c>
      <c r="CC17" s="404"/>
      <c r="CD17" s="235"/>
      <c r="CE17" s="36"/>
      <c r="CF17" s="38"/>
      <c r="CG17" s="42">
        <v>119.53</v>
      </c>
      <c r="CH17" s="234">
        <v>56.014000000000003</v>
      </c>
      <c r="CI17" s="233"/>
      <c r="CJ17" s="33"/>
      <c r="CK17" s="33">
        <v>1.43</v>
      </c>
      <c r="CL17" s="33">
        <v>1.43</v>
      </c>
      <c r="CM17" s="36"/>
      <c r="CN17" s="286"/>
      <c r="CO17" s="249">
        <f t="shared" si="12"/>
        <v>39.6344256</v>
      </c>
      <c r="CP17" s="12">
        <f t="shared" si="12"/>
        <v>136.32272320000001</v>
      </c>
      <c r="CQ17" s="12">
        <f t="shared" si="12"/>
        <v>0</v>
      </c>
      <c r="CR17" s="12">
        <f t="shared" si="12"/>
        <v>95.183000000000007</v>
      </c>
      <c r="CS17" s="11">
        <f t="shared" si="12"/>
        <v>0</v>
      </c>
      <c r="CT17" s="11">
        <f t="shared" si="12"/>
        <v>0</v>
      </c>
      <c r="CU17" s="272">
        <f t="shared" si="12"/>
        <v>0</v>
      </c>
      <c r="CV17" s="249">
        <f t="shared" si="13"/>
        <v>0</v>
      </c>
      <c r="CW17" s="12">
        <f t="shared" si="13"/>
        <v>117.82072099999999</v>
      </c>
      <c r="CX17" s="254">
        <f t="shared" si="13"/>
        <v>55.212999799999999</v>
      </c>
      <c r="CY17" s="272">
        <f t="shared" si="13"/>
        <v>0</v>
      </c>
      <c r="CZ17" s="13"/>
      <c r="DA17" s="240">
        <f>(D17+'[2]январь 20'!D17)/(AY17+'[2]январь 20'!AX17)</f>
        <v>2.1116519623806025</v>
      </c>
      <c r="DB17" s="241">
        <f>(T17+'[2]январь 20'!R17)/(AY17+'[2]январь 20'!AX17)</f>
        <v>1.2966751529757532</v>
      </c>
      <c r="DD17" s="292">
        <f t="shared" si="14"/>
        <v>11.324999999999999</v>
      </c>
      <c r="DE17" s="291">
        <v>0.45</v>
      </c>
      <c r="DF17" s="291">
        <v>13.12</v>
      </c>
      <c r="DG17" s="145">
        <f t="shared" si="15"/>
        <v>11.274037499999999</v>
      </c>
      <c r="DH17" s="293">
        <f t="shared" si="28"/>
        <v>1.9414013912586947</v>
      </c>
      <c r="DJ17" s="322"/>
    </row>
    <row r="18" spans="1:114" s="76" customFormat="1" ht="16.5" customHeight="1" thickBot="1">
      <c r="A18" s="144">
        <v>12</v>
      </c>
      <c r="B18" s="122">
        <f>'[1]январь 20'!K17</f>
        <v>270.14800000000002</v>
      </c>
      <c r="C18" s="123">
        <f t="shared" si="16"/>
        <v>3.2413056546781762</v>
      </c>
      <c r="D18" s="145">
        <f t="shared" si="17"/>
        <v>261.39167760000004</v>
      </c>
      <c r="E18" s="125">
        <f t="shared" si="18"/>
        <v>40.326345558730772</v>
      </c>
      <c r="F18" s="146">
        <f t="shared" si="19"/>
        <v>2.1251355902439029</v>
      </c>
      <c r="G18" s="127"/>
      <c r="H18" s="126">
        <f t="shared" si="20"/>
        <v>1.5016884357723579</v>
      </c>
      <c r="I18" s="230">
        <f>'[1]июль 20'!AI17</f>
        <v>0</v>
      </c>
      <c r="J18" s="247">
        <f>'[1]январь 20'!AA17</f>
        <v>10.749000000000001</v>
      </c>
      <c r="K18" s="276">
        <f>'[1]сентябрь 20'!AM17</f>
        <v>0</v>
      </c>
      <c r="L18" s="122">
        <f>'[1]январь 20'!AE17</f>
        <v>76.683999999999997</v>
      </c>
      <c r="M18" s="128">
        <f t="shared" si="21"/>
        <v>0.62344715447154475</v>
      </c>
      <c r="N18" s="400">
        <f>'[1]январь 20'!W17</f>
        <v>4.1420000000000003</v>
      </c>
      <c r="O18" s="403">
        <f>'[1]январь 20'!AU17</f>
        <v>0</v>
      </c>
      <c r="P18" s="401">
        <f t="shared" si="0"/>
        <v>167.20099999999999</v>
      </c>
      <c r="Q18" s="122">
        <f>'[1]январь 20'!S17</f>
        <v>167.20099999999999</v>
      </c>
      <c r="R18" s="123">
        <f t="shared" si="22"/>
        <v>1.64</v>
      </c>
      <c r="S18" s="129">
        <v>23.01</v>
      </c>
      <c r="T18" s="125">
        <f t="shared" si="1"/>
        <v>164.45890359999999</v>
      </c>
      <c r="U18" s="147">
        <f t="shared" si="2"/>
        <v>1.3370642569105691</v>
      </c>
      <c r="V18" s="130">
        <v>123</v>
      </c>
      <c r="W18" s="130">
        <v>31.25</v>
      </c>
      <c r="X18" s="129">
        <v>1.1200000000000001</v>
      </c>
      <c r="Y18" s="131">
        <v>555</v>
      </c>
      <c r="Z18" s="150">
        <v>1190</v>
      </c>
      <c r="AA18" s="148" t="s">
        <v>118</v>
      </c>
      <c r="AB18" s="149">
        <v>76.88</v>
      </c>
      <c r="AC18" s="150">
        <v>108</v>
      </c>
      <c r="AD18" s="151">
        <v>4</v>
      </c>
      <c r="AE18" s="149">
        <v>11.3</v>
      </c>
      <c r="AF18" s="134">
        <f t="shared" si="3"/>
        <v>91.869918699187011</v>
      </c>
      <c r="AG18" s="152"/>
      <c r="AH18" s="129">
        <v>68.900000000000006</v>
      </c>
      <c r="AI18" s="134">
        <f t="shared" si="4"/>
        <v>560.16260162601634</v>
      </c>
      <c r="AJ18" s="153">
        <v>13.19</v>
      </c>
      <c r="AK18" s="154"/>
      <c r="AL18" s="155">
        <v>12.55</v>
      </c>
      <c r="AM18" s="156">
        <v>37.21</v>
      </c>
      <c r="AN18" s="126">
        <f t="shared" si="23"/>
        <v>0.21933392278219865</v>
      </c>
      <c r="AO18" s="157" t="s">
        <v>132</v>
      </c>
      <c r="AP18" s="156">
        <v>18.22</v>
      </c>
      <c r="AQ18" s="156">
        <v>6.09</v>
      </c>
      <c r="AR18" s="151"/>
      <c r="AS18" s="149">
        <v>8.68</v>
      </c>
      <c r="AT18" s="149">
        <v>169.65</v>
      </c>
      <c r="AU18" s="149">
        <v>3.11</v>
      </c>
      <c r="AV18" s="149"/>
      <c r="AW18" s="149"/>
      <c r="AX18" s="158">
        <f t="shared" si="5"/>
        <v>0</v>
      </c>
      <c r="AY18" s="125">
        <f t="shared" si="6"/>
        <v>122.99999999999999</v>
      </c>
      <c r="AZ18" s="125">
        <f t="shared" si="29"/>
        <v>121.96376980498901</v>
      </c>
      <c r="BA18" s="159">
        <f t="shared" si="7"/>
        <v>4.6327971830985915</v>
      </c>
      <c r="BB18" s="160">
        <f t="shared" si="8"/>
        <v>4.92</v>
      </c>
      <c r="BC18" s="161">
        <f t="shared" si="9"/>
        <v>0.89709381564313995</v>
      </c>
      <c r="BD18" s="160">
        <f t="shared" si="24"/>
        <v>9.5527971830985905</v>
      </c>
      <c r="BE18" s="162">
        <v>0.88700000000000001</v>
      </c>
      <c r="BF18" s="25">
        <f t="shared" si="25"/>
        <v>1546.8899999999999</v>
      </c>
      <c r="BG18" s="25">
        <f t="shared" si="10"/>
        <v>116.12903225806451</v>
      </c>
      <c r="BH18" s="25">
        <f t="shared" si="26"/>
        <v>1393.5483870967737</v>
      </c>
      <c r="BI18" s="26">
        <f t="shared" si="11"/>
        <v>1</v>
      </c>
      <c r="BJ18" s="37">
        <f t="shared" si="27"/>
        <v>1393.5483870967737</v>
      </c>
      <c r="BK18" s="38">
        <v>51.783999999999999</v>
      </c>
      <c r="BL18" s="31">
        <v>141.68</v>
      </c>
      <c r="BM18" s="31"/>
      <c r="BN18" s="234"/>
      <c r="BO18" s="42"/>
      <c r="BP18" s="40"/>
      <c r="BQ18" s="411">
        <v>76.683999999999997</v>
      </c>
      <c r="BR18" s="41">
        <v>11.41</v>
      </c>
      <c r="BS18" s="34">
        <v>2.0099999999999998</v>
      </c>
      <c r="BT18" s="35"/>
      <c r="BU18" s="28"/>
      <c r="BV18" s="287"/>
      <c r="BW18" s="287"/>
      <c r="BX18" s="36"/>
      <c r="BY18" s="34">
        <v>43.14</v>
      </c>
      <c r="BZ18" s="34">
        <v>36.79</v>
      </c>
      <c r="CA18" s="35"/>
      <c r="CB18" s="405"/>
      <c r="CC18" s="404"/>
      <c r="CD18" s="235"/>
      <c r="CE18" s="405">
        <v>44.96</v>
      </c>
      <c r="CF18" s="38"/>
      <c r="CG18" s="42">
        <v>113.197</v>
      </c>
      <c r="CH18" s="234">
        <v>54.003999999999998</v>
      </c>
      <c r="CI18" s="233"/>
      <c r="CJ18" s="33"/>
      <c r="CK18" s="33">
        <v>1.64</v>
      </c>
      <c r="CL18" s="33">
        <v>1.64</v>
      </c>
      <c r="CM18" s="36"/>
      <c r="CN18" s="286"/>
      <c r="CO18" s="249">
        <f t="shared" si="12"/>
        <v>45.875445599999999</v>
      </c>
      <c r="CP18" s="12">
        <f t="shared" si="12"/>
        <v>138.832232</v>
      </c>
      <c r="CQ18" s="12">
        <f t="shared" si="12"/>
        <v>0</v>
      </c>
      <c r="CR18" s="12">
        <f t="shared" si="12"/>
        <v>0</v>
      </c>
      <c r="CS18" s="11">
        <f t="shared" si="12"/>
        <v>0</v>
      </c>
      <c r="CT18" s="11">
        <f t="shared" si="12"/>
        <v>0</v>
      </c>
      <c r="CU18" s="272">
        <f t="shared" si="12"/>
        <v>76.683999999999997</v>
      </c>
      <c r="CV18" s="249">
        <f t="shared" si="13"/>
        <v>0</v>
      </c>
      <c r="CW18" s="11">
        <f t="shared" si="13"/>
        <v>111.3405692</v>
      </c>
      <c r="CX18" s="249">
        <f t="shared" si="13"/>
        <v>53.118334400000002</v>
      </c>
      <c r="CY18" s="272">
        <f t="shared" si="13"/>
        <v>0</v>
      </c>
      <c r="CZ18" s="13"/>
      <c r="DA18" s="240">
        <f>(D18+'[2]январь 20'!D18)/(AY18+'[2]январь 20'!AX18)</f>
        <v>2.4978374663545937</v>
      </c>
      <c r="DB18" s="241">
        <f>(T18+'[2]январь 20'!R18)/(AY18+'[2]январь 20'!AX18)</f>
        <v>1.5474883148039789</v>
      </c>
      <c r="DD18" s="292">
        <f t="shared" si="14"/>
        <v>10.749000000000001</v>
      </c>
      <c r="DE18" s="291">
        <v>0.27</v>
      </c>
      <c r="DF18" s="291">
        <v>16.260000000000002</v>
      </c>
      <c r="DG18" s="145">
        <f t="shared" si="15"/>
        <v>10.719977700000001</v>
      </c>
      <c r="DH18" s="293">
        <f t="shared" si="28"/>
        <v>2.2672585510145686</v>
      </c>
      <c r="DJ18" s="322"/>
    </row>
    <row r="19" spans="1:114" s="76" customFormat="1" ht="16.5" customHeight="1" thickBot="1">
      <c r="A19" s="144">
        <v>13</v>
      </c>
      <c r="B19" s="122">
        <f>'[1]январь 20'!K18</f>
        <v>277.62700000000001</v>
      </c>
      <c r="C19" s="123">
        <f t="shared" si="16"/>
        <v>4.1709441805011762</v>
      </c>
      <c r="D19" s="145">
        <f t="shared" si="17"/>
        <v>266.04733279999999</v>
      </c>
      <c r="E19" s="125">
        <f t="shared" si="18"/>
        <v>39.443167847507624</v>
      </c>
      <c r="F19" s="146">
        <f t="shared" si="19"/>
        <v>2.2436104975543936</v>
      </c>
      <c r="G19" s="127"/>
      <c r="H19" s="126">
        <f t="shared" si="20"/>
        <v>1.8158570821386408</v>
      </c>
      <c r="I19" s="230">
        <f>'[1]июль 20'!AI18</f>
        <v>0</v>
      </c>
      <c r="J19" s="247">
        <f>'[1]январь 20'!AA18</f>
        <v>11.128</v>
      </c>
      <c r="K19" s="276">
        <f>'[1]сентябрь 20'!AM18</f>
        <v>0</v>
      </c>
      <c r="L19" s="122">
        <f>'[1]январь 20'!AE18</f>
        <v>50.722999999999999</v>
      </c>
      <c r="M19" s="128">
        <f t="shared" si="21"/>
        <v>0.42775341541575307</v>
      </c>
      <c r="N19" s="400">
        <f>'[1]январь 20'!W18</f>
        <v>0</v>
      </c>
      <c r="O19" s="403">
        <f>'[1]январь 20'!AU18</f>
        <v>0</v>
      </c>
      <c r="P19" s="401">
        <f t="shared" si="0"/>
        <v>168.76599999999999</v>
      </c>
      <c r="Q19" s="122">
        <f>'[1]январь 20'!S18</f>
        <v>168.76599999999999</v>
      </c>
      <c r="R19" s="123">
        <f t="shared" si="22"/>
        <v>1.4500000000000002</v>
      </c>
      <c r="S19" s="129">
        <v>9.51</v>
      </c>
      <c r="T19" s="125">
        <f t="shared" si="1"/>
        <v>166.31889299999997</v>
      </c>
      <c r="U19" s="147">
        <f t="shared" si="2"/>
        <v>1.4025880671276774</v>
      </c>
      <c r="V19" s="130">
        <v>118.58</v>
      </c>
      <c r="W19" s="130">
        <v>90.55</v>
      </c>
      <c r="X19" s="129">
        <v>0.8</v>
      </c>
      <c r="Y19" s="131">
        <v>551</v>
      </c>
      <c r="Z19" s="150">
        <v>1200</v>
      </c>
      <c r="AA19" s="148" t="s">
        <v>124</v>
      </c>
      <c r="AB19" s="149">
        <v>77.25</v>
      </c>
      <c r="AC19" s="150">
        <v>111</v>
      </c>
      <c r="AD19" s="151">
        <v>4</v>
      </c>
      <c r="AE19" s="149">
        <v>11.15</v>
      </c>
      <c r="AF19" s="134">
        <f t="shared" si="3"/>
        <v>94.029347276100538</v>
      </c>
      <c r="AG19" s="152"/>
      <c r="AH19" s="129">
        <v>64.55</v>
      </c>
      <c r="AI19" s="134">
        <f t="shared" si="4"/>
        <v>544.35823916343395</v>
      </c>
      <c r="AJ19" s="136">
        <v>15.76</v>
      </c>
      <c r="AK19" s="154"/>
      <c r="AL19" s="155">
        <v>9.01</v>
      </c>
      <c r="AM19" s="156">
        <v>36.630000000000003</v>
      </c>
      <c r="AN19" s="126">
        <f t="shared" si="23"/>
        <v>0.22548476454293631</v>
      </c>
      <c r="AO19" s="157" t="s">
        <v>133</v>
      </c>
      <c r="AP19" s="156">
        <v>16.8</v>
      </c>
      <c r="AQ19" s="156">
        <v>6.14</v>
      </c>
      <c r="AR19" s="151"/>
      <c r="AS19" s="149">
        <v>8.7799999999999994</v>
      </c>
      <c r="AT19" s="149">
        <v>162.44999999999999</v>
      </c>
      <c r="AU19" s="149">
        <v>1.77</v>
      </c>
      <c r="AV19" s="164"/>
      <c r="AW19" s="149"/>
      <c r="AX19" s="158">
        <f t="shared" si="5"/>
        <v>0</v>
      </c>
      <c r="AY19" s="125">
        <f t="shared" si="6"/>
        <v>118.58</v>
      </c>
      <c r="AZ19" s="125">
        <f t="shared" si="29"/>
        <v>121.0859830252632</v>
      </c>
      <c r="BA19" s="159">
        <f t="shared" si="7"/>
        <v>4.390309154929577</v>
      </c>
      <c r="BB19" s="160">
        <f t="shared" si="8"/>
        <v>4.7431999999999999</v>
      </c>
      <c r="BC19" s="161">
        <f t="shared" si="9"/>
        <v>0.87292963397665135</v>
      </c>
      <c r="BD19" s="160">
        <f t="shared" si="24"/>
        <v>9.1335091549295768</v>
      </c>
      <c r="BE19" s="162">
        <v>0.88600000000000001</v>
      </c>
      <c r="BF19" s="25">
        <f t="shared" si="25"/>
        <v>1665.4699999999998</v>
      </c>
      <c r="BG19" s="25">
        <f t="shared" si="10"/>
        <v>116.12903225806451</v>
      </c>
      <c r="BH19" s="25">
        <f t="shared" si="26"/>
        <v>1509.6774193548381</v>
      </c>
      <c r="BI19" s="26">
        <f t="shared" si="11"/>
        <v>1</v>
      </c>
      <c r="BJ19" s="37">
        <f t="shared" si="27"/>
        <v>1509.6774193548381</v>
      </c>
      <c r="BK19" s="38">
        <v>72.040000000000006</v>
      </c>
      <c r="BL19" s="31">
        <v>154.864</v>
      </c>
      <c r="BM19" s="31"/>
      <c r="BN19" s="234"/>
      <c r="BO19" s="42"/>
      <c r="BP19" s="40"/>
      <c r="BQ19" s="411">
        <v>50.722999999999999</v>
      </c>
      <c r="BR19" s="33">
        <v>12.14</v>
      </c>
      <c r="BS19" s="34">
        <v>1.83</v>
      </c>
      <c r="BT19" s="35"/>
      <c r="BU19" s="28"/>
      <c r="BV19" s="287"/>
      <c r="BW19" s="287"/>
      <c r="BX19" s="36"/>
      <c r="BY19" s="33">
        <v>42.3</v>
      </c>
      <c r="BZ19" s="34">
        <v>36.53</v>
      </c>
      <c r="CA19" s="35"/>
      <c r="CB19" s="405"/>
      <c r="CC19" s="404"/>
      <c r="CD19" s="235"/>
      <c r="CE19" s="413">
        <v>44.28</v>
      </c>
      <c r="CF19" s="41"/>
      <c r="CG19" s="41">
        <v>113.265</v>
      </c>
      <c r="CH19" s="30">
        <v>55.500999999999998</v>
      </c>
      <c r="CI19" s="32"/>
      <c r="CJ19" s="33"/>
      <c r="CK19" s="33">
        <v>1.45</v>
      </c>
      <c r="CL19" s="33">
        <v>1.45</v>
      </c>
      <c r="CM19" s="36"/>
      <c r="CN19" s="286"/>
      <c r="CO19" s="249">
        <f t="shared" si="12"/>
        <v>63.294344000000009</v>
      </c>
      <c r="CP19" s="12">
        <f t="shared" si="12"/>
        <v>152.02998880000001</v>
      </c>
      <c r="CQ19" s="12">
        <f t="shared" si="12"/>
        <v>0</v>
      </c>
      <c r="CR19" s="12">
        <f t="shared" si="12"/>
        <v>0</v>
      </c>
      <c r="CS19" s="11">
        <f t="shared" si="12"/>
        <v>0</v>
      </c>
      <c r="CT19" s="11">
        <f t="shared" si="12"/>
        <v>0</v>
      </c>
      <c r="CU19" s="272">
        <f t="shared" si="12"/>
        <v>50.722999999999999</v>
      </c>
      <c r="CV19" s="249">
        <f t="shared" si="13"/>
        <v>0</v>
      </c>
      <c r="CW19" s="251">
        <f t="shared" si="13"/>
        <v>111.62265749999999</v>
      </c>
      <c r="CX19" s="249">
        <f t="shared" si="13"/>
        <v>54.696235499999993</v>
      </c>
      <c r="CY19" s="272">
        <f t="shared" si="13"/>
        <v>0</v>
      </c>
      <c r="CZ19" s="13"/>
      <c r="DA19" s="240">
        <f>(D19+'[2]январь 20'!D19)/(AY19+'[2]январь 20'!AX19)</f>
        <v>2.1037028433195588</v>
      </c>
      <c r="DB19" s="241">
        <f>(T19+'[2]январь 20'!R19)/(AY19+'[2]январь 20'!AX19)</f>
        <v>1.2826752513774102</v>
      </c>
      <c r="DD19" s="292">
        <f t="shared" si="14"/>
        <v>11.128</v>
      </c>
      <c r="DE19" s="291">
        <v>0.23</v>
      </c>
      <c r="DF19" s="291">
        <v>17.37</v>
      </c>
      <c r="DG19" s="145">
        <f t="shared" si="15"/>
        <v>11.102405599999999</v>
      </c>
      <c r="DH19" s="293">
        <f t="shared" si="28"/>
        <v>2.4964244048155342</v>
      </c>
      <c r="DJ19" s="322"/>
    </row>
    <row r="20" spans="1:114" s="76" customFormat="1" ht="16.5" customHeight="1" thickBot="1">
      <c r="A20" s="144">
        <v>14</v>
      </c>
      <c r="B20" s="122">
        <f>'[1]январь 20'!K19</f>
        <v>272.387</v>
      </c>
      <c r="C20" s="123">
        <f t="shared" si="16"/>
        <v>5.2715107549185536</v>
      </c>
      <c r="D20" s="145">
        <f t="shared" si="17"/>
        <v>258.02809000000002</v>
      </c>
      <c r="E20" s="125">
        <f t="shared" si="18"/>
        <v>39.636099703730352</v>
      </c>
      <c r="F20" s="146">
        <f t="shared" si="19"/>
        <v>1.8626152457951348</v>
      </c>
      <c r="G20" s="127"/>
      <c r="H20" s="126">
        <f t="shared" si="20"/>
        <v>1.4691914386775429</v>
      </c>
      <c r="I20" s="230">
        <f>'[1]июль 20'!AI19</f>
        <v>0</v>
      </c>
      <c r="J20" s="247">
        <f>'[1]январь 20'!AA19</f>
        <v>10.606</v>
      </c>
      <c r="K20" s="276">
        <f>'[1]сентябрь 20'!AM19</f>
        <v>0</v>
      </c>
      <c r="L20" s="122">
        <f>'[1]январь 20'!AE19</f>
        <v>54.500999999999998</v>
      </c>
      <c r="M20" s="128">
        <f t="shared" si="21"/>
        <v>0.39342380711759184</v>
      </c>
      <c r="N20" s="400">
        <f>'[1]январь 20'!W19</f>
        <v>0</v>
      </c>
      <c r="O20" s="403">
        <f>'[1]январь 20'!AU19</f>
        <v>0</v>
      </c>
      <c r="P20" s="401">
        <f t="shared" si="0"/>
        <v>165.559</v>
      </c>
      <c r="Q20" s="122">
        <f>'[1]январь 20'!S19</f>
        <v>165.559</v>
      </c>
      <c r="R20" s="123">
        <f t="shared" si="22"/>
        <v>1.59</v>
      </c>
      <c r="S20" s="129">
        <v>14.94</v>
      </c>
      <c r="T20" s="125">
        <f t="shared" si="1"/>
        <v>162.92661189999998</v>
      </c>
      <c r="U20" s="147">
        <f t="shared" si="2"/>
        <v>1.1761106756659205</v>
      </c>
      <c r="V20" s="130">
        <v>138.53</v>
      </c>
      <c r="W20" s="130">
        <v>71.540000000000006</v>
      </c>
      <c r="X20" s="129">
        <v>0.83</v>
      </c>
      <c r="Y20" s="131">
        <v>600</v>
      </c>
      <c r="Z20" s="150">
        <v>1191</v>
      </c>
      <c r="AA20" s="168" t="s">
        <v>134</v>
      </c>
      <c r="AB20" s="149">
        <v>76.569999999999993</v>
      </c>
      <c r="AC20" s="150">
        <v>109</v>
      </c>
      <c r="AD20" s="151">
        <v>4</v>
      </c>
      <c r="AE20" s="149">
        <v>12.55</v>
      </c>
      <c r="AF20" s="134">
        <f t="shared" si="3"/>
        <v>90.594095141846537</v>
      </c>
      <c r="AG20" s="152"/>
      <c r="AH20" s="129">
        <v>81.95</v>
      </c>
      <c r="AI20" s="134">
        <f t="shared" si="4"/>
        <v>591.56861329675883</v>
      </c>
      <c r="AJ20" s="153">
        <v>13.54</v>
      </c>
      <c r="AK20" s="154"/>
      <c r="AL20" s="155">
        <v>7.01</v>
      </c>
      <c r="AM20" s="156">
        <v>35.659999999999997</v>
      </c>
      <c r="AN20" s="126">
        <f t="shared" si="23"/>
        <v>0.19921787709497205</v>
      </c>
      <c r="AO20" s="157" t="s">
        <v>135</v>
      </c>
      <c r="AP20" s="156">
        <v>16.41</v>
      </c>
      <c r="AQ20" s="156">
        <v>6.25</v>
      </c>
      <c r="AR20" s="149"/>
      <c r="AS20" s="149">
        <v>9.2100000000000009</v>
      </c>
      <c r="AT20" s="149">
        <v>179</v>
      </c>
      <c r="AU20" s="149">
        <v>2.2000000000000002</v>
      </c>
      <c r="AV20" s="149"/>
      <c r="AW20" s="149"/>
      <c r="AX20" s="158">
        <f t="shared" si="5"/>
        <v>0</v>
      </c>
      <c r="AY20" s="125">
        <f t="shared" si="6"/>
        <v>138.53</v>
      </c>
      <c r="AZ20" s="125">
        <f t="shared" si="29"/>
        <v>118.69910571789886</v>
      </c>
      <c r="BA20" s="159">
        <f t="shared" si="7"/>
        <v>5.846728521126761</v>
      </c>
      <c r="BB20" s="160">
        <f t="shared" si="8"/>
        <v>5.5411999999999999</v>
      </c>
      <c r="BC20" s="161">
        <f t="shared" si="9"/>
        <v>1.0371571878302499</v>
      </c>
      <c r="BD20" s="160">
        <f t="shared" si="24"/>
        <v>11.38792852112676</v>
      </c>
      <c r="BE20" s="162">
        <v>0.89600000000000002</v>
      </c>
      <c r="BF20" s="25">
        <f t="shared" si="25"/>
        <v>1803.9999999999998</v>
      </c>
      <c r="BG20" s="25">
        <f t="shared" si="10"/>
        <v>116.12903225806451</v>
      </c>
      <c r="BH20" s="25">
        <f t="shared" si="26"/>
        <v>1625.8064516129025</v>
      </c>
      <c r="BI20" s="26">
        <f t="shared" si="11"/>
        <v>1</v>
      </c>
      <c r="BJ20" s="37">
        <f t="shared" si="27"/>
        <v>1625.8064516129025</v>
      </c>
      <c r="BK20" s="38">
        <v>70.83</v>
      </c>
      <c r="BL20" s="31">
        <v>147.05600000000001</v>
      </c>
      <c r="BM20" s="31"/>
      <c r="BN20" s="234"/>
      <c r="BO20" s="42"/>
      <c r="BP20" s="40"/>
      <c r="BQ20" s="411">
        <v>54.500999999999998</v>
      </c>
      <c r="BR20" s="33">
        <v>13.94</v>
      </c>
      <c r="BS20" s="34">
        <v>3.05</v>
      </c>
      <c r="BT20" s="35"/>
      <c r="BU20" s="28"/>
      <c r="BV20" s="287"/>
      <c r="BW20" s="287"/>
      <c r="BX20" s="36"/>
      <c r="BY20" s="33">
        <v>41.29</v>
      </c>
      <c r="BZ20" s="34">
        <v>37.299999999999997</v>
      </c>
      <c r="CA20" s="35"/>
      <c r="CB20" s="405"/>
      <c r="CC20" s="404"/>
      <c r="CD20" s="235"/>
      <c r="CE20" s="413">
        <v>43.79</v>
      </c>
      <c r="CF20" s="30"/>
      <c r="CG20" s="30">
        <v>122.336</v>
      </c>
      <c r="CH20" s="31">
        <v>43.222999999999999</v>
      </c>
      <c r="CI20" s="32"/>
      <c r="CJ20" s="33"/>
      <c r="CK20" s="33">
        <v>1.59</v>
      </c>
      <c r="CL20" s="35">
        <v>1.59</v>
      </c>
      <c r="CM20" s="36"/>
      <c r="CN20" s="286"/>
      <c r="CO20" s="249">
        <f t="shared" si="12"/>
        <v>60.956298000000004</v>
      </c>
      <c r="CP20" s="12">
        <f t="shared" si="12"/>
        <v>142.57079200000001</v>
      </c>
      <c r="CQ20" s="12">
        <f t="shared" si="12"/>
        <v>0</v>
      </c>
      <c r="CR20" s="12">
        <f t="shared" si="12"/>
        <v>0</v>
      </c>
      <c r="CS20" s="11">
        <f t="shared" si="12"/>
        <v>0</v>
      </c>
      <c r="CT20" s="11">
        <f t="shared" si="12"/>
        <v>0</v>
      </c>
      <c r="CU20" s="272">
        <f t="shared" si="12"/>
        <v>54.500999999999998</v>
      </c>
      <c r="CV20" s="249">
        <f t="shared" si="13"/>
        <v>0</v>
      </c>
      <c r="CW20" s="12">
        <f t="shared" si="13"/>
        <v>120.39085759999999</v>
      </c>
      <c r="CX20" s="249">
        <f t="shared" si="13"/>
        <v>42.535754300000001</v>
      </c>
      <c r="CY20" s="272">
        <f t="shared" si="13"/>
        <v>0</v>
      </c>
      <c r="CZ20" s="13"/>
      <c r="DA20" s="240">
        <f>(D20+'[2]январь 20'!D20)/(AY20+'[2]январь 20'!AX20)</f>
        <v>2.185538521618283</v>
      </c>
      <c r="DB20" s="241">
        <f>(T20+'[2]январь 20'!R20)/(AY20+'[2]январь 20'!AX20)</f>
        <v>1.3288653857319332</v>
      </c>
      <c r="DD20" s="292">
        <f t="shared" si="14"/>
        <v>10.606</v>
      </c>
      <c r="DE20" s="291">
        <v>0.49</v>
      </c>
      <c r="DF20" s="291">
        <v>15.2</v>
      </c>
      <c r="DG20" s="145">
        <f t="shared" si="15"/>
        <v>10.554030600000001</v>
      </c>
      <c r="DH20" s="293">
        <f t="shared" si="28"/>
        <v>2.0950929230769235</v>
      </c>
      <c r="DJ20" s="322"/>
    </row>
    <row r="21" spans="1:114" s="76" customFormat="1" ht="16.5" customHeight="1" thickBot="1">
      <c r="A21" s="144">
        <v>15</v>
      </c>
      <c r="B21" s="122">
        <f>'[1]январь 20'!K20</f>
        <v>278.63299999999998</v>
      </c>
      <c r="C21" s="123">
        <f t="shared" si="16"/>
        <v>4.8393732616021801</v>
      </c>
      <c r="D21" s="145">
        <f t="shared" si="17"/>
        <v>265.14890909999997</v>
      </c>
      <c r="E21" s="125">
        <f t="shared" si="18"/>
        <v>39.800751885096169</v>
      </c>
      <c r="F21" s="146">
        <f t="shared" si="19"/>
        <v>2.1083723687977098</v>
      </c>
      <c r="G21" s="127"/>
      <c r="H21" s="126">
        <f t="shared" si="20"/>
        <v>1.6630638446246822</v>
      </c>
      <c r="I21" s="230">
        <f>'[1]июль 20'!AI20</f>
        <v>0</v>
      </c>
      <c r="J21" s="247">
        <f>'[1]январь 20'!AA20</f>
        <v>11.038</v>
      </c>
      <c r="K21" s="276">
        <f>'[1]сентябрь 20'!AM20</f>
        <v>0</v>
      </c>
      <c r="L21" s="122">
        <f>'[1]январь 20'!AE20</f>
        <v>56.002000000000002</v>
      </c>
      <c r="M21" s="128">
        <f t="shared" si="21"/>
        <v>0.44530852417302802</v>
      </c>
      <c r="N21" s="400">
        <f>'[1]январь 20'!W20</f>
        <v>0</v>
      </c>
      <c r="O21" s="403">
        <f>'[1]январь 20'!AU20</f>
        <v>0</v>
      </c>
      <c r="P21" s="401">
        <f t="shared" si="0"/>
        <v>174.203</v>
      </c>
      <c r="Q21" s="122">
        <f>'[1]январь 20'!S20</f>
        <v>174.203</v>
      </c>
      <c r="R21" s="123">
        <f t="shared" si="22"/>
        <v>1.37</v>
      </c>
      <c r="S21" s="129">
        <v>21.05</v>
      </c>
      <c r="T21" s="125">
        <f t="shared" si="1"/>
        <v>171.8164189</v>
      </c>
      <c r="U21" s="147">
        <f t="shared" si="2"/>
        <v>1.3662247049936387</v>
      </c>
      <c r="V21" s="130">
        <v>125.76</v>
      </c>
      <c r="W21" s="130">
        <v>97.39</v>
      </c>
      <c r="X21" s="129">
        <v>0.62</v>
      </c>
      <c r="Y21" s="131">
        <v>518</v>
      </c>
      <c r="Z21" s="150">
        <v>1193</v>
      </c>
      <c r="AA21" s="168" t="s">
        <v>136</v>
      </c>
      <c r="AB21" s="149">
        <v>76.349999999999994</v>
      </c>
      <c r="AC21" s="150">
        <v>113</v>
      </c>
      <c r="AD21" s="151">
        <v>4</v>
      </c>
      <c r="AE21" s="149">
        <v>13.5</v>
      </c>
      <c r="AF21" s="134">
        <f t="shared" si="3"/>
        <v>107.34732824427482</v>
      </c>
      <c r="AG21" s="152"/>
      <c r="AH21" s="129">
        <v>67.150000000000006</v>
      </c>
      <c r="AI21" s="134">
        <f t="shared" si="4"/>
        <v>533.95356234096698</v>
      </c>
      <c r="AJ21" s="136">
        <v>12.97</v>
      </c>
      <c r="AK21" s="154"/>
      <c r="AL21" s="155">
        <v>6.62</v>
      </c>
      <c r="AM21" s="156">
        <v>35.700000000000003</v>
      </c>
      <c r="AN21" s="126">
        <f t="shared" si="23"/>
        <v>0.21396463889721309</v>
      </c>
      <c r="AO21" s="157" t="s">
        <v>137</v>
      </c>
      <c r="AP21" s="156">
        <v>15.58</v>
      </c>
      <c r="AQ21" s="156">
        <v>6.34</v>
      </c>
      <c r="AR21" s="149"/>
      <c r="AS21" s="149">
        <v>8.92</v>
      </c>
      <c r="AT21" s="149">
        <v>166.85</v>
      </c>
      <c r="AU21" s="149">
        <v>1.23</v>
      </c>
      <c r="AV21" s="149"/>
      <c r="AW21" s="149"/>
      <c r="AX21" s="158">
        <f t="shared" si="5"/>
        <v>0</v>
      </c>
      <c r="AY21" s="125">
        <f t="shared" si="6"/>
        <v>125.75999999999999</v>
      </c>
      <c r="AZ21" s="125">
        <f t="shared" si="29"/>
        <v>122.8246022948003</v>
      </c>
      <c r="BA21" s="159">
        <f t="shared" si="7"/>
        <v>4.6399704225352112</v>
      </c>
      <c r="BB21" s="160">
        <f t="shared" si="8"/>
        <v>5.0303999999999993</v>
      </c>
      <c r="BC21" s="161">
        <f t="shared" si="9"/>
        <v>0.90985136074666262</v>
      </c>
      <c r="BD21" s="160">
        <f t="shared" si="24"/>
        <v>9.6703704225352105</v>
      </c>
      <c r="BE21" s="162">
        <v>0.89500000000000002</v>
      </c>
      <c r="BF21" s="25">
        <f t="shared" si="25"/>
        <v>1929.7599999999998</v>
      </c>
      <c r="BG21" s="25">
        <f t="shared" si="10"/>
        <v>116.12903225806451</v>
      </c>
      <c r="BH21" s="25">
        <f t="shared" si="26"/>
        <v>1741.9354838709669</v>
      </c>
      <c r="BI21" s="26">
        <f t="shared" si="11"/>
        <v>1</v>
      </c>
      <c r="BJ21" s="37">
        <f t="shared" si="27"/>
        <v>1741.9354838709669</v>
      </c>
      <c r="BK21" s="38">
        <v>72.605000000000004</v>
      </c>
      <c r="BL21" s="31">
        <v>150.02600000000001</v>
      </c>
      <c r="BM21" s="31"/>
      <c r="BN21" s="234"/>
      <c r="BO21" s="42"/>
      <c r="BP21" s="40"/>
      <c r="BQ21" s="411">
        <v>56.002000000000002</v>
      </c>
      <c r="BR21" s="33">
        <v>13.53</v>
      </c>
      <c r="BS21" s="34">
        <v>2.44</v>
      </c>
      <c r="BT21" s="35"/>
      <c r="BU21" s="35"/>
      <c r="BV21" s="235"/>
      <c r="BW21" s="235"/>
      <c r="BX21" s="36"/>
      <c r="BY21" s="33">
        <v>42.4</v>
      </c>
      <c r="BZ21" s="34">
        <v>37.049999999999997</v>
      </c>
      <c r="CA21" s="35"/>
      <c r="CB21" s="405"/>
      <c r="CC21" s="404"/>
      <c r="CD21" s="235"/>
      <c r="CE21" s="413">
        <v>43.8</v>
      </c>
      <c r="CF21" s="30"/>
      <c r="CG21" s="30">
        <v>174.203</v>
      </c>
      <c r="CH21" s="31"/>
      <c r="CI21" s="32"/>
      <c r="CJ21" s="33"/>
      <c r="CK21" s="33">
        <v>1.37</v>
      </c>
      <c r="CL21" s="35"/>
      <c r="CM21" s="36"/>
      <c r="CN21" s="286"/>
      <c r="CO21" s="249">
        <f t="shared" si="12"/>
        <v>62.781543500000005</v>
      </c>
      <c r="CP21" s="12">
        <f t="shared" si="12"/>
        <v>146.36536560000002</v>
      </c>
      <c r="CQ21" s="12">
        <f t="shared" si="12"/>
        <v>0</v>
      </c>
      <c r="CR21" s="12">
        <f t="shared" si="12"/>
        <v>0</v>
      </c>
      <c r="CS21" s="11">
        <f t="shared" si="12"/>
        <v>0</v>
      </c>
      <c r="CT21" s="11">
        <f t="shared" si="12"/>
        <v>0</v>
      </c>
      <c r="CU21" s="272">
        <f t="shared" si="12"/>
        <v>56.002000000000002</v>
      </c>
      <c r="CV21" s="249">
        <f t="shared" si="13"/>
        <v>0</v>
      </c>
      <c r="CW21" s="12">
        <f t="shared" si="13"/>
        <v>171.8164189</v>
      </c>
      <c r="CX21" s="249">
        <f t="shared" si="13"/>
        <v>0</v>
      </c>
      <c r="CY21" s="272">
        <f t="shared" si="13"/>
        <v>0</v>
      </c>
      <c r="CZ21" s="13"/>
      <c r="DA21" s="240">
        <f>(D21+'[2]январь 20'!D21)/(AY21+'[2]январь 20'!AX21)</f>
        <v>1.9198159563039412</v>
      </c>
      <c r="DB21" s="241">
        <f>(T21+'[2]январь 20'!R21)/(AY21+'[2]январь 20'!AX21)</f>
        <v>1.2106235104713623</v>
      </c>
      <c r="DD21" s="292">
        <f t="shared" si="14"/>
        <v>11.038</v>
      </c>
      <c r="DE21" s="291">
        <v>0.61</v>
      </c>
      <c r="DF21" s="291">
        <v>15.02</v>
      </c>
      <c r="DG21" s="145">
        <f t="shared" si="15"/>
        <v>10.9706682</v>
      </c>
      <c r="DH21" s="293">
        <f t="shared" si="28"/>
        <v>2.1582113472691553</v>
      </c>
      <c r="DJ21" s="322"/>
    </row>
    <row r="22" spans="1:114" s="76" customFormat="1" ht="16.5" customHeight="1" thickBot="1">
      <c r="A22" s="144">
        <v>16</v>
      </c>
      <c r="B22" s="122">
        <f>'[1]январь 20'!K21</f>
        <v>251.899</v>
      </c>
      <c r="C22" s="123">
        <f t="shared" si="16"/>
        <v>4.794555992679606</v>
      </c>
      <c r="D22" s="145">
        <f t="shared" si="17"/>
        <v>239.82156140000001</v>
      </c>
      <c r="E22" s="125">
        <f t="shared" si="18"/>
        <v>40.185963699736803</v>
      </c>
      <c r="F22" s="146">
        <f t="shared" si="19"/>
        <v>1.9385786225850778</v>
      </c>
      <c r="G22" s="127"/>
      <c r="H22" s="126">
        <f t="shared" si="20"/>
        <v>1.5303335332632768</v>
      </c>
      <c r="I22" s="230">
        <f>'[1]июль 20'!AI21</f>
        <v>0</v>
      </c>
      <c r="J22" s="247">
        <f>'[1]январь 20'!AA21</f>
        <v>10.125999999999999</v>
      </c>
      <c r="K22" s="276">
        <f>'[1]сентябрь 20'!AM21</f>
        <v>0</v>
      </c>
      <c r="L22" s="122">
        <f>'[1]январь 20'!AE21</f>
        <v>50.503999999999998</v>
      </c>
      <c r="M22" s="128">
        <f t="shared" si="21"/>
        <v>0.40824508932180092</v>
      </c>
      <c r="N22" s="400">
        <f>'[1]январь 20'!W21</f>
        <v>0</v>
      </c>
      <c r="O22" s="403">
        <f>'[1]январь 20'!AU21</f>
        <v>0</v>
      </c>
      <c r="P22" s="401">
        <f t="shared" si="0"/>
        <v>154.74</v>
      </c>
      <c r="Q22" s="122">
        <f>'[1]январь 20'!S21</f>
        <v>154.74</v>
      </c>
      <c r="R22" s="123">
        <f t="shared" si="22"/>
        <v>1.39</v>
      </c>
      <c r="S22" s="129">
        <v>8.73</v>
      </c>
      <c r="T22" s="125">
        <f t="shared" si="1"/>
        <v>152.589114</v>
      </c>
      <c r="U22" s="147">
        <f t="shared" si="2"/>
        <v>1.2334420337886993</v>
      </c>
      <c r="V22" s="130">
        <v>123.71</v>
      </c>
      <c r="W22" s="130">
        <v>35.47</v>
      </c>
      <c r="X22" s="129">
        <v>1.37</v>
      </c>
      <c r="Y22" s="131">
        <v>575</v>
      </c>
      <c r="Z22" s="150">
        <v>1192</v>
      </c>
      <c r="AA22" s="148" t="s">
        <v>138</v>
      </c>
      <c r="AB22" s="149">
        <v>76.27</v>
      </c>
      <c r="AC22" s="150">
        <v>101</v>
      </c>
      <c r="AD22" s="151">
        <v>4</v>
      </c>
      <c r="AE22" s="149">
        <v>17.649999999999999</v>
      </c>
      <c r="AF22" s="134">
        <f t="shared" si="3"/>
        <v>142.67237895077196</v>
      </c>
      <c r="AG22" s="152"/>
      <c r="AH22" s="129">
        <v>62.65</v>
      </c>
      <c r="AI22" s="134">
        <f t="shared" si="4"/>
        <v>506.42631961846251</v>
      </c>
      <c r="AJ22" s="153">
        <v>14.43</v>
      </c>
      <c r="AK22" s="154"/>
      <c r="AL22" s="155">
        <v>9.33</v>
      </c>
      <c r="AM22" s="156">
        <v>36.630000000000003</v>
      </c>
      <c r="AN22" s="126">
        <f t="shared" si="23"/>
        <v>0.21797084201130615</v>
      </c>
      <c r="AO22" s="157" t="s">
        <v>139</v>
      </c>
      <c r="AP22" s="156">
        <v>16.45</v>
      </c>
      <c r="AQ22" s="156">
        <v>6.17</v>
      </c>
      <c r="AR22" s="151"/>
      <c r="AS22" s="149">
        <v>7.59</v>
      </c>
      <c r="AT22" s="149">
        <v>168.05</v>
      </c>
      <c r="AU22" s="149">
        <v>1.62</v>
      </c>
      <c r="AV22" s="149"/>
      <c r="AW22" s="149"/>
      <c r="AX22" s="158">
        <f t="shared" si="5"/>
        <v>0</v>
      </c>
      <c r="AY22" s="125">
        <f t="shared" si="6"/>
        <v>123.71000000000001</v>
      </c>
      <c r="AZ22" s="125">
        <f t="shared" si="29"/>
        <v>112.50871355107654</v>
      </c>
      <c r="BA22" s="159">
        <f t="shared" si="7"/>
        <v>3.6835552816901402</v>
      </c>
      <c r="BB22" s="160">
        <f t="shared" si="8"/>
        <v>4.9484000000000004</v>
      </c>
      <c r="BC22" s="161">
        <f t="shared" si="9"/>
        <v>0.97902986377387569</v>
      </c>
      <c r="BD22" s="160">
        <f t="shared" si="24"/>
        <v>8.631955281690141</v>
      </c>
      <c r="BE22" s="162">
        <v>0.90100000000000002</v>
      </c>
      <c r="BF22" s="25">
        <f t="shared" si="25"/>
        <v>2053.4699999999998</v>
      </c>
      <c r="BG22" s="25">
        <f t="shared" si="10"/>
        <v>116.12903225806451</v>
      </c>
      <c r="BH22" s="25">
        <f t="shared" si="26"/>
        <v>1858.0645161290313</v>
      </c>
      <c r="BI22" s="26">
        <f t="shared" si="11"/>
        <v>1</v>
      </c>
      <c r="BJ22" s="37">
        <f t="shared" si="27"/>
        <v>1858.0645161290313</v>
      </c>
      <c r="BK22" s="38">
        <v>65.728999999999999</v>
      </c>
      <c r="BL22" s="31">
        <v>135.666</v>
      </c>
      <c r="BM22" s="31"/>
      <c r="BN22" s="234"/>
      <c r="BO22" s="42"/>
      <c r="BP22" s="40"/>
      <c r="BQ22" s="411">
        <v>50.503999999999998</v>
      </c>
      <c r="BR22" s="33">
        <v>14.68</v>
      </c>
      <c r="BS22" s="34">
        <v>1.79</v>
      </c>
      <c r="BT22" s="35"/>
      <c r="BU22" s="35"/>
      <c r="BV22" s="235"/>
      <c r="BW22" s="235"/>
      <c r="BX22" s="36"/>
      <c r="BY22" s="33">
        <v>43.31</v>
      </c>
      <c r="BZ22" s="34">
        <v>37.26</v>
      </c>
      <c r="CA22" s="35"/>
      <c r="CB22" s="405"/>
      <c r="CC22" s="404"/>
      <c r="CD22" s="235"/>
      <c r="CE22" s="413">
        <v>43.98</v>
      </c>
      <c r="CF22" s="30"/>
      <c r="CG22" s="30">
        <v>154.74</v>
      </c>
      <c r="CH22" s="31"/>
      <c r="CI22" s="32"/>
      <c r="CJ22" s="33"/>
      <c r="CK22" s="33">
        <v>1.39</v>
      </c>
      <c r="CL22" s="35"/>
      <c r="CM22" s="36"/>
      <c r="CN22" s="286"/>
      <c r="CO22" s="249">
        <f t="shared" si="12"/>
        <v>56.079982799999996</v>
      </c>
      <c r="CP22" s="12">
        <f t="shared" si="12"/>
        <v>133.23757860000001</v>
      </c>
      <c r="CQ22" s="12">
        <f t="shared" si="12"/>
        <v>0</v>
      </c>
      <c r="CR22" s="12">
        <f t="shared" si="12"/>
        <v>0</v>
      </c>
      <c r="CS22" s="11">
        <f t="shared" si="12"/>
        <v>0</v>
      </c>
      <c r="CT22" s="11">
        <f t="shared" si="12"/>
        <v>0</v>
      </c>
      <c r="CU22" s="272">
        <f t="shared" si="12"/>
        <v>50.503999999999998</v>
      </c>
      <c r="CV22" s="249">
        <f t="shared" si="13"/>
        <v>0</v>
      </c>
      <c r="CW22" s="12">
        <f t="shared" si="13"/>
        <v>152.589114</v>
      </c>
      <c r="CX22" s="249">
        <f t="shared" si="13"/>
        <v>0</v>
      </c>
      <c r="CY22" s="272">
        <f t="shared" si="13"/>
        <v>0</v>
      </c>
      <c r="CZ22" s="13"/>
      <c r="DA22" s="240">
        <f>(D22+'[2]январь 20'!D22)/(AY22+'[2]январь 20'!AX22)</f>
        <v>2.5404607116896605</v>
      </c>
      <c r="DB22" s="241">
        <f>(T22+'[2]январь 20'!R22)/(AY22+'[2]январь 20'!AX22)</f>
        <v>1.5920824580922712</v>
      </c>
      <c r="DD22" s="292">
        <f t="shared" si="14"/>
        <v>10.125999999999999</v>
      </c>
      <c r="DE22" s="291">
        <v>0.21</v>
      </c>
      <c r="DF22" s="291">
        <v>16.579999999999998</v>
      </c>
      <c r="DG22" s="145">
        <f t="shared" si="15"/>
        <v>10.104735399999999</v>
      </c>
      <c r="DH22" s="293">
        <f t="shared" si="28"/>
        <v>2.196624005926314</v>
      </c>
      <c r="DJ22" s="322"/>
    </row>
    <row r="23" spans="1:114" s="76" customFormat="1" ht="16.5" customHeight="1" thickBot="1">
      <c r="A23" s="144">
        <v>17</v>
      </c>
      <c r="B23" s="122">
        <f>'[1]январь 20'!K22</f>
        <v>275.67599999999999</v>
      </c>
      <c r="C23" s="123">
        <f t="shared" si="16"/>
        <v>5.1889534090744212</v>
      </c>
      <c r="D23" s="145">
        <f t="shared" si="17"/>
        <v>261.37130080000003</v>
      </c>
      <c r="E23" s="125">
        <f t="shared" si="18"/>
        <v>39.467514219591116</v>
      </c>
      <c r="F23" s="146">
        <f t="shared" si="19"/>
        <v>2.1934483115139312</v>
      </c>
      <c r="G23" s="127"/>
      <c r="H23" s="126">
        <f t="shared" si="20"/>
        <v>1.7317245787176905</v>
      </c>
      <c r="I23" s="230">
        <f>'[1]июль 20'!AI22</f>
        <v>0</v>
      </c>
      <c r="J23" s="247">
        <f>'[1]январь 20'!AA22</f>
        <v>10.824999999999999</v>
      </c>
      <c r="K23" s="276">
        <f>'[1]сентябрь 20'!AM22</f>
        <v>0</v>
      </c>
      <c r="L23" s="122">
        <f>'[1]январь 20'!AE22</f>
        <v>55.018999999999998</v>
      </c>
      <c r="M23" s="128">
        <f t="shared" si="21"/>
        <v>0.46172373279624035</v>
      </c>
      <c r="N23" s="400">
        <f>'[1]январь 20'!W22</f>
        <v>0</v>
      </c>
      <c r="O23" s="403">
        <f>'[1]январь 20'!AU22</f>
        <v>0</v>
      </c>
      <c r="P23" s="401">
        <f t="shared" si="0"/>
        <v>168.27699999999999</v>
      </c>
      <c r="Q23" s="122">
        <f>'[1]январь 20'!S22</f>
        <v>168.27699999999999</v>
      </c>
      <c r="R23" s="123">
        <f t="shared" si="22"/>
        <v>1.32</v>
      </c>
      <c r="S23" s="129">
        <v>13.11</v>
      </c>
      <c r="T23" s="125">
        <f t="shared" si="1"/>
        <v>166.0557436</v>
      </c>
      <c r="U23" s="147">
        <f t="shared" si="2"/>
        <v>1.3935527324605572</v>
      </c>
      <c r="V23" s="130">
        <v>119.16</v>
      </c>
      <c r="W23" s="130">
        <v>62.52</v>
      </c>
      <c r="X23" s="129">
        <v>1.24</v>
      </c>
      <c r="Y23" s="131">
        <v>512</v>
      </c>
      <c r="Z23" s="150">
        <v>1187</v>
      </c>
      <c r="AA23" s="148" t="s">
        <v>116</v>
      </c>
      <c r="AB23" s="149">
        <v>76.05</v>
      </c>
      <c r="AC23" s="150">
        <v>110</v>
      </c>
      <c r="AD23" s="151">
        <v>4</v>
      </c>
      <c r="AE23" s="149">
        <v>13.65</v>
      </c>
      <c r="AF23" s="134">
        <f t="shared" si="3"/>
        <v>114.55186304128902</v>
      </c>
      <c r="AG23" s="152"/>
      <c r="AH23" s="129">
        <v>66.8</v>
      </c>
      <c r="AI23" s="134">
        <f t="shared" si="4"/>
        <v>560.59080228264509</v>
      </c>
      <c r="AJ23" s="136">
        <v>11.52</v>
      </c>
      <c r="AK23" s="154"/>
      <c r="AL23" s="155">
        <v>6.28</v>
      </c>
      <c r="AM23" s="156">
        <v>37.51</v>
      </c>
      <c r="AN23" s="126">
        <f t="shared" si="23"/>
        <v>0.23283674736188703</v>
      </c>
      <c r="AO23" s="157" t="s">
        <v>140</v>
      </c>
      <c r="AP23" s="156">
        <v>16.96</v>
      </c>
      <c r="AQ23" s="156">
        <v>6.52</v>
      </c>
      <c r="AR23" s="151"/>
      <c r="AS23" s="149">
        <v>7.13</v>
      </c>
      <c r="AT23" s="149">
        <v>161.1</v>
      </c>
      <c r="AU23" s="149">
        <v>1.85</v>
      </c>
      <c r="AV23" s="149"/>
      <c r="AW23" s="149"/>
      <c r="AX23" s="158">
        <f t="shared" si="5"/>
        <v>0</v>
      </c>
      <c r="AY23" s="125">
        <f t="shared" si="6"/>
        <v>119.16</v>
      </c>
      <c r="AZ23" s="125">
        <f t="shared" si="29"/>
        <v>120.49966752584569</v>
      </c>
      <c r="BA23" s="159">
        <f t="shared" si="7"/>
        <v>3.6895239436619716</v>
      </c>
      <c r="BB23" s="160">
        <f t="shared" si="8"/>
        <v>4.7664</v>
      </c>
      <c r="BC23" s="161">
        <f>IF((D23*E23)=0,0,(AY23*AB23)/(D23*E23))</f>
        <v>0.87848032567910828</v>
      </c>
      <c r="BD23" s="160">
        <f t="shared" si="24"/>
        <v>8.455923943661972</v>
      </c>
      <c r="BE23" s="162">
        <v>0.9</v>
      </c>
      <c r="BF23" s="25">
        <f t="shared" si="25"/>
        <v>2172.6299999999997</v>
      </c>
      <c r="BG23" s="25">
        <f t="shared" si="10"/>
        <v>116.12903225806451</v>
      </c>
      <c r="BH23" s="25">
        <f t="shared" si="26"/>
        <v>1974.1935483870957</v>
      </c>
      <c r="BI23" s="26">
        <f t="shared" si="11"/>
        <v>1</v>
      </c>
      <c r="BJ23" s="37">
        <f t="shared" si="27"/>
        <v>1974.1935483870957</v>
      </c>
      <c r="BK23" s="38">
        <v>72.369</v>
      </c>
      <c r="BL23" s="31">
        <v>148.28800000000001</v>
      </c>
      <c r="BM23" s="31"/>
      <c r="BN23" s="234"/>
      <c r="BO23" s="42"/>
      <c r="BP23" s="40"/>
      <c r="BQ23" s="411">
        <v>55.018999999999998</v>
      </c>
      <c r="BR23" s="33">
        <v>16.16</v>
      </c>
      <c r="BS23" s="34">
        <v>1.76</v>
      </c>
      <c r="BT23" s="35"/>
      <c r="BU23" s="35"/>
      <c r="BV23" s="235"/>
      <c r="BW23" s="235"/>
      <c r="BX23" s="36"/>
      <c r="BY23" s="33">
        <v>41.32</v>
      </c>
      <c r="BZ23" s="34">
        <v>36.93</v>
      </c>
      <c r="CA23" s="35"/>
      <c r="CB23" s="405"/>
      <c r="CC23" s="404"/>
      <c r="CD23" s="235"/>
      <c r="CE23" s="413">
        <v>43.87</v>
      </c>
      <c r="CF23" s="30"/>
      <c r="CG23" s="30">
        <v>168.27699999999999</v>
      </c>
      <c r="CH23" s="31"/>
      <c r="CI23" s="32"/>
      <c r="CJ23" s="33"/>
      <c r="CK23" s="33">
        <v>1.32</v>
      </c>
      <c r="CL23" s="35"/>
      <c r="CM23" s="36"/>
      <c r="CN23" s="286"/>
      <c r="CO23" s="249">
        <f t="shared" ref="CO23:CU37" si="30">BK23*((100-BR23)/100)</f>
        <v>60.674169599999999</v>
      </c>
      <c r="CP23" s="12">
        <f t="shared" si="30"/>
        <v>145.6781312</v>
      </c>
      <c r="CQ23" s="12">
        <f t="shared" si="30"/>
        <v>0</v>
      </c>
      <c r="CR23" s="12">
        <f t="shared" si="30"/>
        <v>0</v>
      </c>
      <c r="CS23" s="11">
        <f t="shared" si="30"/>
        <v>0</v>
      </c>
      <c r="CT23" s="11">
        <f t="shared" si="30"/>
        <v>0</v>
      </c>
      <c r="CU23" s="272">
        <f t="shared" si="30"/>
        <v>55.018999999999998</v>
      </c>
      <c r="CV23" s="249">
        <f t="shared" si="13"/>
        <v>0</v>
      </c>
      <c r="CW23" s="11">
        <f t="shared" si="13"/>
        <v>166.0557436</v>
      </c>
      <c r="CX23" s="249">
        <f t="shared" si="13"/>
        <v>0</v>
      </c>
      <c r="CY23" s="272">
        <f t="shared" si="13"/>
        <v>0</v>
      </c>
      <c r="CZ23" s="13"/>
      <c r="DA23" s="240">
        <f>(D23+'[2]январь 20'!D23)/(AY23+'[2]январь 20'!AX23)</f>
        <v>2.2926655022550224</v>
      </c>
      <c r="DB23" s="241">
        <f>(T23+'[2]январь 20'!R23)/(AY23+'[2]январь 20'!AX23)</f>
        <v>1.4435757263905971</v>
      </c>
      <c r="DD23" s="292">
        <f t="shared" si="14"/>
        <v>10.824999999999999</v>
      </c>
      <c r="DE23" s="291">
        <v>0.38</v>
      </c>
      <c r="DF23" s="291">
        <v>14.69</v>
      </c>
      <c r="DG23" s="145">
        <f t="shared" si="15"/>
        <v>10.783865</v>
      </c>
      <c r="DH23" s="293">
        <f t="shared" si="28"/>
        <v>2.0830371709401714</v>
      </c>
      <c r="DJ23" s="322"/>
    </row>
    <row r="24" spans="1:114" s="76" customFormat="1" ht="16.5" customHeight="1" thickBot="1">
      <c r="A24" s="144">
        <v>18</v>
      </c>
      <c r="B24" s="122">
        <f>'[1]январь 20'!K23</f>
        <v>272.01499999999999</v>
      </c>
      <c r="C24" s="123">
        <f t="shared" si="16"/>
        <v>3.7105555943606054</v>
      </c>
      <c r="D24" s="145">
        <f t="shared" si="17"/>
        <v>261.92173220000001</v>
      </c>
      <c r="E24" s="125">
        <f t="shared" si="18"/>
        <v>39.532914030476263</v>
      </c>
      <c r="F24" s="146">
        <f t="shared" si="19"/>
        <v>1.9969634964928333</v>
      </c>
      <c r="G24" s="127"/>
      <c r="H24" s="126">
        <f t="shared" si="20"/>
        <v>1.5813718526989935</v>
      </c>
      <c r="I24" s="230">
        <f>'[1]июль 20'!AI23</f>
        <v>0</v>
      </c>
      <c r="J24" s="247">
        <f>'[1]январь 20'!AA23</f>
        <v>10.724</v>
      </c>
      <c r="K24" s="276">
        <f>'[1]сентябрь 20'!AM23</f>
        <v>0</v>
      </c>
      <c r="L24" s="122">
        <f>'[1]январь 20'!AE23</f>
        <v>54.509</v>
      </c>
      <c r="M24" s="128">
        <f t="shared" si="21"/>
        <v>0.41559164379383962</v>
      </c>
      <c r="N24" s="400">
        <f>'[1]январь 20'!W23</f>
        <v>0</v>
      </c>
      <c r="O24" s="403">
        <f>'[1]январь 20'!AU23</f>
        <v>0</v>
      </c>
      <c r="P24" s="401">
        <f t="shared" si="0"/>
        <v>165.958</v>
      </c>
      <c r="Q24" s="122">
        <f>'[1]январь 20'!S23</f>
        <v>165.958</v>
      </c>
      <c r="R24" s="123">
        <f t="shared" si="22"/>
        <v>1.51</v>
      </c>
      <c r="S24" s="129">
        <v>7.13</v>
      </c>
      <c r="T24" s="125">
        <f t="shared" si="1"/>
        <v>163.45203419999999</v>
      </c>
      <c r="U24" s="147">
        <f t="shared" si="2"/>
        <v>1.2462033714547118</v>
      </c>
      <c r="V24" s="130">
        <v>131.16</v>
      </c>
      <c r="W24" s="130">
        <v>66.55</v>
      </c>
      <c r="X24" s="129">
        <v>1.23</v>
      </c>
      <c r="Y24" s="150">
        <v>594</v>
      </c>
      <c r="Z24" s="150">
        <v>1184</v>
      </c>
      <c r="AA24" s="148" t="s">
        <v>141</v>
      </c>
      <c r="AB24" s="149">
        <v>76.34</v>
      </c>
      <c r="AC24" s="150">
        <v>109</v>
      </c>
      <c r="AD24" s="151">
        <v>4</v>
      </c>
      <c r="AE24" s="149">
        <v>21.5</v>
      </c>
      <c r="AF24" s="134">
        <f t="shared" si="3"/>
        <v>163.92192741689541</v>
      </c>
      <c r="AG24" s="152"/>
      <c r="AH24" s="129">
        <v>71.5</v>
      </c>
      <c r="AI24" s="134">
        <f t="shared" si="4"/>
        <v>545.13571210734983</v>
      </c>
      <c r="AJ24" s="153">
        <v>12.26</v>
      </c>
      <c r="AK24" s="154"/>
      <c r="AL24" s="155">
        <v>6.09</v>
      </c>
      <c r="AM24" s="156">
        <v>36.909999999999997</v>
      </c>
      <c r="AN24" s="126">
        <f t="shared" si="23"/>
        <v>0.21378511439328118</v>
      </c>
      <c r="AO24" s="157" t="s">
        <v>142</v>
      </c>
      <c r="AP24" s="156">
        <v>17.3</v>
      </c>
      <c r="AQ24" s="156">
        <v>6.6</v>
      </c>
      <c r="AR24" s="151"/>
      <c r="AS24" s="149">
        <v>7.3</v>
      </c>
      <c r="AT24" s="149">
        <v>172.65</v>
      </c>
      <c r="AU24" s="149">
        <v>1.51</v>
      </c>
      <c r="AV24" s="164"/>
      <c r="AW24" s="149"/>
      <c r="AX24" s="158">
        <f t="shared" si="5"/>
        <v>0</v>
      </c>
      <c r="AY24" s="125">
        <f t="shared" si="6"/>
        <v>131.16</v>
      </c>
      <c r="AZ24" s="125">
        <f t="shared" si="29"/>
        <v>120.59873398001663</v>
      </c>
      <c r="BA24" s="159">
        <f t="shared" si="7"/>
        <v>4.0432746478873227</v>
      </c>
      <c r="BB24" s="160">
        <f t="shared" si="8"/>
        <v>5.2464000000000004</v>
      </c>
      <c r="BC24" s="161">
        <f t="shared" si="9"/>
        <v>0.96699271293217948</v>
      </c>
      <c r="BD24" s="160">
        <f t="shared" si="24"/>
        <v>9.289674647887324</v>
      </c>
      <c r="BE24" s="162">
        <v>0.90400000000000003</v>
      </c>
      <c r="BF24" s="25">
        <f t="shared" si="25"/>
        <v>2303.7899999999995</v>
      </c>
      <c r="BG24" s="25">
        <f t="shared" si="10"/>
        <v>116.12903225806451</v>
      </c>
      <c r="BH24" s="25">
        <f t="shared" si="26"/>
        <v>2090.3225806451601</v>
      </c>
      <c r="BI24" s="26">
        <f t="shared" si="11"/>
        <v>1</v>
      </c>
      <c r="BJ24" s="37">
        <f t="shared" si="27"/>
        <v>2090.3225806451601</v>
      </c>
      <c r="BK24" s="38">
        <v>76.462999999999994</v>
      </c>
      <c r="BL24" s="31">
        <v>141.04300000000001</v>
      </c>
      <c r="BM24" s="31"/>
      <c r="BN24" s="234"/>
      <c r="BO24" s="42"/>
      <c r="BP24" s="40"/>
      <c r="BQ24" s="411">
        <v>54.509</v>
      </c>
      <c r="BR24" s="33">
        <v>10.71</v>
      </c>
      <c r="BS24" s="34">
        <v>1.35</v>
      </c>
      <c r="BT24" s="35"/>
      <c r="BU24" s="35"/>
      <c r="BV24" s="235"/>
      <c r="BW24" s="235"/>
      <c r="BX24" s="36"/>
      <c r="BY24" s="33">
        <v>40.92</v>
      </c>
      <c r="BZ24" s="34">
        <v>37.07</v>
      </c>
      <c r="CA24" s="35"/>
      <c r="CB24" s="405"/>
      <c r="CC24" s="404"/>
      <c r="CD24" s="235"/>
      <c r="CE24" s="413">
        <v>43.96</v>
      </c>
      <c r="CF24" s="30"/>
      <c r="CG24" s="30">
        <v>165.958</v>
      </c>
      <c r="CH24" s="31"/>
      <c r="CI24" s="32"/>
      <c r="CJ24" s="33"/>
      <c r="CK24" s="33">
        <v>1.51</v>
      </c>
      <c r="CL24" s="35"/>
      <c r="CM24" s="36"/>
      <c r="CN24" s="286"/>
      <c r="CO24" s="249">
        <f t="shared" si="30"/>
        <v>68.273812699999993</v>
      </c>
      <c r="CP24" s="12">
        <f t="shared" si="30"/>
        <v>139.13891950000001</v>
      </c>
      <c r="CQ24" s="12">
        <f t="shared" si="30"/>
        <v>0</v>
      </c>
      <c r="CR24" s="12">
        <f t="shared" si="30"/>
        <v>0</v>
      </c>
      <c r="CS24" s="11">
        <f t="shared" si="30"/>
        <v>0</v>
      </c>
      <c r="CT24" s="11">
        <f t="shared" si="30"/>
        <v>0</v>
      </c>
      <c r="CU24" s="272">
        <f t="shared" si="30"/>
        <v>54.509</v>
      </c>
      <c r="CV24" s="249">
        <f t="shared" si="13"/>
        <v>0</v>
      </c>
      <c r="CW24" s="12">
        <f t="shared" si="13"/>
        <v>163.45203419999999</v>
      </c>
      <c r="CX24" s="249">
        <f t="shared" si="13"/>
        <v>0</v>
      </c>
      <c r="CY24" s="272">
        <f t="shared" si="13"/>
        <v>0</v>
      </c>
      <c r="CZ24" s="13"/>
      <c r="DA24" s="240">
        <f>(D24+'[2]январь 20'!D24)/(AY24+'[2]январь 20'!AX24)</f>
        <v>1.9039400467760694</v>
      </c>
      <c r="DB24" s="241">
        <f>(T24+'[2]январь 20'!R24)/(AY24+'[2]январь 20'!AX24)</f>
        <v>1.1793307512598525</v>
      </c>
      <c r="DD24" s="292">
        <f t="shared" si="14"/>
        <v>10.724</v>
      </c>
      <c r="DE24" s="291">
        <v>0.11</v>
      </c>
      <c r="DF24" s="291">
        <v>15.59</v>
      </c>
      <c r="DG24" s="145">
        <f t="shared" si="15"/>
        <v>10.7122036</v>
      </c>
      <c r="DH24" s="293">
        <f t="shared" si="28"/>
        <v>2.1876244973015457</v>
      </c>
      <c r="DJ24" s="322"/>
    </row>
    <row r="25" spans="1:114" s="76" customFormat="1" ht="16.5" customHeight="1" thickBot="1">
      <c r="A25" s="144">
        <v>19</v>
      </c>
      <c r="B25" s="122">
        <f>'[1]январь 20'!K24</f>
        <v>307.67</v>
      </c>
      <c r="C25" s="123">
        <f t="shared" si="16"/>
        <v>5.015967432638865</v>
      </c>
      <c r="D25" s="145">
        <f t="shared" si="17"/>
        <v>292.23737300000005</v>
      </c>
      <c r="E25" s="125">
        <f t="shared" si="18"/>
        <v>39.83892605713914</v>
      </c>
      <c r="F25" s="146">
        <f t="shared" si="19"/>
        <v>2.2517905147172139</v>
      </c>
      <c r="G25" s="127"/>
      <c r="H25" s="126">
        <f t="shared" si="20"/>
        <v>1.7777113037447987</v>
      </c>
      <c r="I25" s="230">
        <f>'[1]июль 20'!AI24</f>
        <v>0</v>
      </c>
      <c r="J25" s="247">
        <f>'[1]январь 20'!AA24</f>
        <v>12.412000000000001</v>
      </c>
      <c r="K25" s="276">
        <f>'[1]сентябрь 20'!AM24</f>
        <v>0</v>
      </c>
      <c r="L25" s="122">
        <f>'[1]январь 20'!AE24</f>
        <v>61.526000000000003</v>
      </c>
      <c r="M25" s="128">
        <f t="shared" si="21"/>
        <v>0.4740792109724149</v>
      </c>
      <c r="N25" s="400">
        <f>'[1]январь 20'!W24</f>
        <v>0</v>
      </c>
      <c r="O25" s="403">
        <f>'[1]январь 20'!AU24</f>
        <v>0</v>
      </c>
      <c r="P25" s="401">
        <f t="shared" si="0"/>
        <v>185.98</v>
      </c>
      <c r="Q25" s="122">
        <f>'[1]январь 20'!S24</f>
        <v>185.98</v>
      </c>
      <c r="R25" s="123">
        <f>IF(Q25=0,0,(CI25*CM25+CG25*CK25+CH25*CL25+CF25*CJ25)/Q25)</f>
        <v>1.76</v>
      </c>
      <c r="S25" s="129">
        <v>43.5</v>
      </c>
      <c r="T25" s="125">
        <f t="shared" si="1"/>
        <v>182.70675199999997</v>
      </c>
      <c r="U25" s="147">
        <f t="shared" si="2"/>
        <v>1.4078190167976572</v>
      </c>
      <c r="V25" s="130">
        <v>129.78</v>
      </c>
      <c r="W25" s="130">
        <v>32.72</v>
      </c>
      <c r="X25" s="129">
        <v>0.98</v>
      </c>
      <c r="Y25" s="150">
        <v>511</v>
      </c>
      <c r="Z25" s="150">
        <v>1179</v>
      </c>
      <c r="AA25" s="148" t="s">
        <v>112</v>
      </c>
      <c r="AB25" s="149">
        <v>76.75</v>
      </c>
      <c r="AC25" s="150">
        <v>123</v>
      </c>
      <c r="AD25" s="151">
        <v>4</v>
      </c>
      <c r="AE25" s="149">
        <v>7.7</v>
      </c>
      <c r="AF25" s="134">
        <f t="shared" si="3"/>
        <v>59.331175836030205</v>
      </c>
      <c r="AG25" s="152"/>
      <c r="AH25" s="129">
        <v>68.849999999999994</v>
      </c>
      <c r="AI25" s="134">
        <f t="shared" si="4"/>
        <v>530.51317614424408</v>
      </c>
      <c r="AJ25" s="136">
        <v>15.3</v>
      </c>
      <c r="AK25" s="154"/>
      <c r="AL25" s="155">
        <v>6.46</v>
      </c>
      <c r="AM25" s="156">
        <v>36.72</v>
      </c>
      <c r="AN25" s="126">
        <f t="shared" si="23"/>
        <v>0.21411078717201165</v>
      </c>
      <c r="AO25" s="157" t="s">
        <v>143</v>
      </c>
      <c r="AP25" s="156">
        <v>15.4</v>
      </c>
      <c r="AQ25" s="156">
        <v>6.68</v>
      </c>
      <c r="AR25" s="152"/>
      <c r="AS25" s="149">
        <v>9.19</v>
      </c>
      <c r="AT25" s="149">
        <v>171.5</v>
      </c>
      <c r="AU25" s="149">
        <v>1.46</v>
      </c>
      <c r="AV25" s="164"/>
      <c r="AW25" s="149"/>
      <c r="AX25" s="158">
        <f t="shared" si="5"/>
        <v>0</v>
      </c>
      <c r="AY25" s="125">
        <f t="shared" si="6"/>
        <v>129.78</v>
      </c>
      <c r="AZ25" s="125">
        <f t="shared" si="29"/>
        <v>135.22498058824084</v>
      </c>
      <c r="BA25" s="159">
        <f t="shared" si="7"/>
        <v>4.9014411971830976</v>
      </c>
      <c r="BB25" s="160">
        <f t="shared" si="8"/>
        <v>5.1912000000000003</v>
      </c>
      <c r="BC25" s="161">
        <f t="shared" si="9"/>
        <v>0.85554483972199691</v>
      </c>
      <c r="BD25" s="160">
        <f t="shared" si="24"/>
        <v>10.092641197183099</v>
      </c>
      <c r="BE25" s="162">
        <v>0.90100000000000002</v>
      </c>
      <c r="BF25" s="25">
        <f t="shared" si="25"/>
        <v>2433.5699999999997</v>
      </c>
      <c r="BG25" s="25">
        <f t="shared" si="10"/>
        <v>116.12903225806451</v>
      </c>
      <c r="BH25" s="25">
        <f t="shared" si="26"/>
        <v>2206.4516129032245</v>
      </c>
      <c r="BI25" s="26">
        <f t="shared" si="11"/>
        <v>1</v>
      </c>
      <c r="BJ25" s="37">
        <f t="shared" si="27"/>
        <v>2206.4516129032245</v>
      </c>
      <c r="BK25" s="38">
        <v>89.414000000000001</v>
      </c>
      <c r="BL25" s="31">
        <v>156.72999999999999</v>
      </c>
      <c r="BM25" s="31"/>
      <c r="BN25" s="234"/>
      <c r="BO25" s="42"/>
      <c r="BP25" s="40"/>
      <c r="BQ25" s="411">
        <v>61.526000000000003</v>
      </c>
      <c r="BR25" s="33">
        <v>14.35</v>
      </c>
      <c r="BS25" s="34">
        <v>1.66</v>
      </c>
      <c r="BT25" s="35"/>
      <c r="BU25" s="35"/>
      <c r="BV25" s="235"/>
      <c r="BW25" s="235"/>
      <c r="BX25" s="36"/>
      <c r="BY25" s="33">
        <v>42.35</v>
      </c>
      <c r="BZ25" s="34">
        <v>36.82</v>
      </c>
      <c r="CA25" s="35"/>
      <c r="CB25" s="405"/>
      <c r="CC25" s="404"/>
      <c r="CD25" s="235"/>
      <c r="CE25" s="413">
        <v>43.88</v>
      </c>
      <c r="CF25" s="30">
        <v>122.34699999999999</v>
      </c>
      <c r="CG25" s="30">
        <v>63.633000000000003</v>
      </c>
      <c r="CH25" s="31"/>
      <c r="CI25" s="32"/>
      <c r="CJ25" s="33">
        <v>1.76</v>
      </c>
      <c r="CK25" s="33">
        <v>1.76</v>
      </c>
      <c r="CL25" s="35"/>
      <c r="CM25" s="36"/>
      <c r="CN25" s="286"/>
      <c r="CO25" s="249">
        <f t="shared" si="30"/>
        <v>76.58309100000001</v>
      </c>
      <c r="CP25" s="12">
        <f t="shared" si="30"/>
        <v>154.12828199999998</v>
      </c>
      <c r="CQ25" s="12">
        <f t="shared" si="30"/>
        <v>0</v>
      </c>
      <c r="CR25" s="12">
        <f t="shared" si="30"/>
        <v>0</v>
      </c>
      <c r="CS25" s="11">
        <f t="shared" si="30"/>
        <v>0</v>
      </c>
      <c r="CT25" s="11">
        <f t="shared" si="30"/>
        <v>0</v>
      </c>
      <c r="CU25" s="272">
        <f t="shared" si="30"/>
        <v>61.526000000000003</v>
      </c>
      <c r="CV25" s="249">
        <f t="shared" si="13"/>
        <v>120.19369279999999</v>
      </c>
      <c r="CW25" s="251">
        <f t="shared" si="13"/>
        <v>62.513059200000001</v>
      </c>
      <c r="CX25" s="249">
        <f t="shared" si="13"/>
        <v>0</v>
      </c>
      <c r="CY25" s="272">
        <f t="shared" si="13"/>
        <v>0</v>
      </c>
      <c r="CZ25" s="13"/>
      <c r="DA25" s="240">
        <f>(D25+'[2]январь 20'!D25)/(AY25+'[2]январь 20'!AX25)</f>
        <v>2.099222575007198</v>
      </c>
      <c r="DB25" s="241">
        <f>(T25+'[2]январь 20'!R25)/(AY25+'[2]январь 20'!AX25)</f>
        <v>1.3224208234955368</v>
      </c>
      <c r="DD25" s="292">
        <f t="shared" si="14"/>
        <v>12.412000000000001</v>
      </c>
      <c r="DE25" s="291">
        <v>0.71</v>
      </c>
      <c r="DF25" s="291">
        <v>17.420000000000002</v>
      </c>
      <c r="DG25" s="145">
        <f t="shared" si="15"/>
        <v>12.323874800000002</v>
      </c>
      <c r="DH25" s="293">
        <f t="shared" si="28"/>
        <v>2.7971582933680792</v>
      </c>
      <c r="DJ25" s="322"/>
    </row>
    <row r="26" spans="1:114" s="76" customFormat="1" ht="16.5" customHeight="1" thickBot="1">
      <c r="A26" s="144">
        <v>20</v>
      </c>
      <c r="B26" s="122">
        <f>'[1]январь 20'!K25</f>
        <v>205.25299999999999</v>
      </c>
      <c r="C26" s="123">
        <f t="shared" si="16"/>
        <v>4.2733297442668317</v>
      </c>
      <c r="D26" s="145">
        <f t="shared" si="17"/>
        <v>196.48186249999998</v>
      </c>
      <c r="E26" s="125">
        <f t="shared" si="18"/>
        <v>40.568965812923565</v>
      </c>
      <c r="F26" s="146">
        <f t="shared" si="19"/>
        <v>2.0367146522234889</v>
      </c>
      <c r="G26" s="127"/>
      <c r="H26" s="126">
        <f t="shared" si="20"/>
        <v>1.6117120607442725</v>
      </c>
      <c r="I26" s="230">
        <f>'[1]июль 20'!AI25</f>
        <v>0</v>
      </c>
      <c r="J26" s="247">
        <f>'[1]январь 20'!AA25</f>
        <v>8.0289999999999999</v>
      </c>
      <c r="K26" s="276">
        <f>'[1]сентябрь 20'!AM25</f>
        <v>0</v>
      </c>
      <c r="L26" s="122">
        <f>'[1]январь 20'!AE25</f>
        <v>41</v>
      </c>
      <c r="M26" s="128">
        <f t="shared" si="21"/>
        <v>0.42500259147921632</v>
      </c>
      <c r="N26" s="400">
        <f>'[1]январь 20'!W25</f>
        <v>0</v>
      </c>
      <c r="O26" s="403">
        <f>'[1]январь 20'!AU25</f>
        <v>0</v>
      </c>
      <c r="P26" s="401">
        <f t="shared" si="0"/>
        <v>125.027</v>
      </c>
      <c r="Q26" s="122">
        <f>'[1]январь 20'!S25</f>
        <v>125.057</v>
      </c>
      <c r="R26" s="123">
        <f t="shared" si="22"/>
        <v>1.6196113772119913</v>
      </c>
      <c r="S26" s="129">
        <v>24.29</v>
      </c>
      <c r="T26" s="125">
        <f t="shared" si="1"/>
        <v>123.0315626</v>
      </c>
      <c r="U26" s="147">
        <f t="shared" si="2"/>
        <v>1.2753349497253033</v>
      </c>
      <c r="V26" s="169">
        <v>96.47</v>
      </c>
      <c r="W26" s="169">
        <v>39.6</v>
      </c>
      <c r="X26" s="170">
        <v>1.01</v>
      </c>
      <c r="Y26" s="166">
        <v>563</v>
      </c>
      <c r="Z26" s="166">
        <v>1157</v>
      </c>
      <c r="AA26" s="148" t="s">
        <v>138</v>
      </c>
      <c r="AB26" s="164">
        <v>76.38</v>
      </c>
      <c r="AC26" s="166">
        <v>83</v>
      </c>
      <c r="AD26" s="171">
        <v>4</v>
      </c>
      <c r="AE26" s="164">
        <v>13.2</v>
      </c>
      <c r="AF26" s="172">
        <f t="shared" si="3"/>
        <v>136.83010262257696</v>
      </c>
      <c r="AG26" s="173"/>
      <c r="AH26" s="170">
        <v>58.3</v>
      </c>
      <c r="AI26" s="134">
        <f t="shared" si="4"/>
        <v>604.33295324971493</v>
      </c>
      <c r="AJ26" s="174">
        <v>16.63</v>
      </c>
      <c r="AK26" s="175"/>
      <c r="AL26" s="176">
        <v>6.71</v>
      </c>
      <c r="AM26" s="177">
        <v>37.6</v>
      </c>
      <c r="AN26" s="126">
        <f t="shared" si="23"/>
        <v>0.2693409742120344</v>
      </c>
      <c r="AO26" s="178" t="s">
        <v>144</v>
      </c>
      <c r="AP26" s="177">
        <v>17.079999999999998</v>
      </c>
      <c r="AQ26" s="177">
        <v>6.69</v>
      </c>
      <c r="AR26" s="171"/>
      <c r="AS26" s="164">
        <v>7.79</v>
      </c>
      <c r="AT26" s="149">
        <v>139.6</v>
      </c>
      <c r="AU26" s="164">
        <v>1.18</v>
      </c>
      <c r="AV26" s="164"/>
      <c r="AW26" s="164"/>
      <c r="AX26" s="179">
        <f t="shared" si="5"/>
        <v>0</v>
      </c>
      <c r="AY26" s="125">
        <f t="shared" si="6"/>
        <v>96.47</v>
      </c>
      <c r="AZ26" s="125">
        <f t="shared" si="29"/>
        <v>92.345511210906622</v>
      </c>
      <c r="BA26" s="159">
        <f t="shared" si="7"/>
        <v>3.5181176056338028</v>
      </c>
      <c r="BB26" s="159">
        <f t="shared" si="8"/>
        <v>3.8588</v>
      </c>
      <c r="BC26" s="180">
        <f t="shared" si="9"/>
        <v>0.92439061909057429</v>
      </c>
      <c r="BD26" s="159">
        <f t="shared" si="24"/>
        <v>7.3769176056338033</v>
      </c>
      <c r="BE26" s="167">
        <v>0.90200000000000002</v>
      </c>
      <c r="BF26" s="25">
        <f t="shared" si="25"/>
        <v>2530.0399999999995</v>
      </c>
      <c r="BG26" s="25">
        <f t="shared" si="10"/>
        <v>116.12903225806451</v>
      </c>
      <c r="BH26" s="25">
        <f t="shared" si="26"/>
        <v>2322.5806451612889</v>
      </c>
      <c r="BI26" s="26">
        <f t="shared" si="11"/>
        <v>1</v>
      </c>
      <c r="BJ26" s="37">
        <f t="shared" si="27"/>
        <v>2322.5806451612889</v>
      </c>
      <c r="BK26" s="38">
        <v>61.991999999999997</v>
      </c>
      <c r="BL26" s="43">
        <v>102.261</v>
      </c>
      <c r="BM26" s="31"/>
      <c r="BN26" s="406"/>
      <c r="BO26" s="42"/>
      <c r="BP26" s="40"/>
      <c r="BQ26" s="412">
        <v>41</v>
      </c>
      <c r="BR26" s="33">
        <v>11.46</v>
      </c>
      <c r="BS26" s="34">
        <v>1.63</v>
      </c>
      <c r="BT26" s="35"/>
      <c r="BU26" s="35"/>
      <c r="BV26" s="235"/>
      <c r="BW26" s="235"/>
      <c r="BX26" s="36"/>
      <c r="BY26" s="33">
        <v>43.25</v>
      </c>
      <c r="BZ26" s="34">
        <v>37.54</v>
      </c>
      <c r="CA26" s="35"/>
      <c r="CB26" s="405"/>
      <c r="CC26" s="404"/>
      <c r="CD26" s="235"/>
      <c r="CE26" s="413">
        <v>44.07</v>
      </c>
      <c r="CF26" s="30">
        <v>125.027</v>
      </c>
      <c r="CG26" s="30"/>
      <c r="CH26" s="43"/>
      <c r="CI26" s="32"/>
      <c r="CJ26" s="33">
        <v>1.62</v>
      </c>
      <c r="CK26" s="33"/>
      <c r="CL26" s="35"/>
      <c r="CM26" s="36"/>
      <c r="CN26" s="286"/>
      <c r="CO26" s="249">
        <f t="shared" si="30"/>
        <v>54.887716799999993</v>
      </c>
      <c r="CP26" s="12">
        <f t="shared" si="30"/>
        <v>100.5941457</v>
      </c>
      <c r="CQ26" s="12">
        <f t="shared" si="30"/>
        <v>0</v>
      </c>
      <c r="CR26" s="12">
        <f t="shared" si="30"/>
        <v>0</v>
      </c>
      <c r="CS26" s="11">
        <f t="shared" si="30"/>
        <v>0</v>
      </c>
      <c r="CT26" s="11">
        <f t="shared" si="30"/>
        <v>0</v>
      </c>
      <c r="CU26" s="272">
        <f t="shared" si="30"/>
        <v>41</v>
      </c>
      <c r="CV26" s="249">
        <f t="shared" si="13"/>
        <v>123.0015626</v>
      </c>
      <c r="CW26" s="12">
        <f t="shared" si="13"/>
        <v>0</v>
      </c>
      <c r="CX26" s="249">
        <f t="shared" si="13"/>
        <v>0</v>
      </c>
      <c r="CY26" s="274">
        <f t="shared" si="13"/>
        <v>0</v>
      </c>
      <c r="CZ26" s="13"/>
      <c r="DA26" s="240">
        <f>(D26+'[2]январь 20'!D26)/(AY26+'[2]январь 20'!AX26)</f>
        <v>2.1446987354943272</v>
      </c>
      <c r="DB26" s="241">
        <f>(T26+'[2]январь 20'!R26)/(AY26+'[2]январь 20'!AX26)</f>
        <v>1.338189830145867</v>
      </c>
      <c r="DD26" s="292">
        <f t="shared" si="14"/>
        <v>8.0289999999999999</v>
      </c>
      <c r="DE26" s="291">
        <v>0.14000000000000001</v>
      </c>
      <c r="DF26" s="291">
        <v>11.8</v>
      </c>
      <c r="DG26" s="145">
        <f t="shared" si="15"/>
        <v>8.017759400000001</v>
      </c>
      <c r="DH26" s="293">
        <f t="shared" si="28"/>
        <v>1.2386692971982198</v>
      </c>
      <c r="DJ26" s="322"/>
    </row>
    <row r="27" spans="1:114" s="76" customFormat="1" ht="16.5" customHeight="1" thickBot="1">
      <c r="A27" s="144">
        <v>21</v>
      </c>
      <c r="B27" s="122">
        <f>'[1]январь 20'!K26</f>
        <v>262.44799999999998</v>
      </c>
      <c r="C27" s="123">
        <f t="shared" si="16"/>
        <v>2.7285138770346893</v>
      </c>
      <c r="D27" s="145">
        <f t="shared" si="17"/>
        <v>255.28706989999998</v>
      </c>
      <c r="E27" s="125">
        <f t="shared" si="18"/>
        <v>39.292246502164247</v>
      </c>
      <c r="F27" s="146">
        <f t="shared" si="19"/>
        <v>2.0137814143724855</v>
      </c>
      <c r="G27" s="127"/>
      <c r="H27" s="126">
        <f t="shared" si="20"/>
        <v>1.5580900047329809</v>
      </c>
      <c r="I27" s="230">
        <f>'[1]июль 20'!AI26</f>
        <v>0</v>
      </c>
      <c r="J27" s="247">
        <f>'[1]январь 20'!AA26</f>
        <v>10.573</v>
      </c>
      <c r="K27" s="276">
        <f>'[1]сентябрь 20'!AM26</f>
        <v>0</v>
      </c>
      <c r="L27" s="122">
        <f>'[1]январь 20'!AE26</f>
        <v>57.768000000000001</v>
      </c>
      <c r="M27" s="128">
        <f t="shared" si="21"/>
        <v>0.45569140963950461</v>
      </c>
      <c r="N27" s="400">
        <f>'[1]январь 20'!W26</f>
        <v>0</v>
      </c>
      <c r="O27" s="403">
        <f>'[1]январь 20'!AU26</f>
        <v>4.1609999999999996</v>
      </c>
      <c r="P27" s="401">
        <f t="shared" si="0"/>
        <v>157.70400000000001</v>
      </c>
      <c r="Q27" s="122">
        <f>'[1]январь 20'!S26</f>
        <v>157.70400000000001</v>
      </c>
      <c r="R27" s="123">
        <f t="shared" si="22"/>
        <v>1.48</v>
      </c>
      <c r="S27" s="129">
        <v>2.87</v>
      </c>
      <c r="T27" s="125">
        <f t="shared" si="1"/>
        <v>155.36998080000001</v>
      </c>
      <c r="U27" s="147">
        <f t="shared" si="2"/>
        <v>1.2256052756961426</v>
      </c>
      <c r="V27" s="130">
        <v>126.77</v>
      </c>
      <c r="W27" s="130">
        <v>34.97</v>
      </c>
      <c r="X27" s="129">
        <v>1.03</v>
      </c>
      <c r="Y27" s="150">
        <v>528</v>
      </c>
      <c r="Z27" s="150">
        <v>1185</v>
      </c>
      <c r="AA27" s="148" t="s">
        <v>145</v>
      </c>
      <c r="AB27" s="149">
        <v>76.39</v>
      </c>
      <c r="AC27" s="150">
        <v>105</v>
      </c>
      <c r="AD27" s="151">
        <v>4</v>
      </c>
      <c r="AE27" s="149">
        <v>10.55</v>
      </c>
      <c r="AF27" s="134">
        <f t="shared" si="3"/>
        <v>83.221582393310726</v>
      </c>
      <c r="AG27" s="152"/>
      <c r="AH27" s="129">
        <v>80.599999999999994</v>
      </c>
      <c r="AI27" s="134">
        <f t="shared" si="4"/>
        <v>635.79711288159649</v>
      </c>
      <c r="AJ27" s="136">
        <v>15.38</v>
      </c>
      <c r="AK27" s="154"/>
      <c r="AL27" s="155">
        <v>7.47</v>
      </c>
      <c r="AM27" s="156">
        <v>35.950000000000003</v>
      </c>
      <c r="AN27" s="126">
        <f t="shared" si="23"/>
        <v>0.21347980997624705</v>
      </c>
      <c r="AO27" s="157" t="s">
        <v>146</v>
      </c>
      <c r="AP27" s="156">
        <v>17.170000000000002</v>
      </c>
      <c r="AQ27" s="156">
        <v>6.61</v>
      </c>
      <c r="AR27" s="151"/>
      <c r="AS27" s="149">
        <v>7.93</v>
      </c>
      <c r="AT27" s="149">
        <v>168.4</v>
      </c>
      <c r="AU27" s="149">
        <v>1.79</v>
      </c>
      <c r="AV27" s="164"/>
      <c r="AW27" s="149"/>
      <c r="AX27" s="158">
        <f t="shared" si="5"/>
        <v>0</v>
      </c>
      <c r="AY27" s="125">
        <f t="shared" si="6"/>
        <v>126.77000000000001</v>
      </c>
      <c r="AZ27" s="125">
        <f t="shared" si="29"/>
        <v>116.53296425526413</v>
      </c>
      <c r="BA27" s="159">
        <f t="shared" si="7"/>
        <v>4.9512239436619714</v>
      </c>
      <c r="BB27" s="160">
        <f t="shared" si="8"/>
        <v>5.0708000000000002</v>
      </c>
      <c r="BC27" s="161">
        <f t="shared" si="9"/>
        <v>0.96542228998717783</v>
      </c>
      <c r="BD27" s="160">
        <f t="shared" si="24"/>
        <v>10.022023943661971</v>
      </c>
      <c r="BE27" s="162">
        <v>0.90500000000000003</v>
      </c>
      <c r="BF27" s="25">
        <f t="shared" si="25"/>
        <v>2656.8099999999995</v>
      </c>
      <c r="BG27" s="25">
        <f t="shared" si="10"/>
        <v>116.12903225806451</v>
      </c>
      <c r="BH27" s="25">
        <f t="shared" si="26"/>
        <v>2438.7096774193533</v>
      </c>
      <c r="BI27" s="26">
        <f t="shared" si="11"/>
        <v>1</v>
      </c>
      <c r="BJ27" s="37">
        <f t="shared" si="27"/>
        <v>2438.7096774193533</v>
      </c>
      <c r="BK27" s="38">
        <v>44.356999999999999</v>
      </c>
      <c r="BL27" s="31">
        <v>160.32300000000001</v>
      </c>
      <c r="BM27" s="31"/>
      <c r="BN27" s="234">
        <v>6.9909999999999997</v>
      </c>
      <c r="BO27" s="42"/>
      <c r="BP27" s="40"/>
      <c r="BQ27" s="411">
        <v>50.777000000000001</v>
      </c>
      <c r="BR27" s="33">
        <v>10.65</v>
      </c>
      <c r="BS27" s="34">
        <v>1.52</v>
      </c>
      <c r="BT27" s="35"/>
      <c r="BU27" s="35"/>
      <c r="BV27" s="235"/>
      <c r="BW27" s="235"/>
      <c r="BX27" s="36"/>
      <c r="BY27" s="33">
        <v>41.57</v>
      </c>
      <c r="BZ27" s="34">
        <v>36.770000000000003</v>
      </c>
      <c r="CA27" s="35"/>
      <c r="CB27" s="405">
        <v>46.31</v>
      </c>
      <c r="CC27" s="404"/>
      <c r="CD27" s="235"/>
      <c r="CE27" s="413">
        <v>44.3</v>
      </c>
      <c r="CF27" s="30">
        <v>157.70400000000001</v>
      </c>
      <c r="CG27" s="30"/>
      <c r="CH27" s="31"/>
      <c r="CI27" s="32"/>
      <c r="CJ27" s="33">
        <v>1.48</v>
      </c>
      <c r="CK27" s="33"/>
      <c r="CL27" s="35"/>
      <c r="CM27" s="36"/>
      <c r="CN27" s="286"/>
      <c r="CO27" s="249">
        <f t="shared" si="30"/>
        <v>39.632979499999998</v>
      </c>
      <c r="CP27" s="12">
        <f t="shared" si="30"/>
        <v>157.8860904</v>
      </c>
      <c r="CQ27" s="12">
        <f t="shared" si="30"/>
        <v>0</v>
      </c>
      <c r="CR27" s="12">
        <f t="shared" si="30"/>
        <v>6.9909999999999997</v>
      </c>
      <c r="CS27" s="11">
        <f t="shared" si="30"/>
        <v>0</v>
      </c>
      <c r="CT27" s="11">
        <f t="shared" si="30"/>
        <v>0</v>
      </c>
      <c r="CU27" s="272">
        <f t="shared" si="30"/>
        <v>50.777000000000001</v>
      </c>
      <c r="CV27" s="249">
        <f t="shared" si="13"/>
        <v>155.36998080000001</v>
      </c>
      <c r="CW27" s="11">
        <f t="shared" si="13"/>
        <v>0</v>
      </c>
      <c r="CX27" s="249">
        <f t="shared" si="13"/>
        <v>0</v>
      </c>
      <c r="CY27" s="272">
        <f t="shared" si="13"/>
        <v>0</v>
      </c>
      <c r="CZ27" s="13"/>
      <c r="DA27" s="240">
        <f>(D27+'[2]январь 20'!D27)/(AY27+'[2]январь 20'!AX27)</f>
        <v>1.8494895137617262</v>
      </c>
      <c r="DB27" s="241">
        <f>(T27+'[2]январь 20'!R27)/(AY27+'[2]январь 20'!AX27)</f>
        <v>1.1419837755303264</v>
      </c>
      <c r="DD27" s="292">
        <f t="shared" si="14"/>
        <v>10.573</v>
      </c>
      <c r="DE27" s="291">
        <v>0.28999999999999998</v>
      </c>
      <c r="DF27" s="291">
        <v>13.76</v>
      </c>
      <c r="DG27" s="145">
        <f t="shared" si="15"/>
        <v>10.542338300000001</v>
      </c>
      <c r="DH27" s="293">
        <f t="shared" si="28"/>
        <v>1.8989733604922112</v>
      </c>
      <c r="DJ27" s="322"/>
    </row>
    <row r="28" spans="1:114" s="76" customFormat="1" ht="16.5" customHeight="1" thickBot="1">
      <c r="A28" s="144">
        <v>22</v>
      </c>
      <c r="B28" s="122">
        <f>'[1]январь 20'!K27</f>
        <v>259.71499999999997</v>
      </c>
      <c r="C28" s="123">
        <f t="shared" si="16"/>
        <v>1.1410831488362243</v>
      </c>
      <c r="D28" s="145">
        <f t="shared" si="17"/>
        <v>256.75143589999993</v>
      </c>
      <c r="E28" s="125">
        <f t="shared" si="18"/>
        <v>39.358355505072872</v>
      </c>
      <c r="F28" s="146">
        <f t="shared" si="19"/>
        <v>2.0894485343424472</v>
      </c>
      <c r="G28" s="127"/>
      <c r="H28" s="126">
        <f t="shared" si="20"/>
        <v>1.5521926749674479</v>
      </c>
      <c r="I28" s="230">
        <f>'[1]июль 20'!AI27</f>
        <v>0</v>
      </c>
      <c r="J28" s="247">
        <f>'[1]январь 20'!AA27</f>
        <v>10.333</v>
      </c>
      <c r="K28" s="276">
        <f>'[1]сентябрь 20'!AM27</f>
        <v>0</v>
      </c>
      <c r="L28" s="122">
        <f>'[1]январь 20'!AE27</f>
        <v>66.018000000000001</v>
      </c>
      <c r="M28" s="128">
        <f t="shared" si="21"/>
        <v>0.53725585937499998</v>
      </c>
      <c r="N28" s="400">
        <f>'[1]январь 20'!W27</f>
        <v>0</v>
      </c>
      <c r="O28" s="403">
        <f>'[1]январь 20'!AU27</f>
        <v>8.2520000000000007</v>
      </c>
      <c r="P28" s="401">
        <f t="shared" si="0"/>
        <v>157.43100000000001</v>
      </c>
      <c r="Q28" s="122">
        <f>'[1]январь 20'!S27</f>
        <v>157.43100000000001</v>
      </c>
      <c r="R28" s="123">
        <f t="shared" si="22"/>
        <v>1.77</v>
      </c>
      <c r="S28" s="129">
        <v>20.86</v>
      </c>
      <c r="T28" s="125">
        <f t="shared" si="1"/>
        <v>154.64447130000002</v>
      </c>
      <c r="U28" s="147">
        <f t="shared" si="2"/>
        <v>1.2584999291992187</v>
      </c>
      <c r="V28" s="130">
        <v>122.88</v>
      </c>
      <c r="W28" s="130">
        <v>62.97</v>
      </c>
      <c r="X28" s="129">
        <v>0.88</v>
      </c>
      <c r="Y28" s="150">
        <v>550</v>
      </c>
      <c r="Z28" s="150">
        <v>1192</v>
      </c>
      <c r="AA28" s="148" t="s">
        <v>124</v>
      </c>
      <c r="AB28" s="149">
        <v>76.75</v>
      </c>
      <c r="AC28" s="150">
        <v>104</v>
      </c>
      <c r="AD28" s="151">
        <v>4</v>
      </c>
      <c r="AE28" s="149">
        <v>13.15</v>
      </c>
      <c r="AF28" s="134">
        <f t="shared" si="3"/>
        <v>107.01497395833333</v>
      </c>
      <c r="AG28" s="152"/>
      <c r="AH28" s="129">
        <v>80.45</v>
      </c>
      <c r="AI28" s="134">
        <f t="shared" si="4"/>
        <v>654.70377604166663</v>
      </c>
      <c r="AJ28" s="153">
        <v>12.36</v>
      </c>
      <c r="AK28" s="154"/>
      <c r="AL28" s="155">
        <v>5.43</v>
      </c>
      <c r="AM28" s="156">
        <v>37.51</v>
      </c>
      <c r="AN28" s="126">
        <f t="shared" si="23"/>
        <v>0.22899877899877896</v>
      </c>
      <c r="AO28" s="157" t="s">
        <v>147</v>
      </c>
      <c r="AP28" s="156">
        <v>10.4</v>
      </c>
      <c r="AQ28" s="156">
        <v>6.99</v>
      </c>
      <c r="AR28" s="151"/>
      <c r="AS28" s="149">
        <v>7.81</v>
      </c>
      <c r="AT28" s="149">
        <v>163.80000000000001</v>
      </c>
      <c r="AU28" s="149">
        <v>2.02</v>
      </c>
      <c r="AV28" s="164"/>
      <c r="AW28" s="149"/>
      <c r="AX28" s="158">
        <f t="shared" si="5"/>
        <v>0</v>
      </c>
      <c r="AY28" s="125">
        <f t="shared" si="6"/>
        <v>122.88000000000001</v>
      </c>
      <c r="AZ28" s="125">
        <f t="shared" si="29"/>
        <v>115.8115167088623</v>
      </c>
      <c r="BA28" s="159">
        <f t="shared" si="7"/>
        <v>4.8672249999999995</v>
      </c>
      <c r="BB28" s="160">
        <f t="shared" si="8"/>
        <v>4.9152000000000005</v>
      </c>
      <c r="BC28" s="161">
        <f t="shared" si="9"/>
        <v>0.93327527762120199</v>
      </c>
      <c r="BD28" s="160">
        <f t="shared" si="24"/>
        <v>9.7824249999999999</v>
      </c>
      <c r="BE28" s="162">
        <v>0.90600000000000003</v>
      </c>
      <c r="BF28" s="25">
        <f t="shared" si="25"/>
        <v>2779.6899999999996</v>
      </c>
      <c r="BG28" s="25">
        <f t="shared" si="10"/>
        <v>116.12903225806451</v>
      </c>
      <c r="BH28" s="25">
        <f t="shared" si="26"/>
        <v>2554.8387096774177</v>
      </c>
      <c r="BI28" s="26">
        <f t="shared" si="11"/>
        <v>1</v>
      </c>
      <c r="BJ28" s="37">
        <f t="shared" si="27"/>
        <v>2554.8387096774177</v>
      </c>
      <c r="BK28" s="38"/>
      <c r="BL28" s="31">
        <v>193.697</v>
      </c>
      <c r="BM28" s="31"/>
      <c r="BN28" s="234">
        <v>27.881</v>
      </c>
      <c r="BO28" s="42"/>
      <c r="BP28" s="40"/>
      <c r="BQ28" s="411">
        <v>38.137</v>
      </c>
      <c r="BR28" s="33"/>
      <c r="BS28" s="34">
        <v>1.53</v>
      </c>
      <c r="BT28" s="35"/>
      <c r="BU28" s="35"/>
      <c r="BV28" s="235"/>
      <c r="BW28" s="235"/>
      <c r="BX28" s="36"/>
      <c r="BY28" s="33"/>
      <c r="BZ28" s="34">
        <v>37.43</v>
      </c>
      <c r="CA28" s="35"/>
      <c r="CB28" s="405">
        <v>45.9</v>
      </c>
      <c r="CC28" s="404"/>
      <c r="CD28" s="235"/>
      <c r="CE28" s="36">
        <v>44.37</v>
      </c>
      <c r="CF28" s="30">
        <v>157.43100000000001</v>
      </c>
      <c r="CG28" s="30"/>
      <c r="CH28" s="31"/>
      <c r="CI28" s="32"/>
      <c r="CJ28" s="33">
        <v>1.77</v>
      </c>
      <c r="CK28" s="33"/>
      <c r="CL28" s="35"/>
      <c r="CM28" s="36"/>
      <c r="CN28" s="286"/>
      <c r="CO28" s="249">
        <f t="shared" si="30"/>
        <v>0</v>
      </c>
      <c r="CP28" s="12">
        <f t="shared" si="30"/>
        <v>190.73343590000002</v>
      </c>
      <c r="CQ28" s="12">
        <f t="shared" si="30"/>
        <v>0</v>
      </c>
      <c r="CR28" s="12">
        <f t="shared" si="30"/>
        <v>27.881</v>
      </c>
      <c r="CS28" s="11">
        <f t="shared" si="30"/>
        <v>0</v>
      </c>
      <c r="CT28" s="11">
        <f t="shared" si="30"/>
        <v>0</v>
      </c>
      <c r="CU28" s="272">
        <f t="shared" si="30"/>
        <v>38.137</v>
      </c>
      <c r="CV28" s="249">
        <f t="shared" si="13"/>
        <v>154.64447130000002</v>
      </c>
      <c r="CW28" s="12">
        <f t="shared" si="13"/>
        <v>0</v>
      </c>
      <c r="CX28" s="249">
        <f t="shared" si="13"/>
        <v>0</v>
      </c>
      <c r="CY28" s="272">
        <f t="shared" si="13"/>
        <v>0</v>
      </c>
      <c r="CZ28" s="13"/>
      <c r="DA28" s="240">
        <f>(D28+'[2]январь 20'!D28)/(AY28+'[2]январь 20'!AX28)</f>
        <v>2.038760040100108</v>
      </c>
      <c r="DB28" s="241">
        <f>(T28+'[2]январь 20'!R28)/(AY28+'[2]январь 20'!AX28)</f>
        <v>1.2439977000739435</v>
      </c>
      <c r="DD28" s="292">
        <f t="shared" si="14"/>
        <v>10.333</v>
      </c>
      <c r="DE28" s="305">
        <v>0.08</v>
      </c>
      <c r="DF28" s="291">
        <v>6.45</v>
      </c>
      <c r="DG28" s="145">
        <f t="shared" si="15"/>
        <v>10.3247336</v>
      </c>
      <c r="DH28" s="293">
        <f t="shared" si="28"/>
        <v>0.8676811950488601</v>
      </c>
      <c r="DJ28" s="322"/>
    </row>
    <row r="29" spans="1:114" s="76" customFormat="1" ht="16.5" customHeight="1" thickBot="1">
      <c r="A29" s="144">
        <v>23</v>
      </c>
      <c r="B29" s="122">
        <f>'[1]январь 20'!K28</f>
        <v>273.18299999999999</v>
      </c>
      <c r="C29" s="123">
        <f t="shared" si="16"/>
        <v>1.2464437757839983</v>
      </c>
      <c r="D29" s="145">
        <f t="shared" si="17"/>
        <v>269.77792749999998</v>
      </c>
      <c r="E29" s="125">
        <f t="shared" si="18"/>
        <v>39.397337023167616</v>
      </c>
      <c r="F29" s="146">
        <f t="shared" si="19"/>
        <v>2.3310976194590856</v>
      </c>
      <c r="G29" s="127"/>
      <c r="H29" s="126">
        <f t="shared" si="20"/>
        <v>1.671303270543506</v>
      </c>
      <c r="I29" s="230">
        <f>'[1]июль 20'!AI28</f>
        <v>0</v>
      </c>
      <c r="J29" s="247">
        <f>'[1]январь 20'!AA28</f>
        <v>10.500999999999999</v>
      </c>
      <c r="K29" s="276">
        <f>'[1]сентябрь 20'!AM28</f>
        <v>0</v>
      </c>
      <c r="L29" s="122">
        <f>'[1]январь 20'!AE28</f>
        <v>76.358000000000004</v>
      </c>
      <c r="M29" s="128">
        <f t="shared" si="21"/>
        <v>0.65979434891557942</v>
      </c>
      <c r="N29" s="400">
        <f>'[1]январь 20'!W28</f>
        <v>0</v>
      </c>
      <c r="O29" s="403">
        <f>'[1]январь 20'!AU28</f>
        <v>9.4260000000000002</v>
      </c>
      <c r="P29" s="401">
        <f t="shared" si="0"/>
        <v>166.38</v>
      </c>
      <c r="Q29" s="122">
        <f>'[1]январь 20'!S28</f>
        <v>166.38</v>
      </c>
      <c r="R29" s="123">
        <f t="shared" si="22"/>
        <v>1.87</v>
      </c>
      <c r="S29" s="129">
        <v>27.95</v>
      </c>
      <c r="T29" s="125">
        <f t="shared" si="1"/>
        <v>163.26869399999998</v>
      </c>
      <c r="U29" s="147">
        <f t="shared" si="2"/>
        <v>1.4107724358420459</v>
      </c>
      <c r="V29" s="130">
        <v>115.73</v>
      </c>
      <c r="W29" s="130">
        <v>91.93</v>
      </c>
      <c r="X29" s="129">
        <v>0.69</v>
      </c>
      <c r="Y29" s="150">
        <v>493</v>
      </c>
      <c r="Z29" s="150">
        <v>1202</v>
      </c>
      <c r="AA29" s="148" t="s">
        <v>110</v>
      </c>
      <c r="AB29" s="149">
        <v>76.66</v>
      </c>
      <c r="AC29" s="150">
        <v>109</v>
      </c>
      <c r="AD29" s="151">
        <v>4</v>
      </c>
      <c r="AE29" s="149">
        <v>11.9</v>
      </c>
      <c r="AF29" s="134">
        <f t="shared" si="3"/>
        <v>102.82554221031711</v>
      </c>
      <c r="AG29" s="152"/>
      <c r="AH29" s="129">
        <v>82.8</v>
      </c>
      <c r="AI29" s="134">
        <f t="shared" si="4"/>
        <v>715.45839453901317</v>
      </c>
      <c r="AJ29" s="136">
        <v>13.62</v>
      </c>
      <c r="AK29" s="154"/>
      <c r="AL29" s="155">
        <v>6.65</v>
      </c>
      <c r="AM29" s="156">
        <v>36.76</v>
      </c>
      <c r="AN29" s="126">
        <f t="shared" si="23"/>
        <v>0.23243755927916532</v>
      </c>
      <c r="AO29" s="157" t="s">
        <v>148</v>
      </c>
      <c r="AP29" s="156">
        <v>10.62</v>
      </c>
      <c r="AQ29" s="156">
        <v>6.92</v>
      </c>
      <c r="AR29" s="149"/>
      <c r="AS29" s="149">
        <v>6.73</v>
      </c>
      <c r="AT29" s="149">
        <v>158.15</v>
      </c>
      <c r="AU29" s="149">
        <v>0.99</v>
      </c>
      <c r="AV29" s="164"/>
      <c r="AW29" s="149"/>
      <c r="AX29" s="158">
        <f t="shared" si="5"/>
        <v>0</v>
      </c>
      <c r="AY29" s="125">
        <f t="shared" si="6"/>
        <v>115.73</v>
      </c>
      <c r="AZ29" s="125">
        <f t="shared" si="29"/>
        <v>122.87572627069885</v>
      </c>
      <c r="BA29" s="159">
        <f t="shared" si="7"/>
        <v>4.3166788732394368</v>
      </c>
      <c r="BB29" s="160">
        <f t="shared" si="8"/>
        <v>4.6292</v>
      </c>
      <c r="BC29" s="161">
        <f t="shared" si="9"/>
        <v>0.83472128206303009</v>
      </c>
      <c r="BD29" s="160">
        <f t="shared" si="24"/>
        <v>8.9458788732394368</v>
      </c>
      <c r="BE29" s="162">
        <v>0.90300000000000002</v>
      </c>
      <c r="BF29" s="25">
        <f t="shared" si="25"/>
        <v>2895.4199999999996</v>
      </c>
      <c r="BG29" s="25">
        <f t="shared" si="10"/>
        <v>116.12903225806451</v>
      </c>
      <c r="BH29" s="25">
        <f t="shared" si="26"/>
        <v>2670.9677419354821</v>
      </c>
      <c r="BI29" s="26">
        <f t="shared" si="11"/>
        <v>1</v>
      </c>
      <c r="BJ29" s="37">
        <f t="shared" si="27"/>
        <v>2670.9677419354821</v>
      </c>
      <c r="BK29" s="328"/>
      <c r="BL29" s="31">
        <v>196.82499999999999</v>
      </c>
      <c r="BM29" s="31"/>
      <c r="BN29" s="31">
        <v>32.706000000000003</v>
      </c>
      <c r="BO29" s="40"/>
      <c r="BP29" s="40"/>
      <c r="BQ29" s="32">
        <v>43.652000000000001</v>
      </c>
      <c r="BR29" s="33"/>
      <c r="BS29" s="34">
        <v>1.73</v>
      </c>
      <c r="BT29" s="35"/>
      <c r="BU29" s="35"/>
      <c r="BV29" s="235"/>
      <c r="BW29" s="235"/>
      <c r="BX29" s="36"/>
      <c r="BY29" s="33"/>
      <c r="BZ29" s="34">
        <v>37.26</v>
      </c>
      <c r="CA29" s="35"/>
      <c r="CB29" s="35">
        <v>46.01</v>
      </c>
      <c r="CC29" s="235"/>
      <c r="CD29" s="235"/>
      <c r="CE29" s="36">
        <v>44.08</v>
      </c>
      <c r="CF29" s="30">
        <v>166.38</v>
      </c>
      <c r="CG29" s="30"/>
      <c r="CH29" s="31"/>
      <c r="CI29" s="32"/>
      <c r="CJ29" s="33">
        <v>1.87</v>
      </c>
      <c r="CK29" s="33"/>
      <c r="CL29" s="35"/>
      <c r="CM29" s="36"/>
      <c r="CN29" s="286"/>
      <c r="CO29" s="249">
        <f t="shared" si="30"/>
        <v>0</v>
      </c>
      <c r="CP29" s="12">
        <f t="shared" si="30"/>
        <v>193.41992749999997</v>
      </c>
      <c r="CQ29" s="12">
        <f t="shared" si="30"/>
        <v>0</v>
      </c>
      <c r="CR29" s="12">
        <f t="shared" si="30"/>
        <v>32.706000000000003</v>
      </c>
      <c r="CS29" s="11">
        <f t="shared" si="30"/>
        <v>0</v>
      </c>
      <c r="CT29" s="11">
        <f t="shared" si="30"/>
        <v>0</v>
      </c>
      <c r="CU29" s="272">
        <f t="shared" si="30"/>
        <v>43.652000000000001</v>
      </c>
      <c r="CV29" s="249">
        <f t="shared" si="13"/>
        <v>163.26869399999998</v>
      </c>
      <c r="CW29" s="12">
        <f t="shared" si="13"/>
        <v>0</v>
      </c>
      <c r="CX29" s="249">
        <f t="shared" si="13"/>
        <v>0</v>
      </c>
      <c r="CY29" s="272">
        <f t="shared" si="13"/>
        <v>0</v>
      </c>
      <c r="CZ29" s="13"/>
      <c r="DA29" s="240">
        <f>(D29+'[2]январь 20'!D29)/(AY29+'[2]январь 20'!AX29)</f>
        <v>2.2020380156034087</v>
      </c>
      <c r="DB29" s="241">
        <f>(T29+'[2]январь 20'!R29)/(AY29+'[2]январь 20'!AX29)</f>
        <v>1.3468410122063563</v>
      </c>
      <c r="DD29" s="292">
        <f t="shared" si="14"/>
        <v>10.500999999999999</v>
      </c>
      <c r="DE29" s="291">
        <v>0.43</v>
      </c>
      <c r="DF29" s="291">
        <v>13.48</v>
      </c>
      <c r="DG29" s="145">
        <f t="shared" si="15"/>
        <v>10.455845699999999</v>
      </c>
      <c r="DH29" s="293">
        <f t="shared" si="28"/>
        <v>1.8385703109313853</v>
      </c>
      <c r="DJ29" s="322"/>
    </row>
    <row r="30" spans="1:114" s="76" customFormat="1" ht="16.5" customHeight="1" thickBot="1">
      <c r="A30" s="144">
        <v>24</v>
      </c>
      <c r="B30" s="122">
        <f>'[1]январь 20'!K29</f>
        <v>267.20600000000002</v>
      </c>
      <c r="C30" s="123">
        <f t="shared" si="16"/>
        <v>1.3603521253265269</v>
      </c>
      <c r="D30" s="145">
        <f t="shared" si="17"/>
        <v>263.57105749999999</v>
      </c>
      <c r="E30" s="125">
        <f t="shared" si="18"/>
        <v>39.246798088366283</v>
      </c>
      <c r="F30" s="146">
        <f t="shared" si="19"/>
        <v>2.4352864963503649</v>
      </c>
      <c r="G30" s="127"/>
      <c r="H30" s="126">
        <f t="shared" si="20"/>
        <v>1.7434173288367365</v>
      </c>
      <c r="I30" s="230">
        <f>'[1]июль 20'!AI29</f>
        <v>0</v>
      </c>
      <c r="J30" s="247">
        <f>'[1]январь 20'!AA29</f>
        <v>10.553000000000001</v>
      </c>
      <c r="K30" s="276">
        <f>'[1]сентябрь 20'!AM29</f>
        <v>0</v>
      </c>
      <c r="L30" s="122">
        <f>'[1]январь 20'!AE29</f>
        <v>74.881</v>
      </c>
      <c r="M30" s="128">
        <f t="shared" si="21"/>
        <v>0.69186916751362837</v>
      </c>
      <c r="N30" s="400">
        <f>'[1]январь 20'!W29</f>
        <v>0</v>
      </c>
      <c r="O30" s="416">
        <f>'[1]январь 20'!AU29</f>
        <v>10.497</v>
      </c>
      <c r="P30" s="401">
        <f t="shared" si="0"/>
        <v>165.21700000000001</v>
      </c>
      <c r="Q30" s="122">
        <f>'[1]январь 20'!S29</f>
        <v>165.21700000000001</v>
      </c>
      <c r="R30" s="123">
        <f t="shared" si="22"/>
        <v>1.7900000000000003</v>
      </c>
      <c r="S30" s="170">
        <v>31.19</v>
      </c>
      <c r="T30" s="125">
        <f t="shared" si="1"/>
        <v>162.25961570000001</v>
      </c>
      <c r="U30" s="147">
        <f t="shared" si="2"/>
        <v>1.4992110847269704</v>
      </c>
      <c r="V30" s="169">
        <v>81.66</v>
      </c>
      <c r="W30" s="169">
        <v>81.66</v>
      </c>
      <c r="X30" s="170">
        <v>0.78</v>
      </c>
      <c r="Y30" s="166">
        <v>529</v>
      </c>
      <c r="Z30" s="166">
        <v>1181</v>
      </c>
      <c r="AA30" s="148" t="s">
        <v>150</v>
      </c>
      <c r="AB30" s="164">
        <v>75.95</v>
      </c>
      <c r="AC30" s="166">
        <v>107</v>
      </c>
      <c r="AD30" s="171">
        <v>4</v>
      </c>
      <c r="AE30" s="164">
        <v>12.05</v>
      </c>
      <c r="AF30" s="172">
        <f t="shared" si="3"/>
        <v>111.33696756906589</v>
      </c>
      <c r="AG30" s="173"/>
      <c r="AH30" s="170">
        <v>81.75</v>
      </c>
      <c r="AI30" s="134">
        <f t="shared" si="4"/>
        <v>755.33585881918134</v>
      </c>
      <c r="AJ30" s="174">
        <v>12.07</v>
      </c>
      <c r="AK30" s="175"/>
      <c r="AL30" s="176">
        <v>6.27</v>
      </c>
      <c r="AM30" s="177">
        <v>36.840000000000003</v>
      </c>
      <c r="AN30" s="126">
        <f t="shared" si="23"/>
        <v>0.24633901705115346</v>
      </c>
      <c r="AO30" s="178" t="s">
        <v>111</v>
      </c>
      <c r="AP30" s="177">
        <v>9.23</v>
      </c>
      <c r="AQ30" s="177">
        <v>6.92</v>
      </c>
      <c r="AR30" s="171"/>
      <c r="AS30" s="164">
        <v>8.77</v>
      </c>
      <c r="AT30" s="149">
        <v>149.55000000000001</v>
      </c>
      <c r="AU30" s="164">
        <v>1.79</v>
      </c>
      <c r="AV30" s="164"/>
      <c r="AW30" s="164"/>
      <c r="AX30" s="179">
        <f t="shared" si="5"/>
        <v>0</v>
      </c>
      <c r="AY30" s="125">
        <f t="shared" si="6"/>
        <v>108.23</v>
      </c>
      <c r="AZ30" s="125">
        <f t="shared" si="29"/>
        <v>120.38979705047321</v>
      </c>
      <c r="BA30" s="159">
        <f t="shared" si="7"/>
        <v>5.5538186619718308</v>
      </c>
      <c r="BB30" s="159">
        <f t="shared" si="8"/>
        <v>4.3292000000000002</v>
      </c>
      <c r="BC30" s="180">
        <f t="shared" si="9"/>
        <v>0.79464560646743931</v>
      </c>
      <c r="BD30" s="159">
        <f t="shared" si="24"/>
        <v>9.8830186619718319</v>
      </c>
      <c r="BE30" s="167">
        <v>0.89800000000000002</v>
      </c>
      <c r="BF30" s="25">
        <f t="shared" si="25"/>
        <v>3003.6499999999996</v>
      </c>
      <c r="BG30" s="25">
        <f t="shared" si="10"/>
        <v>116.12903225806451</v>
      </c>
      <c r="BH30" s="25">
        <f t="shared" si="26"/>
        <v>2787.0967741935465</v>
      </c>
      <c r="BI30" s="26">
        <f t="shared" si="11"/>
        <v>1</v>
      </c>
      <c r="BJ30" s="37">
        <f t="shared" si="27"/>
        <v>2787.0967741935465</v>
      </c>
      <c r="BK30" s="38"/>
      <c r="BL30" s="31">
        <v>192.32499999999999</v>
      </c>
      <c r="BM30" s="31"/>
      <c r="BN30" s="31">
        <v>32.134999999999998</v>
      </c>
      <c r="BO30" s="40"/>
      <c r="BP30" s="40"/>
      <c r="BQ30" s="44">
        <v>42.746000000000002</v>
      </c>
      <c r="BR30" s="45"/>
      <c r="BS30" s="46">
        <v>1.89</v>
      </c>
      <c r="BT30" s="47"/>
      <c r="BU30" s="47"/>
      <c r="BV30" s="283"/>
      <c r="BW30" s="283"/>
      <c r="BX30" s="48"/>
      <c r="BY30" s="45"/>
      <c r="BZ30" s="46">
        <v>37.130000000000003</v>
      </c>
      <c r="CA30" s="47"/>
      <c r="CB30" s="47">
        <v>45.42</v>
      </c>
      <c r="CC30" s="283"/>
      <c r="CD30" s="283"/>
      <c r="CE30" s="48">
        <v>44.13</v>
      </c>
      <c r="CF30" s="49">
        <v>165.21700000000001</v>
      </c>
      <c r="CG30" s="49"/>
      <c r="CH30" s="43"/>
      <c r="CI30" s="32"/>
      <c r="CJ30" s="33">
        <v>1.79</v>
      </c>
      <c r="CK30" s="33"/>
      <c r="CL30" s="35"/>
      <c r="CM30" s="36"/>
      <c r="CN30" s="286"/>
      <c r="CO30" s="249">
        <f t="shared" si="30"/>
        <v>0</v>
      </c>
      <c r="CP30" s="12">
        <f t="shared" si="30"/>
        <v>188.69005749999999</v>
      </c>
      <c r="CQ30" s="12">
        <f t="shared" si="30"/>
        <v>0</v>
      </c>
      <c r="CR30" s="12">
        <f t="shared" si="30"/>
        <v>32.134999999999998</v>
      </c>
      <c r="CS30" s="11">
        <f t="shared" si="30"/>
        <v>0</v>
      </c>
      <c r="CT30" s="11">
        <f t="shared" si="30"/>
        <v>0</v>
      </c>
      <c r="CU30" s="272">
        <f t="shared" si="30"/>
        <v>42.746000000000002</v>
      </c>
      <c r="CV30" s="249">
        <f t="shared" si="13"/>
        <v>162.25961570000001</v>
      </c>
      <c r="CW30" s="11">
        <f t="shared" si="13"/>
        <v>0</v>
      </c>
      <c r="CX30" s="252">
        <f t="shared" si="13"/>
        <v>0</v>
      </c>
      <c r="CY30" s="272">
        <f t="shared" si="13"/>
        <v>0</v>
      </c>
      <c r="CZ30" s="13"/>
      <c r="DA30" s="240">
        <f>(D30+'[2]январь 20'!D30)/(AY30+'[2]январь 20'!AX30)</f>
        <v>2.1956978342158004</v>
      </c>
      <c r="DB30" s="241">
        <f>(T30+'[2]январь 20'!R30)/(AY30+'[2]январь 20'!AX30)</f>
        <v>1.3531951769421762</v>
      </c>
      <c r="DD30" s="292">
        <f t="shared" si="14"/>
        <v>10.553000000000001</v>
      </c>
      <c r="DE30" s="291">
        <v>0.38</v>
      </c>
      <c r="DF30" s="291">
        <v>10.75</v>
      </c>
      <c r="DG30" s="145">
        <f t="shared" si="15"/>
        <v>10.512898600000002</v>
      </c>
      <c r="DH30" s="293">
        <f t="shared" si="28"/>
        <v>1.4880007893350888</v>
      </c>
      <c r="DJ30" s="322"/>
    </row>
    <row r="31" spans="1:114" s="76" customFormat="1" ht="16.5" customHeight="1" thickBot="1">
      <c r="A31" s="144">
        <v>25</v>
      </c>
      <c r="B31" s="122">
        <f>'[1]январь 20'!K30</f>
        <v>280.375</v>
      </c>
      <c r="C31" s="123">
        <f t="shared" si="16"/>
        <v>1.8788462594739188</v>
      </c>
      <c r="D31" s="145">
        <f t="shared" si="17"/>
        <v>275.10718479999997</v>
      </c>
      <c r="E31" s="125">
        <f t="shared" si="18"/>
        <v>39.431259384752565</v>
      </c>
      <c r="F31" s="146">
        <f t="shared" si="19"/>
        <v>2.0473854640172653</v>
      </c>
      <c r="G31" s="127"/>
      <c r="H31" s="126">
        <f t="shared" si="20"/>
        <v>1.4628576676341445</v>
      </c>
      <c r="I31" s="230">
        <f>'[1]июль 20'!AI30</f>
        <v>0</v>
      </c>
      <c r="J31" s="247">
        <f>'[1]январь 20'!AA30</f>
        <v>11.116</v>
      </c>
      <c r="K31" s="276">
        <f>'[1]сентябрь 20'!AM30</f>
        <v>0</v>
      </c>
      <c r="L31" s="122">
        <f>'[1]январь 20'!AE30</f>
        <v>78.543000000000006</v>
      </c>
      <c r="M31" s="128">
        <f t="shared" si="21"/>
        <v>0.58452779638312125</v>
      </c>
      <c r="N31" s="400">
        <f>'[1]январь 20'!W30</f>
        <v>0</v>
      </c>
      <c r="O31" s="416">
        <f>'[1]январь 20'!AU30</f>
        <v>10.359</v>
      </c>
      <c r="P31" s="401">
        <f t="shared" si="0"/>
        <v>172.95400000000001</v>
      </c>
      <c r="Q31" s="122">
        <f>'[1]январь 20'!S30</f>
        <v>172.95400000000001</v>
      </c>
      <c r="R31" s="123">
        <f t="shared" si="22"/>
        <v>1.8099999999999998</v>
      </c>
      <c r="S31" s="129">
        <v>8.09</v>
      </c>
      <c r="T31" s="125">
        <f t="shared" si="1"/>
        <v>169.82353259999999</v>
      </c>
      <c r="U31" s="147">
        <f t="shared" si="2"/>
        <v>1.2638500602813127</v>
      </c>
      <c r="V31" s="130">
        <v>134.37</v>
      </c>
      <c r="W31" s="130">
        <v>134.37</v>
      </c>
      <c r="X31" s="129">
        <v>0.78</v>
      </c>
      <c r="Y31" s="150">
        <v>522</v>
      </c>
      <c r="Z31" s="150">
        <v>1163</v>
      </c>
      <c r="AA31" s="148" t="s">
        <v>128</v>
      </c>
      <c r="AB31" s="149">
        <v>76.14</v>
      </c>
      <c r="AC31" s="150">
        <v>112</v>
      </c>
      <c r="AD31" s="151">
        <v>4</v>
      </c>
      <c r="AE31" s="149">
        <v>13.15</v>
      </c>
      <c r="AF31" s="134">
        <f t="shared" si="3"/>
        <v>97.864106571407305</v>
      </c>
      <c r="AG31" s="152"/>
      <c r="AH31" s="129">
        <v>91.5</v>
      </c>
      <c r="AI31" s="134">
        <f t="shared" si="4"/>
        <v>680.95557043983035</v>
      </c>
      <c r="AJ31" s="136">
        <v>13.2</v>
      </c>
      <c r="AK31" s="154"/>
      <c r="AL31" s="155">
        <v>5.38</v>
      </c>
      <c r="AM31" s="156">
        <v>36.619999999999997</v>
      </c>
      <c r="AN31" s="126">
        <f t="shared" si="23"/>
        <v>0.20955650929899855</v>
      </c>
      <c r="AO31" s="157" t="s">
        <v>151</v>
      </c>
      <c r="AP31" s="156">
        <v>9.82</v>
      </c>
      <c r="AQ31" s="156">
        <v>6.63</v>
      </c>
      <c r="AR31" s="151"/>
      <c r="AS31" s="149">
        <v>7.44</v>
      </c>
      <c r="AT31" s="149">
        <v>174.75</v>
      </c>
      <c r="AU31" s="149">
        <v>1.62</v>
      </c>
      <c r="AV31" s="164"/>
      <c r="AW31" s="149"/>
      <c r="AX31" s="158">
        <f t="shared" si="5"/>
        <v>0</v>
      </c>
      <c r="AY31" s="125">
        <f t="shared" si="6"/>
        <v>134.37</v>
      </c>
      <c r="AZ31" s="125">
        <f t="shared" si="29"/>
        <v>126.14207435347662</v>
      </c>
      <c r="BA31" s="159">
        <f t="shared" si="7"/>
        <v>5.2734929577464786</v>
      </c>
      <c r="BB31" s="160">
        <f t="shared" si="8"/>
        <v>5.3748000000000005</v>
      </c>
      <c r="BC31" s="161">
        <f t="shared" si="9"/>
        <v>0.94313227861789983</v>
      </c>
      <c r="BD31" s="160">
        <f t="shared" si="24"/>
        <v>10.648292957746479</v>
      </c>
      <c r="BE31" s="162">
        <v>0.9</v>
      </c>
      <c r="BF31" s="25">
        <f t="shared" si="25"/>
        <v>3138.0199999999995</v>
      </c>
      <c r="BG31" s="25">
        <f t="shared" si="10"/>
        <v>116.12903225806451</v>
      </c>
      <c r="BH31" s="25">
        <f t="shared" si="26"/>
        <v>2903.2258064516109</v>
      </c>
      <c r="BI31" s="26">
        <f t="shared" si="11"/>
        <v>1</v>
      </c>
      <c r="BJ31" s="37">
        <f t="shared" si="27"/>
        <v>2903.2258064516109</v>
      </c>
      <c r="BK31" s="38"/>
      <c r="BL31" s="31">
        <v>201.83199999999999</v>
      </c>
      <c r="BM31" s="31"/>
      <c r="BN31" s="31">
        <v>33.581000000000003</v>
      </c>
      <c r="BO31" s="40"/>
      <c r="BP31" s="40"/>
      <c r="BQ31" s="32">
        <v>44.962000000000003</v>
      </c>
      <c r="BR31" s="33"/>
      <c r="BS31" s="34">
        <v>2.61</v>
      </c>
      <c r="BT31" s="35"/>
      <c r="BU31" s="35"/>
      <c r="BV31" s="235"/>
      <c r="BW31" s="235"/>
      <c r="BX31" s="36"/>
      <c r="BY31" s="33"/>
      <c r="BZ31" s="34">
        <v>37.340000000000003</v>
      </c>
      <c r="CA31" s="35"/>
      <c r="CB31" s="35">
        <v>45.91</v>
      </c>
      <c r="CC31" s="235"/>
      <c r="CD31" s="235"/>
      <c r="CE31" s="36">
        <v>43.98</v>
      </c>
      <c r="CF31" s="30">
        <v>172.95400000000001</v>
      </c>
      <c r="CG31" s="30"/>
      <c r="CH31" s="31"/>
      <c r="CI31" s="32"/>
      <c r="CJ31" s="33">
        <v>1.81</v>
      </c>
      <c r="CK31" s="33"/>
      <c r="CL31" s="35"/>
      <c r="CM31" s="36"/>
      <c r="CN31" s="286"/>
      <c r="CO31" s="249">
        <f t="shared" si="30"/>
        <v>0</v>
      </c>
      <c r="CP31" s="12">
        <f t="shared" si="30"/>
        <v>196.56418479999999</v>
      </c>
      <c r="CQ31" s="12">
        <f t="shared" si="30"/>
        <v>0</v>
      </c>
      <c r="CR31" s="12">
        <f t="shared" si="30"/>
        <v>33.581000000000003</v>
      </c>
      <c r="CS31" s="11">
        <f t="shared" si="30"/>
        <v>0</v>
      </c>
      <c r="CT31" s="11">
        <f t="shared" si="30"/>
        <v>0</v>
      </c>
      <c r="CU31" s="272">
        <f t="shared" si="30"/>
        <v>44.962000000000003</v>
      </c>
      <c r="CV31" s="249">
        <f t="shared" si="13"/>
        <v>169.82353259999999</v>
      </c>
      <c r="CW31" s="12">
        <f t="shared" si="13"/>
        <v>0</v>
      </c>
      <c r="CX31" s="249">
        <f t="shared" si="13"/>
        <v>0</v>
      </c>
      <c r="CY31" s="272">
        <f t="shared" si="13"/>
        <v>0</v>
      </c>
      <c r="CZ31" s="13"/>
      <c r="DA31" s="240">
        <f>(D31+'[2]январь 20'!D31)/(AY31+'[2]январь 20'!AX31)</f>
        <v>2.0121358467355268</v>
      </c>
      <c r="DB31" s="241">
        <f>(T31+'[2]январь 20'!R31)/(AY31+'[2]январь 20'!AX31)</f>
        <v>1.2370846669771773</v>
      </c>
      <c r="DD31" s="292">
        <f t="shared" si="14"/>
        <v>11.116</v>
      </c>
      <c r="DE31" s="291">
        <v>0.31</v>
      </c>
      <c r="DF31" s="291">
        <v>12.12</v>
      </c>
      <c r="DG31" s="145">
        <f t="shared" si="15"/>
        <v>11.0815404</v>
      </c>
      <c r="DH31" s="293">
        <f t="shared" si="28"/>
        <v>1.7639646657210399</v>
      </c>
      <c r="DJ31" s="322"/>
    </row>
    <row r="32" spans="1:114" s="76" customFormat="1" ht="16.5" customHeight="1" thickBot="1">
      <c r="A32" s="144">
        <v>26</v>
      </c>
      <c r="B32" s="122">
        <f>'[1]январь 20'!K31</f>
        <v>262.94299999999998</v>
      </c>
      <c r="C32" s="123">
        <f t="shared" si="16"/>
        <v>2.4360942865944333</v>
      </c>
      <c r="D32" s="145">
        <f t="shared" si="17"/>
        <v>256.53746059999997</v>
      </c>
      <c r="E32" s="125">
        <f t="shared" si="18"/>
        <v>39.455888196301103</v>
      </c>
      <c r="F32" s="146">
        <f t="shared" si="19"/>
        <v>1.9361317781132072</v>
      </c>
      <c r="G32" s="127"/>
      <c r="H32" s="126">
        <f t="shared" si="20"/>
        <v>1.3819430988679247</v>
      </c>
      <c r="I32" s="230">
        <f>'[1]июль 20'!AI31</f>
        <v>0</v>
      </c>
      <c r="J32" s="247">
        <f>'[1]январь 20'!AA31</f>
        <v>10.534000000000001</v>
      </c>
      <c r="K32" s="276">
        <f>'[1]сентябрь 20'!AM31</f>
        <v>0</v>
      </c>
      <c r="L32" s="122">
        <f>'[1]январь 20'!AE31</f>
        <v>73.430000000000007</v>
      </c>
      <c r="M32" s="128">
        <f t="shared" si="21"/>
        <v>0.55418867924528292</v>
      </c>
      <c r="N32" s="400">
        <f>'[1]январь 20'!W31</f>
        <v>0</v>
      </c>
      <c r="O32" s="416">
        <f>'[1]январь 20'!AU31</f>
        <v>10.686999999999999</v>
      </c>
      <c r="P32" s="401">
        <f t="shared" si="0"/>
        <v>162.66399999999999</v>
      </c>
      <c r="Q32" s="122">
        <f>'[1]январь 20'!S31</f>
        <v>162.66399999999999</v>
      </c>
      <c r="R32" s="123">
        <f t="shared" si="22"/>
        <v>1.8999999999999997</v>
      </c>
      <c r="S32" s="129">
        <v>9.89</v>
      </c>
      <c r="T32" s="125">
        <f t="shared" si="1"/>
        <v>159.57338399999998</v>
      </c>
      <c r="U32" s="147">
        <f t="shared" si="2"/>
        <v>1.204327426415094</v>
      </c>
      <c r="V32" s="130">
        <v>132.5</v>
      </c>
      <c r="W32" s="130">
        <v>67.72</v>
      </c>
      <c r="X32" s="129">
        <v>1.04</v>
      </c>
      <c r="Y32" s="150">
        <v>537</v>
      </c>
      <c r="Z32" s="150">
        <v>1160</v>
      </c>
      <c r="AA32" s="148" t="s">
        <v>130</v>
      </c>
      <c r="AB32" s="149">
        <v>76.540000000000006</v>
      </c>
      <c r="AC32" s="150">
        <v>105</v>
      </c>
      <c r="AD32" s="151">
        <v>4</v>
      </c>
      <c r="AE32" s="149">
        <v>10.199999999999999</v>
      </c>
      <c r="AF32" s="134">
        <f t="shared" si="3"/>
        <v>76.981132075471692</v>
      </c>
      <c r="AG32" s="152"/>
      <c r="AH32" s="129">
        <v>90.6</v>
      </c>
      <c r="AI32" s="134">
        <f t="shared" si="4"/>
        <v>683.7735849056603</v>
      </c>
      <c r="AJ32" s="153">
        <v>13.88</v>
      </c>
      <c r="AK32" s="154"/>
      <c r="AL32" s="155">
        <v>6.1</v>
      </c>
      <c r="AM32" s="156">
        <v>35.83</v>
      </c>
      <c r="AN32" s="126">
        <f t="shared" si="23"/>
        <v>0.20704998555330828</v>
      </c>
      <c r="AO32" s="157" t="s">
        <v>152</v>
      </c>
      <c r="AP32" s="156">
        <v>10.19</v>
      </c>
      <c r="AQ32" s="156">
        <v>6.95</v>
      </c>
      <c r="AR32" s="151"/>
      <c r="AS32" s="149">
        <v>6.57</v>
      </c>
      <c r="AT32" s="149">
        <v>173.05</v>
      </c>
      <c r="AU32" s="149">
        <v>1.38</v>
      </c>
      <c r="AV32" s="149"/>
      <c r="AW32" s="149"/>
      <c r="AX32" s="158">
        <f t="shared" si="5"/>
        <v>0</v>
      </c>
      <c r="AY32" s="125">
        <f t="shared" si="6"/>
        <v>132.5</v>
      </c>
      <c r="AZ32" s="125">
        <f t="shared" si="29"/>
        <v>117.45930993780807</v>
      </c>
      <c r="BA32" s="159">
        <f t="shared" si="7"/>
        <v>4.6110295774647883</v>
      </c>
      <c r="BB32" s="160">
        <f t="shared" si="8"/>
        <v>5.3</v>
      </c>
      <c r="BC32" s="161">
        <f t="shared" si="9"/>
        <v>1.001940012297875</v>
      </c>
      <c r="BD32" s="160">
        <f t="shared" si="24"/>
        <v>9.9110295774647881</v>
      </c>
      <c r="BE32" s="162">
        <v>0.90400000000000003</v>
      </c>
      <c r="BF32" s="25">
        <f t="shared" si="25"/>
        <v>3270.5199999999995</v>
      </c>
      <c r="BG32" s="25">
        <f t="shared" si="10"/>
        <v>116.12903225806451</v>
      </c>
      <c r="BH32" s="25">
        <f t="shared" si="26"/>
        <v>3019.3548387096753</v>
      </c>
      <c r="BI32" s="26">
        <f t="shared" si="11"/>
        <v>1</v>
      </c>
      <c r="BJ32" s="37">
        <f t="shared" si="27"/>
        <v>3019.3548387096753</v>
      </c>
      <c r="BK32" s="38"/>
      <c r="BL32" s="31">
        <v>189.51300000000001</v>
      </c>
      <c r="BM32" s="31"/>
      <c r="BN32" s="31">
        <v>63.220999999999997</v>
      </c>
      <c r="BO32" s="40"/>
      <c r="BP32" s="40"/>
      <c r="BQ32" s="32">
        <v>10.209</v>
      </c>
      <c r="BR32" s="33"/>
      <c r="BS32" s="34">
        <v>3.38</v>
      </c>
      <c r="BT32" s="35"/>
      <c r="BU32" s="35"/>
      <c r="BV32" s="235"/>
      <c r="BW32" s="235"/>
      <c r="BX32" s="36"/>
      <c r="BY32" s="33"/>
      <c r="BZ32" s="34">
        <v>37.119999999999997</v>
      </c>
      <c r="CA32" s="35"/>
      <c r="CB32" s="35">
        <v>45.7</v>
      </c>
      <c r="CC32" s="235"/>
      <c r="CD32" s="235"/>
      <c r="CE32" s="36">
        <v>44.15</v>
      </c>
      <c r="CF32" s="30">
        <v>162.66399999999999</v>
      </c>
      <c r="CG32" s="30"/>
      <c r="CH32" s="31"/>
      <c r="CI32" s="50"/>
      <c r="CJ32" s="33">
        <v>1.9</v>
      </c>
      <c r="CK32" s="33"/>
      <c r="CL32" s="35"/>
      <c r="CM32" s="36"/>
      <c r="CN32" s="286"/>
      <c r="CO32" s="249">
        <f t="shared" si="30"/>
        <v>0</v>
      </c>
      <c r="CP32" s="12">
        <f t="shared" si="30"/>
        <v>183.10746060000002</v>
      </c>
      <c r="CQ32" s="12">
        <f t="shared" si="30"/>
        <v>0</v>
      </c>
      <c r="CR32" s="12">
        <f t="shared" si="30"/>
        <v>63.220999999999997</v>
      </c>
      <c r="CS32" s="11">
        <f t="shared" si="30"/>
        <v>0</v>
      </c>
      <c r="CT32" s="11">
        <f t="shared" si="30"/>
        <v>0</v>
      </c>
      <c r="CU32" s="272">
        <f t="shared" si="30"/>
        <v>10.209</v>
      </c>
      <c r="CV32" s="249">
        <f t="shared" si="13"/>
        <v>159.57338399999998</v>
      </c>
      <c r="CW32" s="11">
        <f t="shared" si="13"/>
        <v>0</v>
      </c>
      <c r="CX32" s="249">
        <f t="shared" si="13"/>
        <v>0</v>
      </c>
      <c r="CY32" s="272">
        <f t="shared" si="13"/>
        <v>0</v>
      </c>
      <c r="CZ32" s="13"/>
      <c r="DA32" s="240">
        <f>(D32+'[2]январь 20'!D32)/(AY32+'[2]январь 20'!AX32)</f>
        <v>1.9743336161673264</v>
      </c>
      <c r="DB32" s="241">
        <f>(T32+'[2]январь 20'!R32)/(AY32+'[2]январь 20'!AX32)</f>
        <v>1.2153572187676653</v>
      </c>
      <c r="DD32" s="292">
        <f t="shared" si="14"/>
        <v>10.534000000000001</v>
      </c>
      <c r="DE32" s="291">
        <v>0.61</v>
      </c>
      <c r="DF32" s="291">
        <v>14.7</v>
      </c>
      <c r="DG32" s="145">
        <f t="shared" si="15"/>
        <v>10.4697426</v>
      </c>
      <c r="DH32" s="293">
        <f t="shared" si="28"/>
        <v>2.0107815027436633</v>
      </c>
      <c r="DJ32" s="322"/>
    </row>
    <row r="33" spans="1:114" s="76" customFormat="1" ht="16.5" customHeight="1" thickBot="1">
      <c r="A33" s="144">
        <v>27</v>
      </c>
      <c r="B33" s="122">
        <f>'[1]январь 20'!K32</f>
        <v>297.68299999999999</v>
      </c>
      <c r="C33" s="123">
        <f t="shared" si="16"/>
        <v>1.6058639895459264</v>
      </c>
      <c r="D33" s="145">
        <f t="shared" si="17"/>
        <v>292.9026159</v>
      </c>
      <c r="E33" s="125">
        <f t="shared" si="18"/>
        <v>39.371762982770271</v>
      </c>
      <c r="F33" s="146">
        <f t="shared" si="19"/>
        <v>2.200124809584616</v>
      </c>
      <c r="G33" s="127"/>
      <c r="H33" s="126">
        <f t="shared" si="20"/>
        <v>1.5743004274017873</v>
      </c>
      <c r="I33" s="230">
        <f>'[1]июль 20'!AI32</f>
        <v>0</v>
      </c>
      <c r="J33" s="247">
        <f>'[1]январь 20'!AA32</f>
        <v>11.734</v>
      </c>
      <c r="K33" s="276">
        <f>'[1]сентябрь 20'!AM32</f>
        <v>0</v>
      </c>
      <c r="L33" s="122">
        <f>'[1]январь 20'!AE32</f>
        <v>83.316000000000003</v>
      </c>
      <c r="M33" s="128">
        <f t="shared" si="21"/>
        <v>0.62582438218282876</v>
      </c>
      <c r="N33" s="400">
        <f>'[1]январь 20'!W32</f>
        <v>0</v>
      </c>
      <c r="O33" s="403">
        <f>'[1]январь 20'!AU32</f>
        <v>8.2289999999999992</v>
      </c>
      <c r="P33" s="401">
        <f t="shared" si="0"/>
        <v>182.28399999999999</v>
      </c>
      <c r="Q33" s="122">
        <f>'[1]январь 20'!S32</f>
        <v>182.28399999999999</v>
      </c>
      <c r="R33" s="123">
        <f t="shared" si="22"/>
        <v>1.5900000000000003</v>
      </c>
      <c r="S33" s="129">
        <v>17.93</v>
      </c>
      <c r="T33" s="125">
        <f t="shared" si="1"/>
        <v>179.38568439999997</v>
      </c>
      <c r="U33" s="147">
        <f t="shared" si="2"/>
        <v>1.3474474904228946</v>
      </c>
      <c r="V33" s="130">
        <v>133.13</v>
      </c>
      <c r="W33" s="130">
        <v>101.94</v>
      </c>
      <c r="X33" s="129">
        <v>0.87</v>
      </c>
      <c r="Y33" s="150">
        <v>475</v>
      </c>
      <c r="Z33" s="150">
        <v>1167</v>
      </c>
      <c r="AA33" s="148" t="s">
        <v>141</v>
      </c>
      <c r="AB33" s="149">
        <v>76.8</v>
      </c>
      <c r="AC33" s="150">
        <v>119</v>
      </c>
      <c r="AD33" s="151">
        <v>4</v>
      </c>
      <c r="AE33" s="149">
        <v>6.5</v>
      </c>
      <c r="AF33" s="134">
        <f t="shared" si="3"/>
        <v>48.824457297378494</v>
      </c>
      <c r="AG33" s="152"/>
      <c r="AH33" s="129">
        <v>68.25</v>
      </c>
      <c r="AI33" s="134">
        <f t="shared" si="4"/>
        <v>512.65680162247418</v>
      </c>
      <c r="AJ33" s="136">
        <v>16.04</v>
      </c>
      <c r="AK33" s="154"/>
      <c r="AL33" s="155">
        <v>4.87</v>
      </c>
      <c r="AM33" s="156">
        <v>38.700000000000003</v>
      </c>
      <c r="AN33" s="126">
        <f t="shared" si="23"/>
        <v>0.22171297622457747</v>
      </c>
      <c r="AO33" s="157" t="s">
        <v>153</v>
      </c>
      <c r="AP33" s="156">
        <v>9.85</v>
      </c>
      <c r="AQ33" s="156">
        <v>6.81</v>
      </c>
      <c r="AR33" s="151"/>
      <c r="AS33" s="149">
        <v>7.42</v>
      </c>
      <c r="AT33" s="149">
        <v>174.55</v>
      </c>
      <c r="AU33" s="149">
        <v>2.15</v>
      </c>
      <c r="AV33" s="149"/>
      <c r="AW33" s="149"/>
      <c r="AX33" s="158">
        <f t="shared" si="5"/>
        <v>0</v>
      </c>
      <c r="AY33" s="125">
        <f t="shared" si="6"/>
        <v>133.13000000000002</v>
      </c>
      <c r="AZ33" s="125">
        <f t="shared" si="29"/>
        <v>133.09274183680569</v>
      </c>
      <c r="BA33" s="159">
        <f t="shared" si="7"/>
        <v>3.9229330985915496</v>
      </c>
      <c r="BB33" s="160">
        <f t="shared" si="8"/>
        <v>5.3252000000000015</v>
      </c>
      <c r="BC33" s="161">
        <f t="shared" si="9"/>
        <v>0.88660267987256391</v>
      </c>
      <c r="BD33" s="160">
        <f t="shared" si="24"/>
        <v>9.248133098591552</v>
      </c>
      <c r="BE33" s="162">
        <v>0.90300000000000002</v>
      </c>
      <c r="BF33" s="25">
        <f t="shared" si="25"/>
        <v>3403.6499999999996</v>
      </c>
      <c r="BG33" s="25">
        <f t="shared" si="10"/>
        <v>116.12903225806451</v>
      </c>
      <c r="BH33" s="25">
        <f t="shared" si="26"/>
        <v>3135.4838709677397</v>
      </c>
      <c r="BI33" s="26">
        <f t="shared" si="11"/>
        <v>1</v>
      </c>
      <c r="BJ33" s="37">
        <f t="shared" si="27"/>
        <v>3135.4838709677397</v>
      </c>
      <c r="BK33" s="38"/>
      <c r="BL33" s="31">
        <v>214.36699999999999</v>
      </c>
      <c r="BM33" s="31"/>
      <c r="BN33" s="31">
        <v>83.316000000000003</v>
      </c>
      <c r="BO33" s="40"/>
      <c r="BP33" s="40"/>
      <c r="BQ33" s="32"/>
      <c r="BR33" s="33"/>
      <c r="BS33" s="34">
        <v>2.23</v>
      </c>
      <c r="BT33" s="35"/>
      <c r="BU33" s="35"/>
      <c r="BV33" s="235"/>
      <c r="BW33" s="235"/>
      <c r="BX33" s="36"/>
      <c r="BY33" s="33"/>
      <c r="BZ33" s="34">
        <v>36.92</v>
      </c>
      <c r="CA33" s="35"/>
      <c r="CB33" s="35">
        <v>45.68</v>
      </c>
      <c r="CC33" s="235"/>
      <c r="CD33" s="235"/>
      <c r="CE33" s="36"/>
      <c r="CF33" s="30">
        <v>182.28399999999999</v>
      </c>
      <c r="CG33" s="30"/>
      <c r="CH33" s="31"/>
      <c r="CI33" s="32"/>
      <c r="CJ33" s="33">
        <v>1.59</v>
      </c>
      <c r="CK33" s="33"/>
      <c r="CL33" s="35"/>
      <c r="CM33" s="36"/>
      <c r="CN33" s="270"/>
      <c r="CO33" s="249">
        <f t="shared" si="30"/>
        <v>0</v>
      </c>
      <c r="CP33" s="12">
        <f t="shared" si="30"/>
        <v>209.5866159</v>
      </c>
      <c r="CQ33" s="12">
        <f t="shared" si="30"/>
        <v>0</v>
      </c>
      <c r="CR33" s="12">
        <f t="shared" si="30"/>
        <v>83.316000000000003</v>
      </c>
      <c r="CS33" s="11">
        <f t="shared" si="30"/>
        <v>0</v>
      </c>
      <c r="CT33" s="11">
        <f t="shared" si="30"/>
        <v>0</v>
      </c>
      <c r="CU33" s="272">
        <f t="shared" si="30"/>
        <v>0</v>
      </c>
      <c r="CV33" s="249">
        <f t="shared" si="13"/>
        <v>179.38568439999997</v>
      </c>
      <c r="CW33" s="12">
        <f t="shared" si="13"/>
        <v>0</v>
      </c>
      <c r="CX33" s="254">
        <f t="shared" si="13"/>
        <v>0</v>
      </c>
      <c r="CY33" s="275">
        <f t="shared" si="13"/>
        <v>0</v>
      </c>
      <c r="CZ33" s="13"/>
      <c r="DA33" s="240">
        <f>(D33+'[2]январь 20'!D33)/(AY33+'[2]январь 20'!AX33)</f>
        <v>2.0919000878863336</v>
      </c>
      <c r="DB33" s="241">
        <f>(T33+'[2]январь 20'!R33)/(AY33+'[2]январь 20'!AX33)</f>
        <v>1.2825419200234363</v>
      </c>
      <c r="DD33" s="292">
        <f t="shared" si="14"/>
        <v>11.734</v>
      </c>
      <c r="DE33" s="291">
        <v>0.56999999999999995</v>
      </c>
      <c r="DF33" s="291">
        <v>13.2</v>
      </c>
      <c r="DG33" s="145">
        <f t="shared" si="15"/>
        <v>11.667116200000001</v>
      </c>
      <c r="DH33" s="293">
        <f t="shared" si="28"/>
        <v>2.0052855968749999</v>
      </c>
      <c r="DJ33" s="322"/>
    </row>
    <row r="34" spans="1:114" s="76" customFormat="1" ht="16.5" customHeight="1" thickBot="1">
      <c r="A34" s="144">
        <v>28</v>
      </c>
      <c r="B34" s="122">
        <f>'[1]январь 20'!K33</f>
        <v>227.60300000000001</v>
      </c>
      <c r="C34" s="123">
        <f t="shared" si="16"/>
        <v>1.5320052899126988</v>
      </c>
      <c r="D34" s="145">
        <f t="shared" si="17"/>
        <v>224.11610999999999</v>
      </c>
      <c r="E34" s="125">
        <f t="shared" si="18"/>
        <v>39.82758307227936</v>
      </c>
      <c r="F34" s="146">
        <f t="shared" si="19"/>
        <v>2.3423506479933112</v>
      </c>
      <c r="G34" s="127"/>
      <c r="H34" s="126">
        <f t="shared" si="20"/>
        <v>1.620068039297659</v>
      </c>
      <c r="I34" s="230">
        <f>'[1]июль 20'!AI33</f>
        <v>0</v>
      </c>
      <c r="J34" s="247">
        <f>'[1]январь 20'!AA33</f>
        <v>8.9499999999999993</v>
      </c>
      <c r="K34" s="276">
        <f>'[1]сентябрь 20'!AM33</f>
        <v>0</v>
      </c>
      <c r="L34" s="122">
        <f>'[1]январь 20'!AE33</f>
        <v>69.108000000000004</v>
      </c>
      <c r="M34" s="128">
        <f t="shared" si="21"/>
        <v>0.72228260869565231</v>
      </c>
      <c r="N34" s="400">
        <f>'[1]январь 20'!W33</f>
        <v>0</v>
      </c>
      <c r="O34" s="403">
        <f>'[1]январь 20'!AU33</f>
        <v>6.048</v>
      </c>
      <c r="P34" s="401">
        <f t="shared" si="0"/>
        <v>140.297</v>
      </c>
      <c r="Q34" s="122">
        <f>'[1]январь 20'!S33</f>
        <v>140.297</v>
      </c>
      <c r="R34" s="123">
        <f t="shared" si="22"/>
        <v>1.78</v>
      </c>
      <c r="S34" s="170">
        <v>2.33</v>
      </c>
      <c r="T34" s="125">
        <f t="shared" si="1"/>
        <v>137.7997134</v>
      </c>
      <c r="U34" s="147">
        <f t="shared" si="2"/>
        <v>1.4402143959030103</v>
      </c>
      <c r="V34" s="169">
        <v>95.68</v>
      </c>
      <c r="W34" s="169">
        <v>64.14</v>
      </c>
      <c r="X34" s="170">
        <v>0.71</v>
      </c>
      <c r="Y34" s="166">
        <v>521</v>
      </c>
      <c r="Z34" s="166">
        <v>1151</v>
      </c>
      <c r="AA34" s="148" t="s">
        <v>114</v>
      </c>
      <c r="AB34" s="164">
        <v>77.569999999999993</v>
      </c>
      <c r="AC34" s="166">
        <v>91</v>
      </c>
      <c r="AD34" s="171">
        <v>3</v>
      </c>
      <c r="AE34" s="164">
        <v>7.85</v>
      </c>
      <c r="AF34" s="172">
        <f t="shared" si="3"/>
        <v>82.044314381270908</v>
      </c>
      <c r="AG34" s="173"/>
      <c r="AH34" s="170">
        <v>35.049999999999997</v>
      </c>
      <c r="AI34" s="134">
        <f t="shared" si="4"/>
        <v>366.3252508361204</v>
      </c>
      <c r="AJ34" s="174">
        <v>10.3</v>
      </c>
      <c r="AK34" s="175"/>
      <c r="AL34" s="176">
        <v>4.2699999999999996</v>
      </c>
      <c r="AM34" s="177">
        <v>29.45</v>
      </c>
      <c r="AN34" s="126">
        <f t="shared" si="23"/>
        <v>0.22927209030751267</v>
      </c>
      <c r="AO34" s="178" t="s">
        <v>154</v>
      </c>
      <c r="AP34" s="177">
        <v>11.75</v>
      </c>
      <c r="AQ34" s="177">
        <v>6.51</v>
      </c>
      <c r="AR34" s="171"/>
      <c r="AS34" s="164">
        <v>6.69</v>
      </c>
      <c r="AT34" s="149">
        <v>128.44999999999999</v>
      </c>
      <c r="AU34" s="164">
        <v>0.95</v>
      </c>
      <c r="AV34" s="164"/>
      <c r="AW34" s="164"/>
      <c r="AX34" s="179">
        <f t="shared" si="5"/>
        <v>0</v>
      </c>
      <c r="AY34" s="125">
        <f t="shared" si="6"/>
        <v>95.679999999999993</v>
      </c>
      <c r="AZ34" s="125">
        <f t="shared" si="29"/>
        <v>103.05790605228489</v>
      </c>
      <c r="BA34" s="159">
        <f t="shared" si="7"/>
        <v>1.8164292253521124</v>
      </c>
      <c r="BB34" s="159">
        <f t="shared" si="8"/>
        <v>3.8271999999999999</v>
      </c>
      <c r="BC34" s="180">
        <f t="shared" si="9"/>
        <v>0.83149172247218628</v>
      </c>
      <c r="BD34" s="159">
        <f t="shared" si="24"/>
        <v>5.6436292253521128</v>
      </c>
      <c r="BE34" s="167">
        <v>0.90100000000000002</v>
      </c>
      <c r="BF34" s="25">
        <f t="shared" si="25"/>
        <v>3499.3299999999995</v>
      </c>
      <c r="BG34" s="25">
        <f t="shared" si="10"/>
        <v>116.12903225806451</v>
      </c>
      <c r="BH34" s="25">
        <f t="shared" si="26"/>
        <v>3251.6129032258041</v>
      </c>
      <c r="BI34" s="26">
        <f t="shared" si="11"/>
        <v>1</v>
      </c>
      <c r="BJ34" s="37">
        <f t="shared" si="27"/>
        <v>3251.6129032258041</v>
      </c>
      <c r="BK34" s="38"/>
      <c r="BL34" s="30">
        <v>158.495</v>
      </c>
      <c r="BM34" s="43"/>
      <c r="BN34" s="43">
        <v>69.108000000000004</v>
      </c>
      <c r="BO34" s="281"/>
      <c r="BP34" s="281"/>
      <c r="BQ34" s="44"/>
      <c r="BR34" s="45"/>
      <c r="BS34" s="46">
        <v>2.2000000000000002</v>
      </c>
      <c r="BT34" s="47"/>
      <c r="BU34" s="47"/>
      <c r="BV34" s="283"/>
      <c r="BW34" s="283"/>
      <c r="BX34" s="48"/>
      <c r="BY34" s="45"/>
      <c r="BZ34" s="46">
        <v>37.69</v>
      </c>
      <c r="CA34" s="47"/>
      <c r="CB34" s="47">
        <v>44.73</v>
      </c>
      <c r="CC34" s="283"/>
      <c r="CD34" s="283"/>
      <c r="CE34" s="48"/>
      <c r="CF34" s="49">
        <v>140.297</v>
      </c>
      <c r="CG34" s="49"/>
      <c r="CH34" s="43"/>
      <c r="CI34" s="32"/>
      <c r="CJ34" s="33">
        <v>1.78</v>
      </c>
      <c r="CK34" s="33"/>
      <c r="CL34" s="35"/>
      <c r="CM34" s="36"/>
      <c r="CN34" s="270"/>
      <c r="CO34" s="249">
        <f t="shared" si="30"/>
        <v>0</v>
      </c>
      <c r="CP34" s="12">
        <f t="shared" si="30"/>
        <v>155.00810999999999</v>
      </c>
      <c r="CQ34" s="12">
        <f t="shared" si="30"/>
        <v>0</v>
      </c>
      <c r="CR34" s="12">
        <f t="shared" si="30"/>
        <v>69.108000000000004</v>
      </c>
      <c r="CS34" s="11">
        <f t="shared" si="30"/>
        <v>0</v>
      </c>
      <c r="CT34" s="11">
        <f t="shared" si="30"/>
        <v>0</v>
      </c>
      <c r="CU34" s="272">
        <f t="shared" si="30"/>
        <v>0</v>
      </c>
      <c r="CV34" s="249">
        <f t="shared" si="13"/>
        <v>137.7997134</v>
      </c>
      <c r="CW34" s="12">
        <f t="shared" si="13"/>
        <v>0</v>
      </c>
      <c r="CX34" s="249">
        <f t="shared" si="13"/>
        <v>0</v>
      </c>
      <c r="CY34" s="272">
        <f t="shared" si="13"/>
        <v>0</v>
      </c>
      <c r="CZ34" s="13"/>
      <c r="DA34" s="240">
        <f>(D34+'[2]январь 20'!D34)/(AY34+'[2]январь 20'!AX34)</f>
        <v>2.2921874665893793</v>
      </c>
      <c r="DB34" s="241">
        <f>(T34+'[2]январь 20'!R34)/(AY34+'[2]январь 20'!AX34)</f>
        <v>1.4108128470679164</v>
      </c>
      <c r="DD34" s="292">
        <f t="shared" si="14"/>
        <v>8.9499999999999993</v>
      </c>
      <c r="DE34" s="291">
        <v>0.32</v>
      </c>
      <c r="DF34" s="291">
        <v>22.62</v>
      </c>
      <c r="DG34" s="145">
        <f t="shared" si="15"/>
        <v>8.92136</v>
      </c>
      <c r="DH34" s="293">
        <f t="shared" si="28"/>
        <v>2.6015362021400028</v>
      </c>
      <c r="DJ34" s="322"/>
    </row>
    <row r="35" spans="1:114" s="76" customFormat="1" ht="16.5" customHeight="1" thickBot="1">
      <c r="A35" s="144">
        <v>29</v>
      </c>
      <c r="B35" s="122">
        <f>'[1]январь 20'!K34</f>
        <v>280.35899999999998</v>
      </c>
      <c r="C35" s="123">
        <f t="shared" si="16"/>
        <v>1.4765201402487527</v>
      </c>
      <c r="D35" s="145">
        <f t="shared" si="17"/>
        <v>276.21944289999999</v>
      </c>
      <c r="E35" s="125">
        <f t="shared" si="18"/>
        <v>39.993718732054255</v>
      </c>
      <c r="F35" s="146">
        <f t="shared" si="19"/>
        <v>1.8102067166917888</v>
      </c>
      <c r="G35" s="127"/>
      <c r="H35" s="126">
        <f t="shared" si="20"/>
        <v>1.2230384881053806</v>
      </c>
      <c r="I35" s="230">
        <f>'[1]июль 20'!AI34</f>
        <v>0</v>
      </c>
      <c r="J35" s="247">
        <f>'[1]январь 20'!AA34</f>
        <v>11.372999999999999</v>
      </c>
      <c r="K35" s="276">
        <f>'[1]сентябрь 20'!AM34</f>
        <v>0</v>
      </c>
      <c r="L35" s="122">
        <f>'[1]январь 20'!AE34</f>
        <v>89.596000000000004</v>
      </c>
      <c r="M35" s="128">
        <f t="shared" si="21"/>
        <v>0.58716822858640816</v>
      </c>
      <c r="N35" s="400">
        <f>'[1]январь 20'!W34</f>
        <v>0</v>
      </c>
      <c r="O35" s="403">
        <f>'[1]январь 20'!AU34</f>
        <v>7.3079999999999998</v>
      </c>
      <c r="P35" s="401">
        <f t="shared" si="0"/>
        <v>171.834</v>
      </c>
      <c r="Q35" s="122">
        <f>'[1]январь 20'!S34</f>
        <v>171.834</v>
      </c>
      <c r="R35" s="123">
        <f t="shared" si="22"/>
        <v>1.93</v>
      </c>
      <c r="S35" s="129">
        <v>3.08</v>
      </c>
      <c r="T35" s="125">
        <f t="shared" si="1"/>
        <v>168.51760379999999</v>
      </c>
      <c r="U35" s="147">
        <f t="shared" si="2"/>
        <v>1.1043817012910415</v>
      </c>
      <c r="V35" s="130">
        <v>152.59</v>
      </c>
      <c r="W35" s="130">
        <v>152.59</v>
      </c>
      <c r="X35" s="129">
        <v>0.35</v>
      </c>
      <c r="Y35" s="150">
        <v>524</v>
      </c>
      <c r="Z35" s="150">
        <v>1159</v>
      </c>
      <c r="AA35" s="148" t="s">
        <v>155</v>
      </c>
      <c r="AB35" s="149">
        <v>76.72</v>
      </c>
      <c r="AC35" s="150">
        <v>112</v>
      </c>
      <c r="AD35" s="151">
        <v>4</v>
      </c>
      <c r="AE35" s="181">
        <v>2.7</v>
      </c>
      <c r="AF35" s="134">
        <f t="shared" si="3"/>
        <v>17.694475391572194</v>
      </c>
      <c r="AG35" s="182"/>
      <c r="AH35" s="129">
        <v>104.15</v>
      </c>
      <c r="AI35" s="134">
        <f t="shared" si="4"/>
        <v>682.54800445638648</v>
      </c>
      <c r="AJ35" s="136">
        <v>15.77</v>
      </c>
      <c r="AK35" s="154"/>
      <c r="AL35" s="155">
        <v>7.06</v>
      </c>
      <c r="AM35" s="183">
        <v>35.619999999999997</v>
      </c>
      <c r="AN35" s="126">
        <f t="shared" si="23"/>
        <v>0.18436853002070394</v>
      </c>
      <c r="AO35" s="184" t="s">
        <v>156</v>
      </c>
      <c r="AP35" s="183">
        <v>10.11</v>
      </c>
      <c r="AQ35" s="183">
        <v>6.61</v>
      </c>
      <c r="AR35" s="185"/>
      <c r="AS35" s="181">
        <v>9.51</v>
      </c>
      <c r="AT35" s="149">
        <v>193.2</v>
      </c>
      <c r="AU35" s="181">
        <v>2.0699999999999998</v>
      </c>
      <c r="AV35" s="149"/>
      <c r="AW35" s="149"/>
      <c r="AX35" s="158">
        <f t="shared" si="5"/>
        <v>0</v>
      </c>
      <c r="AY35" s="125">
        <f t="shared" si="6"/>
        <v>152.58999999999997</v>
      </c>
      <c r="AZ35" s="125">
        <f t="shared" si="29"/>
        <v>128.8306641185815</v>
      </c>
      <c r="BA35" s="159">
        <f t="shared" si="7"/>
        <v>7.6726278169014082</v>
      </c>
      <c r="BB35" s="160">
        <f t="shared" si="8"/>
        <v>6.1035999999999992</v>
      </c>
      <c r="BC35" s="161">
        <f t="shared" si="9"/>
        <v>1.059713908037563</v>
      </c>
      <c r="BD35" s="160">
        <f t="shared" si="24"/>
        <v>13.776227816901407</v>
      </c>
      <c r="BE35" s="162">
        <v>0.90700000000000003</v>
      </c>
      <c r="BF35" s="25">
        <f t="shared" si="25"/>
        <v>3651.9199999999996</v>
      </c>
      <c r="BG35" s="25">
        <f t="shared" si="10"/>
        <v>116.12903225806451</v>
      </c>
      <c r="BH35" s="25">
        <f t="shared" si="26"/>
        <v>3367.7419354838685</v>
      </c>
      <c r="BI35" s="26">
        <f t="shared" si="11"/>
        <v>1</v>
      </c>
      <c r="BJ35" s="37">
        <f t="shared" si="27"/>
        <v>3367.7419354838685</v>
      </c>
      <c r="BK35" s="38"/>
      <c r="BL35" s="31">
        <v>190.76300000000001</v>
      </c>
      <c r="BM35" s="31"/>
      <c r="BN35" s="31">
        <v>89.596000000000004</v>
      </c>
      <c r="BO35" s="40"/>
      <c r="BP35" s="40"/>
      <c r="BQ35" s="32"/>
      <c r="BR35" s="33"/>
      <c r="BS35" s="34">
        <v>2.17</v>
      </c>
      <c r="BT35" s="35"/>
      <c r="BU35" s="35"/>
      <c r="BV35" s="235"/>
      <c r="BW35" s="235"/>
      <c r="BX35" s="36"/>
      <c r="BY35" s="33"/>
      <c r="BZ35" s="34">
        <v>37.369999999999997</v>
      </c>
      <c r="CA35" s="35"/>
      <c r="CB35" s="35">
        <v>45.58</v>
      </c>
      <c r="CC35" s="235"/>
      <c r="CD35" s="235"/>
      <c r="CE35" s="36"/>
      <c r="CF35" s="30">
        <v>171.834</v>
      </c>
      <c r="CG35" s="30"/>
      <c r="CH35" s="31"/>
      <c r="CI35" s="50"/>
      <c r="CJ35" s="33">
        <v>1.93</v>
      </c>
      <c r="CK35" s="33"/>
      <c r="CL35" s="35"/>
      <c r="CM35" s="36"/>
      <c r="CN35" s="270"/>
      <c r="CO35" s="249">
        <f t="shared" si="30"/>
        <v>0</v>
      </c>
      <c r="CP35" s="12">
        <f t="shared" si="30"/>
        <v>186.62344289999999</v>
      </c>
      <c r="CQ35" s="12">
        <f t="shared" si="30"/>
        <v>0</v>
      </c>
      <c r="CR35" s="12">
        <f t="shared" si="30"/>
        <v>89.596000000000004</v>
      </c>
      <c r="CS35" s="11">
        <f t="shared" si="30"/>
        <v>0</v>
      </c>
      <c r="CT35" s="11">
        <f t="shared" si="30"/>
        <v>0</v>
      </c>
      <c r="CU35" s="272">
        <f t="shared" si="30"/>
        <v>0</v>
      </c>
      <c r="CV35" s="249">
        <f t="shared" si="13"/>
        <v>168.51760379999999</v>
      </c>
      <c r="CW35" s="12">
        <f t="shared" si="13"/>
        <v>0</v>
      </c>
      <c r="CX35" s="249">
        <f t="shared" si="13"/>
        <v>0</v>
      </c>
      <c r="CY35" s="272">
        <f t="shared" si="13"/>
        <v>0</v>
      </c>
      <c r="CZ35" s="13"/>
      <c r="DA35" s="240">
        <f>(D35+'[2]январь 20'!D35)/(AY35+'[2]январь 20'!AX35)</f>
        <v>1.7193135322796258</v>
      </c>
      <c r="DB35" s="241">
        <f>(T35+'[2]январь 20'!R35)/(AY35+'[2]январь 20'!AX35)</f>
        <v>1.0741432877250925</v>
      </c>
      <c r="DD35" s="292">
        <f t="shared" si="14"/>
        <v>11.372999999999999</v>
      </c>
      <c r="DE35" s="291">
        <v>0.44</v>
      </c>
      <c r="DF35" s="291">
        <v>21.18</v>
      </c>
      <c r="DG35" s="145">
        <f t="shared" si="15"/>
        <v>11.3229588</v>
      </c>
      <c r="DH35" s="293">
        <f t="shared" si="28"/>
        <v>3.1259158939520328</v>
      </c>
      <c r="DJ35" s="322"/>
    </row>
    <row r="36" spans="1:114" s="76" customFormat="1" ht="16.5" customHeight="1" thickBot="1">
      <c r="A36" s="144">
        <v>30</v>
      </c>
      <c r="B36" s="122">
        <f>'[1]январь 20'!K35</f>
        <v>242.45400000000001</v>
      </c>
      <c r="C36" s="123">
        <f t="shared" si="16"/>
        <v>1.155980928341046</v>
      </c>
      <c r="D36" s="145">
        <f t="shared" si="17"/>
        <v>239.65127799999999</v>
      </c>
      <c r="E36" s="125">
        <f t="shared" si="18"/>
        <v>39.744094797363623</v>
      </c>
      <c r="F36" s="146">
        <f t="shared" si="19"/>
        <v>2.4655481275720166</v>
      </c>
      <c r="G36" s="127"/>
      <c r="H36" s="126">
        <f t="shared" si="20"/>
        <v>1.6673176748971199</v>
      </c>
      <c r="I36" s="230">
        <f>'[1]июль 20'!AI35</f>
        <v>0</v>
      </c>
      <c r="J36" s="247">
        <f>'[1]январь 20'!AA35</f>
        <v>10.093999999999999</v>
      </c>
      <c r="K36" s="276">
        <f>'[1]сентябрь 20'!AM35</f>
        <v>0</v>
      </c>
      <c r="L36" s="122">
        <f>'[1]январь 20'!AE35</f>
        <v>77.587999999999994</v>
      </c>
      <c r="M36" s="128">
        <f t="shared" si="21"/>
        <v>0.79823045267489712</v>
      </c>
      <c r="N36" s="400">
        <f>'[1]январь 20'!W35</f>
        <v>0</v>
      </c>
      <c r="O36" s="403">
        <f>'[1]январь 20'!AU35</f>
        <v>5.2619999999999996</v>
      </c>
      <c r="P36" s="401">
        <f t="shared" si="0"/>
        <v>148.59200000000001</v>
      </c>
      <c r="Q36" s="122">
        <f>'[1]январь 20'!S35</f>
        <v>148.59200000000001</v>
      </c>
      <c r="R36" s="123">
        <f t="shared" si="22"/>
        <v>1.7499999999999998</v>
      </c>
      <c r="S36" s="129">
        <v>26.44</v>
      </c>
      <c r="T36" s="125">
        <f t="shared" si="1"/>
        <v>145.99164000000002</v>
      </c>
      <c r="U36" s="147">
        <f t="shared" si="2"/>
        <v>1.5019716049382719</v>
      </c>
      <c r="V36" s="130">
        <v>97.2</v>
      </c>
      <c r="W36" s="130">
        <v>31.66</v>
      </c>
      <c r="X36" s="129">
        <v>1.33</v>
      </c>
      <c r="Y36" s="150">
        <v>510</v>
      </c>
      <c r="Z36" s="150">
        <v>1127</v>
      </c>
      <c r="AA36" s="148" t="s">
        <v>130</v>
      </c>
      <c r="AB36" s="149">
        <v>76.56</v>
      </c>
      <c r="AC36" s="150">
        <v>97</v>
      </c>
      <c r="AD36" s="151">
        <v>3</v>
      </c>
      <c r="AE36" s="149">
        <v>4.1500000000000004</v>
      </c>
      <c r="AF36" s="134">
        <f t="shared" si="3"/>
        <v>42.695473251028815</v>
      </c>
      <c r="AG36" s="152"/>
      <c r="AH36" s="129">
        <v>51.55</v>
      </c>
      <c r="AI36" s="134">
        <f t="shared" si="4"/>
        <v>530.3497942386831</v>
      </c>
      <c r="AJ36" s="153">
        <v>11.91</v>
      </c>
      <c r="AK36" s="154"/>
      <c r="AL36" s="155">
        <v>3.86</v>
      </c>
      <c r="AM36" s="156">
        <v>29.79</v>
      </c>
      <c r="AN36" s="126">
        <f t="shared" si="23"/>
        <v>0.22941855987678089</v>
      </c>
      <c r="AO36" s="157" t="s">
        <v>157</v>
      </c>
      <c r="AP36" s="156">
        <v>12.05</v>
      </c>
      <c r="AQ36" s="156">
        <v>6.51</v>
      </c>
      <c r="AR36" s="151"/>
      <c r="AS36" s="149">
        <v>7.73</v>
      </c>
      <c r="AT36" s="149">
        <v>129.85</v>
      </c>
      <c r="AU36" s="149">
        <v>1</v>
      </c>
      <c r="AV36" s="149"/>
      <c r="AW36" s="149"/>
      <c r="AX36" s="158">
        <f t="shared" si="5"/>
        <v>0</v>
      </c>
      <c r="AY36" s="125">
        <f t="shared" si="6"/>
        <v>97.199999999999989</v>
      </c>
      <c r="AZ36" s="125">
        <f t="shared" si="29"/>
        <v>110.20131978117021</v>
      </c>
      <c r="BA36" s="159">
        <f t="shared" si="7"/>
        <v>3.0868285211267601</v>
      </c>
      <c r="BB36" s="160">
        <f t="shared" si="8"/>
        <v>3.8879999999999995</v>
      </c>
      <c r="BC36" s="161">
        <f t="shared" si="9"/>
        <v>0.78129641283695783</v>
      </c>
      <c r="BD36" s="160">
        <f t="shared" si="24"/>
        <v>6.97482852112676</v>
      </c>
      <c r="BE36" s="162">
        <v>0.90300000000000002</v>
      </c>
      <c r="BF36" s="25">
        <f t="shared" si="25"/>
        <v>3749.1199999999994</v>
      </c>
      <c r="BG36" s="25">
        <f t="shared" si="10"/>
        <v>116.12903225806451</v>
      </c>
      <c r="BH36" s="25">
        <f t="shared" si="26"/>
        <v>3483.8709677419329</v>
      </c>
      <c r="BI36" s="26">
        <f t="shared" si="11"/>
        <v>1</v>
      </c>
      <c r="BJ36" s="37">
        <f t="shared" si="27"/>
        <v>3483.8709677419329</v>
      </c>
      <c r="BK36" s="38"/>
      <c r="BL36" s="31">
        <v>164.86600000000001</v>
      </c>
      <c r="BM36" s="31"/>
      <c r="BN36" s="31">
        <v>77.587999999999994</v>
      </c>
      <c r="BO36" s="40"/>
      <c r="BP36" s="40"/>
      <c r="BQ36" s="32"/>
      <c r="BR36" s="33"/>
      <c r="BS36" s="34">
        <v>1.7</v>
      </c>
      <c r="BT36" s="35"/>
      <c r="BU36" s="35"/>
      <c r="BV36" s="235"/>
      <c r="BW36" s="235"/>
      <c r="BX36" s="36"/>
      <c r="BY36" s="33"/>
      <c r="BZ36" s="34">
        <v>37.04</v>
      </c>
      <c r="CA36" s="35"/>
      <c r="CB36" s="35">
        <v>45.49</v>
      </c>
      <c r="CC36" s="235"/>
      <c r="CD36" s="235"/>
      <c r="CE36" s="36"/>
      <c r="CF36" s="30">
        <v>148.59200000000001</v>
      </c>
      <c r="CG36" s="30"/>
      <c r="CH36" s="34"/>
      <c r="CI36" s="50"/>
      <c r="CJ36" s="33">
        <v>1.75</v>
      </c>
      <c r="CK36" s="33"/>
      <c r="CL36" s="35"/>
      <c r="CM36" s="36"/>
      <c r="CN36" s="270"/>
      <c r="CO36" s="249">
        <f t="shared" si="30"/>
        <v>0</v>
      </c>
      <c r="CP36" s="12">
        <f t="shared" si="30"/>
        <v>162.06327800000003</v>
      </c>
      <c r="CQ36" s="12">
        <f t="shared" si="30"/>
        <v>0</v>
      </c>
      <c r="CR36" s="12">
        <f t="shared" si="30"/>
        <v>77.587999999999994</v>
      </c>
      <c r="CS36" s="11">
        <f t="shared" si="30"/>
        <v>0</v>
      </c>
      <c r="CT36" s="11">
        <f t="shared" si="30"/>
        <v>0</v>
      </c>
      <c r="CU36" s="272">
        <f t="shared" si="30"/>
        <v>0</v>
      </c>
      <c r="CV36" s="249">
        <f t="shared" si="13"/>
        <v>145.99164000000002</v>
      </c>
      <c r="CW36" s="12">
        <f t="shared" si="13"/>
        <v>0</v>
      </c>
      <c r="CX36" s="249">
        <f t="shared" si="13"/>
        <v>0</v>
      </c>
      <c r="CY36" s="274">
        <f t="shared" si="13"/>
        <v>0</v>
      </c>
      <c r="CZ36" s="13"/>
      <c r="DA36" s="240">
        <f>(D36+'[2]январь 20'!D36)/(AY36+'[2]январь 20'!AX36)</f>
        <v>2.3237838625375669</v>
      </c>
      <c r="DB36" s="241">
        <f>(T36+'[2]январь 20'!R36)/(AY36+'[2]январь 20'!AX36)</f>
        <v>1.4309801385077747</v>
      </c>
      <c r="DD36" s="292">
        <f t="shared" si="14"/>
        <v>10.093999999999999</v>
      </c>
      <c r="DE36" s="291">
        <v>0.17</v>
      </c>
      <c r="DF36" s="291">
        <v>12.1</v>
      </c>
      <c r="DG36" s="145">
        <f t="shared" si="15"/>
        <v>10.076840199999999</v>
      </c>
      <c r="DH36" s="293">
        <f t="shared" si="28"/>
        <v>1.5926040545977009</v>
      </c>
      <c r="DJ36" s="322"/>
    </row>
    <row r="37" spans="1:114" s="76" customFormat="1" ht="16.5" customHeight="1" thickBot="1">
      <c r="A37" s="186">
        <v>31</v>
      </c>
      <c r="B37" s="122">
        <f>'[1]январь 20'!K36</f>
        <v>285.25099999999998</v>
      </c>
      <c r="C37" s="123">
        <f t="shared" si="16"/>
        <v>1.2992440692583023</v>
      </c>
      <c r="D37" s="187">
        <f t="shared" si="17"/>
        <v>281.54489329999996</v>
      </c>
      <c r="E37" s="285">
        <f t="shared" si="18"/>
        <v>39.852442375311568</v>
      </c>
      <c r="F37" s="189">
        <f t="shared" si="19"/>
        <v>1.7694984180755449</v>
      </c>
      <c r="G37" s="127"/>
      <c r="H37" s="126">
        <f t="shared" si="20"/>
        <v>1.1962220683803657</v>
      </c>
      <c r="I37" s="230">
        <f>'[1]июль 20'!AI36</f>
        <v>0</v>
      </c>
      <c r="J37" s="277">
        <f>'[1]январь 20'!AA36</f>
        <v>11.516999999999999</v>
      </c>
      <c r="K37" s="276">
        <f>'[1]сентябрь 20'!AM36</f>
        <v>0</v>
      </c>
      <c r="L37" s="122">
        <f>'[1]январь 20'!AE36</f>
        <v>91.213999999999999</v>
      </c>
      <c r="M37" s="128">
        <f t="shared" si="21"/>
        <v>0.57327634969517938</v>
      </c>
      <c r="N37" s="128">
        <f>'[1]январь 20'!W36</f>
        <v>0</v>
      </c>
      <c r="O37" s="399">
        <f>'[1]январь 20'!AU36</f>
        <v>5.8049999999999997</v>
      </c>
      <c r="P37" s="125">
        <f t="shared" si="0"/>
        <v>174.05600000000001</v>
      </c>
      <c r="Q37" s="122">
        <f>'[1]январь 20'!S36</f>
        <v>174.05600000000001</v>
      </c>
      <c r="R37" s="123">
        <f t="shared" si="22"/>
        <v>1.8100000000000003</v>
      </c>
      <c r="S37" s="190">
        <v>9.68</v>
      </c>
      <c r="T37" s="125">
        <f t="shared" si="1"/>
        <v>170.9055864</v>
      </c>
      <c r="U37" s="191">
        <f t="shared" si="2"/>
        <v>1.0741347897680849</v>
      </c>
      <c r="V37" s="192">
        <v>159.11000000000001</v>
      </c>
      <c r="W37" s="192">
        <v>159.11000000000001</v>
      </c>
      <c r="X37" s="190">
        <v>0.44</v>
      </c>
      <c r="Y37" s="193">
        <v>503</v>
      </c>
      <c r="Z37" s="194">
        <v>1154</v>
      </c>
      <c r="AA37" s="195" t="s">
        <v>159</v>
      </c>
      <c r="AB37" s="196">
        <v>76.56</v>
      </c>
      <c r="AC37" s="194">
        <v>114</v>
      </c>
      <c r="AD37" s="193">
        <v>4</v>
      </c>
      <c r="AE37" s="196"/>
      <c r="AF37" s="134">
        <f t="shared" si="3"/>
        <v>0</v>
      </c>
      <c r="AG37" s="197"/>
      <c r="AH37" s="190">
        <v>99.15</v>
      </c>
      <c r="AI37" s="134">
        <f t="shared" si="4"/>
        <v>623.15379297341451</v>
      </c>
      <c r="AJ37" s="196">
        <v>13.71</v>
      </c>
      <c r="AK37" s="198"/>
      <c r="AL37" s="199">
        <v>4.1399999999999997</v>
      </c>
      <c r="AM37" s="200">
        <v>29.8</v>
      </c>
      <c r="AN37" s="126">
        <f t="shared" si="23"/>
        <v>0.15436415436415435</v>
      </c>
      <c r="AO37" s="201" t="s">
        <v>160</v>
      </c>
      <c r="AP37" s="200">
        <v>10.83</v>
      </c>
      <c r="AQ37" s="201">
        <v>6.69</v>
      </c>
      <c r="AR37" s="193"/>
      <c r="AS37" s="196">
        <v>10.49</v>
      </c>
      <c r="AT37" s="242">
        <v>193.05</v>
      </c>
      <c r="AU37" s="196"/>
      <c r="AV37" s="196"/>
      <c r="AW37" s="196"/>
      <c r="AX37" s="202">
        <f t="shared" si="5"/>
        <v>0</v>
      </c>
      <c r="AY37" s="188">
        <f t="shared" si="6"/>
        <v>159.11000000000001</v>
      </c>
      <c r="AZ37" s="125">
        <f t="shared" si="29"/>
        <v>129.97850042800681</v>
      </c>
      <c r="BA37" s="203">
        <f t="shared" si="7"/>
        <v>8.056984859154932</v>
      </c>
      <c r="BB37" s="204">
        <f t="shared" si="8"/>
        <v>6.3644000000000007</v>
      </c>
      <c r="BC37" s="205">
        <f t="shared" si="9"/>
        <v>1.0856674159239577</v>
      </c>
      <c r="BD37" s="206">
        <f t="shared" si="24"/>
        <v>14.421384859154934</v>
      </c>
      <c r="BE37" s="207">
        <v>0.90900000000000003</v>
      </c>
      <c r="BF37" s="25">
        <f t="shared" si="25"/>
        <v>3908.2299999999996</v>
      </c>
      <c r="BG37" s="25">
        <f t="shared" si="10"/>
        <v>116.12903225806451</v>
      </c>
      <c r="BH37" s="25">
        <f t="shared" si="26"/>
        <v>3599.9999999999973</v>
      </c>
      <c r="BI37" s="26">
        <f t="shared" si="11"/>
        <v>1</v>
      </c>
      <c r="BJ37" s="37">
        <f t="shared" si="27"/>
        <v>3599.9999999999973</v>
      </c>
      <c r="BK37" s="51"/>
      <c r="BL37" s="53">
        <v>194.03700000000001</v>
      </c>
      <c r="BM37" s="53"/>
      <c r="BN37" s="53">
        <v>91.213999999999999</v>
      </c>
      <c r="BO37" s="282"/>
      <c r="BP37" s="282"/>
      <c r="BQ37" s="54"/>
      <c r="BR37" s="55"/>
      <c r="BS37" s="52">
        <v>1.91</v>
      </c>
      <c r="BT37" s="56"/>
      <c r="BU37" s="56"/>
      <c r="BV37" s="284"/>
      <c r="BW37" s="284"/>
      <c r="BX37" s="57"/>
      <c r="BY37" s="55"/>
      <c r="BZ37" s="52">
        <v>37.159999999999997</v>
      </c>
      <c r="CA37" s="56"/>
      <c r="CB37" s="56">
        <v>45.58</v>
      </c>
      <c r="CC37" s="284"/>
      <c r="CD37" s="284"/>
      <c r="CE37" s="57"/>
      <c r="CF37" s="58">
        <v>174.05600000000001</v>
      </c>
      <c r="CG37" s="58"/>
      <c r="CH37" s="52"/>
      <c r="CI37" s="54"/>
      <c r="CJ37" s="33">
        <v>1.81</v>
      </c>
      <c r="CK37" s="265"/>
      <c r="CL37" s="59"/>
      <c r="CM37" s="60"/>
      <c r="CN37" s="270"/>
      <c r="CO37" s="269">
        <f t="shared" si="30"/>
        <v>0</v>
      </c>
      <c r="CP37" s="18">
        <f t="shared" si="30"/>
        <v>190.33089330000001</v>
      </c>
      <c r="CQ37" s="18">
        <f t="shared" si="30"/>
        <v>0</v>
      </c>
      <c r="CR37" s="18">
        <f t="shared" si="30"/>
        <v>91.213999999999999</v>
      </c>
      <c r="CS37" s="251">
        <f t="shared" si="30"/>
        <v>0</v>
      </c>
      <c r="CT37" s="11">
        <f t="shared" si="30"/>
        <v>0</v>
      </c>
      <c r="CU37" s="273">
        <f t="shared" si="30"/>
        <v>0</v>
      </c>
      <c r="CV37" s="269">
        <f t="shared" si="13"/>
        <v>170.9055864</v>
      </c>
      <c r="CW37" s="18">
        <f t="shared" si="13"/>
        <v>0</v>
      </c>
      <c r="CX37" s="261">
        <f t="shared" si="13"/>
        <v>0</v>
      </c>
      <c r="CY37" s="273">
        <f t="shared" si="13"/>
        <v>0</v>
      </c>
      <c r="CZ37" s="13"/>
      <c r="DA37" s="240">
        <f>(D37+'[2]январь 20'!D37)/(AY37+'[2]январь 20'!AX37)</f>
        <v>1.9674859830084701</v>
      </c>
      <c r="DB37" s="241">
        <f>(T37+'[2]январь 20'!R37)/(AY37+'[2]январь 20'!AX37)</f>
        <v>1.211362349219308</v>
      </c>
      <c r="DD37" s="292">
        <f t="shared" si="14"/>
        <v>11.516999999999999</v>
      </c>
      <c r="DE37" s="294">
        <v>0.41</v>
      </c>
      <c r="DF37" s="294">
        <v>13.59</v>
      </c>
      <c r="DG37" s="323">
        <f t="shared" si="15"/>
        <v>11.4697803</v>
      </c>
      <c r="DH37" s="293">
        <f t="shared" si="28"/>
        <v>2.0359758918103448</v>
      </c>
      <c r="DJ37" s="322"/>
    </row>
    <row r="38" spans="1:114" s="214" customFormat="1" ht="16.5" customHeight="1" thickBot="1">
      <c r="A38" s="91" t="s">
        <v>56</v>
      </c>
      <c r="B38" s="92">
        <f>SUM(B7:B37)</f>
        <v>8385.3340000000026</v>
      </c>
      <c r="C38" s="330"/>
      <c r="D38" s="331">
        <f>SUM(D7:D37)</f>
        <v>8158.6537879399293</v>
      </c>
      <c r="E38" s="332"/>
      <c r="F38" s="331"/>
      <c r="G38" s="333">
        <f>SUM(G7:G37)</f>
        <v>0</v>
      </c>
      <c r="H38" s="329"/>
      <c r="I38" s="334">
        <f>SUM(I7:I37)</f>
        <v>0</v>
      </c>
      <c r="J38" s="329">
        <f>SUM(J7:J37)</f>
        <v>334.60799999999995</v>
      </c>
      <c r="K38" s="329">
        <f>SUM(K7:K37)</f>
        <v>0</v>
      </c>
      <c r="L38" s="396">
        <f>SUM(L7:L37)</f>
        <v>2594.1899999999996</v>
      </c>
      <c r="M38" s="335"/>
      <c r="N38" s="329">
        <f>SUM(N7:N37)</f>
        <v>20.901999999999997</v>
      </c>
      <c r="O38" s="418">
        <f>SUM(O7:O37)</f>
        <v>101.83600000000001</v>
      </c>
      <c r="P38" s="330">
        <f>SUM(P7:P37)</f>
        <v>5143.5540019999989</v>
      </c>
      <c r="Q38" s="396">
        <f>SUM(Q7:Q37)</f>
        <v>5143.5839999999989</v>
      </c>
      <c r="R38" s="336">
        <f>IF(Q38=0,0,(CA38*CH38+CE38*CI38+CF38*CJ38)/Q38)</f>
        <v>0</v>
      </c>
      <c r="S38" s="398">
        <f>SUM(S7:S37)</f>
        <v>445.58999999999992</v>
      </c>
      <c r="T38" s="331">
        <f>SUM(T7:T37)</f>
        <v>5051.5420138999998</v>
      </c>
      <c r="U38" s="337"/>
      <c r="V38" s="90">
        <f>SUM(V7:V37)</f>
        <v>3466.67</v>
      </c>
      <c r="W38" s="229">
        <f>SUM(W7:W37)</f>
        <v>2703.2799999999997</v>
      </c>
      <c r="X38" s="338"/>
      <c r="Y38" s="337"/>
      <c r="Z38" s="339"/>
      <c r="AA38" s="340"/>
      <c r="AB38" s="338"/>
      <c r="AC38" s="339"/>
      <c r="AD38" s="339">
        <f>SUM(AD7:AD37)</f>
        <v>121</v>
      </c>
      <c r="AE38" s="90">
        <f>SUM(AE7:AE37)</f>
        <v>369.84999999999991</v>
      </c>
      <c r="AF38" s="341"/>
      <c r="AG38" s="342">
        <f>SUM(AG7:AG37)</f>
        <v>0</v>
      </c>
      <c r="AH38" s="90">
        <f>SUM(AH7:AH37)</f>
        <v>2335.7500000000005</v>
      </c>
      <c r="AI38" s="341"/>
      <c r="AJ38" s="332">
        <f>SUM(AJ7:AJ37)</f>
        <v>435.51</v>
      </c>
      <c r="AK38" s="343"/>
      <c r="AL38" s="397">
        <f>SUM(AL7:AL37)</f>
        <v>208.70000000000005</v>
      </c>
      <c r="AM38" s="417">
        <f>SUM(AM7:AM37)</f>
        <v>1095.94</v>
      </c>
      <c r="AN38" s="345"/>
      <c r="AO38" s="342"/>
      <c r="AP38" s="332"/>
      <c r="AQ38" s="342"/>
      <c r="AR38" s="342"/>
      <c r="AS38" s="346"/>
      <c r="AT38" s="332">
        <f>SUM(AT7:AT37)</f>
        <v>5162.8000000000011</v>
      </c>
      <c r="AU38" s="332">
        <f>SUM(AU7:AU37)</f>
        <v>50.070000000000007</v>
      </c>
      <c r="AV38" s="347">
        <f>SUM(AV7:AV37)</f>
        <v>0</v>
      </c>
      <c r="AW38" s="332">
        <f>SUM(AW7:AW37)</f>
        <v>0</v>
      </c>
      <c r="AX38" s="331"/>
      <c r="AY38" s="90">
        <f>SUM(AY7:AY37)</f>
        <v>3908.2299999999996</v>
      </c>
      <c r="AZ38" s="330">
        <f>SUM(AZ7:AZ37)</f>
        <v>3817.6597176160703</v>
      </c>
      <c r="BA38" s="342">
        <f>SUM(BA7:BA37)</f>
        <v>164.42502535211273</v>
      </c>
      <c r="BB38" s="342">
        <f>SUM(BB7:BB37)</f>
        <v>156.32920000000001</v>
      </c>
      <c r="BC38" s="332"/>
      <c r="BD38" s="89">
        <f>SUM(BD7:BD37)</f>
        <v>320.75422535211266</v>
      </c>
      <c r="BE38" s="348"/>
      <c r="BF38" s="19"/>
      <c r="BG38" s="19">
        <f t="shared" si="10"/>
        <v>0</v>
      </c>
      <c r="BH38" s="19"/>
      <c r="BI38" s="208">
        <f>SUM(BI7:BI37)</f>
        <v>31</v>
      </c>
      <c r="BJ38" s="209"/>
      <c r="BK38" s="278">
        <f t="shared" ref="BK38:BQ38" si="31">SUM(BK7:BK37)</f>
        <v>874.53700099999992</v>
      </c>
      <c r="BL38" s="61">
        <f t="shared" si="31"/>
        <v>4916.607</v>
      </c>
      <c r="BM38" s="61">
        <f t="shared" si="31"/>
        <v>9.9999999999999995E-7</v>
      </c>
      <c r="BN38" s="61">
        <f t="shared" si="31"/>
        <v>1817.4359999999997</v>
      </c>
      <c r="BO38" s="61">
        <f t="shared" si="31"/>
        <v>9.9999999999999995E-7</v>
      </c>
      <c r="BP38" s="61">
        <f t="shared" si="31"/>
        <v>9.9999999999999995E-7</v>
      </c>
      <c r="BQ38" s="64">
        <f t="shared" si="31"/>
        <v>776.75399999999991</v>
      </c>
      <c r="BR38" s="63"/>
      <c r="BS38" s="24"/>
      <c r="BT38" s="24"/>
      <c r="BU38" s="24"/>
      <c r="BV38" s="62"/>
      <c r="BW38" s="62"/>
      <c r="BX38" s="65"/>
      <c r="BY38" s="63"/>
      <c r="BZ38" s="24"/>
      <c r="CA38" s="24"/>
      <c r="CB38" s="24"/>
      <c r="CC38" s="62"/>
      <c r="CD38" s="62"/>
      <c r="CE38" s="62"/>
      <c r="CF38" s="66">
        <f>SUM(CF7:CF37)</f>
        <v>2046.7870010000004</v>
      </c>
      <c r="CG38" s="66">
        <f>SUM(CG7:CG37)</f>
        <v>2334.35</v>
      </c>
      <c r="CH38" s="61">
        <f>SUM(CH7:CH37)</f>
        <v>762.41699999999992</v>
      </c>
      <c r="CI38" s="67">
        <f>SUM(CI7:CI37)</f>
        <v>9.9999999999999995E-7</v>
      </c>
      <c r="CJ38" s="210"/>
      <c r="CK38" s="266"/>
      <c r="CL38" s="211"/>
      <c r="CM38" s="212"/>
      <c r="CN38" s="213"/>
      <c r="CO38" s="68">
        <f t="shared" ref="CO38:CY38" si="32">SUM(CO7:CO37)</f>
        <v>762.35037720000003</v>
      </c>
      <c r="CP38" s="69">
        <f t="shared" si="32"/>
        <v>4802.1134129999991</v>
      </c>
      <c r="CQ38" s="70">
        <f t="shared" si="32"/>
        <v>9.9999998999999992E-7</v>
      </c>
      <c r="CR38" s="69">
        <f t="shared" si="32"/>
        <v>1817.4359991979597</v>
      </c>
      <c r="CS38" s="72">
        <f t="shared" si="32"/>
        <v>9.9999998999999992E-7</v>
      </c>
      <c r="CT38" s="72">
        <f t="shared" si="32"/>
        <v>9.9999998999999992E-7</v>
      </c>
      <c r="CU38" s="71">
        <f t="shared" si="32"/>
        <v>776.75399954196996</v>
      </c>
      <c r="CV38" s="72">
        <f t="shared" si="32"/>
        <v>2010.7351627999999</v>
      </c>
      <c r="CW38" s="72">
        <f t="shared" si="32"/>
        <v>2293.0709947</v>
      </c>
      <c r="CX38" s="72">
        <f t="shared" si="32"/>
        <v>747.70585740000001</v>
      </c>
      <c r="CY38" s="72">
        <f t="shared" si="32"/>
        <v>9.9999998999999992E-7</v>
      </c>
      <c r="CZ38" s="70"/>
      <c r="DA38" s="240">
        <f>(D38+'[2]январь 20'!D38)/(AY38+'[2]январь 20'!AX38)</f>
        <v>2.0999526452515989</v>
      </c>
      <c r="DB38" s="241">
        <f>(T38+'[2]январь 20'!R38)/(AY38+'[2]январь 20'!AX38)</f>
        <v>1.2879709840030753</v>
      </c>
      <c r="DD38" s="295">
        <f>SUM(DD7:DD37)</f>
        <v>334.60799999999995</v>
      </c>
      <c r="DE38" s="296">
        <f>(SUMPRODUCT(DD7:DD37,DE7:DE37))/DD38</f>
        <v>0.403050704107493</v>
      </c>
      <c r="DF38" s="296">
        <f>(SUMPRODUCT(DD7:DD37,DF7:DF37))/DD38</f>
        <v>14.911050991010377</v>
      </c>
      <c r="DG38" s="296">
        <f>(SUMPRODUCT(DE7:DE37,DG7:DG37))/DE38</f>
        <v>332.93658968329629</v>
      </c>
      <c r="DH38" s="324">
        <f>IF(J38=0,0,(DG38*DF38%)/(AB39/100))</f>
        <v>65.148437390667354</v>
      </c>
    </row>
    <row r="39" spans="1:114" s="214" customFormat="1" ht="16.5" customHeight="1" thickBot="1">
      <c r="A39" s="93" t="s">
        <v>57</v>
      </c>
      <c r="B39" s="349">
        <f>B38/AU2</f>
        <v>270.49464516129041</v>
      </c>
      <c r="C39" s="349">
        <f>(BK38*BR39+BM38*BT39+BQ38*BX39+BL38*BS39+BN38*BU39+BO38*BV39+BP38*BW39)/B38</f>
        <v>2.703293775299469</v>
      </c>
      <c r="D39" s="350">
        <f>D38/AU2</f>
        <v>263.18238025612675</v>
      </c>
      <c r="E39" s="349">
        <f>(BK38*BY39+BM38*CA39+BQ38*CE39+BL38*BZ39+BN38*CB39+BO38*CC39+BP38*CD39)/B38</f>
        <v>40.145061087608426</v>
      </c>
      <c r="F39" s="351">
        <f>IF($AY$38=0,0,$D$38/$AY$38)</f>
        <v>2.0875572287045365</v>
      </c>
      <c r="G39" s="352">
        <f>G38/AU2</f>
        <v>0</v>
      </c>
      <c r="H39" s="353">
        <f>IF($AY$38=0,0,(CP38+CO38+CS38+CQ38+CT38)/AY38)</f>
        <v>1.4237810449231496</v>
      </c>
      <c r="I39" s="349">
        <f>I38/AU2</f>
        <v>0</v>
      </c>
      <c r="J39" s="349">
        <f>J38/AU2</f>
        <v>10.793806451612902</v>
      </c>
      <c r="K39" s="349">
        <f>K38/AU2</f>
        <v>0</v>
      </c>
      <c r="L39" s="349">
        <f>L38/AU2</f>
        <v>83.683548387096764</v>
      </c>
      <c r="M39" s="354">
        <f>IF($AY$38=0,0,(CR38+CU38)/$AY$38)</f>
        <v>0.66377618480486822</v>
      </c>
      <c r="N39" s="349">
        <f>N38/AU2</f>
        <v>0.67425806451612891</v>
      </c>
      <c r="O39" s="349">
        <f>O38/AU2</f>
        <v>3.2850322580645166</v>
      </c>
      <c r="P39" s="349">
        <f>P38/AU2</f>
        <v>165.92109683870964</v>
      </c>
      <c r="Q39" s="349">
        <f>Q38/AU2</f>
        <v>165.92206451612898</v>
      </c>
      <c r="R39" s="349">
        <f>(SUMPRODUCT(R7:R37,Q7:Q37))/Q38</f>
        <v>1.7894523760086363</v>
      </c>
      <c r="S39" s="355">
        <f>S38/AU2</f>
        <v>14.373870967741933</v>
      </c>
      <c r="T39" s="356"/>
      <c r="U39" s="354">
        <f>IF($AY$38=0,0,$T$38/$AY$38)</f>
        <v>1.292539593089455</v>
      </c>
      <c r="V39" s="349">
        <f>V38/AU2</f>
        <v>111.82806451612903</v>
      </c>
      <c r="W39" s="349">
        <f>W38/AU2</f>
        <v>87.202580645161277</v>
      </c>
      <c r="X39" s="349">
        <f>(SUMPRODUCT(X7:X37,AY7:AY37))/AY38</f>
        <v>0.7701370697220995</v>
      </c>
      <c r="Y39" s="357">
        <f>AVERAGE(Y7:Y37)</f>
        <v>534.67741935483866</v>
      </c>
      <c r="Z39" s="357">
        <f>AVERAGE(Z7:Z37)</f>
        <v>1183.2903225806451</v>
      </c>
      <c r="AA39" s="357"/>
      <c r="AB39" s="349">
        <f>(SUMPRODUCT(AB7:AB37,AY7:AY37))/AY38</f>
        <v>76.201896229239338</v>
      </c>
      <c r="AC39" s="358">
        <f>AVERAGE(AC7:AC37)</f>
        <v>108.3225806451613</v>
      </c>
      <c r="AD39" s="358">
        <f>AVERAGE(AD7:AD37)</f>
        <v>3.903225806451613</v>
      </c>
      <c r="AE39" s="349">
        <f>AE38/AU2</f>
        <v>11.93064516129032</v>
      </c>
      <c r="AF39" s="355">
        <f>IF(AY38=0,0,AE38/AY38*1000)</f>
        <v>94.633632104558828</v>
      </c>
      <c r="AG39" s="356" t="e">
        <f>AG38/$AW$2</f>
        <v>#DIV/0!</v>
      </c>
      <c r="AH39" s="349">
        <f>AH38/AU2</f>
        <v>75.346774193548399</v>
      </c>
      <c r="AI39" s="355">
        <f>IF(AY38=0,0,AH38/AY38*1000)</f>
        <v>597.64906364262106</v>
      </c>
      <c r="AJ39" s="349">
        <f>AJ38/AU2</f>
        <v>14.048709677419355</v>
      </c>
      <c r="AK39" s="359"/>
      <c r="AL39" s="349">
        <f>AL38/AU2</f>
        <v>6.7322580645161301</v>
      </c>
      <c r="AM39" s="349">
        <f>AM38/AU2</f>
        <v>35.35290322580645</v>
      </c>
      <c r="AN39" s="360">
        <f>IF(AM39=0,0,AM39/AT39)</f>
        <v>0.21227628418687527</v>
      </c>
      <c r="AO39" s="356"/>
      <c r="AP39" s="349">
        <f>AVERAGE(AP7:AP37)</f>
        <v>13.903225806451612</v>
      </c>
      <c r="AQ39" s="349">
        <f>AVERAGE(AQ7:AQ37)</f>
        <v>6.4812903225806444</v>
      </c>
      <c r="AR39" s="356"/>
      <c r="AS39" s="349">
        <f>AVERAGE(AS7:AS37)</f>
        <v>9.0616129032258073</v>
      </c>
      <c r="AT39" s="349">
        <f>AT38/AU2</f>
        <v>166.54193548387101</v>
      </c>
      <c r="AU39" s="349">
        <f>AU38/AU2</f>
        <v>1.6151612903225809</v>
      </c>
      <c r="AV39" s="349" t="e">
        <f>AV38/$AW$2</f>
        <v>#DIV/0!</v>
      </c>
      <c r="AW39" s="349" t="e">
        <f>AW38/$AW$2</f>
        <v>#DIV/0!</v>
      </c>
      <c r="AX39" s="349" t="e">
        <f>IF(AY39=0,0,AW39/AY39*100)</f>
        <v>#DIV/0!</v>
      </c>
      <c r="AY39" s="349">
        <f>AY38/AU2</f>
        <v>126.07193548387096</v>
      </c>
      <c r="AZ39" s="349">
        <f>AZ38/AU2</f>
        <v>123.15031347148614</v>
      </c>
      <c r="BA39" s="356"/>
      <c r="BB39" s="356"/>
      <c r="BC39" s="351">
        <f>(AY38*AB39)/(D38*E39)</f>
        <v>0.90927503087971595</v>
      </c>
      <c r="BD39" s="349">
        <f>BD38/AU2</f>
        <v>10.346910495229441</v>
      </c>
      <c r="BE39" s="361"/>
      <c r="BF39" s="19"/>
      <c r="BG39" s="19"/>
      <c r="BH39" s="19"/>
      <c r="BI39" s="19"/>
      <c r="BJ39" s="215"/>
      <c r="BK39" s="73"/>
      <c r="BL39" s="216"/>
      <c r="BM39" s="216"/>
      <c r="BN39" s="216"/>
      <c r="BO39" s="219"/>
      <c r="BP39" s="219"/>
      <c r="BQ39" s="217"/>
      <c r="BR39" s="73">
        <f t="shared" ref="BR39:BX39" si="33">(SUMPRODUCT(BK7:BK37,BR7:BR37))/BK38</f>
        <v>12.828116325749381</v>
      </c>
      <c r="BS39" s="29">
        <f t="shared" si="33"/>
        <v>2.3287113857178334</v>
      </c>
      <c r="BT39" s="29">
        <f t="shared" si="33"/>
        <v>9.9999999999999995E-7</v>
      </c>
      <c r="BU39" s="29">
        <f t="shared" si="33"/>
        <v>4.4130302249982944E-8</v>
      </c>
      <c r="BV39" s="29">
        <f t="shared" si="33"/>
        <v>9.9999999999999995E-7</v>
      </c>
      <c r="BW39" s="29">
        <f t="shared" si="33"/>
        <v>9.9999999999999995E-7</v>
      </c>
      <c r="BX39" s="74">
        <f t="shared" si="33"/>
        <v>5.8967189097191649E-8</v>
      </c>
      <c r="BY39" s="73">
        <f t="shared" ref="BY39:CE39" si="34">(SUMPRODUCT(BK7:BK37,BY7:BY37))/BK38</f>
        <v>42.242988836100714</v>
      </c>
      <c r="BZ39" s="29">
        <f t="shared" si="34"/>
        <v>37.003343305657751</v>
      </c>
      <c r="CA39" s="29">
        <f t="shared" si="34"/>
        <v>9.9999999999999995E-7</v>
      </c>
      <c r="CB39" s="29">
        <f t="shared" si="34"/>
        <v>45.871159011926707</v>
      </c>
      <c r="CC39" s="29">
        <f t="shared" si="34"/>
        <v>9.9999999999999995E-7</v>
      </c>
      <c r="CD39" s="29">
        <f t="shared" si="34"/>
        <v>9.9999999999999995E-7</v>
      </c>
      <c r="CE39" s="74">
        <f t="shared" si="34"/>
        <v>44.271283353545662</v>
      </c>
      <c r="CF39" s="218"/>
      <c r="CG39" s="218"/>
      <c r="CH39" s="216"/>
      <c r="CI39" s="219"/>
      <c r="CJ39" s="75">
        <f>(SUMPRODUCT(CF7:CF37,CJ7:CJ37))/CF38</f>
        <v>1.7613869045673114</v>
      </c>
      <c r="CK39" s="75">
        <f>(SUMPRODUCT(CG7:CG37,CK7:CK37))/CG38</f>
        <v>1.7683297406130187</v>
      </c>
      <c r="CL39" s="29">
        <f>(SUMPRODUCT(CH7:CH37,CL7:CL37))/CH38</f>
        <v>1.9295402122460552</v>
      </c>
      <c r="CM39" s="74">
        <f>(SUMPRODUCT(CI7:CI37,CM7:CM37))/CI38</f>
        <v>9.9999999999999995E-7</v>
      </c>
      <c r="CN39" s="19"/>
      <c r="CO39" s="596">
        <f>CO38+CP38</f>
        <v>5564.4637901999995</v>
      </c>
      <c r="CP39" s="596"/>
      <c r="CQ39" s="597">
        <f>CQ38+CR38+CU38+CS38+CT38</f>
        <v>2594.1900017399294</v>
      </c>
      <c r="CR39" s="597"/>
      <c r="CS39" s="597"/>
      <c r="CT39" s="597"/>
      <c r="CU39" s="597"/>
      <c r="CV39" s="597">
        <f>CV38+CX38+CY38+CW38</f>
        <v>5051.5120158999998</v>
      </c>
      <c r="CW39" s="597"/>
      <c r="CX39" s="597"/>
      <c r="CY39" s="597"/>
      <c r="DA39" s="236"/>
      <c r="DB39" s="238"/>
      <c r="DD39" s="297"/>
      <c r="DE39" s="298"/>
      <c r="DF39" s="298"/>
      <c r="DG39" s="299"/>
      <c r="DH39" s="300"/>
    </row>
    <row r="40" spans="1:114" s="214" customFormat="1" ht="16.5" customHeight="1" thickBot="1">
      <c r="A40" s="94" t="s">
        <v>58</v>
      </c>
      <c r="B40" s="362"/>
      <c r="C40" s="362"/>
      <c r="D40" s="363"/>
      <c r="E40" s="364">
        <v>39.9</v>
      </c>
      <c r="F40" s="363">
        <v>2.08</v>
      </c>
      <c r="G40" s="365"/>
      <c r="H40" s="410">
        <v>1.4144000000000001</v>
      </c>
      <c r="I40" s="363"/>
      <c r="J40" s="363">
        <v>9.2899999999999991</v>
      </c>
      <c r="K40" s="363"/>
      <c r="L40" s="363"/>
      <c r="M40" s="410">
        <v>0.66559999999999997</v>
      </c>
      <c r="N40" s="363"/>
      <c r="O40" s="363">
        <v>5.806</v>
      </c>
      <c r="P40" s="366"/>
      <c r="Q40" s="362"/>
      <c r="R40" s="367"/>
      <c r="S40" s="368">
        <v>13.587092999999999</v>
      </c>
      <c r="T40" s="362"/>
      <c r="U40" s="369">
        <v>1.3</v>
      </c>
      <c r="V40" s="370">
        <v>3600</v>
      </c>
      <c r="W40" s="370">
        <v>3600</v>
      </c>
      <c r="X40" s="371"/>
      <c r="Y40" s="371"/>
      <c r="Z40" s="372">
        <v>1190</v>
      </c>
      <c r="AA40" s="372"/>
      <c r="AB40" s="362">
        <v>76</v>
      </c>
      <c r="AC40" s="362"/>
      <c r="AD40" s="362"/>
      <c r="AE40" s="362"/>
      <c r="AF40" s="362"/>
      <c r="AG40" s="362"/>
      <c r="AH40" s="362"/>
      <c r="AI40" s="362">
        <v>620</v>
      </c>
      <c r="AJ40" s="373"/>
      <c r="AK40" s="374"/>
      <c r="AL40" s="375"/>
      <c r="AM40" s="362"/>
      <c r="AN40" s="362"/>
      <c r="AO40" s="362"/>
      <c r="AP40" s="362"/>
      <c r="AQ40" s="362"/>
      <c r="AR40" s="362"/>
      <c r="AS40" s="362"/>
      <c r="AT40" s="376">
        <v>3600</v>
      </c>
      <c r="AU40" s="377">
        <v>25.2</v>
      </c>
      <c r="AV40" s="377"/>
      <c r="AW40" s="378"/>
      <c r="AX40" s="362"/>
      <c r="AY40" s="379">
        <v>116.13</v>
      </c>
      <c r="AZ40" s="362"/>
      <c r="BA40" s="362"/>
      <c r="BB40" s="362"/>
      <c r="BC40" s="363">
        <v>0.9</v>
      </c>
      <c r="BD40" s="362"/>
      <c r="BE40" s="380"/>
      <c r="BF40" s="19"/>
      <c r="BG40" s="19"/>
      <c r="BH40" s="19"/>
      <c r="BI40" s="19"/>
      <c r="BJ40" s="215"/>
      <c r="BK40" s="220"/>
      <c r="BL40" s="221"/>
      <c r="BM40" s="216"/>
      <c r="BN40" s="216"/>
      <c r="BO40" s="219"/>
      <c r="BP40" s="219"/>
      <c r="BQ40" s="217"/>
      <c r="BR40" s="218"/>
      <c r="BS40" s="216"/>
      <c r="BT40" s="216"/>
      <c r="BU40" s="216"/>
      <c r="BV40" s="219"/>
      <c r="BW40" s="219"/>
      <c r="BX40" s="217"/>
      <c r="BY40" s="218"/>
      <c r="BZ40" s="216"/>
      <c r="CA40" s="216"/>
      <c r="CB40" s="216"/>
      <c r="CC40" s="219"/>
      <c r="CD40" s="219"/>
      <c r="CE40" s="217"/>
      <c r="CF40" s="218"/>
      <c r="CG40" s="218"/>
      <c r="CH40" s="216"/>
      <c r="CI40" s="219"/>
      <c r="CJ40" s="220"/>
      <c r="CK40" s="218"/>
      <c r="CL40" s="216"/>
      <c r="CM40" s="217"/>
      <c r="CN40" s="213"/>
      <c r="CO40" s="604">
        <f>CO39+CQ39</f>
        <v>8158.6537919399289</v>
      </c>
      <c r="CP40" s="604"/>
      <c r="CQ40" s="604"/>
      <c r="CR40" s="604"/>
      <c r="CS40" s="604"/>
      <c r="CT40" s="604"/>
      <c r="CU40" s="604"/>
      <c r="DA40" s="237"/>
      <c r="DB40" s="239"/>
      <c r="DD40" s="301"/>
      <c r="DE40" s="302"/>
      <c r="DF40" s="302"/>
      <c r="DG40" s="303"/>
      <c r="DH40" s="304"/>
    </row>
    <row r="41" spans="1:114" s="214" customFormat="1" ht="16.5" customHeight="1" thickBot="1">
      <c r="A41" s="95" t="s">
        <v>59</v>
      </c>
      <c r="B41" s="381"/>
      <c r="C41" s="381"/>
      <c r="D41" s="382"/>
      <c r="E41" s="381"/>
      <c r="F41" s="383">
        <f>F39-F40</f>
        <v>7.5572287045364561E-3</v>
      </c>
      <c r="G41" s="384">
        <f>G39-G40</f>
        <v>0</v>
      </c>
      <c r="H41" s="383"/>
      <c r="I41" s="385">
        <f>I39-I40</f>
        <v>0</v>
      </c>
      <c r="J41" s="385"/>
      <c r="K41" s="385"/>
      <c r="L41" s="385"/>
      <c r="M41" s="385"/>
      <c r="N41" s="385"/>
      <c r="O41" s="385"/>
      <c r="P41" s="383"/>
      <c r="Q41" s="386"/>
      <c r="R41" s="385">
        <f>R39-R40</f>
        <v>1.7894523760086363</v>
      </c>
      <c r="S41" s="386"/>
      <c r="T41" s="386"/>
      <c r="U41" s="383">
        <f>U39-U40</f>
        <v>-7.4604069105450588E-3</v>
      </c>
      <c r="V41" s="383"/>
      <c r="W41" s="383"/>
      <c r="X41" s="383"/>
      <c r="Y41" s="383"/>
      <c r="Z41" s="387">
        <f>Z39-Z40</f>
        <v>-6.7096774193548754</v>
      </c>
      <c r="AA41" s="388"/>
      <c r="AB41" s="381"/>
      <c r="AC41" s="381"/>
      <c r="AD41" s="381"/>
      <c r="AE41" s="381"/>
      <c r="AF41" s="381"/>
      <c r="AG41" s="381"/>
      <c r="AH41" s="381"/>
      <c r="AI41" s="381"/>
      <c r="AJ41" s="381"/>
      <c r="AK41" s="389"/>
      <c r="AL41" s="390"/>
      <c r="AM41" s="381"/>
      <c r="AN41" s="381"/>
      <c r="AO41" s="381"/>
      <c r="AP41" s="381"/>
      <c r="AQ41" s="381"/>
      <c r="AR41" s="381"/>
      <c r="AS41" s="381"/>
      <c r="AT41" s="391">
        <f>AT38+AV38-AT40</f>
        <v>1562.8000000000011</v>
      </c>
      <c r="AU41" s="392"/>
      <c r="AV41" s="393"/>
      <c r="AW41" s="390"/>
      <c r="AX41" s="381"/>
      <c r="AY41" s="385"/>
      <c r="AZ41" s="381"/>
      <c r="BA41" s="381"/>
      <c r="BB41" s="381"/>
      <c r="BC41" s="394"/>
      <c r="BD41" s="381"/>
      <c r="BE41" s="395"/>
      <c r="BF41" s="222"/>
      <c r="BG41" s="222"/>
      <c r="BH41" s="222"/>
      <c r="BI41" s="222"/>
      <c r="BJ41" s="222"/>
      <c r="BK41" s="223"/>
      <c r="BL41" s="224"/>
      <c r="BM41" s="225"/>
      <c r="BN41" s="225"/>
      <c r="BO41" s="224"/>
      <c r="BP41" s="224"/>
      <c r="BQ41" s="226"/>
      <c r="BR41" s="227"/>
      <c r="BS41" s="225"/>
      <c r="BT41" s="225"/>
      <c r="BU41" s="225"/>
      <c r="BV41" s="224"/>
      <c r="BW41" s="224"/>
      <c r="BX41" s="224"/>
      <c r="BY41" s="228"/>
      <c r="BZ41" s="225"/>
      <c r="CA41" s="225"/>
      <c r="CB41" s="225"/>
      <c r="CC41" s="224"/>
      <c r="CD41" s="224"/>
      <c r="CE41" s="226"/>
      <c r="CF41" s="227"/>
      <c r="CG41" s="227"/>
      <c r="CH41" s="225"/>
      <c r="CI41" s="224"/>
      <c r="CJ41" s="228"/>
      <c r="CK41" s="227"/>
      <c r="CL41" s="225"/>
      <c r="CM41" s="226"/>
      <c r="CN41" s="213"/>
      <c r="CO41" s="213"/>
      <c r="CP41" s="213"/>
      <c r="CQ41" s="213"/>
      <c r="DA41" s="21"/>
      <c r="DH41" s="309"/>
    </row>
    <row r="42" spans="1:114" ht="15" hidden="1" customHeight="1">
      <c r="A42" s="96"/>
      <c r="B42" s="96"/>
      <c r="C42" s="96"/>
      <c r="D42" s="97"/>
      <c r="E42" s="96"/>
      <c r="F42" s="98"/>
      <c r="G42" s="99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1"/>
      <c r="AF42" s="101"/>
      <c r="AG42" s="100"/>
      <c r="AH42" s="100"/>
      <c r="AI42" s="100"/>
      <c r="AJ42" s="100"/>
      <c r="AK42" s="100"/>
      <c r="AL42" s="100"/>
      <c r="AM42" s="100"/>
      <c r="AN42" s="100"/>
      <c r="AO42" s="100"/>
      <c r="AP42" s="100"/>
      <c r="AQ42" s="100"/>
      <c r="AR42" s="100"/>
      <c r="AS42" s="96"/>
      <c r="AT42" s="612"/>
      <c r="AU42" s="612"/>
      <c r="AV42" s="612"/>
      <c r="AW42" s="96"/>
      <c r="AX42" s="96"/>
      <c r="AY42" s="100"/>
      <c r="AZ42" s="100"/>
      <c r="BA42" s="100"/>
      <c r="BB42" s="100"/>
      <c r="BC42" s="100"/>
      <c r="BD42" s="100"/>
      <c r="BE42" s="100"/>
      <c r="BK42" s="20"/>
      <c r="BL42" s="20"/>
      <c r="BM42" s="20"/>
    </row>
    <row r="43" spans="1:114">
      <c r="A43" s="100"/>
      <c r="B43" s="100"/>
      <c r="C43" s="100"/>
      <c r="D43" s="102"/>
      <c r="E43" s="100"/>
      <c r="F43" s="100"/>
      <c r="G43" s="96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1"/>
      <c r="AF43" s="101"/>
      <c r="AG43" s="100"/>
      <c r="AH43" s="100"/>
      <c r="AI43" s="100"/>
      <c r="AJ43" s="100"/>
      <c r="AK43" s="100"/>
      <c r="AL43" s="100"/>
      <c r="AM43" s="100"/>
      <c r="AN43" s="100"/>
      <c r="AO43" s="100"/>
      <c r="AP43" s="100"/>
      <c r="AQ43" s="100"/>
      <c r="AR43" s="100"/>
      <c r="AS43" s="96" t="s">
        <v>60</v>
      </c>
      <c r="AT43" s="103">
        <f>AT40/BE43</f>
        <v>116.12903225806451</v>
      </c>
      <c r="AU43" s="104"/>
      <c r="AV43" s="96"/>
      <c r="AW43" s="96" t="s">
        <v>61</v>
      </c>
      <c r="AX43" s="96"/>
      <c r="AY43" s="100"/>
      <c r="AZ43" s="100"/>
      <c r="BA43" s="100"/>
      <c r="BB43" s="100"/>
      <c r="BC43" s="100"/>
      <c r="BD43" s="105" t="s">
        <v>62</v>
      </c>
      <c r="BE43" s="100">
        <v>31</v>
      </c>
    </row>
    <row r="44" spans="1:114" ht="12" customHeight="1">
      <c r="A44" s="100"/>
      <c r="B44" s="100"/>
      <c r="C44" s="100"/>
      <c r="D44" s="102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100"/>
      <c r="AG44" s="100"/>
      <c r="AH44" s="100"/>
      <c r="AI44" s="100"/>
      <c r="AJ44" s="100"/>
      <c r="AK44" s="100"/>
      <c r="AL44" s="100"/>
      <c r="AM44" s="100"/>
      <c r="AN44" s="100"/>
      <c r="AO44" s="100"/>
      <c r="AP44" s="100"/>
      <c r="AQ44" s="100"/>
      <c r="AR44" s="100"/>
      <c r="AS44" s="100"/>
      <c r="AT44" s="100"/>
      <c r="AU44" s="100"/>
      <c r="AV44" s="100"/>
      <c r="AW44" s="100"/>
      <c r="AX44" s="100"/>
      <c r="AY44" s="100"/>
      <c r="AZ44" s="100"/>
      <c r="BA44" s="100"/>
      <c r="BB44" s="100"/>
      <c r="BC44" s="100"/>
      <c r="BD44" s="96"/>
      <c r="BE44" s="96"/>
    </row>
    <row r="45" spans="1:114" ht="13.5" thickBot="1">
      <c r="A45" s="100"/>
      <c r="B45" s="100"/>
      <c r="C45" s="100"/>
      <c r="D45" s="102"/>
      <c r="E45" s="100"/>
      <c r="F45" s="100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101"/>
      <c r="AE45" s="101"/>
      <c r="AF45" s="101"/>
      <c r="AG45" s="100"/>
      <c r="AH45" s="100"/>
      <c r="AI45" s="100"/>
      <c r="AJ45" s="100"/>
      <c r="AK45" s="100"/>
      <c r="AL45" s="100"/>
      <c r="AM45" s="106" t="s">
        <v>63</v>
      </c>
      <c r="AN45" s="106"/>
      <c r="AO45" s="106"/>
      <c r="AP45" s="106"/>
      <c r="AQ45" s="106"/>
      <c r="AR45" s="106"/>
      <c r="AS45" s="107" t="s">
        <v>64</v>
      </c>
      <c r="AT45" s="108">
        <v>30</v>
      </c>
      <c r="AU45" s="108"/>
      <c r="AV45" s="100"/>
      <c r="AW45" s="100"/>
      <c r="AX45" s="100"/>
      <c r="AY45" s="100"/>
      <c r="AZ45" s="100"/>
      <c r="BA45" s="100"/>
      <c r="BB45" s="100"/>
      <c r="BC45" s="100"/>
      <c r="BD45" s="96"/>
      <c r="BE45" s="96"/>
      <c r="CR45">
        <v>8158.6540000000005</v>
      </c>
    </row>
    <row r="46" spans="1:114" ht="12.75" customHeight="1" thickBot="1">
      <c r="A46" s="100"/>
      <c r="B46" s="100"/>
      <c r="C46" s="109" t="s">
        <v>65</v>
      </c>
      <c r="D46" s="102"/>
      <c r="E46" s="100"/>
      <c r="F46" s="100"/>
      <c r="G46" s="100"/>
      <c r="H46" s="100"/>
      <c r="I46" s="100"/>
      <c r="J46" s="100"/>
      <c r="K46" s="100"/>
      <c r="L46" s="110">
        <f>AT38/AD38</f>
        <v>42.667768595041331</v>
      </c>
      <c r="M46" s="109" t="s">
        <v>88</v>
      </c>
      <c r="N46" s="606"/>
      <c r="O46" s="606"/>
      <c r="P46" s="111"/>
      <c r="Q46" s="100"/>
      <c r="R46" s="100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101"/>
      <c r="AE46" s="101"/>
      <c r="AF46" s="101"/>
      <c r="AG46" s="100"/>
      <c r="AH46" s="100"/>
      <c r="AI46" s="100"/>
      <c r="AJ46" s="100"/>
      <c r="AK46" s="100"/>
      <c r="AL46" s="100"/>
      <c r="AM46" s="100"/>
      <c r="AN46" s="100"/>
      <c r="AO46" s="106"/>
      <c r="AP46" s="106"/>
      <c r="AQ46" s="106"/>
      <c r="AR46" s="106"/>
      <c r="AS46" s="107" t="s">
        <v>66</v>
      </c>
      <c r="AT46" s="112">
        <f>AT40/AT45</f>
        <v>120</v>
      </c>
      <c r="AU46" s="112"/>
      <c r="AV46" s="100"/>
      <c r="AW46" s="100"/>
      <c r="AX46" s="100">
        <v>0</v>
      </c>
      <c r="AY46" s="100"/>
      <c r="AZ46" s="607" t="s">
        <v>67</v>
      </c>
      <c r="BA46" s="607"/>
      <c r="BB46" s="607"/>
      <c r="BC46" s="607"/>
      <c r="BD46" s="607"/>
      <c r="BE46" s="607"/>
    </row>
    <row r="47" spans="1:114">
      <c r="A47" s="100"/>
      <c r="B47" s="100"/>
      <c r="C47" s="100"/>
      <c r="D47" s="102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100"/>
      <c r="AI47" s="100"/>
      <c r="AJ47" s="100"/>
      <c r="AK47" s="100"/>
      <c r="AL47" s="100"/>
      <c r="AM47" s="100"/>
      <c r="AN47" s="100"/>
      <c r="AO47" s="100"/>
      <c r="AP47" s="100"/>
      <c r="AQ47" s="100"/>
      <c r="AR47" s="100"/>
      <c r="AS47" s="100"/>
      <c r="AT47" s="100"/>
      <c r="AU47" s="100"/>
      <c r="AV47" s="100"/>
      <c r="AW47" s="100"/>
      <c r="AX47" s="100"/>
      <c r="AY47" s="100"/>
      <c r="AZ47" s="607"/>
      <c r="BA47" s="607"/>
      <c r="BB47" s="607"/>
      <c r="BC47" s="607"/>
      <c r="BD47" s="607"/>
      <c r="BE47" s="607"/>
    </row>
    <row r="48" spans="1:114">
      <c r="A48" s="100"/>
      <c r="B48" s="100"/>
      <c r="C48" s="100"/>
      <c r="D48" s="102"/>
      <c r="E48" s="100"/>
      <c r="F48" s="100"/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13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  <c r="AE48" s="100"/>
      <c r="AF48" s="100"/>
      <c r="AG48" s="100"/>
      <c r="AH48" s="100"/>
      <c r="AI48" s="100"/>
      <c r="AJ48" s="100"/>
      <c r="AK48" s="100"/>
      <c r="AL48" s="100"/>
      <c r="AM48" s="100"/>
      <c r="AN48" s="100"/>
      <c r="AO48" s="100"/>
      <c r="AP48" s="100"/>
      <c r="AQ48" s="100"/>
      <c r="AR48" s="100"/>
      <c r="AS48" s="100"/>
      <c r="AT48" s="100"/>
      <c r="AU48" s="100"/>
      <c r="AV48" s="100"/>
      <c r="AW48" s="100"/>
      <c r="AX48" s="100"/>
      <c r="AY48" s="100"/>
      <c r="AZ48" s="608">
        <f>BF37-BJ37</f>
        <v>308.23000000000229</v>
      </c>
      <c r="BA48" s="608"/>
      <c r="BB48" s="608"/>
      <c r="BC48" s="608"/>
      <c r="BD48" s="609" t="s">
        <v>68</v>
      </c>
      <c r="BE48" s="114"/>
    </row>
    <row r="49" spans="1:57" ht="12" customHeight="1">
      <c r="A49" s="100"/>
      <c r="B49" s="100"/>
      <c r="C49" s="100"/>
      <c r="D49" s="102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15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100"/>
      <c r="AI49" s="100"/>
      <c r="AJ49" s="100"/>
      <c r="AK49" s="100"/>
      <c r="AL49" s="100"/>
      <c r="AM49" s="100"/>
      <c r="AN49" s="100"/>
      <c r="AO49" s="100"/>
      <c r="AP49" s="100"/>
      <c r="AQ49" s="100"/>
      <c r="AR49" s="100"/>
      <c r="AS49" s="100"/>
      <c r="AT49" s="100"/>
      <c r="AU49" s="100"/>
      <c r="AV49" s="100"/>
      <c r="AW49" s="100"/>
      <c r="AX49" s="100"/>
      <c r="AY49" s="100"/>
      <c r="AZ49" s="608"/>
      <c r="BA49" s="608"/>
      <c r="BB49" s="608"/>
      <c r="BC49" s="608"/>
      <c r="BD49" s="609"/>
      <c r="BE49" s="114"/>
    </row>
    <row r="50" spans="1:57" ht="13.5" customHeight="1">
      <c r="A50" s="100"/>
      <c r="B50" s="100"/>
      <c r="C50" s="100"/>
      <c r="D50" s="102"/>
      <c r="E50" s="100"/>
      <c r="F50" s="100"/>
      <c r="G50" s="100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100"/>
      <c r="AC50" s="100"/>
      <c r="AD50" s="100"/>
      <c r="AE50" s="100"/>
      <c r="AF50" s="100"/>
      <c r="AG50" s="100"/>
      <c r="AH50" s="100"/>
      <c r="AI50" s="100"/>
      <c r="AJ50" s="100"/>
      <c r="AK50" s="100"/>
      <c r="AL50" s="100"/>
      <c r="AM50" s="100"/>
      <c r="AN50" s="100"/>
      <c r="AO50" s="100"/>
      <c r="AP50" s="100"/>
      <c r="AQ50" s="100"/>
      <c r="AR50" s="100"/>
      <c r="AS50" s="100"/>
      <c r="AT50" s="100"/>
      <c r="AU50" s="100"/>
      <c r="AV50" s="100"/>
      <c r="AW50" s="100"/>
      <c r="AX50" s="100"/>
      <c r="AY50" s="100"/>
      <c r="AZ50" s="116"/>
      <c r="BA50" s="96"/>
      <c r="BB50" s="96"/>
      <c r="BC50" s="96"/>
      <c r="BD50" s="96"/>
      <c r="BE50" s="114"/>
    </row>
    <row r="51" spans="1:57" ht="13.5" customHeight="1" thickBot="1">
      <c r="A51" s="100"/>
      <c r="B51" s="100"/>
      <c r="C51" s="100"/>
      <c r="D51" s="102"/>
      <c r="E51" s="100"/>
      <c r="F51" s="100"/>
      <c r="G51" s="100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0"/>
      <c r="AC51" s="100"/>
      <c r="AD51" s="100"/>
      <c r="AE51" s="100"/>
      <c r="AF51" s="100"/>
      <c r="AG51" s="100"/>
      <c r="AH51" s="100"/>
      <c r="AI51" s="100"/>
      <c r="AJ51" s="100"/>
      <c r="AK51" s="100"/>
      <c r="AL51" s="100"/>
      <c r="AM51" s="100"/>
      <c r="AN51" s="100"/>
      <c r="AO51" s="100"/>
      <c r="AP51" s="100"/>
      <c r="AQ51" s="100"/>
      <c r="AR51" s="100"/>
      <c r="AS51" s="100"/>
      <c r="AT51" s="100"/>
      <c r="AU51" s="100"/>
      <c r="AV51" s="100"/>
      <c r="AW51" s="100"/>
      <c r="AX51" s="100"/>
      <c r="AY51" s="100"/>
      <c r="AZ51" s="610">
        <f>AZ48/AT40*100</f>
        <v>8.5619444444445083</v>
      </c>
      <c r="BA51" s="610"/>
      <c r="BB51" s="610"/>
      <c r="BC51" s="610"/>
      <c r="BD51" s="611" t="s">
        <v>69</v>
      </c>
      <c r="BE51" s="114"/>
    </row>
    <row r="52" spans="1:57" ht="13.5" thickBot="1">
      <c r="A52" s="100"/>
      <c r="B52" s="100"/>
      <c r="C52" s="100"/>
      <c r="D52" s="102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  <c r="AF52" s="100"/>
      <c r="AG52" s="100"/>
      <c r="AH52" s="100"/>
      <c r="AI52" s="100"/>
      <c r="AJ52" s="100"/>
      <c r="AK52" s="100"/>
      <c r="AL52" s="100"/>
      <c r="AM52" s="100"/>
      <c r="AN52" s="100"/>
      <c r="AO52" s="100"/>
      <c r="AP52" s="100"/>
      <c r="AQ52" s="100"/>
      <c r="AR52" s="100"/>
      <c r="AS52" s="100"/>
      <c r="AT52" s="100"/>
      <c r="AU52" s="100"/>
      <c r="AV52" s="100"/>
      <c r="AW52" s="100"/>
      <c r="AX52" s="100"/>
      <c r="AY52" s="100"/>
      <c r="AZ52" s="610"/>
      <c r="BA52" s="610"/>
      <c r="BB52" s="610"/>
      <c r="BC52" s="610"/>
      <c r="BD52" s="611"/>
      <c r="BE52" s="117"/>
    </row>
    <row r="53" spans="1:57">
      <c r="A53" s="100"/>
      <c r="B53" s="100"/>
      <c r="C53" s="100"/>
      <c r="D53" s="102"/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100"/>
      <c r="AI53" s="100"/>
      <c r="AJ53" s="100"/>
      <c r="AK53" s="100"/>
      <c r="AL53" s="100"/>
      <c r="AM53" s="100"/>
      <c r="AN53" s="100"/>
      <c r="AO53" s="100"/>
      <c r="AP53" s="100"/>
      <c r="AQ53" s="100"/>
      <c r="AR53" s="100"/>
      <c r="AS53" s="100"/>
      <c r="AT53" s="100"/>
      <c r="AU53" s="100"/>
      <c r="AV53" s="100"/>
      <c r="AW53" s="100"/>
      <c r="AX53" s="100"/>
      <c r="AY53" s="100"/>
      <c r="AZ53" s="100"/>
      <c r="BA53" s="100"/>
      <c r="BB53" s="100"/>
      <c r="BC53" s="100"/>
      <c r="BD53" s="100"/>
      <c r="BE53" s="100"/>
    </row>
    <row r="54" spans="1:57">
      <c r="A54" s="100"/>
      <c r="B54" s="100"/>
      <c r="C54" s="100"/>
      <c r="D54" s="102"/>
      <c r="E54" s="100"/>
      <c r="F54" s="100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100"/>
      <c r="AI54" s="100"/>
      <c r="AJ54" s="100"/>
      <c r="AK54" s="100"/>
      <c r="AL54" s="100"/>
      <c r="AM54" s="100"/>
      <c r="AN54" s="100"/>
      <c r="AO54" s="100"/>
      <c r="AP54" s="100"/>
      <c r="AQ54" s="100"/>
      <c r="AR54" s="100"/>
      <c r="AS54" s="100"/>
      <c r="AT54" s="100"/>
      <c r="AU54" s="100"/>
      <c r="AV54" s="100"/>
      <c r="AW54" s="100"/>
      <c r="AX54" s="100"/>
      <c r="AY54" s="100"/>
      <c r="AZ54" s="100"/>
      <c r="BA54" s="100"/>
      <c r="BB54" s="100"/>
      <c r="BC54" s="100"/>
      <c r="BD54" s="100"/>
      <c r="BE54" s="100"/>
    </row>
    <row r="55" spans="1:57">
      <c r="A55" s="100"/>
      <c r="B55" s="100"/>
      <c r="C55" s="100"/>
      <c r="D55" s="102"/>
      <c r="E55" s="100"/>
      <c r="F55" s="100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  <c r="AH55" s="100"/>
      <c r="AI55" s="100"/>
      <c r="AJ55" s="100"/>
      <c r="AK55" s="100"/>
      <c r="AL55" s="100"/>
      <c r="AM55" s="100"/>
      <c r="AN55" s="100"/>
      <c r="AO55" s="100"/>
      <c r="AP55" s="100"/>
      <c r="AQ55" s="100"/>
      <c r="AR55" s="100"/>
      <c r="AS55" s="100"/>
      <c r="AT55" s="100"/>
      <c r="AU55" s="100"/>
      <c r="AV55" s="100"/>
      <c r="AW55" s="100"/>
      <c r="AX55" s="100"/>
      <c r="AY55" s="100"/>
      <c r="AZ55" s="100"/>
      <c r="BA55" s="100"/>
      <c r="BB55" s="100"/>
      <c r="BC55" s="100"/>
      <c r="BD55" s="100"/>
      <c r="BE55" s="100"/>
    </row>
    <row r="56" spans="1:57">
      <c r="A56" s="100"/>
      <c r="B56" s="100"/>
      <c r="C56" s="100"/>
      <c r="D56" s="102"/>
      <c r="E56" s="100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/>
      <c r="AE56" s="100"/>
      <c r="AF56" s="100"/>
      <c r="AG56" s="100"/>
      <c r="AH56" s="100"/>
      <c r="AI56" s="100"/>
      <c r="AJ56" s="100"/>
      <c r="AK56" s="100"/>
      <c r="AL56" s="100"/>
      <c r="AM56" s="100"/>
      <c r="AN56" s="100"/>
      <c r="AO56" s="100"/>
      <c r="AP56" s="100"/>
      <c r="AQ56" s="100"/>
      <c r="AR56" s="100"/>
      <c r="AS56" s="100"/>
      <c r="AT56" s="100"/>
      <c r="AU56" s="100"/>
      <c r="AV56" s="100"/>
      <c r="AW56" s="100"/>
      <c r="AX56" s="100"/>
      <c r="AY56" s="100"/>
      <c r="AZ56" s="100"/>
      <c r="BA56" s="100"/>
      <c r="BB56" s="100"/>
      <c r="BC56" s="100"/>
      <c r="BD56" s="100"/>
      <c r="BE56" s="100"/>
    </row>
    <row r="57" spans="1:57">
      <c r="A57" s="100"/>
      <c r="B57" s="100"/>
      <c r="C57" s="100"/>
      <c r="D57" s="102"/>
      <c r="E57" s="100"/>
      <c r="F57" s="100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100"/>
      <c r="AI57" s="100"/>
      <c r="AJ57" s="100"/>
      <c r="AK57" s="100"/>
      <c r="AL57" s="100"/>
      <c r="AM57" s="100"/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X57" s="100"/>
      <c r="AY57" s="100"/>
      <c r="AZ57" s="100"/>
      <c r="BA57" s="100"/>
      <c r="BB57" s="100"/>
      <c r="BC57" s="100"/>
      <c r="BD57" s="100"/>
      <c r="BE57" s="100"/>
    </row>
    <row r="58" spans="1:57">
      <c r="A58" s="100"/>
      <c r="B58" s="100"/>
      <c r="C58" s="100"/>
      <c r="D58" s="102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  <c r="AA58" s="100"/>
      <c r="AB58" s="100"/>
      <c r="AC58" s="100"/>
      <c r="AD58" s="100"/>
      <c r="AE58" s="100"/>
      <c r="AF58" s="100"/>
      <c r="AG58" s="100"/>
      <c r="AH58" s="100"/>
      <c r="AI58" s="100"/>
      <c r="AJ58" s="100"/>
      <c r="AK58" s="100"/>
      <c r="AL58" s="100"/>
      <c r="AM58" s="100"/>
      <c r="AN58" s="100"/>
      <c r="AO58" s="100"/>
      <c r="AP58" s="100"/>
      <c r="AQ58" s="100"/>
      <c r="AR58" s="100"/>
      <c r="AS58" s="100"/>
      <c r="AT58" s="100"/>
      <c r="AU58" s="100"/>
      <c r="AV58" s="100"/>
      <c r="AW58" s="100"/>
      <c r="AX58" s="100"/>
      <c r="AY58" s="100"/>
      <c r="AZ58" s="100"/>
      <c r="BA58" s="100"/>
      <c r="BB58" s="100"/>
      <c r="BC58" s="100"/>
      <c r="BD58" s="100"/>
      <c r="BE58" s="100"/>
    </row>
    <row r="59" spans="1:57">
      <c r="A59" s="100"/>
      <c r="B59" s="100"/>
      <c r="C59" s="100"/>
      <c r="D59" s="102"/>
      <c r="E59" s="100"/>
      <c r="F59" s="100"/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  <c r="AE59" s="100"/>
      <c r="AF59" s="100"/>
      <c r="AG59" s="100"/>
      <c r="AH59" s="100"/>
      <c r="AI59" s="100"/>
      <c r="AJ59" s="100"/>
      <c r="AK59" s="100"/>
      <c r="AL59" s="100"/>
      <c r="AM59" s="100"/>
      <c r="AN59" s="100"/>
      <c r="AO59" s="100"/>
      <c r="AP59" s="100"/>
      <c r="AQ59" s="100"/>
      <c r="AR59" s="100"/>
      <c r="AS59" s="100"/>
      <c r="AT59" s="100"/>
      <c r="AU59" s="100"/>
      <c r="AV59" s="100"/>
      <c r="AW59" s="100"/>
      <c r="AX59" s="100"/>
      <c r="AY59" s="100"/>
      <c r="AZ59" s="100"/>
      <c r="BA59" s="100"/>
      <c r="BB59" s="100"/>
      <c r="BC59" s="100"/>
      <c r="BD59" s="100"/>
      <c r="BE59" s="100"/>
    </row>
    <row r="60" spans="1:57">
      <c r="A60" s="100"/>
      <c r="B60" s="100"/>
      <c r="C60" s="100"/>
      <c r="D60" s="102"/>
      <c r="E60" s="100"/>
      <c r="F60" s="100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  <c r="AE60" s="100"/>
      <c r="AF60" s="100"/>
      <c r="AG60" s="100"/>
      <c r="AH60" s="100"/>
      <c r="AI60" s="100"/>
      <c r="AJ60" s="100"/>
      <c r="AK60" s="100"/>
      <c r="AL60" s="100"/>
      <c r="AM60" s="100"/>
      <c r="AN60" s="100"/>
      <c r="AO60" s="100"/>
      <c r="AP60" s="100"/>
      <c r="AQ60" s="100"/>
      <c r="AR60" s="100"/>
      <c r="AS60" s="100"/>
      <c r="AT60" s="100"/>
      <c r="AU60" s="100"/>
      <c r="AV60" s="100"/>
      <c r="AW60" s="100"/>
      <c r="AX60" s="100"/>
      <c r="AY60" s="100"/>
      <c r="AZ60" s="100"/>
      <c r="BA60" s="100"/>
      <c r="BB60" s="100"/>
      <c r="BC60" s="100"/>
      <c r="BD60" s="100"/>
      <c r="BE60" s="100"/>
    </row>
    <row r="61" spans="1:57">
      <c r="A61" s="100"/>
      <c r="B61" s="100"/>
      <c r="C61" s="100"/>
      <c r="D61" s="102"/>
      <c r="E61" s="100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/>
      <c r="AE61" s="100"/>
      <c r="AF61" s="100"/>
      <c r="AG61" s="100"/>
      <c r="AH61" s="100"/>
      <c r="AI61" s="100"/>
      <c r="AJ61" s="100"/>
      <c r="AK61" s="100"/>
      <c r="AL61" s="100"/>
      <c r="AM61" s="100"/>
      <c r="AN61" s="100"/>
      <c r="AO61" s="100"/>
      <c r="AP61" s="100"/>
      <c r="AQ61" s="100"/>
      <c r="AR61" s="100"/>
      <c r="AS61" s="100"/>
      <c r="AT61" s="100"/>
      <c r="AU61" s="100"/>
      <c r="AV61" s="100"/>
      <c r="AW61" s="100"/>
      <c r="AX61" s="100"/>
      <c r="AY61" s="100"/>
      <c r="AZ61" s="100"/>
      <c r="BA61" s="100"/>
      <c r="BB61" s="100"/>
      <c r="BC61" s="100"/>
      <c r="BD61" s="100"/>
      <c r="BE61" s="100"/>
    </row>
    <row r="62" spans="1:57">
      <c r="A62" s="100"/>
      <c r="B62" s="100"/>
      <c r="C62" s="100"/>
      <c r="D62" s="102"/>
      <c r="E62" s="100"/>
      <c r="F62" s="100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100"/>
      <c r="AC62" s="100"/>
      <c r="AD62" s="100"/>
      <c r="AE62" s="100"/>
      <c r="AF62" s="100"/>
      <c r="AG62" s="100"/>
      <c r="AH62" s="100"/>
      <c r="AI62" s="100"/>
      <c r="AJ62" s="100"/>
      <c r="AK62" s="100"/>
      <c r="AL62" s="100"/>
      <c r="AM62" s="100"/>
      <c r="AN62" s="100"/>
      <c r="AO62" s="100"/>
      <c r="AP62" s="100"/>
      <c r="AQ62" s="100"/>
      <c r="AR62" s="100"/>
      <c r="AS62" s="100"/>
      <c r="AT62" s="100"/>
      <c r="AU62" s="100"/>
      <c r="AV62" s="100"/>
      <c r="AW62" s="100"/>
      <c r="AX62" s="100"/>
      <c r="AY62" s="100"/>
      <c r="AZ62" s="100"/>
      <c r="BA62" s="100"/>
      <c r="BB62" s="100"/>
      <c r="BC62" s="100"/>
      <c r="BD62" s="100"/>
      <c r="BE62" s="100"/>
    </row>
    <row r="63" spans="1:57">
      <c r="A63" s="100"/>
      <c r="B63" s="100"/>
      <c r="C63" s="100"/>
      <c r="D63" s="102"/>
      <c r="E63" s="100"/>
      <c r="F63" s="100"/>
      <c r="G63" s="100"/>
      <c r="H63" s="100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  <c r="AA63" s="100"/>
      <c r="AB63" s="100"/>
      <c r="AC63" s="100"/>
      <c r="AD63" s="100"/>
      <c r="AE63" s="100"/>
      <c r="AF63" s="100"/>
      <c r="AG63" s="100"/>
      <c r="AH63" s="100"/>
      <c r="AI63" s="100"/>
      <c r="AJ63" s="100"/>
      <c r="AK63" s="100"/>
      <c r="AL63" s="100"/>
      <c r="AM63" s="100"/>
      <c r="AN63" s="100"/>
      <c r="AO63" s="100"/>
      <c r="AP63" s="100"/>
      <c r="AQ63" s="100"/>
      <c r="AR63" s="100"/>
      <c r="AS63" s="100"/>
      <c r="AT63" s="100"/>
      <c r="AU63" s="100"/>
      <c r="AV63" s="100"/>
      <c r="AW63" s="100"/>
      <c r="AX63" s="100"/>
      <c r="AY63" s="100"/>
      <c r="AZ63" s="100"/>
      <c r="BA63" s="100"/>
      <c r="BB63" s="100"/>
      <c r="BC63" s="100"/>
      <c r="BD63" s="100"/>
      <c r="BE63" s="100"/>
    </row>
    <row r="64" spans="1:57">
      <c r="A64" s="100"/>
      <c r="B64" s="100"/>
      <c r="C64" s="100"/>
      <c r="D64" s="102"/>
      <c r="E64" s="100"/>
      <c r="F64" s="100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  <c r="AE64" s="100"/>
      <c r="AF64" s="100"/>
      <c r="AG64" s="100"/>
      <c r="AH64" s="100"/>
      <c r="AI64" s="100"/>
      <c r="AJ64" s="100"/>
      <c r="AK64" s="100"/>
      <c r="AL64" s="100"/>
      <c r="AM64" s="100"/>
      <c r="AN64" s="100"/>
      <c r="AO64" s="100"/>
      <c r="AP64" s="100"/>
      <c r="AQ64" s="100"/>
      <c r="AR64" s="100"/>
      <c r="AS64" s="100"/>
      <c r="AT64" s="100"/>
      <c r="AU64" s="100"/>
      <c r="AV64" s="100"/>
      <c r="AW64" s="100"/>
      <c r="AX64" s="100"/>
      <c r="AY64" s="100"/>
      <c r="AZ64" s="100"/>
      <c r="BA64" s="100"/>
      <c r="BB64" s="100"/>
      <c r="BC64" s="100"/>
      <c r="BD64" s="100"/>
      <c r="BE64" s="100"/>
    </row>
    <row r="65" spans="1:57">
      <c r="A65" s="100"/>
      <c r="B65" s="100"/>
      <c r="C65" s="100"/>
      <c r="D65" s="102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/>
      <c r="AE65" s="100"/>
      <c r="AF65" s="100"/>
      <c r="AG65" s="100"/>
      <c r="AH65" s="100"/>
      <c r="AI65" s="100"/>
      <c r="AJ65" s="100"/>
      <c r="AK65" s="100"/>
      <c r="AL65" s="100"/>
      <c r="AM65" s="100"/>
      <c r="AN65" s="100"/>
      <c r="AO65" s="100"/>
      <c r="AP65" s="100"/>
      <c r="AQ65" s="100"/>
      <c r="AR65" s="100"/>
      <c r="AS65" s="100"/>
      <c r="AT65" s="100"/>
      <c r="AU65" s="100"/>
      <c r="AV65" s="100"/>
      <c r="AW65" s="100"/>
      <c r="AX65" s="100"/>
      <c r="AY65" s="100"/>
      <c r="AZ65" s="100"/>
      <c r="BA65" s="100"/>
      <c r="BB65" s="100"/>
      <c r="BC65" s="100"/>
      <c r="BD65" s="100"/>
      <c r="BE65" s="100"/>
    </row>
    <row r="66" spans="1:57">
      <c r="A66" s="100"/>
      <c r="B66" s="100"/>
      <c r="C66" s="100"/>
      <c r="D66" s="102"/>
      <c r="E66" s="100"/>
      <c r="F66" s="100"/>
      <c r="G66" s="100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/>
      <c r="AE66" s="100"/>
      <c r="AF66" s="100"/>
      <c r="AG66" s="100"/>
      <c r="AH66" s="100"/>
      <c r="AI66" s="100"/>
      <c r="AJ66" s="100"/>
      <c r="AK66" s="100"/>
      <c r="AL66" s="100"/>
      <c r="AM66" s="100"/>
      <c r="AN66" s="100"/>
      <c r="AO66" s="100"/>
      <c r="AP66" s="100"/>
      <c r="AQ66" s="100"/>
      <c r="AR66" s="100"/>
      <c r="AS66" s="100"/>
      <c r="AT66" s="100"/>
      <c r="AU66" s="100"/>
      <c r="AV66" s="100"/>
      <c r="AW66" s="100"/>
      <c r="AX66" s="100"/>
      <c r="AY66" s="100"/>
      <c r="AZ66" s="100"/>
      <c r="BA66" s="100"/>
      <c r="BB66" s="100"/>
      <c r="BC66" s="100"/>
      <c r="BD66" s="100"/>
      <c r="BE66" s="100"/>
    </row>
    <row r="67" spans="1:57">
      <c r="A67" s="100"/>
      <c r="B67" s="100"/>
      <c r="C67" s="100"/>
      <c r="D67" s="102"/>
      <c r="E67" s="100"/>
      <c r="F67" s="100"/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  <c r="AD67" s="100"/>
      <c r="AE67" s="100"/>
      <c r="AF67" s="100"/>
      <c r="AG67" s="100"/>
      <c r="AH67" s="100"/>
      <c r="AI67" s="100"/>
      <c r="AJ67" s="100"/>
      <c r="AK67" s="100"/>
      <c r="AL67" s="100"/>
      <c r="AM67" s="100"/>
      <c r="AN67" s="100"/>
      <c r="AO67" s="100"/>
      <c r="AP67" s="100"/>
      <c r="AQ67" s="100"/>
      <c r="AR67" s="100"/>
      <c r="AS67" s="100"/>
      <c r="AT67" s="100"/>
      <c r="AU67" s="100"/>
      <c r="AV67" s="100"/>
      <c r="AW67" s="100"/>
      <c r="AX67" s="100"/>
      <c r="AY67" s="100"/>
      <c r="AZ67" s="100"/>
      <c r="BA67" s="100"/>
      <c r="BB67" s="100"/>
      <c r="BC67" s="100"/>
      <c r="BD67" s="100"/>
      <c r="BE67" s="100"/>
    </row>
    <row r="68" spans="1:57">
      <c r="A68" s="100"/>
      <c r="B68" s="100"/>
      <c r="C68" s="100"/>
      <c r="D68" s="102"/>
      <c r="E68" s="100"/>
      <c r="F68" s="100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  <c r="AI68" s="100"/>
      <c r="AJ68" s="100"/>
      <c r="AK68" s="100"/>
      <c r="AL68" s="100"/>
      <c r="AM68" s="100"/>
      <c r="AN68" s="100"/>
      <c r="AO68" s="100"/>
      <c r="AP68" s="100"/>
      <c r="AQ68" s="100"/>
      <c r="AR68" s="100"/>
      <c r="AS68" s="100"/>
      <c r="AT68" s="100"/>
      <c r="AU68" s="100"/>
      <c r="AV68" s="100"/>
      <c r="AW68" s="100"/>
      <c r="AX68" s="100"/>
      <c r="AY68" s="100"/>
      <c r="AZ68" s="100"/>
      <c r="BA68" s="100"/>
      <c r="BB68" s="100"/>
      <c r="BC68" s="100"/>
      <c r="BD68" s="100"/>
      <c r="BE68" s="100"/>
    </row>
    <row r="69" spans="1:57">
      <c r="A69" s="100"/>
      <c r="B69" s="100"/>
      <c r="C69" s="100"/>
      <c r="D69" s="102"/>
      <c r="E69" s="100"/>
      <c r="F69" s="100"/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100"/>
      <c r="AC69" s="100"/>
      <c r="AD69" s="100"/>
      <c r="AE69" s="100"/>
      <c r="AF69" s="100"/>
      <c r="AG69" s="100"/>
      <c r="AH69" s="100"/>
      <c r="AI69" s="100"/>
      <c r="AJ69" s="100"/>
      <c r="AK69" s="100"/>
      <c r="AL69" s="100"/>
      <c r="AM69" s="100"/>
      <c r="AN69" s="100"/>
      <c r="AO69" s="100"/>
      <c r="AP69" s="100"/>
      <c r="AQ69" s="100"/>
      <c r="AR69" s="100"/>
      <c r="AS69" s="100"/>
      <c r="AT69" s="100"/>
      <c r="AU69" s="100"/>
      <c r="AV69" s="100"/>
      <c r="AW69" s="100"/>
      <c r="AX69" s="100"/>
      <c r="AY69" s="100"/>
      <c r="AZ69" s="100"/>
      <c r="BA69" s="100"/>
      <c r="BB69" s="100"/>
      <c r="BC69" s="100"/>
      <c r="BD69" s="100"/>
      <c r="BE69" s="100"/>
    </row>
    <row r="70" spans="1:57">
      <c r="A70" s="100"/>
      <c r="B70" s="100"/>
      <c r="C70" s="100"/>
      <c r="D70" s="102"/>
      <c r="E70" s="100"/>
      <c r="F70" s="100"/>
      <c r="G70" s="100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  <c r="AE70" s="100"/>
      <c r="AF70" s="100"/>
      <c r="AG70" s="100"/>
      <c r="AH70" s="100"/>
      <c r="AI70" s="100"/>
      <c r="AJ70" s="100"/>
      <c r="AK70" s="100"/>
      <c r="AL70" s="100"/>
      <c r="AM70" s="100"/>
      <c r="AN70" s="100"/>
      <c r="AO70" s="100"/>
      <c r="AP70" s="100"/>
      <c r="AQ70" s="100"/>
      <c r="AR70" s="100"/>
      <c r="AS70" s="100"/>
      <c r="AT70" s="100"/>
      <c r="AU70" s="100"/>
      <c r="AV70" s="100"/>
      <c r="AW70" s="100"/>
      <c r="AX70" s="100"/>
      <c r="AY70" s="100"/>
      <c r="AZ70" s="100"/>
      <c r="BA70" s="100"/>
      <c r="BB70" s="100"/>
      <c r="BC70" s="100"/>
      <c r="BD70" s="100"/>
      <c r="BE70" s="100"/>
    </row>
    <row r="71" spans="1:57" ht="18" customHeight="1">
      <c r="A71" s="318" t="s">
        <v>70</v>
      </c>
      <c r="B71" s="319"/>
      <c r="C71" s="318"/>
      <c r="D71" s="318"/>
      <c r="E71" s="318"/>
      <c r="F71" s="318"/>
      <c r="G71" s="318"/>
      <c r="H71" s="318"/>
      <c r="I71" s="318"/>
      <c r="J71" s="320"/>
      <c r="K71" s="320"/>
      <c r="L71" s="605" t="s">
        <v>158</v>
      </c>
      <c r="M71" s="605"/>
      <c r="N71" s="605"/>
      <c r="O71" s="605"/>
      <c r="P71" s="605"/>
      <c r="Q71" s="605"/>
      <c r="R71" s="109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/>
      <c r="AE71" s="100"/>
      <c r="AF71" s="100"/>
      <c r="AG71" s="100"/>
      <c r="AH71" s="100"/>
      <c r="AI71" s="100"/>
      <c r="AJ71" s="100"/>
      <c r="AK71" s="100"/>
      <c r="AL71" s="100"/>
      <c r="AM71" s="100"/>
      <c r="AN71" s="100"/>
      <c r="AO71" s="100"/>
      <c r="AP71" s="100"/>
      <c r="AQ71" s="100"/>
      <c r="AR71" s="100"/>
      <c r="AS71" s="100"/>
      <c r="AT71" s="100"/>
      <c r="AU71" s="100"/>
      <c r="AV71" s="100"/>
      <c r="AW71" s="100"/>
      <c r="AX71" s="100"/>
      <c r="AY71" s="100"/>
      <c r="AZ71" s="100"/>
      <c r="BA71" s="100"/>
      <c r="BB71" s="100"/>
      <c r="BC71" s="100"/>
      <c r="BD71" s="100"/>
      <c r="BE71" s="100"/>
    </row>
    <row r="72" spans="1:57" ht="15">
      <c r="A72" s="118"/>
      <c r="B72" s="118"/>
      <c r="C72" s="119"/>
      <c r="D72" s="120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  <c r="AE72" s="100"/>
      <c r="AF72" s="100"/>
      <c r="AG72" s="100"/>
      <c r="AH72" s="100"/>
      <c r="AI72" s="100"/>
      <c r="AJ72" s="100"/>
      <c r="AK72" s="100"/>
      <c r="AL72" s="100"/>
      <c r="AM72" s="100"/>
      <c r="AN72" s="100"/>
      <c r="AO72" s="100"/>
      <c r="AP72" s="100"/>
      <c r="AQ72" s="100"/>
      <c r="AR72" s="100"/>
      <c r="AS72" s="100"/>
      <c r="AT72" s="100"/>
      <c r="AU72" s="100"/>
      <c r="AV72" s="100"/>
      <c r="AW72" s="100"/>
      <c r="AX72" s="100"/>
      <c r="AY72" s="100"/>
      <c r="AZ72" s="100"/>
      <c r="BA72" s="100"/>
      <c r="BB72" s="100"/>
      <c r="BC72" s="100"/>
      <c r="BD72" s="100"/>
      <c r="BE72" s="100"/>
    </row>
    <row r="73" spans="1:57" ht="15.75">
      <c r="A73" s="100"/>
      <c r="B73" s="100"/>
      <c r="C73" s="100"/>
      <c r="D73" s="102"/>
      <c r="E73" s="100"/>
      <c r="F73" s="100"/>
      <c r="G73" s="100"/>
      <c r="H73" s="100"/>
      <c r="I73" s="100"/>
      <c r="J73" s="100"/>
      <c r="K73" s="100"/>
      <c r="L73" s="111"/>
      <c r="M73" s="111"/>
      <c r="N73" s="111"/>
      <c r="O73" s="111"/>
      <c r="P73" s="111"/>
      <c r="Q73" s="111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00"/>
      <c r="AK73" s="100"/>
      <c r="AL73" s="100"/>
      <c r="AM73" s="100"/>
      <c r="AN73" s="100"/>
      <c r="AO73" s="100"/>
      <c r="AP73" s="100"/>
      <c r="AQ73" s="100"/>
      <c r="AR73" s="100"/>
      <c r="AS73" s="100"/>
      <c r="AT73" s="100"/>
      <c r="AU73" s="100"/>
      <c r="AV73" s="100"/>
      <c r="AW73" s="100"/>
      <c r="AX73" s="100"/>
      <c r="AY73" s="100"/>
      <c r="AZ73" s="100"/>
      <c r="BA73" s="100"/>
      <c r="BB73" s="100"/>
      <c r="BC73" s="100"/>
      <c r="BD73" s="100"/>
      <c r="BE73" s="100"/>
    </row>
    <row r="74" spans="1:57">
      <c r="A74" s="100"/>
      <c r="B74" s="100"/>
      <c r="C74" s="100"/>
      <c r="D74" s="102"/>
      <c r="E74" s="100"/>
      <c r="F74" s="100"/>
      <c r="G74" s="100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00"/>
      <c r="AK74" s="100"/>
      <c r="AL74" s="100"/>
      <c r="AM74" s="100"/>
      <c r="AN74" s="100"/>
      <c r="AO74" s="100"/>
      <c r="AP74" s="100"/>
      <c r="AQ74" s="100"/>
      <c r="AR74" s="100"/>
      <c r="AS74" s="100"/>
      <c r="AT74" s="100"/>
      <c r="AU74" s="100"/>
      <c r="AV74" s="100"/>
      <c r="AW74" s="100"/>
      <c r="AX74" s="100"/>
      <c r="AY74" s="100"/>
      <c r="AZ74" s="100"/>
      <c r="BA74" s="100"/>
      <c r="BB74" s="100"/>
      <c r="BC74" s="100"/>
      <c r="BD74" s="100"/>
      <c r="BE74" s="100"/>
    </row>
    <row r="75" spans="1:57">
      <c r="A75" s="100"/>
      <c r="B75" s="100"/>
      <c r="C75" s="100"/>
      <c r="D75" s="102"/>
      <c r="E75" s="100"/>
      <c r="F75" s="100"/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  <c r="AD75" s="100"/>
      <c r="AE75" s="100"/>
      <c r="AF75" s="100"/>
      <c r="AG75" s="100"/>
      <c r="AH75" s="100"/>
      <c r="AI75" s="100"/>
      <c r="AJ75" s="100"/>
      <c r="AK75" s="100"/>
      <c r="AL75" s="100"/>
      <c r="AM75" s="100"/>
      <c r="AN75" s="100"/>
      <c r="AO75" s="100"/>
      <c r="AP75" s="100"/>
      <c r="AQ75" s="100"/>
      <c r="AR75" s="100"/>
      <c r="AS75" s="100"/>
      <c r="AT75" s="100"/>
      <c r="AU75" s="100"/>
      <c r="AV75" s="100"/>
      <c r="AW75" s="100"/>
      <c r="AX75" s="100"/>
      <c r="AY75" s="100"/>
      <c r="AZ75" s="100"/>
      <c r="BA75" s="100"/>
      <c r="BB75" s="100"/>
      <c r="BC75" s="100"/>
      <c r="BD75" s="100"/>
      <c r="BE75" s="100"/>
    </row>
  </sheetData>
  <sheetProtection selectLockedCells="1" selectUnlockedCells="1"/>
  <mergeCells count="78">
    <mergeCell ref="CO40:CU40"/>
    <mergeCell ref="L71:Q71"/>
    <mergeCell ref="N46:O46"/>
    <mergeCell ref="AZ46:BE47"/>
    <mergeCell ref="AZ48:BC49"/>
    <mergeCell ref="BD48:BD49"/>
    <mergeCell ref="AZ51:BC52"/>
    <mergeCell ref="BD51:BD52"/>
    <mergeCell ref="AT42:AV42"/>
    <mergeCell ref="AC3:AC6"/>
    <mergeCell ref="AD3:AD6"/>
    <mergeCell ref="DA5:DB5"/>
    <mergeCell ref="CO39:CP39"/>
    <mergeCell ref="CQ39:CU39"/>
    <mergeCell ref="CV39:CY39"/>
    <mergeCell ref="AX5:AX6"/>
    <mergeCell ref="AY5:AY6"/>
    <mergeCell ref="AJ3:AK6"/>
    <mergeCell ref="AL3:AL6"/>
    <mergeCell ref="AM3:AM6"/>
    <mergeCell ref="AN3:AN6"/>
    <mergeCell ref="AO3:AO6"/>
    <mergeCell ref="AP3:AP6"/>
    <mergeCell ref="AT5:AT6"/>
    <mergeCell ref="AW5:AW6"/>
    <mergeCell ref="Q4:Q6"/>
    <mergeCell ref="R4:R6"/>
    <mergeCell ref="S4:S6"/>
    <mergeCell ref="T4:T6"/>
    <mergeCell ref="U4:U6"/>
    <mergeCell ref="AA3:AA6"/>
    <mergeCell ref="AB3:AB6"/>
    <mergeCell ref="N4:N6"/>
    <mergeCell ref="O4:O6"/>
    <mergeCell ref="DD4:DH4"/>
    <mergeCell ref="AE5:AE6"/>
    <mergeCell ref="AF5:AF6"/>
    <mergeCell ref="AG5:AG6"/>
    <mergeCell ref="AH5:AH6"/>
    <mergeCell ref="CF3:CI5"/>
    <mergeCell ref="AQ3:AQ6"/>
    <mergeCell ref="AS3:AS6"/>
    <mergeCell ref="AT3:AY4"/>
    <mergeCell ref="AZ3:AZ6"/>
    <mergeCell ref="BA3:BB4"/>
    <mergeCell ref="BC3:BC6"/>
    <mergeCell ref="CJ3:CM5"/>
    <mergeCell ref="B4:B6"/>
    <mergeCell ref="C4:C6"/>
    <mergeCell ref="D4:D6"/>
    <mergeCell ref="E4:E6"/>
    <mergeCell ref="F4:F6"/>
    <mergeCell ref="G4:G6"/>
    <mergeCell ref="H4:H6"/>
    <mergeCell ref="I4:I6"/>
    <mergeCell ref="J4:J6"/>
    <mergeCell ref="BD3:BD6"/>
    <mergeCell ref="BE3:BE6"/>
    <mergeCell ref="BK3:BQ5"/>
    <mergeCell ref="BR3:BX5"/>
    <mergeCell ref="BY3:CE5"/>
    <mergeCell ref="K4:K6"/>
    <mergeCell ref="AE3:AF4"/>
    <mergeCell ref="AG3:AI4"/>
    <mergeCell ref="AI5:AI6"/>
    <mergeCell ref="AY2:BC2"/>
    <mergeCell ref="A3:A6"/>
    <mergeCell ref="B3:G3"/>
    <mergeCell ref="H3:P3"/>
    <mergeCell ref="Q3:U3"/>
    <mergeCell ref="V3:V6"/>
    <mergeCell ref="W3:W6"/>
    <mergeCell ref="X3:X6"/>
    <mergeCell ref="Y3:Y6"/>
    <mergeCell ref="Z3:Z6"/>
    <mergeCell ref="P4:P6"/>
    <mergeCell ref="L4:L6"/>
    <mergeCell ref="M4:M6"/>
  </mergeCells>
  <printOptions horizontalCentered="1" verticalCentered="1"/>
  <pageMargins left="0" right="0" top="0" bottom="0" header="0" footer="0"/>
  <pageSetup paperSize="9" scale="46" firstPageNumber="0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J75"/>
  <sheetViews>
    <sheetView showZeros="0" zoomScale="90" zoomScaleNormal="90" workbookViewId="0">
      <pane xSplit="1" ySplit="6" topLeftCell="CU7" activePane="bottomRight" state="frozen"/>
      <selection pane="topRight" activeCell="B1" sqref="B1"/>
      <selection pane="bottomLeft" activeCell="A7" sqref="A7"/>
      <selection pane="bottomRight" activeCell="L25" sqref="L25"/>
    </sheetView>
  </sheetViews>
  <sheetFormatPr defaultColWidth="8.7109375" defaultRowHeight="12.75"/>
  <cols>
    <col min="1" max="1" width="3.5703125" customWidth="1"/>
    <col min="2" max="2" width="9" customWidth="1"/>
    <col min="3" max="3" width="6" customWidth="1"/>
    <col min="4" max="4" width="12" style="1" hidden="1" customWidth="1"/>
    <col min="5" max="5" width="7.140625" customWidth="1"/>
    <col min="6" max="6" width="7.5703125" customWidth="1"/>
    <col min="7" max="7" width="8" customWidth="1"/>
    <col min="8" max="8" width="7.28515625" customWidth="1"/>
    <col min="9" max="9" width="7.42578125" hidden="1" customWidth="1"/>
    <col min="10" max="10" width="9.140625" customWidth="1"/>
    <col min="11" max="11" width="5.5703125" hidden="1" customWidth="1"/>
    <col min="12" max="12" width="8.42578125" customWidth="1"/>
    <col min="13" max="13" width="7" customWidth="1"/>
    <col min="14" max="14" width="8.42578125" customWidth="1"/>
    <col min="15" max="15" width="7.140625" customWidth="1"/>
    <col min="16" max="16" width="9.85546875" hidden="1" customWidth="1"/>
    <col min="17" max="17" width="9.28515625" customWidth="1"/>
    <col min="18" max="18" width="6" customWidth="1"/>
    <col min="19" max="19" width="6.7109375" customWidth="1"/>
    <col min="20" max="20" width="9.140625" hidden="1" customWidth="1"/>
    <col min="21" max="21" width="7.140625" customWidth="1"/>
    <col min="22" max="22" width="7.85546875" customWidth="1"/>
    <col min="23" max="23" width="8.28515625" customWidth="1"/>
    <col min="24" max="24" width="6" customWidth="1"/>
    <col min="25" max="25" width="5.42578125" customWidth="1"/>
    <col min="26" max="26" width="6.85546875" customWidth="1"/>
    <col min="27" max="27" width="6.5703125" customWidth="1"/>
    <col min="28" max="28" width="7.5703125" customWidth="1"/>
    <col min="29" max="29" width="6.5703125" customWidth="1"/>
    <col min="30" max="30" width="4.28515625" customWidth="1"/>
    <col min="31" max="32" width="6.85546875" customWidth="1"/>
    <col min="33" max="33" width="0" hidden="1" customWidth="1"/>
    <col min="34" max="34" width="8.42578125" customWidth="1"/>
    <col min="35" max="35" width="7" customWidth="1"/>
    <col min="36" max="36" width="7.85546875" customWidth="1"/>
    <col min="37" max="37" width="0" hidden="1" customWidth="1"/>
    <col min="38" max="38" width="6.7109375" customWidth="1"/>
    <col min="39" max="39" width="7.7109375" customWidth="1"/>
    <col min="40" max="40" width="7" customWidth="1"/>
    <col min="41" max="41" width="9.42578125" customWidth="1"/>
    <col min="42" max="42" width="6.28515625" customWidth="1"/>
    <col min="43" max="43" width="6.85546875" customWidth="1"/>
    <col min="44" max="44" width="0" hidden="1" customWidth="1"/>
    <col min="45" max="45" width="6.7109375" customWidth="1"/>
    <col min="46" max="46" width="9.7109375" customWidth="1"/>
    <col min="47" max="47" width="7" customWidth="1"/>
    <col min="48" max="48" width="0" hidden="1" customWidth="1"/>
    <col min="49" max="49" width="6.140625" hidden="1" customWidth="1"/>
    <col min="50" max="50" width="5.140625" hidden="1" customWidth="1"/>
    <col min="51" max="51" width="8.42578125" customWidth="1"/>
    <col min="52" max="52" width="10" customWidth="1"/>
    <col min="53" max="53" width="8.7109375" hidden="1" customWidth="1"/>
    <col min="54" max="54" width="3.85546875" hidden="1" customWidth="1"/>
    <col min="55" max="55" width="6.5703125" customWidth="1"/>
    <col min="56" max="56" width="6.140625" customWidth="1"/>
    <col min="57" max="57" width="6.7109375" customWidth="1"/>
    <col min="58" max="58" width="8.85546875" customWidth="1"/>
    <col min="59" max="59" width="7.85546875" customWidth="1"/>
    <col min="60" max="60" width="9.85546875" customWidth="1"/>
    <col min="61" max="62" width="8.7109375" customWidth="1"/>
    <col min="63" max="63" width="10.28515625" customWidth="1"/>
    <col min="64" max="64" width="10.85546875" customWidth="1"/>
    <col min="65" max="65" width="10.7109375" customWidth="1"/>
    <col min="66" max="66" width="11.28515625" customWidth="1"/>
    <col min="67" max="67" width="10.42578125" customWidth="1"/>
    <col min="68" max="68" width="8.85546875" customWidth="1"/>
    <col min="69" max="69" width="11.28515625" customWidth="1"/>
    <col min="70" max="70" width="7.7109375" customWidth="1"/>
    <col min="71" max="71" width="10" customWidth="1"/>
    <col min="72" max="72" width="8.85546875" customWidth="1"/>
    <col min="73" max="73" width="10.140625" customWidth="1"/>
    <col min="74" max="75" width="8.85546875" customWidth="1"/>
    <col min="76" max="76" width="10.85546875" customWidth="1"/>
    <col min="77" max="78" width="8.7109375" customWidth="1"/>
    <col min="79" max="79" width="10" customWidth="1"/>
    <col min="80" max="80" width="10.42578125" customWidth="1"/>
    <col min="81" max="82" width="8.42578125" customWidth="1"/>
    <col min="83" max="83" width="9.85546875" customWidth="1"/>
    <col min="84" max="85" width="11.42578125" customWidth="1"/>
    <col min="86" max="86" width="11.140625" customWidth="1"/>
    <col min="87" max="87" width="11.28515625" customWidth="1"/>
    <col min="88" max="89" width="10" customWidth="1"/>
    <col min="90" max="90" width="8.7109375" customWidth="1"/>
    <col min="91" max="91" width="11.85546875" customWidth="1"/>
    <col min="92" max="92" width="8.7109375" customWidth="1"/>
    <col min="93" max="93" width="12.140625" customWidth="1"/>
    <col min="94" max="94" width="12.5703125" customWidth="1"/>
    <col min="95" max="95" width="11.7109375" customWidth="1"/>
    <col min="96" max="98" width="12.28515625" customWidth="1"/>
    <col min="99" max="99" width="13.28515625" customWidth="1"/>
    <col min="100" max="100" width="12.85546875" customWidth="1"/>
    <col min="101" max="101" width="13.42578125" customWidth="1"/>
    <col min="102" max="102" width="11.5703125" customWidth="1"/>
    <col min="103" max="103" width="12.5703125" customWidth="1"/>
    <col min="104" max="104" width="9.5703125" customWidth="1"/>
    <col min="105" max="105" width="19.140625" customWidth="1"/>
    <col min="106" max="106" width="19.42578125" customWidth="1"/>
    <col min="111" max="111" width="8.7109375" hidden="1" customWidth="1"/>
    <col min="112" max="112" width="9" bestFit="1" customWidth="1"/>
    <col min="114" max="114" width="9.5703125" bestFit="1" customWidth="1"/>
  </cols>
  <sheetData>
    <row r="1" spans="1:114" ht="17.25" customHeight="1">
      <c r="A1" s="310" t="s">
        <v>0</v>
      </c>
      <c r="B1" s="310"/>
      <c r="C1" s="310"/>
      <c r="D1" s="311"/>
      <c r="E1" s="310"/>
      <c r="F1" s="310"/>
      <c r="G1" s="310"/>
      <c r="H1" s="310"/>
      <c r="I1" s="310"/>
      <c r="J1" s="310"/>
      <c r="K1" s="310"/>
      <c r="L1" s="310"/>
      <c r="M1" s="310"/>
      <c r="N1" s="310"/>
      <c r="O1" s="310"/>
      <c r="P1" s="77"/>
      <c r="Q1" s="77"/>
      <c r="R1" s="77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</row>
    <row r="2" spans="1:114" ht="19.5" customHeight="1" thickBot="1">
      <c r="A2" s="22"/>
      <c r="B2" s="78"/>
      <c r="C2" s="78"/>
      <c r="D2" s="79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80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80"/>
      <c r="AT2" s="312" t="s">
        <v>1</v>
      </c>
      <c r="AU2" s="313">
        <v>31</v>
      </c>
      <c r="AV2" s="314"/>
      <c r="AW2" s="314"/>
      <c r="AX2" s="315" t="s">
        <v>81</v>
      </c>
      <c r="AY2" s="556" t="s">
        <v>2</v>
      </c>
      <c r="AZ2" s="556"/>
      <c r="BA2" s="556"/>
      <c r="BB2" s="556"/>
      <c r="BC2" s="556"/>
      <c r="BD2" s="316" t="s">
        <v>107</v>
      </c>
      <c r="BE2" s="317"/>
    </row>
    <row r="3" spans="1:114" ht="39.75" customHeight="1" thickBot="1">
      <c r="A3" s="557" t="s">
        <v>3</v>
      </c>
      <c r="B3" s="558" t="s">
        <v>71</v>
      </c>
      <c r="C3" s="558"/>
      <c r="D3" s="558"/>
      <c r="E3" s="558"/>
      <c r="F3" s="558"/>
      <c r="G3" s="558"/>
      <c r="H3" s="554" t="s">
        <v>4</v>
      </c>
      <c r="I3" s="554"/>
      <c r="J3" s="554"/>
      <c r="K3" s="554"/>
      <c r="L3" s="554"/>
      <c r="M3" s="554"/>
      <c r="N3" s="554"/>
      <c r="O3" s="554"/>
      <c r="P3" s="559"/>
      <c r="Q3" s="560" t="s">
        <v>5</v>
      </c>
      <c r="R3" s="561"/>
      <c r="S3" s="561"/>
      <c r="T3" s="561"/>
      <c r="U3" s="562"/>
      <c r="V3" s="563" t="s">
        <v>6</v>
      </c>
      <c r="W3" s="563" t="s">
        <v>7</v>
      </c>
      <c r="X3" s="564" t="s">
        <v>8</v>
      </c>
      <c r="Y3" s="564" t="s">
        <v>9</v>
      </c>
      <c r="Z3" s="564" t="s">
        <v>10</v>
      </c>
      <c r="AA3" s="564" t="s">
        <v>11</v>
      </c>
      <c r="AB3" s="564" t="s">
        <v>12</v>
      </c>
      <c r="AC3" s="564" t="s">
        <v>13</v>
      </c>
      <c r="AD3" s="564" t="s">
        <v>14</v>
      </c>
      <c r="AE3" s="554" t="s">
        <v>15</v>
      </c>
      <c r="AF3" s="554"/>
      <c r="AG3" s="554" t="s">
        <v>16</v>
      </c>
      <c r="AH3" s="554"/>
      <c r="AI3" s="554"/>
      <c r="AJ3" s="593" t="s">
        <v>17</v>
      </c>
      <c r="AK3" s="593"/>
      <c r="AL3" s="564" t="s">
        <v>18</v>
      </c>
      <c r="AM3" s="599" t="s">
        <v>19</v>
      </c>
      <c r="AN3" s="600" t="s">
        <v>95</v>
      </c>
      <c r="AO3" s="603" t="s">
        <v>20</v>
      </c>
      <c r="AP3" s="564" t="s">
        <v>105</v>
      </c>
      <c r="AQ3" s="564" t="s">
        <v>21</v>
      </c>
      <c r="AR3" s="81"/>
      <c r="AS3" s="593" t="s">
        <v>22</v>
      </c>
      <c r="AT3" s="554" t="s">
        <v>23</v>
      </c>
      <c r="AU3" s="554"/>
      <c r="AV3" s="554"/>
      <c r="AW3" s="554"/>
      <c r="AX3" s="554"/>
      <c r="AY3" s="554"/>
      <c r="AZ3" s="564" t="s">
        <v>24</v>
      </c>
      <c r="BA3" s="594" t="s">
        <v>25</v>
      </c>
      <c r="BB3" s="594"/>
      <c r="BC3" s="564" t="s">
        <v>26</v>
      </c>
      <c r="BD3" s="564" t="s">
        <v>27</v>
      </c>
      <c r="BE3" s="572" t="s">
        <v>28</v>
      </c>
      <c r="BF3" s="3"/>
      <c r="BG3" s="3"/>
      <c r="BH3" s="3"/>
      <c r="BI3" s="3"/>
      <c r="BJ3" s="3"/>
      <c r="BK3" s="573" t="s">
        <v>29</v>
      </c>
      <c r="BL3" s="574"/>
      <c r="BM3" s="574"/>
      <c r="BN3" s="574"/>
      <c r="BO3" s="575"/>
      <c r="BP3" s="575"/>
      <c r="BQ3" s="576"/>
      <c r="BR3" s="573" t="s">
        <v>30</v>
      </c>
      <c r="BS3" s="585"/>
      <c r="BT3" s="585"/>
      <c r="BU3" s="585"/>
      <c r="BV3" s="585"/>
      <c r="BW3" s="585"/>
      <c r="BX3" s="586"/>
      <c r="BY3" s="566" t="s">
        <v>31</v>
      </c>
      <c r="BZ3" s="566"/>
      <c r="CA3" s="566"/>
      <c r="CB3" s="566"/>
      <c r="CC3" s="566"/>
      <c r="CD3" s="566"/>
      <c r="CE3" s="566"/>
      <c r="CF3" s="566" t="s">
        <v>87</v>
      </c>
      <c r="CG3" s="566"/>
      <c r="CH3" s="566"/>
      <c r="CI3" s="566"/>
      <c r="CJ3" s="566" t="s">
        <v>32</v>
      </c>
      <c r="CK3" s="566"/>
      <c r="CL3" s="566"/>
      <c r="CM3" s="566"/>
      <c r="CN3" s="4"/>
      <c r="CO3" s="5"/>
      <c r="CP3" s="6"/>
      <c r="CQ3" s="6"/>
    </row>
    <row r="4" spans="1:114" s="7" customFormat="1" ht="30.75" customHeight="1" thickBot="1">
      <c r="A4" s="557"/>
      <c r="B4" s="565" t="s">
        <v>72</v>
      </c>
      <c r="C4" s="565" t="s">
        <v>73</v>
      </c>
      <c r="D4" s="568" t="s">
        <v>33</v>
      </c>
      <c r="E4" s="565" t="s">
        <v>74</v>
      </c>
      <c r="F4" s="569" t="s">
        <v>75</v>
      </c>
      <c r="G4" s="569" t="s">
        <v>34</v>
      </c>
      <c r="H4" s="555" t="s">
        <v>76</v>
      </c>
      <c r="I4" s="570" t="s">
        <v>101</v>
      </c>
      <c r="J4" s="555" t="s">
        <v>89</v>
      </c>
      <c r="K4" s="565" t="s">
        <v>35</v>
      </c>
      <c r="L4" s="565" t="s">
        <v>77</v>
      </c>
      <c r="M4" s="565" t="s">
        <v>78</v>
      </c>
      <c r="N4" s="565" t="s">
        <v>101</v>
      </c>
      <c r="O4" s="565" t="s">
        <v>96</v>
      </c>
      <c r="P4" s="555" t="s">
        <v>79</v>
      </c>
      <c r="Q4" s="555" t="s">
        <v>36</v>
      </c>
      <c r="R4" s="555" t="s">
        <v>32</v>
      </c>
      <c r="S4" s="555" t="s">
        <v>37</v>
      </c>
      <c r="T4" s="555" t="s">
        <v>38</v>
      </c>
      <c r="U4" s="555" t="s">
        <v>39</v>
      </c>
      <c r="V4" s="563"/>
      <c r="W4" s="563"/>
      <c r="X4" s="564"/>
      <c r="Y4" s="564"/>
      <c r="Z4" s="564"/>
      <c r="AA4" s="564"/>
      <c r="AB4" s="564"/>
      <c r="AC4" s="564"/>
      <c r="AD4" s="564"/>
      <c r="AE4" s="554"/>
      <c r="AF4" s="554"/>
      <c r="AG4" s="554"/>
      <c r="AH4" s="554"/>
      <c r="AI4" s="554"/>
      <c r="AJ4" s="593"/>
      <c r="AK4" s="593"/>
      <c r="AL4" s="564"/>
      <c r="AM4" s="599"/>
      <c r="AN4" s="601"/>
      <c r="AO4" s="603"/>
      <c r="AP4" s="564"/>
      <c r="AQ4" s="564"/>
      <c r="AR4" s="82"/>
      <c r="AS4" s="593"/>
      <c r="AT4" s="554"/>
      <c r="AU4" s="554"/>
      <c r="AV4" s="554"/>
      <c r="AW4" s="554"/>
      <c r="AX4" s="554"/>
      <c r="AY4" s="554"/>
      <c r="AZ4" s="564"/>
      <c r="BA4" s="594"/>
      <c r="BB4" s="594"/>
      <c r="BC4" s="564"/>
      <c r="BD4" s="564"/>
      <c r="BE4" s="572"/>
      <c r="BF4" s="3"/>
      <c r="BG4" s="3"/>
      <c r="BH4" s="3"/>
      <c r="BI4" s="3"/>
      <c r="BJ4" s="3"/>
      <c r="BK4" s="577"/>
      <c r="BL4" s="578"/>
      <c r="BM4" s="578"/>
      <c r="BN4" s="578"/>
      <c r="BO4" s="579"/>
      <c r="BP4" s="579"/>
      <c r="BQ4" s="580"/>
      <c r="BR4" s="577"/>
      <c r="BS4" s="566"/>
      <c r="BT4" s="566"/>
      <c r="BU4" s="566"/>
      <c r="BV4" s="566"/>
      <c r="BW4" s="566"/>
      <c r="BX4" s="587"/>
      <c r="BY4" s="566"/>
      <c r="BZ4" s="566"/>
      <c r="CA4" s="566"/>
      <c r="CB4" s="566"/>
      <c r="CC4" s="566"/>
      <c r="CD4" s="566"/>
      <c r="CE4" s="566"/>
      <c r="CF4" s="566"/>
      <c r="CG4" s="566"/>
      <c r="CH4" s="566"/>
      <c r="CI4" s="566"/>
      <c r="CJ4" s="566"/>
      <c r="CK4" s="566"/>
      <c r="CL4" s="566"/>
      <c r="CM4" s="566"/>
      <c r="CN4" s="4"/>
      <c r="CO4" s="6"/>
      <c r="CP4" s="6"/>
      <c r="CQ4" s="262"/>
      <c r="CR4" s="231"/>
      <c r="CS4" s="231"/>
      <c r="CT4" s="231"/>
      <c r="CU4" s="231"/>
      <c r="CV4" s="231"/>
      <c r="CW4" s="231"/>
      <c r="CX4" s="231"/>
      <c r="CY4" s="231"/>
      <c r="DD4" s="590" t="s">
        <v>90</v>
      </c>
      <c r="DE4" s="591"/>
      <c r="DF4" s="591"/>
      <c r="DG4" s="591"/>
      <c r="DH4" s="592"/>
    </row>
    <row r="5" spans="1:114" s="7" customFormat="1" ht="8.25" hidden="1" customHeight="1">
      <c r="A5" s="557"/>
      <c r="B5" s="565"/>
      <c r="C5" s="565"/>
      <c r="D5" s="568"/>
      <c r="E5" s="565"/>
      <c r="F5" s="569"/>
      <c r="G5" s="569"/>
      <c r="H5" s="555"/>
      <c r="I5" s="570"/>
      <c r="J5" s="565"/>
      <c r="K5" s="565"/>
      <c r="L5" s="565"/>
      <c r="M5" s="565"/>
      <c r="N5" s="565"/>
      <c r="O5" s="565"/>
      <c r="P5" s="555"/>
      <c r="Q5" s="555"/>
      <c r="R5" s="555"/>
      <c r="S5" s="555"/>
      <c r="T5" s="555"/>
      <c r="U5" s="555"/>
      <c r="V5" s="563"/>
      <c r="W5" s="563"/>
      <c r="X5" s="564"/>
      <c r="Y5" s="564"/>
      <c r="Z5" s="564"/>
      <c r="AA5" s="564"/>
      <c r="AB5" s="564"/>
      <c r="AC5" s="564"/>
      <c r="AD5" s="564"/>
      <c r="AE5" s="555" t="s">
        <v>40</v>
      </c>
      <c r="AF5" s="555" t="s">
        <v>41</v>
      </c>
      <c r="AG5" s="555" t="s">
        <v>42</v>
      </c>
      <c r="AH5" s="555" t="s">
        <v>40</v>
      </c>
      <c r="AI5" s="555" t="s">
        <v>41</v>
      </c>
      <c r="AJ5" s="593"/>
      <c r="AK5" s="593"/>
      <c r="AL5" s="564"/>
      <c r="AM5" s="599"/>
      <c r="AN5" s="601"/>
      <c r="AO5" s="603"/>
      <c r="AP5" s="564"/>
      <c r="AQ5" s="564"/>
      <c r="AR5" s="83"/>
      <c r="AS5" s="593"/>
      <c r="AT5" s="555" t="s">
        <v>43</v>
      </c>
      <c r="AU5" s="84"/>
      <c r="AV5" s="85"/>
      <c r="AW5" s="598" t="s">
        <v>44</v>
      </c>
      <c r="AX5" s="598" t="s">
        <v>45</v>
      </c>
      <c r="AY5" s="555" t="s">
        <v>46</v>
      </c>
      <c r="AZ5" s="564"/>
      <c r="BA5" s="86" t="s">
        <v>47</v>
      </c>
      <c r="BB5" s="86" t="s">
        <v>48</v>
      </c>
      <c r="BC5" s="564"/>
      <c r="BD5" s="564"/>
      <c r="BE5" s="572"/>
      <c r="BF5" s="3"/>
      <c r="BG5" s="3"/>
      <c r="BH5" s="3"/>
      <c r="BI5" s="3"/>
      <c r="BJ5" s="3"/>
      <c r="BK5" s="581"/>
      <c r="BL5" s="582"/>
      <c r="BM5" s="582"/>
      <c r="BN5" s="582"/>
      <c r="BO5" s="583"/>
      <c r="BP5" s="583"/>
      <c r="BQ5" s="584"/>
      <c r="BR5" s="581"/>
      <c r="BS5" s="588"/>
      <c r="BT5" s="588"/>
      <c r="BU5" s="588"/>
      <c r="BV5" s="588"/>
      <c r="BW5" s="588"/>
      <c r="BX5" s="589"/>
      <c r="BY5" s="567"/>
      <c r="BZ5" s="566"/>
      <c r="CA5" s="566"/>
      <c r="CB5" s="566"/>
      <c r="CC5" s="566"/>
      <c r="CD5" s="566"/>
      <c r="CE5" s="566"/>
      <c r="CF5" s="567"/>
      <c r="CG5" s="567"/>
      <c r="CH5" s="567"/>
      <c r="CI5" s="567"/>
      <c r="CJ5" s="567"/>
      <c r="CK5" s="567"/>
      <c r="CL5" s="567"/>
      <c r="CM5" s="567"/>
      <c r="CN5" s="4"/>
      <c r="CO5"/>
      <c r="CP5"/>
      <c r="CQ5" s="255"/>
      <c r="CR5" s="256"/>
      <c r="CS5" s="256"/>
      <c r="CT5" s="256"/>
      <c r="CU5" s="256"/>
      <c r="CV5" s="257"/>
      <c r="CW5" s="257"/>
      <c r="CX5" s="257"/>
      <c r="CY5" s="258"/>
      <c r="DA5" s="595" t="s">
        <v>49</v>
      </c>
      <c r="DB5" s="595"/>
    </row>
    <row r="6" spans="1:114" s="7" customFormat="1" ht="106.5" customHeight="1" thickBot="1">
      <c r="A6" s="557"/>
      <c r="B6" s="565"/>
      <c r="C6" s="565"/>
      <c r="D6" s="568"/>
      <c r="E6" s="565"/>
      <c r="F6" s="569"/>
      <c r="G6" s="569"/>
      <c r="H6" s="555"/>
      <c r="I6" s="570"/>
      <c r="J6" s="571"/>
      <c r="K6" s="565"/>
      <c r="L6" s="565"/>
      <c r="M6" s="565"/>
      <c r="N6" s="565"/>
      <c r="O6" s="565"/>
      <c r="P6" s="565"/>
      <c r="Q6" s="565"/>
      <c r="R6" s="565"/>
      <c r="S6" s="565"/>
      <c r="T6" s="555"/>
      <c r="U6" s="555"/>
      <c r="V6" s="563"/>
      <c r="W6" s="563"/>
      <c r="X6" s="564"/>
      <c r="Y6" s="564"/>
      <c r="Z6" s="564"/>
      <c r="AA6" s="564"/>
      <c r="AB6" s="564"/>
      <c r="AC6" s="564"/>
      <c r="AD6" s="564"/>
      <c r="AE6" s="555"/>
      <c r="AF6" s="555"/>
      <c r="AG6" s="555"/>
      <c r="AH6" s="555"/>
      <c r="AI6" s="555"/>
      <c r="AJ6" s="593"/>
      <c r="AK6" s="593"/>
      <c r="AL6" s="564"/>
      <c r="AM6" s="599"/>
      <c r="AN6" s="602"/>
      <c r="AO6" s="603"/>
      <c r="AP6" s="564"/>
      <c r="AQ6" s="564"/>
      <c r="AR6" s="420"/>
      <c r="AS6" s="593"/>
      <c r="AT6" s="555"/>
      <c r="AU6" s="419" t="s">
        <v>50</v>
      </c>
      <c r="AV6" s="419" t="s">
        <v>51</v>
      </c>
      <c r="AW6" s="598"/>
      <c r="AX6" s="598"/>
      <c r="AY6" s="555"/>
      <c r="AZ6" s="555"/>
      <c r="BA6" s="87"/>
      <c r="BB6" s="88">
        <v>0.04</v>
      </c>
      <c r="BC6" s="564"/>
      <c r="BD6" s="564"/>
      <c r="BE6" s="572"/>
      <c r="BF6" s="8" t="s">
        <v>52</v>
      </c>
      <c r="BG6" s="8" t="s">
        <v>53</v>
      </c>
      <c r="BH6" s="8" t="s">
        <v>54</v>
      </c>
      <c r="BI6" s="3"/>
      <c r="BJ6" s="3"/>
      <c r="BK6" s="308" t="s">
        <v>104</v>
      </c>
      <c r="BL6" s="280" t="s">
        <v>82</v>
      </c>
      <c r="BM6" s="279" t="s">
        <v>100</v>
      </c>
      <c r="BN6" s="307" t="s">
        <v>102</v>
      </c>
      <c r="BO6" s="308" t="s">
        <v>97</v>
      </c>
      <c r="BP6" s="326" t="s">
        <v>99</v>
      </c>
      <c r="BQ6" s="306" t="s">
        <v>86</v>
      </c>
      <c r="BR6" s="308" t="s">
        <v>104</v>
      </c>
      <c r="BS6" s="280" t="s">
        <v>82</v>
      </c>
      <c r="BT6" s="279" t="s">
        <v>100</v>
      </c>
      <c r="BU6" s="327"/>
      <c r="BV6" s="308" t="s">
        <v>97</v>
      </c>
      <c r="BW6" s="326" t="s">
        <v>99</v>
      </c>
      <c r="BX6" s="306"/>
      <c r="BY6" s="308" t="s">
        <v>104</v>
      </c>
      <c r="BZ6" s="280" t="s">
        <v>82</v>
      </c>
      <c r="CA6" s="279" t="s">
        <v>100</v>
      </c>
      <c r="CB6" s="307" t="s">
        <v>102</v>
      </c>
      <c r="CC6" s="308" t="s">
        <v>97</v>
      </c>
      <c r="CD6" s="326" t="s">
        <v>99</v>
      </c>
      <c r="CE6" s="306" t="s">
        <v>86</v>
      </c>
      <c r="CF6" s="267" t="s">
        <v>106</v>
      </c>
      <c r="CG6" s="268" t="s">
        <v>85</v>
      </c>
      <c r="CH6" s="244" t="s">
        <v>109</v>
      </c>
      <c r="CI6" s="245" t="s">
        <v>103</v>
      </c>
      <c r="CJ6" s="267" t="s">
        <v>106</v>
      </c>
      <c r="CK6" s="268" t="s">
        <v>85</v>
      </c>
      <c r="CL6" s="244" t="s">
        <v>109</v>
      </c>
      <c r="CM6" s="245" t="s">
        <v>103</v>
      </c>
      <c r="CN6" s="243"/>
      <c r="CO6" s="248" t="s">
        <v>104</v>
      </c>
      <c r="CP6" s="10" t="s">
        <v>82</v>
      </c>
      <c r="CQ6" s="264" t="s">
        <v>100</v>
      </c>
      <c r="CR6" s="23" t="s">
        <v>102</v>
      </c>
      <c r="CS6" s="248" t="s">
        <v>98</v>
      </c>
      <c r="CT6" s="248" t="s">
        <v>99</v>
      </c>
      <c r="CU6" s="9" t="s">
        <v>83</v>
      </c>
      <c r="CV6" s="259" t="s">
        <v>106</v>
      </c>
      <c r="CW6" s="248" t="s">
        <v>84</v>
      </c>
      <c r="CX6" s="232" t="s">
        <v>108</v>
      </c>
      <c r="CY6" s="263" t="s">
        <v>103</v>
      </c>
      <c r="CZ6" s="253"/>
      <c r="DA6" s="321" t="s">
        <v>80</v>
      </c>
      <c r="DB6" s="321" t="s">
        <v>55</v>
      </c>
      <c r="DD6" s="288" t="s">
        <v>91</v>
      </c>
      <c r="DE6" s="289" t="s">
        <v>92</v>
      </c>
      <c r="DF6" s="290" t="s">
        <v>93</v>
      </c>
      <c r="DG6" s="290"/>
      <c r="DH6" s="289" t="s">
        <v>94</v>
      </c>
    </row>
    <row r="7" spans="1:114" s="76" customFormat="1" ht="16.5" customHeight="1" thickBot="1">
      <c r="A7" s="121">
        <v>1</v>
      </c>
      <c r="B7" s="122">
        <f>BK7+BL7+BM7+BN7+BO7+BP7+BQ7</f>
        <v>281.94000399999999</v>
      </c>
      <c r="C7" s="123">
        <f>IF(B7=0,0,(BK7*BR7+BL7*BS7+BM7*BT7+BN7*BU7+BQ7*BX7+BO7*BV7+BP7*BW7)/B7)</f>
        <v>2.068880792833514</v>
      </c>
      <c r="D7" s="124">
        <f>B7*((100-C7)/100)</f>
        <v>276.10700140992992</v>
      </c>
      <c r="E7" s="125">
        <f>IF(B7=0,0,(BK7*BY7+BL7*BZ7+BM7*CA7+BQ7*CE7+BN7*CB7+BO7*CC7+BP7*CD7)/B7)</f>
        <v>40.364703726116169</v>
      </c>
      <c r="F7" s="126">
        <f>IF(AY7=0,0,D7/AY7)</f>
        <v>1.999181821808196</v>
      </c>
      <c r="G7" s="127"/>
      <c r="H7" s="126">
        <f>IF(AY7=0,0,(CP7+CO7+CS7+CQ7+CT7)/AY7)</f>
        <v>1.1374991137499095</v>
      </c>
      <c r="I7" s="230">
        <f>'[1]июль 20'!AI6</f>
        <v>0</v>
      </c>
      <c r="J7" s="246">
        <f>'[1]январь 20'!AA6</f>
        <v>11.661</v>
      </c>
      <c r="K7" s="276">
        <f>'[1]сентябрь 20'!AM6</f>
        <v>0</v>
      </c>
      <c r="L7" s="122">
        <f>BN7+BQ7</f>
        <v>119.00699999999999</v>
      </c>
      <c r="M7" s="128">
        <f>IF(AY7=0,0,(CR7+CU7)/AY7)</f>
        <v>0.86168270805828695</v>
      </c>
      <c r="N7" s="128">
        <f>'[1]январь 20'!W6</f>
        <v>0</v>
      </c>
      <c r="O7" s="402">
        <f>'[1]январь 20'!AU6</f>
        <v>3.3330000000000002</v>
      </c>
      <c r="P7" s="125">
        <f t="shared" ref="P7:P37" si="0">CF7+CH7+CI7+CG7</f>
        <v>158.86300199999999</v>
      </c>
      <c r="Q7" s="122">
        <f>CF7+CG7+CH7+CI7</f>
        <v>158.86300199999999</v>
      </c>
      <c r="R7" s="123">
        <f>IF(Q7=0,0,(CI7*CM7+CG7*CK7+CH7*CL7+CF7*CJ7)/Q7)</f>
        <v>2.0899999736880335</v>
      </c>
      <c r="S7" s="129">
        <v>8.17</v>
      </c>
      <c r="T7" s="125">
        <f t="shared" ref="T7:T37" si="1">Q7*((100-R7)/100)</f>
        <v>155.54276529999996</v>
      </c>
      <c r="U7" s="128">
        <f t="shared" ref="U7:U37" si="2">IF(AY7=0,0,T7/AY7)</f>
        <v>1.1262237730794293</v>
      </c>
      <c r="V7" s="130">
        <v>71.92</v>
      </c>
      <c r="W7" s="130">
        <v>138.11000000000001</v>
      </c>
      <c r="X7" s="129">
        <v>0.7</v>
      </c>
      <c r="Y7" s="131">
        <v>496</v>
      </c>
      <c r="Z7" s="131">
        <v>1205</v>
      </c>
      <c r="AA7" s="132" t="s">
        <v>110</v>
      </c>
      <c r="AB7" s="129">
        <v>75.09</v>
      </c>
      <c r="AC7" s="131">
        <v>115</v>
      </c>
      <c r="AD7" s="133">
        <v>4</v>
      </c>
      <c r="AE7" s="129">
        <v>21.45</v>
      </c>
      <c r="AF7" s="134">
        <f t="shared" ref="AF7:AF37" si="3">IF(AY7=0,0,AE7/AY7*1000)</f>
        <v>155.31098399826226</v>
      </c>
      <c r="AG7" s="135"/>
      <c r="AH7" s="129">
        <v>83.7</v>
      </c>
      <c r="AI7" s="134">
        <f t="shared" ref="AI7:AI37" si="4">IF(AY7=0,0,AH7/AY7*1000)</f>
        <v>606.03866483238016</v>
      </c>
      <c r="AJ7" s="136">
        <v>12.89</v>
      </c>
      <c r="AK7" s="127"/>
      <c r="AL7" s="137">
        <v>5.28</v>
      </c>
      <c r="AM7" s="138">
        <v>33.97</v>
      </c>
      <c r="AN7" s="126">
        <f>IF(AM7=0,0,AM7/AT7)</f>
        <v>0.1941697627893684</v>
      </c>
      <c r="AO7" s="139" t="s">
        <v>111</v>
      </c>
      <c r="AP7" s="138">
        <v>13.52</v>
      </c>
      <c r="AQ7" s="138">
        <v>6.59</v>
      </c>
      <c r="AR7" s="129"/>
      <c r="AS7" s="129">
        <v>9.57</v>
      </c>
      <c r="AT7" s="129">
        <v>174.95</v>
      </c>
      <c r="AU7" s="129">
        <v>2.41</v>
      </c>
      <c r="AV7" s="129"/>
      <c r="AW7" s="129"/>
      <c r="AX7" s="140">
        <f t="shared" ref="AX7:AX37" si="5">IF(AY7=0,0,AW7/AY7*100)</f>
        <v>0</v>
      </c>
      <c r="AY7" s="125">
        <f t="shared" ref="AY7:AY37" si="6">AT7-AL7-AM7+AV7+AW7+AU7</f>
        <v>138.10999999999999</v>
      </c>
      <c r="AZ7" s="125">
        <f>IF(AB7=0,0,((D7*0.97)*(E7/100)*0.9)/(AB7/100))+DH7</f>
        <v>131.76156312488553</v>
      </c>
      <c r="BA7" s="141">
        <f t="shared" ref="BA7:BA37" si="7">(AH7*AS7)/100*(55/71)</f>
        <v>6.2049992957746474</v>
      </c>
      <c r="BB7" s="142">
        <f t="shared" ref="BB7:BB37" si="8">AY7*$BB$6</f>
        <v>5.5243999999999991</v>
      </c>
      <c r="BC7" s="122">
        <f t="shared" ref="BC7:BC37" si="9">IF((D7*E7)=0,0,(AY7*AB7)/(D7*E7))</f>
        <v>0.93052499012093859</v>
      </c>
      <c r="BD7" s="142">
        <f>BA7+BB7</f>
        <v>11.729399295774646</v>
      </c>
      <c r="BE7" s="143">
        <v>0.93100000000000005</v>
      </c>
      <c r="BF7" s="25">
        <f>AY7</f>
        <v>138.10999999999999</v>
      </c>
      <c r="BG7" s="25">
        <f t="shared" ref="BG7:BG38" si="10">IF(A7&lt;=$BE$43,$AT$43,0)</f>
        <v>116.12903225806451</v>
      </c>
      <c r="BH7" s="25">
        <f>BG7</f>
        <v>116.12903225806451</v>
      </c>
      <c r="BI7" s="26">
        <f t="shared" ref="BI7:BI37" si="11">IF(AY7&lt;&gt;0,1,0)</f>
        <v>1</v>
      </c>
      <c r="BJ7" s="27">
        <f>BG7*BI7</f>
        <v>116.12903225806451</v>
      </c>
      <c r="BK7" s="28">
        <v>9.9999999999999995E-7</v>
      </c>
      <c r="BL7" s="28">
        <v>162.93299999999999</v>
      </c>
      <c r="BM7" s="28">
        <v>9.9999999999999995E-7</v>
      </c>
      <c r="BN7" s="28">
        <v>73.203999999999994</v>
      </c>
      <c r="BO7" s="28">
        <v>9.9999999999999995E-7</v>
      </c>
      <c r="BP7" s="28">
        <v>9.9999999999999995E-7</v>
      </c>
      <c r="BQ7" s="28">
        <v>45.802999999999997</v>
      </c>
      <c r="BR7" s="28">
        <v>9.9999999999999995E-7</v>
      </c>
      <c r="BS7" s="28">
        <v>3.58</v>
      </c>
      <c r="BT7" s="28">
        <v>9.9999999999999995E-7</v>
      </c>
      <c r="BU7" s="28">
        <v>9.9999999999999995E-7</v>
      </c>
      <c r="BV7" s="28">
        <v>9.9999999999999995E-7</v>
      </c>
      <c r="BW7" s="28">
        <v>9.9999999999999995E-7</v>
      </c>
      <c r="BX7" s="28">
        <v>9.9999999999999995E-7</v>
      </c>
      <c r="BY7" s="28">
        <v>9.9999999999999995E-7</v>
      </c>
      <c r="BZ7" s="28">
        <v>36.340000000000003</v>
      </c>
      <c r="CA7" s="28">
        <v>9.9999999999999995E-7</v>
      </c>
      <c r="CB7" s="28">
        <v>45.39</v>
      </c>
      <c r="CC7" s="28">
        <v>9.9999999999999995E-7</v>
      </c>
      <c r="CD7" s="28">
        <v>9.9999999999999995E-7</v>
      </c>
      <c r="CE7" s="28">
        <v>46.65</v>
      </c>
      <c r="CF7" s="28">
        <v>9.9999999999999995E-7</v>
      </c>
      <c r="CG7" s="28">
        <v>115.38500000000001</v>
      </c>
      <c r="CH7" s="28">
        <v>43.478000000000002</v>
      </c>
      <c r="CI7" s="28">
        <v>9.9999999999999995E-7</v>
      </c>
      <c r="CJ7" s="28">
        <v>9.9999999999999995E-7</v>
      </c>
      <c r="CK7" s="28">
        <v>2.09</v>
      </c>
      <c r="CL7" s="28">
        <v>2.09</v>
      </c>
      <c r="CM7" s="28">
        <v>9.9999999999999995E-7</v>
      </c>
      <c r="CN7" s="286"/>
      <c r="CO7" s="252">
        <f t="shared" ref="CO7:CU22" si="12">BK7*((100-BR7)/100)</f>
        <v>9.9999998999999992E-7</v>
      </c>
      <c r="CP7" s="11">
        <f t="shared" si="12"/>
        <v>157.09999859999999</v>
      </c>
      <c r="CQ7" s="11">
        <f t="shared" si="12"/>
        <v>9.9999998999999992E-7</v>
      </c>
      <c r="CR7" s="11">
        <f t="shared" si="12"/>
        <v>73.20399926796</v>
      </c>
      <c r="CS7" s="11">
        <f t="shared" si="12"/>
        <v>9.9999998999999992E-7</v>
      </c>
      <c r="CT7" s="11">
        <f t="shared" si="12"/>
        <v>9.9999998999999992E-7</v>
      </c>
      <c r="CU7" s="271">
        <f t="shared" si="12"/>
        <v>45.802999541970003</v>
      </c>
      <c r="CV7" s="260">
        <f t="shared" ref="CV7:CY37" si="13">CF7*((100-CJ7)/100)</f>
        <v>9.9999998999999992E-7</v>
      </c>
      <c r="CW7" s="250">
        <f t="shared" si="13"/>
        <v>112.97345350000001</v>
      </c>
      <c r="CX7" s="260">
        <f t="shared" si="13"/>
        <v>42.569309799999999</v>
      </c>
      <c r="CY7" s="271">
        <f t="shared" si="13"/>
        <v>9.9999998999999992E-7</v>
      </c>
      <c r="CZ7" s="13"/>
      <c r="DA7" s="240">
        <f>(D7+'[2]январь 20'!D7)/(AY7+'[2]январь 20'!AX7)</f>
        <v>2.0548558265027483</v>
      </c>
      <c r="DB7" s="241">
        <f>(T7+'[2]январь 20'!R7)/(AY7+'[2]январь 20'!AX7)</f>
        <v>1.1933932380048795</v>
      </c>
      <c r="DD7" s="292">
        <f t="shared" ref="DD7:DD37" si="14">J7</f>
        <v>11.661</v>
      </c>
      <c r="DE7" s="291">
        <v>0.64</v>
      </c>
      <c r="DF7" s="291">
        <v>14.19</v>
      </c>
      <c r="DG7" s="145">
        <f t="shared" ref="DG7:DG37" si="15">DD7*((100-DE7)/100)</f>
        <v>11.586369599999999</v>
      </c>
      <c r="DH7" s="293">
        <f>IF(AB7=0,0,(DG7*DF7%)/(AB7/100))</f>
        <v>2.1895137118657613</v>
      </c>
      <c r="DJ7" s="322"/>
    </row>
    <row r="8" spans="1:114" s="76" customFormat="1" ht="16.5" customHeight="1" thickBot="1">
      <c r="A8" s="144">
        <v>2</v>
      </c>
      <c r="B8" s="122">
        <f t="shared" ref="B8:B37" si="16">BK8+BL8+BM8+BN8+BO8+BP8+BQ8</f>
        <v>294.49400000000003</v>
      </c>
      <c r="C8" s="123">
        <f t="shared" ref="C8:C37" si="17">IF(B8=0,0,(BK8*BR8+BL8*BS8+BM8*BT8+BN8*BU8+BQ8*BX8+BO8*BV8+BP8*BW8)/B8)</f>
        <v>1.5769974940066691</v>
      </c>
      <c r="D8" s="145">
        <f t="shared" ref="D8:D37" si="18">B8*((100-C8)/100)</f>
        <v>289.84983700000004</v>
      </c>
      <c r="E8" s="125">
        <f t="shared" ref="E8:E37" si="19">IF(B8=0,0,(BK8*BY8+BL8*BZ8+BM8*CA8+BQ8*CE8+BN8*CB8+BO8*CC8+BP8*CD8)/B8)</f>
        <v>40.377417264867873</v>
      </c>
      <c r="F8" s="146">
        <f t="shared" ref="F8:F37" si="20">IF(AY8=0,0,D8/AY8)</f>
        <v>1.9756651693817742</v>
      </c>
      <c r="G8" s="127"/>
      <c r="H8" s="126">
        <f t="shared" ref="H8:H37" si="21">IF(AY8=0,0,(CP8+CO8+CS8+CQ8+CT8)/AY8)</f>
        <v>1.1236509917524371</v>
      </c>
      <c r="I8" s="230">
        <f>'[1]июль 20'!AI7</f>
        <v>0</v>
      </c>
      <c r="J8" s="247">
        <f>'[1]январь 20'!AA7</f>
        <v>12.211</v>
      </c>
      <c r="K8" s="276">
        <f>'[1]сентябрь 20'!AM7</f>
        <v>0</v>
      </c>
      <c r="L8" s="122">
        <f t="shared" ref="L8:L37" si="22">BN8+BQ8</f>
        <v>124.999</v>
      </c>
      <c r="M8" s="128">
        <f t="shared" ref="M8:M37" si="23">IF(AY8=0,0,(CR8+CU8)/AY8)</f>
        <v>0.85201417762933684</v>
      </c>
      <c r="N8" s="400">
        <f>'[1]январь 20'!W7</f>
        <v>0</v>
      </c>
      <c r="O8" s="403">
        <f>'[1]январь 20'!AU7</f>
        <v>1.99</v>
      </c>
      <c r="P8" s="401">
        <f t="shared" si="0"/>
        <v>170.73000000000002</v>
      </c>
      <c r="Q8" s="122">
        <f t="shared" ref="Q8:Q37" si="24">CF8+CG8+CH8+CI8</f>
        <v>170.73000000000002</v>
      </c>
      <c r="R8" s="123">
        <f t="shared" ref="R8:R37" si="25">IF(Q8=0,0,(CI8*CM8+CG8*CK8+CH8*CL8+CF8*CJ8)/Q8)</f>
        <v>2.0699999999999998</v>
      </c>
      <c r="S8" s="129">
        <v>8.85</v>
      </c>
      <c r="T8" s="125">
        <f t="shared" si="1"/>
        <v>167.19588900000002</v>
      </c>
      <c r="U8" s="147">
        <f t="shared" si="2"/>
        <v>1.1396352600368076</v>
      </c>
      <c r="V8" s="130">
        <v>110.91</v>
      </c>
      <c r="W8" s="130">
        <v>146.71</v>
      </c>
      <c r="X8" s="129">
        <v>0.18</v>
      </c>
      <c r="Y8" s="131">
        <v>500</v>
      </c>
      <c r="Z8" s="131">
        <v>1206</v>
      </c>
      <c r="AA8" s="148" t="s">
        <v>112</v>
      </c>
      <c r="AB8" s="149">
        <v>75.64</v>
      </c>
      <c r="AC8" s="150">
        <v>121</v>
      </c>
      <c r="AD8" s="151">
        <v>4</v>
      </c>
      <c r="AE8" s="149">
        <v>16</v>
      </c>
      <c r="AF8" s="134">
        <f t="shared" si="3"/>
        <v>109.05868720605277</v>
      </c>
      <c r="AG8" s="152"/>
      <c r="AH8" s="129">
        <v>97.45</v>
      </c>
      <c r="AI8" s="134">
        <f t="shared" si="4"/>
        <v>664.23556676436522</v>
      </c>
      <c r="AJ8" s="153">
        <v>15.55</v>
      </c>
      <c r="AK8" s="154"/>
      <c r="AL8" s="155">
        <v>8.39</v>
      </c>
      <c r="AM8" s="156">
        <v>34.6</v>
      </c>
      <c r="AN8" s="126">
        <f t="shared" ref="AN8:AN37" si="26">IF(AM8=0,0,AM8/AT8)</f>
        <v>0.18297197250132208</v>
      </c>
      <c r="AO8" s="157" t="s">
        <v>113</v>
      </c>
      <c r="AP8" s="156">
        <v>12</v>
      </c>
      <c r="AQ8" s="156">
        <v>6.44</v>
      </c>
      <c r="AR8" s="149"/>
      <c r="AS8" s="149">
        <v>10.93</v>
      </c>
      <c r="AT8" s="149">
        <v>189.1</v>
      </c>
      <c r="AU8" s="149">
        <v>0.6</v>
      </c>
      <c r="AV8" s="149"/>
      <c r="AW8" s="149"/>
      <c r="AX8" s="158">
        <f t="shared" si="5"/>
        <v>0</v>
      </c>
      <c r="AY8" s="125">
        <f t="shared" si="6"/>
        <v>146.70999999999998</v>
      </c>
      <c r="AZ8" s="125">
        <f>IF(AB8=0,0,((D8*0.97)*(E8/100)*0.9)/(AB8/100))+DH8</f>
        <v>137.72588017934513</v>
      </c>
      <c r="BA8" s="159">
        <f t="shared" si="7"/>
        <v>8.25099542253521</v>
      </c>
      <c r="BB8" s="160">
        <f t="shared" si="8"/>
        <v>5.8683999999999994</v>
      </c>
      <c r="BC8" s="161">
        <f t="shared" si="9"/>
        <v>0.94819932293067144</v>
      </c>
      <c r="BD8" s="160">
        <f t="shared" ref="BD8:BD37" si="27">BA8+BB8</f>
        <v>14.119395422535209</v>
      </c>
      <c r="BE8" s="162">
        <v>0.94</v>
      </c>
      <c r="BF8" s="25">
        <f t="shared" ref="BF8:BF37" si="28">BF7+AY8</f>
        <v>284.81999999999994</v>
      </c>
      <c r="BG8" s="25">
        <f t="shared" si="10"/>
        <v>116.12903225806451</v>
      </c>
      <c r="BH8" s="25">
        <f t="shared" ref="BH8:BH37" si="29">BG8+BH7</f>
        <v>232.25806451612902</v>
      </c>
      <c r="BI8" s="26">
        <f t="shared" si="11"/>
        <v>1</v>
      </c>
      <c r="BJ8" s="27">
        <f t="shared" ref="BJ8:BJ37" si="30">BG8*BI8+BJ7</f>
        <v>232.25806451612902</v>
      </c>
      <c r="BK8" s="30"/>
      <c r="BL8" s="31">
        <v>169.495</v>
      </c>
      <c r="BM8" s="31"/>
      <c r="BN8" s="31">
        <v>124.999</v>
      </c>
      <c r="BO8" s="40"/>
      <c r="BP8" s="40"/>
      <c r="BQ8" s="32"/>
      <c r="BR8" s="33"/>
      <c r="BS8" s="34">
        <v>2.74</v>
      </c>
      <c r="BT8" s="35"/>
      <c r="BU8" s="28"/>
      <c r="BV8" s="287"/>
      <c r="BW8" s="28"/>
      <c r="BX8" s="36"/>
      <c r="BY8" s="33"/>
      <c r="BZ8" s="34">
        <v>36.43</v>
      </c>
      <c r="CA8" s="35"/>
      <c r="CB8" s="35">
        <v>45.73</v>
      </c>
      <c r="CC8" s="235"/>
      <c r="CD8" s="235"/>
      <c r="CE8" s="36"/>
      <c r="CF8" s="30"/>
      <c r="CG8" s="30">
        <v>121.661</v>
      </c>
      <c r="CH8" s="31">
        <v>49.069000000000003</v>
      </c>
      <c r="CI8" s="32"/>
      <c r="CJ8" s="33"/>
      <c r="CK8" s="33">
        <v>2.0699999999999998</v>
      </c>
      <c r="CL8" s="35">
        <v>2.0699999999999998</v>
      </c>
      <c r="CM8" s="28"/>
      <c r="CN8" s="286"/>
      <c r="CO8" s="249">
        <f t="shared" si="12"/>
        <v>0</v>
      </c>
      <c r="CP8" s="12">
        <f t="shared" si="12"/>
        <v>164.85083700000001</v>
      </c>
      <c r="CQ8" s="12">
        <f t="shared" si="12"/>
        <v>0</v>
      </c>
      <c r="CR8" s="12">
        <f t="shared" si="12"/>
        <v>124.999</v>
      </c>
      <c r="CS8" s="11">
        <f t="shared" si="12"/>
        <v>0</v>
      </c>
      <c r="CT8" s="11">
        <f t="shared" si="12"/>
        <v>0</v>
      </c>
      <c r="CU8" s="272">
        <f t="shared" si="12"/>
        <v>0</v>
      </c>
      <c r="CV8" s="249">
        <f t="shared" si="13"/>
        <v>0</v>
      </c>
      <c r="CW8" s="12">
        <f t="shared" si="13"/>
        <v>119.14261730000001</v>
      </c>
      <c r="CX8" s="254">
        <f t="shared" si="13"/>
        <v>48.053271700000003</v>
      </c>
      <c r="CY8" s="272">
        <f t="shared" si="13"/>
        <v>0</v>
      </c>
      <c r="CZ8" s="13"/>
      <c r="DA8" s="240">
        <f>(D8+'[2]январь 20'!D8)/(AY8+'[2]январь 20'!AX8)</f>
        <v>2.2178737659026031</v>
      </c>
      <c r="DB8" s="241">
        <f>(T8+'[2]январь 20'!R8)/(AY8+'[2]январь 20'!AX8)</f>
        <v>1.3078131018043739</v>
      </c>
      <c r="DD8" s="292">
        <f t="shared" si="14"/>
        <v>12.211</v>
      </c>
      <c r="DE8" s="291">
        <v>0.11</v>
      </c>
      <c r="DF8" s="291">
        <v>16.440000000000001</v>
      </c>
      <c r="DG8" s="145">
        <f t="shared" si="15"/>
        <v>12.197567900000001</v>
      </c>
      <c r="DH8" s="293">
        <f t="shared" ref="DH8:DH37" si="31">IF(AB8=0,0,(DG8*DF8%)/(AB8/100))</f>
        <v>2.6510842976731896</v>
      </c>
      <c r="DJ8" s="322"/>
    </row>
    <row r="9" spans="1:114" s="76" customFormat="1" ht="16.5" customHeight="1" thickBot="1">
      <c r="A9" s="144">
        <v>3</v>
      </c>
      <c r="B9" s="122">
        <f t="shared" si="16"/>
        <v>305.03899999999999</v>
      </c>
      <c r="C9" s="123">
        <f t="shared" si="17"/>
        <v>1.6536895610069533</v>
      </c>
      <c r="D9" s="145">
        <f>B9*((100-C9)/100)</f>
        <v>299.99460189999996</v>
      </c>
      <c r="E9" s="125">
        <f t="shared" si="19"/>
        <v>40.827929641783513</v>
      </c>
      <c r="F9" s="146">
        <f t="shared" si="20"/>
        <v>1.9774214086085291</v>
      </c>
      <c r="G9" s="127"/>
      <c r="H9" s="126">
        <f t="shared" si="21"/>
        <v>1.1252956423439455</v>
      </c>
      <c r="I9" s="230">
        <f>'[1]июль 20'!AI8</f>
        <v>0</v>
      </c>
      <c r="J9" s="247">
        <f>'[1]январь 20'!AA8</f>
        <v>12.244999999999999</v>
      </c>
      <c r="K9" s="276">
        <f>'[1]сентябрь 20'!AM8</f>
        <v>0</v>
      </c>
      <c r="L9" s="122">
        <f t="shared" si="22"/>
        <v>129.27600000000001</v>
      </c>
      <c r="M9" s="128">
        <f t="shared" si="23"/>
        <v>0.85212576626458381</v>
      </c>
      <c r="N9" s="400">
        <f>'[1]январь 20'!W8</f>
        <v>0</v>
      </c>
      <c r="O9" s="403">
        <f>'[1]январь 20'!AU8</f>
        <v>2.1970000000000001</v>
      </c>
      <c r="P9" s="401">
        <f t="shared" si="0"/>
        <v>175.41499999999999</v>
      </c>
      <c r="Q9" s="122">
        <f t="shared" si="24"/>
        <v>175.41499999999999</v>
      </c>
      <c r="R9" s="123">
        <f t="shared" si="25"/>
        <v>2.16</v>
      </c>
      <c r="S9" s="129">
        <v>6.22</v>
      </c>
      <c r="T9" s="125">
        <f t="shared" si="1"/>
        <v>171.626036</v>
      </c>
      <c r="U9" s="147">
        <f>IF(AY9=0,0,T9/AY9)</f>
        <v>1.1312770153582492</v>
      </c>
      <c r="V9" s="130">
        <v>63.84</v>
      </c>
      <c r="W9" s="130">
        <v>100.93</v>
      </c>
      <c r="X9" s="129">
        <v>0.98</v>
      </c>
      <c r="Y9" s="131">
        <v>515</v>
      </c>
      <c r="Z9" s="131">
        <v>1206</v>
      </c>
      <c r="AA9" s="148" t="s">
        <v>114</v>
      </c>
      <c r="AB9" s="149">
        <v>75.31</v>
      </c>
      <c r="AC9" s="150">
        <v>124</v>
      </c>
      <c r="AD9" s="151">
        <v>4</v>
      </c>
      <c r="AE9" s="149">
        <v>18.95</v>
      </c>
      <c r="AF9" s="134">
        <f t="shared" si="3"/>
        <v>124.90936655461076</v>
      </c>
      <c r="AG9" s="152"/>
      <c r="AH9" s="129">
        <v>74.95</v>
      </c>
      <c r="AI9" s="134">
        <f t="shared" si="4"/>
        <v>494.0346714125634</v>
      </c>
      <c r="AJ9" s="153">
        <v>23.43</v>
      </c>
      <c r="AK9" s="154"/>
      <c r="AL9" s="155">
        <v>5.7</v>
      </c>
      <c r="AM9" s="156">
        <v>36.270000000000003</v>
      </c>
      <c r="AN9" s="126">
        <f t="shared" si="26"/>
        <v>0.18915254237288137</v>
      </c>
      <c r="AO9" s="157" t="s">
        <v>115</v>
      </c>
      <c r="AP9" s="156">
        <v>14.15</v>
      </c>
      <c r="AQ9" s="156">
        <v>6.54</v>
      </c>
      <c r="AR9" s="149"/>
      <c r="AS9" s="149">
        <v>9.0500000000000007</v>
      </c>
      <c r="AT9" s="149">
        <v>191.75</v>
      </c>
      <c r="AU9" s="149">
        <v>1.93</v>
      </c>
      <c r="AV9" s="149"/>
      <c r="AW9" s="149"/>
      <c r="AX9" s="158">
        <f t="shared" si="5"/>
        <v>0</v>
      </c>
      <c r="AY9" s="125">
        <f t="shared" si="6"/>
        <v>151.71</v>
      </c>
      <c r="AZ9" s="125">
        <f t="shared" ref="AZ9:AZ37" si="32">IF(AB9=0,0,((D9*0.97)*(E9/100)*0.9)/(AB9/100))+DH9</f>
        <v>144.1553416941106</v>
      </c>
      <c r="BA9" s="159">
        <f t="shared" si="7"/>
        <v>5.2544172535211278</v>
      </c>
      <c r="BB9" s="160">
        <f t="shared" si="8"/>
        <v>6.0684000000000005</v>
      </c>
      <c r="BC9" s="161">
        <f t="shared" si="9"/>
        <v>0.93281615360089587</v>
      </c>
      <c r="BD9" s="160">
        <f t="shared" si="27"/>
        <v>11.322817253521128</v>
      </c>
      <c r="BE9" s="162">
        <v>0.93700000000000006</v>
      </c>
      <c r="BF9" s="25">
        <f t="shared" si="28"/>
        <v>436.53</v>
      </c>
      <c r="BG9" s="25">
        <f t="shared" si="10"/>
        <v>116.12903225806451</v>
      </c>
      <c r="BH9" s="25">
        <f t="shared" si="29"/>
        <v>348.38709677419354</v>
      </c>
      <c r="BI9" s="26">
        <f t="shared" si="11"/>
        <v>1</v>
      </c>
      <c r="BJ9" s="37">
        <f t="shared" si="30"/>
        <v>348.38709677419354</v>
      </c>
      <c r="BK9" s="38"/>
      <c r="BL9" s="31">
        <v>175.76300000000001</v>
      </c>
      <c r="BM9" s="31"/>
      <c r="BN9" s="31">
        <v>129.27600000000001</v>
      </c>
      <c r="BO9" s="40"/>
      <c r="BP9" s="40"/>
      <c r="BQ9" s="32"/>
      <c r="BR9" s="33"/>
      <c r="BS9" s="34">
        <v>2.87</v>
      </c>
      <c r="BT9" s="35"/>
      <c r="BU9" s="28"/>
      <c r="BV9" s="287"/>
      <c r="BW9" s="287"/>
      <c r="BX9" s="36"/>
      <c r="BY9" s="33"/>
      <c r="BZ9" s="34">
        <v>37.090000000000003</v>
      </c>
      <c r="CA9" s="35"/>
      <c r="CB9" s="35">
        <v>45.91</v>
      </c>
      <c r="CC9" s="235"/>
      <c r="CD9" s="235"/>
      <c r="CE9" s="36"/>
      <c r="CF9" s="30"/>
      <c r="CG9" s="30">
        <v>127.411</v>
      </c>
      <c r="CH9" s="31">
        <v>48.003999999999998</v>
      </c>
      <c r="CI9" s="32"/>
      <c r="CJ9" s="33"/>
      <c r="CK9" s="33">
        <v>2.16</v>
      </c>
      <c r="CL9" s="35">
        <v>2.16</v>
      </c>
      <c r="CM9" s="36"/>
      <c r="CN9" s="286"/>
      <c r="CO9" s="249">
        <f t="shared" si="12"/>
        <v>0</v>
      </c>
      <c r="CP9" s="12">
        <f t="shared" si="12"/>
        <v>170.71860189999998</v>
      </c>
      <c r="CQ9" s="12">
        <f t="shared" si="12"/>
        <v>0</v>
      </c>
      <c r="CR9" s="12">
        <f t="shared" si="12"/>
        <v>129.27600000000001</v>
      </c>
      <c r="CS9" s="11">
        <f t="shared" si="12"/>
        <v>0</v>
      </c>
      <c r="CT9" s="11">
        <f t="shared" si="12"/>
        <v>0</v>
      </c>
      <c r="CU9" s="272">
        <f t="shared" si="12"/>
        <v>0</v>
      </c>
      <c r="CV9" s="249">
        <f t="shared" si="13"/>
        <v>0</v>
      </c>
      <c r="CW9" s="251">
        <f t="shared" si="13"/>
        <v>124.65892240000001</v>
      </c>
      <c r="CX9" s="249">
        <f t="shared" si="13"/>
        <v>46.967113599999998</v>
      </c>
      <c r="CY9" s="272">
        <f t="shared" si="13"/>
        <v>0</v>
      </c>
      <c r="CZ9" s="13"/>
      <c r="DA9" s="240">
        <f>(D9+'[2]январь 20'!D9)/(AY9+'[2]январь 20'!AX9)</f>
        <v>1.9693520422126871</v>
      </c>
      <c r="DB9" s="241">
        <f>(T9+'[2]январь 20'!R9)/(AY9+'[2]январь 20'!AX9)</f>
        <v>1.1576853438478487</v>
      </c>
      <c r="DD9" s="292">
        <f t="shared" si="14"/>
        <v>12.244999999999999</v>
      </c>
      <c r="DE9" s="291">
        <v>0.31</v>
      </c>
      <c r="DF9" s="291">
        <v>13.41</v>
      </c>
      <c r="DG9" s="145">
        <f t="shared" si="15"/>
        <v>12.2070405</v>
      </c>
      <c r="DH9" s="293">
        <f t="shared" si="31"/>
        <v>2.1736344855264904</v>
      </c>
      <c r="DJ9" s="322"/>
    </row>
    <row r="10" spans="1:114" s="76" customFormat="1" ht="16.5" customHeight="1" thickBot="1">
      <c r="A10" s="144">
        <v>4</v>
      </c>
      <c r="B10" s="122">
        <f t="shared" si="16"/>
        <v>282.83999999999997</v>
      </c>
      <c r="C10" s="123">
        <f t="shared" si="17"/>
        <v>2.5052897044265308</v>
      </c>
      <c r="D10" s="145">
        <f t="shared" si="18"/>
        <v>275.7540386</v>
      </c>
      <c r="E10" s="125">
        <f>IF(B10=0,0,(BK10*BY10+BL10*BZ10+BM10*CA10+BQ10*CE10+BN10*CB10+BO10*CC10+BP10*CD10)/B10)</f>
        <v>40.534117911186542</v>
      </c>
      <c r="F10" s="146">
        <f t="shared" si="20"/>
        <v>2.0123625381303367</v>
      </c>
      <c r="G10" s="127"/>
      <c r="H10" s="126">
        <f t="shared" si="21"/>
        <v>1.1397871896664964</v>
      </c>
      <c r="I10" s="230">
        <f>'[1]июль 20'!AI9</f>
        <v>0</v>
      </c>
      <c r="J10" s="247">
        <f>'[1]январь 20'!AA9</f>
        <v>11.688000000000001</v>
      </c>
      <c r="K10" s="276">
        <f>'[1]сентябрь 20'!AM9</f>
        <v>0</v>
      </c>
      <c r="L10" s="122">
        <f t="shared" si="22"/>
        <v>119.569</v>
      </c>
      <c r="M10" s="128">
        <f t="shared" si="23"/>
        <v>0.87257534846384022</v>
      </c>
      <c r="N10" s="400">
        <f>'[1]январь 20'!W9</f>
        <v>0</v>
      </c>
      <c r="O10" s="403">
        <f>'[1]январь 20'!AU9</f>
        <v>3.1160000000000001</v>
      </c>
      <c r="P10" s="401">
        <f t="shared" si="0"/>
        <v>160.87099999999998</v>
      </c>
      <c r="Q10" s="122">
        <f t="shared" si="24"/>
        <v>160.87099999999998</v>
      </c>
      <c r="R10" s="123">
        <f t="shared" si="25"/>
        <v>2.15</v>
      </c>
      <c r="S10" s="129">
        <v>7.86</v>
      </c>
      <c r="T10" s="125">
        <f t="shared" si="1"/>
        <v>157.41227349999997</v>
      </c>
      <c r="U10" s="147">
        <f t="shared" si="2"/>
        <v>1.148743147485952</v>
      </c>
      <c r="V10" s="130">
        <v>101.22</v>
      </c>
      <c r="W10" s="130">
        <v>102.8</v>
      </c>
      <c r="X10" s="129">
        <v>0.6</v>
      </c>
      <c r="Y10" s="131">
        <v>528</v>
      </c>
      <c r="Z10" s="131">
        <v>1214</v>
      </c>
      <c r="AA10" s="148" t="s">
        <v>116</v>
      </c>
      <c r="AB10" s="149">
        <v>75.17</v>
      </c>
      <c r="AC10" s="150">
        <v>115</v>
      </c>
      <c r="AD10" s="151">
        <v>4</v>
      </c>
      <c r="AE10" s="149">
        <v>17.100000000000001</v>
      </c>
      <c r="AF10" s="134">
        <f t="shared" si="3"/>
        <v>124.79019192877476</v>
      </c>
      <c r="AG10" s="152"/>
      <c r="AH10" s="129">
        <v>76.849999999999994</v>
      </c>
      <c r="AI10" s="134">
        <f t="shared" si="4"/>
        <v>560.82609647522452</v>
      </c>
      <c r="AJ10" s="153">
        <v>15.35</v>
      </c>
      <c r="AK10" s="154"/>
      <c r="AL10" s="155">
        <v>4.46</v>
      </c>
      <c r="AM10" s="156">
        <v>36.99</v>
      </c>
      <c r="AN10" s="126">
        <f t="shared" si="26"/>
        <v>0.20904210228878217</v>
      </c>
      <c r="AO10" s="157" t="s">
        <v>117</v>
      </c>
      <c r="AP10" s="156">
        <v>13.93</v>
      </c>
      <c r="AQ10" s="156">
        <v>6.44</v>
      </c>
      <c r="AR10" s="149"/>
      <c r="AS10" s="149">
        <v>9.0399999999999991</v>
      </c>
      <c r="AT10" s="149">
        <v>176.95</v>
      </c>
      <c r="AU10" s="149">
        <v>1.53</v>
      </c>
      <c r="AV10" s="149"/>
      <c r="AW10" s="149"/>
      <c r="AX10" s="158">
        <f t="shared" si="5"/>
        <v>0</v>
      </c>
      <c r="AY10" s="125">
        <f>AT10-AL10-AM10+AV10+AW10+AU10</f>
        <v>137.02999999999997</v>
      </c>
      <c r="AZ10" s="125">
        <f>IF(AB10=0,0,((D10*0.97)*(E10/100)*0.9)/(AB10/100))+DH10</f>
        <v>132.6615151607397</v>
      </c>
      <c r="BA10" s="159">
        <f t="shared" si="7"/>
        <v>5.381664788732393</v>
      </c>
      <c r="BB10" s="160">
        <f t="shared" si="8"/>
        <v>5.4811999999999994</v>
      </c>
      <c r="BC10" s="161">
        <f t="shared" si="9"/>
        <v>0.92154723368855018</v>
      </c>
      <c r="BD10" s="160">
        <f t="shared" si="27"/>
        <v>10.862864788732391</v>
      </c>
      <c r="BE10" s="162">
        <v>0.93300000000000005</v>
      </c>
      <c r="BF10" s="25">
        <f t="shared" si="28"/>
        <v>573.55999999999995</v>
      </c>
      <c r="BG10" s="25">
        <f t="shared" si="10"/>
        <v>116.12903225806451</v>
      </c>
      <c r="BH10" s="25">
        <f t="shared" si="29"/>
        <v>464.51612903225805</v>
      </c>
      <c r="BI10" s="26">
        <f t="shared" si="11"/>
        <v>1</v>
      </c>
      <c r="BJ10" s="37">
        <f t="shared" si="30"/>
        <v>464.51612903225805</v>
      </c>
      <c r="BK10" s="38"/>
      <c r="BL10" s="31">
        <v>163.27099999999999</v>
      </c>
      <c r="BM10" s="31"/>
      <c r="BN10" s="31">
        <v>119.569</v>
      </c>
      <c r="BO10" s="40"/>
      <c r="BP10" s="40"/>
      <c r="BQ10" s="32"/>
      <c r="BR10" s="33"/>
      <c r="BS10" s="34">
        <v>4.34</v>
      </c>
      <c r="BT10" s="35"/>
      <c r="BU10" s="28"/>
      <c r="BV10" s="287"/>
      <c r="BW10" s="287"/>
      <c r="BX10" s="36"/>
      <c r="BY10" s="33"/>
      <c r="BZ10" s="34">
        <v>36.479999999999997</v>
      </c>
      <c r="CA10" s="35"/>
      <c r="CB10" s="35">
        <v>46.07</v>
      </c>
      <c r="CC10" s="235"/>
      <c r="CD10" s="235"/>
      <c r="CE10" s="36"/>
      <c r="CF10" s="30"/>
      <c r="CG10" s="30">
        <v>117.34699999999999</v>
      </c>
      <c r="CH10" s="31">
        <v>43.524000000000001</v>
      </c>
      <c r="CI10" s="32"/>
      <c r="CJ10" s="33"/>
      <c r="CK10" s="33">
        <v>2.15</v>
      </c>
      <c r="CL10" s="35">
        <v>2.15</v>
      </c>
      <c r="CM10" s="36"/>
      <c r="CN10" s="286"/>
      <c r="CO10" s="249">
        <f t="shared" si="12"/>
        <v>0</v>
      </c>
      <c r="CP10" s="12">
        <f t="shared" si="12"/>
        <v>156.18503859999998</v>
      </c>
      <c r="CQ10" s="12">
        <f t="shared" si="12"/>
        <v>0</v>
      </c>
      <c r="CR10" s="14">
        <f t="shared" si="12"/>
        <v>119.569</v>
      </c>
      <c r="CS10" s="11">
        <f t="shared" si="12"/>
        <v>0</v>
      </c>
      <c r="CT10" s="11">
        <f t="shared" si="12"/>
        <v>0</v>
      </c>
      <c r="CU10" s="272">
        <f t="shared" si="12"/>
        <v>0</v>
      </c>
      <c r="CV10" s="249">
        <f t="shared" si="13"/>
        <v>0</v>
      </c>
      <c r="CW10" s="12">
        <f t="shared" si="13"/>
        <v>114.82403949999998</v>
      </c>
      <c r="CX10" s="249">
        <f t="shared" si="13"/>
        <v>42.588234</v>
      </c>
      <c r="CY10" s="272">
        <f t="shared" si="13"/>
        <v>0</v>
      </c>
      <c r="CZ10" s="13"/>
      <c r="DA10" s="240">
        <f>(D10+'[2]январь 20'!D10)/(AY10+'[2]январь 20'!AX10)</f>
        <v>1.9948291864453289</v>
      </c>
      <c r="DB10" s="241">
        <f>(T10+'[2]январь 20'!R10)/(AY10+'[2]январь 20'!AX10)</f>
        <v>1.181073599945123</v>
      </c>
      <c r="DD10" s="292">
        <f t="shared" si="14"/>
        <v>11.688000000000001</v>
      </c>
      <c r="DE10" s="291">
        <v>0.59</v>
      </c>
      <c r="DF10" s="291">
        <v>18.440000000000001</v>
      </c>
      <c r="DG10" s="145">
        <f t="shared" si="15"/>
        <v>11.619040800000001</v>
      </c>
      <c r="DH10" s="293">
        <f t="shared" si="31"/>
        <v>2.8502742098177465</v>
      </c>
      <c r="DJ10" s="322"/>
    </row>
    <row r="11" spans="1:114" s="76" customFormat="1" ht="16.5" customHeight="1" thickBot="1">
      <c r="A11" s="144">
        <v>5</v>
      </c>
      <c r="B11" s="122">
        <f t="shared" si="16"/>
        <v>270.03899999999999</v>
      </c>
      <c r="C11" s="123">
        <f t="shared" si="17"/>
        <v>1.3466058976666335</v>
      </c>
      <c r="D11" s="145">
        <f t="shared" si="18"/>
        <v>266.4026389</v>
      </c>
      <c r="E11" s="125">
        <f t="shared" si="19"/>
        <v>40.541635689659643</v>
      </c>
      <c r="F11" s="146">
        <f t="shared" si="20"/>
        <v>2.0961730970178611</v>
      </c>
      <c r="G11" s="127"/>
      <c r="H11" s="126">
        <f t="shared" si="21"/>
        <v>1.199391288850421</v>
      </c>
      <c r="I11" s="230">
        <f>'[1]июль 20'!AI10</f>
        <v>0</v>
      </c>
      <c r="J11" s="247">
        <f>'[1]январь 20'!AA10</f>
        <v>11.196999999999999</v>
      </c>
      <c r="K11" s="276">
        <f>'[1]сентябрь 20'!AM10</f>
        <v>0</v>
      </c>
      <c r="L11" s="122">
        <f t="shared" si="22"/>
        <v>113.97199999999999</v>
      </c>
      <c r="M11" s="128">
        <f t="shared" si="23"/>
        <v>0.89678180816744035</v>
      </c>
      <c r="N11" s="400">
        <f>'[1]январь 20'!W10</f>
        <v>0</v>
      </c>
      <c r="O11" s="403">
        <f>'[1]январь 20'!AU10</f>
        <v>2.2389999999999999</v>
      </c>
      <c r="P11" s="401">
        <f t="shared" si="0"/>
        <v>152.94900000000001</v>
      </c>
      <c r="Q11" s="122">
        <f t="shared" si="24"/>
        <v>152.94900000000001</v>
      </c>
      <c r="R11" s="123">
        <f t="shared" si="25"/>
        <v>1.7399999999999998</v>
      </c>
      <c r="S11" s="129">
        <v>7.46</v>
      </c>
      <c r="T11" s="125">
        <f t="shared" si="1"/>
        <v>150.28768740000001</v>
      </c>
      <c r="U11" s="147">
        <f t="shared" si="2"/>
        <v>1.1825296042174838</v>
      </c>
      <c r="V11" s="130">
        <v>127.09</v>
      </c>
      <c r="W11" s="130">
        <v>127.09</v>
      </c>
      <c r="X11" s="129">
        <v>0.54</v>
      </c>
      <c r="Y11" s="131">
        <v>550</v>
      </c>
      <c r="Z11" s="131">
        <v>1212</v>
      </c>
      <c r="AA11" s="148" t="s">
        <v>118</v>
      </c>
      <c r="AB11" s="149">
        <v>75.42</v>
      </c>
      <c r="AC11" s="150">
        <v>110</v>
      </c>
      <c r="AD11" s="151">
        <v>4</v>
      </c>
      <c r="AE11" s="149">
        <v>14.15</v>
      </c>
      <c r="AF11" s="134">
        <f t="shared" si="3"/>
        <v>111.33842159099851</v>
      </c>
      <c r="AG11" s="152"/>
      <c r="AH11" s="129">
        <v>74.400000000000006</v>
      </c>
      <c r="AI11" s="134">
        <f t="shared" si="4"/>
        <v>585.41191281768818</v>
      </c>
      <c r="AJ11" s="163">
        <v>14.64</v>
      </c>
      <c r="AK11" s="154"/>
      <c r="AL11" s="155">
        <v>7.27</v>
      </c>
      <c r="AM11" s="156">
        <v>34.82</v>
      </c>
      <c r="AN11" s="126">
        <f t="shared" si="26"/>
        <v>0.2070770145703241</v>
      </c>
      <c r="AO11" s="157" t="s">
        <v>119</v>
      </c>
      <c r="AP11" s="156">
        <v>13.89</v>
      </c>
      <c r="AQ11" s="156">
        <v>6.34</v>
      </c>
      <c r="AR11" s="149"/>
      <c r="AS11" s="149">
        <v>9.07</v>
      </c>
      <c r="AT11" s="149">
        <v>168.15</v>
      </c>
      <c r="AU11" s="149">
        <v>1.03</v>
      </c>
      <c r="AV11" s="149"/>
      <c r="AW11" s="149"/>
      <c r="AX11" s="158">
        <f t="shared" si="5"/>
        <v>0</v>
      </c>
      <c r="AY11" s="125">
        <f t="shared" si="6"/>
        <v>127.09</v>
      </c>
      <c r="AZ11" s="125">
        <f t="shared" si="32"/>
        <v>127.50416923503963</v>
      </c>
      <c r="BA11" s="159">
        <f t="shared" si="7"/>
        <v>5.2273859154929578</v>
      </c>
      <c r="BB11" s="160">
        <f t="shared" si="8"/>
        <v>5.0836000000000006</v>
      </c>
      <c r="BC11" s="161">
        <f t="shared" si="9"/>
        <v>0.88747906784874653</v>
      </c>
      <c r="BD11" s="160">
        <f t="shared" si="27"/>
        <v>10.310985915492958</v>
      </c>
      <c r="BE11" s="162">
        <v>0.92500000000000004</v>
      </c>
      <c r="BF11" s="25">
        <f t="shared" si="28"/>
        <v>700.65</v>
      </c>
      <c r="BG11" s="25">
        <f t="shared" si="10"/>
        <v>116.12903225806451</v>
      </c>
      <c r="BH11" s="25">
        <f t="shared" si="29"/>
        <v>580.64516129032256</v>
      </c>
      <c r="BI11" s="26">
        <f t="shared" si="11"/>
        <v>1</v>
      </c>
      <c r="BJ11" s="37">
        <f t="shared" si="30"/>
        <v>580.64516129032256</v>
      </c>
      <c r="BK11" s="38"/>
      <c r="BL11" s="31">
        <v>156.06700000000001</v>
      </c>
      <c r="BM11" s="31"/>
      <c r="BN11" s="31">
        <v>113.97199999999999</v>
      </c>
      <c r="BO11" s="40"/>
      <c r="BP11" s="40"/>
      <c r="BQ11" s="32"/>
      <c r="BR11" s="33"/>
      <c r="BS11" s="34">
        <v>2.33</v>
      </c>
      <c r="BT11" s="35"/>
      <c r="BU11" s="28"/>
      <c r="BV11" s="287"/>
      <c r="BW11" s="287"/>
      <c r="BX11" s="36"/>
      <c r="BY11" s="33"/>
      <c r="BZ11" s="34">
        <v>36.76</v>
      </c>
      <c r="CA11" s="35"/>
      <c r="CB11" s="35">
        <v>45.72</v>
      </c>
      <c r="CC11" s="235"/>
      <c r="CD11" s="235"/>
      <c r="CE11" s="36"/>
      <c r="CF11" s="30"/>
      <c r="CG11" s="30">
        <v>111.93600000000001</v>
      </c>
      <c r="CH11" s="31">
        <v>41.012999999999998</v>
      </c>
      <c r="CI11" s="32"/>
      <c r="CJ11" s="33"/>
      <c r="CK11" s="33">
        <v>1.74</v>
      </c>
      <c r="CL11" s="35">
        <v>1.74</v>
      </c>
      <c r="CM11" s="36"/>
      <c r="CN11" s="286"/>
      <c r="CO11" s="249">
        <f t="shared" si="12"/>
        <v>0</v>
      </c>
      <c r="CP11" s="12">
        <f t="shared" si="12"/>
        <v>152.43063890000002</v>
      </c>
      <c r="CQ11" s="15">
        <f t="shared" si="12"/>
        <v>0</v>
      </c>
      <c r="CR11" s="16">
        <f t="shared" si="12"/>
        <v>113.97199999999999</v>
      </c>
      <c r="CS11" s="11">
        <f t="shared" si="12"/>
        <v>0</v>
      </c>
      <c r="CT11" s="11">
        <f t="shared" si="12"/>
        <v>0</v>
      </c>
      <c r="CU11" s="272">
        <f t="shared" si="12"/>
        <v>0</v>
      </c>
      <c r="CV11" s="249">
        <f t="shared" si="13"/>
        <v>0</v>
      </c>
      <c r="CW11" s="12">
        <f t="shared" si="13"/>
        <v>109.98831360000001</v>
      </c>
      <c r="CX11" s="249">
        <f t="shared" si="13"/>
        <v>40.299373799999998</v>
      </c>
      <c r="CY11" s="272">
        <f t="shared" si="13"/>
        <v>0</v>
      </c>
      <c r="CZ11" s="13"/>
      <c r="DA11" s="240">
        <f>(D11+'[2]январь 20'!D11)/(AY11+'[2]январь 20'!AX11)</f>
        <v>2.0164332624442256</v>
      </c>
      <c r="DB11" s="241">
        <f>(T11+'[2]январь 20'!R11)/(AY11+'[2]январь 20'!AX11)</f>
        <v>1.1743283519731125</v>
      </c>
      <c r="DD11" s="292">
        <f t="shared" si="14"/>
        <v>11.196999999999999</v>
      </c>
      <c r="DE11" s="291">
        <v>0.44</v>
      </c>
      <c r="DF11" s="407">
        <v>16.829999999999998</v>
      </c>
      <c r="DG11" s="145">
        <f t="shared" si="15"/>
        <v>11.147733199999999</v>
      </c>
      <c r="DH11" s="293">
        <f t="shared" si="31"/>
        <v>2.4876206544152741</v>
      </c>
      <c r="DJ11" s="322"/>
    </row>
    <row r="12" spans="1:114" s="76" customFormat="1" ht="16.5" customHeight="1" thickBot="1">
      <c r="A12" s="144">
        <v>6</v>
      </c>
      <c r="B12" s="122">
        <f t="shared" si="16"/>
        <v>275.35000000000002</v>
      </c>
      <c r="C12" s="123">
        <f t="shared" si="17"/>
        <v>1.654769929181042</v>
      </c>
      <c r="D12" s="145">
        <f t="shared" si="18"/>
        <v>270.79359099999999</v>
      </c>
      <c r="E12" s="125">
        <f t="shared" si="19"/>
        <v>40.719606137642998</v>
      </c>
      <c r="F12" s="146">
        <f t="shared" si="20"/>
        <v>1.935069251107618</v>
      </c>
      <c r="G12" s="127"/>
      <c r="H12" s="126">
        <f t="shared" si="21"/>
        <v>1.105892461054738</v>
      </c>
      <c r="I12" s="230">
        <f>'[1]июль 20'!AI11</f>
        <v>0</v>
      </c>
      <c r="J12" s="247">
        <f>'[1]январь 20'!AA11</f>
        <v>11.016</v>
      </c>
      <c r="K12" s="276">
        <f>'[1]сентябрь 20'!AM11</f>
        <v>0</v>
      </c>
      <c r="L12" s="122">
        <f t="shared" si="22"/>
        <v>116.035</v>
      </c>
      <c r="M12" s="128">
        <f t="shared" si="23"/>
        <v>0.82917679005287992</v>
      </c>
      <c r="N12" s="400">
        <f>'[1]январь 20'!W11</f>
        <v>0</v>
      </c>
      <c r="O12" s="403">
        <f>'[1]январь 20'!AU11</f>
        <v>2.2120000000000002</v>
      </c>
      <c r="P12" s="401">
        <f t="shared" si="0"/>
        <v>157.35900000000001</v>
      </c>
      <c r="Q12" s="122">
        <f t="shared" si="24"/>
        <v>157.35900000000001</v>
      </c>
      <c r="R12" s="123">
        <f t="shared" si="25"/>
        <v>2.11</v>
      </c>
      <c r="S12" s="129">
        <v>8.77</v>
      </c>
      <c r="T12" s="125">
        <f t="shared" si="1"/>
        <v>154.03872509999999</v>
      </c>
      <c r="U12" s="147">
        <f t="shared" si="2"/>
        <v>1.1007483571530658</v>
      </c>
      <c r="V12" s="130">
        <v>104.85</v>
      </c>
      <c r="W12" s="130">
        <v>139.94</v>
      </c>
      <c r="X12" s="129">
        <v>0.35</v>
      </c>
      <c r="Y12" s="131">
        <v>564</v>
      </c>
      <c r="Z12" s="150">
        <v>1214</v>
      </c>
      <c r="AA12" s="148" t="s">
        <v>120</v>
      </c>
      <c r="AB12" s="149">
        <v>75.89</v>
      </c>
      <c r="AC12" s="150">
        <v>112</v>
      </c>
      <c r="AD12" s="151">
        <v>4</v>
      </c>
      <c r="AE12" s="149">
        <v>13.35</v>
      </c>
      <c r="AF12" s="134">
        <f t="shared" si="3"/>
        <v>95.398027726168365</v>
      </c>
      <c r="AG12" s="152"/>
      <c r="AH12" s="129">
        <v>91.45</v>
      </c>
      <c r="AI12" s="134">
        <f t="shared" si="4"/>
        <v>653.49435472345306</v>
      </c>
      <c r="AJ12" s="153">
        <v>13.86</v>
      </c>
      <c r="AK12" s="154"/>
      <c r="AL12" s="155">
        <v>10.34</v>
      </c>
      <c r="AM12" s="156">
        <v>38.090000000000003</v>
      </c>
      <c r="AN12" s="126">
        <f t="shared" si="26"/>
        <v>0.20429069455618132</v>
      </c>
      <c r="AO12" s="157" t="s">
        <v>121</v>
      </c>
      <c r="AP12" s="156">
        <v>11.93</v>
      </c>
      <c r="AQ12" s="156">
        <v>6.47</v>
      </c>
      <c r="AR12" s="149"/>
      <c r="AS12" s="149">
        <v>11.19</v>
      </c>
      <c r="AT12" s="149">
        <v>186.45</v>
      </c>
      <c r="AU12" s="149">
        <v>1.92</v>
      </c>
      <c r="AV12" s="164"/>
      <c r="AW12" s="164"/>
      <c r="AX12" s="158">
        <f t="shared" si="5"/>
        <v>0</v>
      </c>
      <c r="AY12" s="125">
        <f t="shared" si="6"/>
        <v>139.93999999999997</v>
      </c>
      <c r="AZ12" s="125">
        <f t="shared" si="32"/>
        <v>129.26136368713932</v>
      </c>
      <c r="BA12" s="159">
        <f t="shared" si="7"/>
        <v>7.9271693661971829</v>
      </c>
      <c r="BB12" s="160">
        <f t="shared" si="8"/>
        <v>5.597599999999999</v>
      </c>
      <c r="BC12" s="161">
        <f t="shared" si="9"/>
        <v>0.9631290278505068</v>
      </c>
      <c r="BD12" s="160">
        <f t="shared" si="27"/>
        <v>13.524769366197182</v>
      </c>
      <c r="BE12" s="162">
        <v>0.93100000000000005</v>
      </c>
      <c r="BF12" s="25">
        <f t="shared" si="28"/>
        <v>840.58999999999992</v>
      </c>
      <c r="BG12" s="25">
        <f t="shared" si="10"/>
        <v>116.12903225806451</v>
      </c>
      <c r="BH12" s="25">
        <f t="shared" si="29"/>
        <v>696.77419354838707</v>
      </c>
      <c r="BI12" s="26">
        <f t="shared" si="11"/>
        <v>1</v>
      </c>
      <c r="BJ12" s="37">
        <f t="shared" si="30"/>
        <v>696.77419354838707</v>
      </c>
      <c r="BK12" s="38"/>
      <c r="BL12" s="31">
        <v>159.315</v>
      </c>
      <c r="BM12" s="31"/>
      <c r="BN12" s="31">
        <v>116.035</v>
      </c>
      <c r="BO12" s="40"/>
      <c r="BP12" s="40"/>
      <c r="BQ12" s="32"/>
      <c r="BR12" s="33"/>
      <c r="BS12" s="34">
        <v>2.86</v>
      </c>
      <c r="BT12" s="33"/>
      <c r="BU12" s="28"/>
      <c r="BV12" s="287"/>
      <c r="BW12" s="287"/>
      <c r="BX12" s="36"/>
      <c r="BY12" s="33"/>
      <c r="BZ12" s="34">
        <v>36.83</v>
      </c>
      <c r="CA12" s="33"/>
      <c r="CB12" s="35">
        <v>46.06</v>
      </c>
      <c r="CC12" s="235"/>
      <c r="CD12" s="235"/>
      <c r="CE12" s="36"/>
      <c r="CF12" s="30"/>
      <c r="CG12" s="30">
        <v>115.348</v>
      </c>
      <c r="CH12" s="31">
        <v>42.011000000000003</v>
      </c>
      <c r="CI12" s="32"/>
      <c r="CJ12" s="33"/>
      <c r="CK12" s="33">
        <v>2.11</v>
      </c>
      <c r="CL12" s="35">
        <v>2.11</v>
      </c>
      <c r="CM12" s="36"/>
      <c r="CN12" s="286"/>
      <c r="CO12" s="249">
        <f t="shared" si="12"/>
        <v>0</v>
      </c>
      <c r="CP12" s="12">
        <f t="shared" si="12"/>
        <v>154.758591</v>
      </c>
      <c r="CQ12" s="12">
        <f t="shared" si="12"/>
        <v>0</v>
      </c>
      <c r="CR12" s="12">
        <f t="shared" si="12"/>
        <v>116.035</v>
      </c>
      <c r="CS12" s="11">
        <f t="shared" si="12"/>
        <v>0</v>
      </c>
      <c r="CT12" s="11">
        <f t="shared" si="12"/>
        <v>0</v>
      </c>
      <c r="CU12" s="272">
        <f t="shared" si="12"/>
        <v>0</v>
      </c>
      <c r="CV12" s="249">
        <f t="shared" si="13"/>
        <v>0</v>
      </c>
      <c r="CW12" s="12">
        <f t="shared" si="13"/>
        <v>112.91415719999999</v>
      </c>
      <c r="CX12" s="252">
        <f t="shared" si="13"/>
        <v>41.124567900000002</v>
      </c>
      <c r="CY12" s="272">
        <f t="shared" si="13"/>
        <v>0</v>
      </c>
      <c r="CZ12" s="13"/>
      <c r="DA12" s="240">
        <f>(D12+'[2]январь 20'!D12)/(AY12+'[2]январь 20'!AX12)</f>
        <v>2.1152521575042358</v>
      </c>
      <c r="DB12" s="241">
        <f>(T12+'[2]январь 20'!R12)/(AY12+'[2]январь 20'!AX12)</f>
        <v>1.2359897327218559</v>
      </c>
      <c r="DD12" s="292">
        <f t="shared" si="14"/>
        <v>11.016</v>
      </c>
      <c r="DE12" s="291">
        <v>0.24</v>
      </c>
      <c r="DF12" s="291">
        <v>16.690000000000001</v>
      </c>
      <c r="DG12" s="145">
        <f t="shared" si="15"/>
        <v>10.9895616</v>
      </c>
      <c r="DH12" s="293">
        <f t="shared" si="31"/>
        <v>2.4168636592963502</v>
      </c>
      <c r="DJ12" s="322"/>
    </row>
    <row r="13" spans="1:114" s="76" customFormat="1" ht="16.5" customHeight="1" thickBot="1">
      <c r="A13" s="144">
        <v>7</v>
      </c>
      <c r="B13" s="122">
        <f t="shared" si="16"/>
        <v>326.49900000000002</v>
      </c>
      <c r="C13" s="123">
        <f t="shared" si="17"/>
        <v>2.5971251673052596</v>
      </c>
      <c r="D13" s="145">
        <f t="shared" si="18"/>
        <v>318.0194123</v>
      </c>
      <c r="E13" s="125">
        <f t="shared" si="19"/>
        <v>40.865743723564229</v>
      </c>
      <c r="F13" s="146">
        <f t="shared" si="20"/>
        <v>2.2077015779243316</v>
      </c>
      <c r="G13" s="127"/>
      <c r="H13" s="126">
        <f t="shared" si="21"/>
        <v>1.2810025150989239</v>
      </c>
      <c r="I13" s="230">
        <f>'[1]июль 20'!AI12</f>
        <v>0</v>
      </c>
      <c r="J13" s="247">
        <f>'[1]январь 20'!AA12</f>
        <v>13.452</v>
      </c>
      <c r="K13" s="276">
        <f>'[1]сентябрь 20'!AM12</f>
        <v>0</v>
      </c>
      <c r="L13" s="122">
        <f t="shared" si="22"/>
        <v>133.49100000000001</v>
      </c>
      <c r="M13" s="128">
        <f t="shared" si="23"/>
        <v>0.92669906282540782</v>
      </c>
      <c r="N13" s="400">
        <f>'[1]январь 20'!W12</f>
        <v>0</v>
      </c>
      <c r="O13" s="403">
        <f>'[1]январь 20'!AU12</f>
        <v>0.71499999999999997</v>
      </c>
      <c r="P13" s="401">
        <f t="shared" si="0"/>
        <v>188.364</v>
      </c>
      <c r="Q13" s="122">
        <f t="shared" si="24"/>
        <v>188.364</v>
      </c>
      <c r="R13" s="123">
        <f t="shared" si="25"/>
        <v>2.12</v>
      </c>
      <c r="S13" s="129">
        <v>6.03</v>
      </c>
      <c r="T13" s="125">
        <f t="shared" si="1"/>
        <v>184.3706832</v>
      </c>
      <c r="U13" s="147">
        <f t="shared" si="2"/>
        <v>1.279907554321416</v>
      </c>
      <c r="V13" s="130">
        <v>72.91</v>
      </c>
      <c r="W13" s="130">
        <v>144.05000000000001</v>
      </c>
      <c r="X13" s="129">
        <v>0.33</v>
      </c>
      <c r="Y13" s="165">
        <v>518</v>
      </c>
      <c r="Z13" s="166">
        <v>1215</v>
      </c>
      <c r="AA13" s="148" t="s">
        <v>122</v>
      </c>
      <c r="AB13" s="149">
        <v>75.38</v>
      </c>
      <c r="AC13" s="150">
        <v>132</v>
      </c>
      <c r="AD13" s="151">
        <v>4</v>
      </c>
      <c r="AE13" s="149">
        <v>18.100000000000001</v>
      </c>
      <c r="AF13" s="134">
        <f t="shared" si="3"/>
        <v>125.65081568899689</v>
      </c>
      <c r="AG13" s="152"/>
      <c r="AH13" s="129">
        <v>83.65</v>
      </c>
      <c r="AI13" s="134">
        <f t="shared" si="4"/>
        <v>580.7011454356126</v>
      </c>
      <c r="AJ13" s="136">
        <v>11.93</v>
      </c>
      <c r="AK13" s="154"/>
      <c r="AL13" s="155">
        <v>8.23</v>
      </c>
      <c r="AM13" s="156">
        <v>36.409999999999997</v>
      </c>
      <c r="AN13" s="126">
        <f t="shared" si="26"/>
        <v>0.19591068065644335</v>
      </c>
      <c r="AO13" s="157" t="s">
        <v>123</v>
      </c>
      <c r="AP13" s="156">
        <v>13.07</v>
      </c>
      <c r="AQ13" s="156">
        <v>6.41</v>
      </c>
      <c r="AR13" s="149"/>
      <c r="AS13" s="149">
        <v>9.4700000000000006</v>
      </c>
      <c r="AT13" s="149">
        <v>185.85</v>
      </c>
      <c r="AU13" s="149">
        <v>2.84</v>
      </c>
      <c r="AV13" s="149"/>
      <c r="AW13" s="149"/>
      <c r="AX13" s="158">
        <f t="shared" si="5"/>
        <v>0</v>
      </c>
      <c r="AY13" s="125">
        <f t="shared" si="6"/>
        <v>144.05000000000001</v>
      </c>
      <c r="AZ13" s="125">
        <f t="shared" si="32"/>
        <v>153.10834346105972</v>
      </c>
      <c r="BA13" s="159">
        <f t="shared" si="7"/>
        <v>6.136493309859155</v>
      </c>
      <c r="BB13" s="160">
        <f t="shared" si="8"/>
        <v>5.7620000000000005</v>
      </c>
      <c r="BC13" s="161">
        <f t="shared" si="9"/>
        <v>0.83551905304595042</v>
      </c>
      <c r="BD13" s="160">
        <f t="shared" si="27"/>
        <v>11.898493309859155</v>
      </c>
      <c r="BE13" s="162">
        <v>0.91600000000000004</v>
      </c>
      <c r="BF13" s="25">
        <f t="shared" si="28"/>
        <v>984.63999999999987</v>
      </c>
      <c r="BG13" s="25">
        <f t="shared" si="10"/>
        <v>116.12903225806451</v>
      </c>
      <c r="BH13" s="25">
        <f t="shared" si="29"/>
        <v>812.90322580645159</v>
      </c>
      <c r="BI13" s="26">
        <f t="shared" si="11"/>
        <v>1</v>
      </c>
      <c r="BJ13" s="37">
        <f t="shared" si="30"/>
        <v>812.90322580645159</v>
      </c>
      <c r="BK13" s="39">
        <v>25.585000000000001</v>
      </c>
      <c r="BL13" s="40">
        <v>167.423</v>
      </c>
      <c r="BM13" s="325"/>
      <c r="BN13" s="31">
        <v>133.49100000000001</v>
      </c>
      <c r="BO13" s="40"/>
      <c r="BP13" s="40"/>
      <c r="BQ13" s="32"/>
      <c r="BR13" s="33">
        <v>15.54</v>
      </c>
      <c r="BS13" s="34">
        <v>2.69</v>
      </c>
      <c r="BT13" s="33"/>
      <c r="BU13" s="28"/>
      <c r="BV13" s="287"/>
      <c r="BW13" s="287"/>
      <c r="BX13" s="36"/>
      <c r="BY13" s="33">
        <v>43.77</v>
      </c>
      <c r="BZ13" s="34">
        <v>36.4</v>
      </c>
      <c r="CA13" s="33"/>
      <c r="CB13" s="35">
        <v>45.91</v>
      </c>
      <c r="CC13" s="235"/>
      <c r="CD13" s="235"/>
      <c r="CE13" s="36"/>
      <c r="CF13" s="30"/>
      <c r="CG13" s="30">
        <v>136.345</v>
      </c>
      <c r="CH13" s="30">
        <v>52.018999999999998</v>
      </c>
      <c r="CI13" s="32"/>
      <c r="CJ13" s="33"/>
      <c r="CK13" s="33">
        <v>2.12</v>
      </c>
      <c r="CL13" s="33">
        <v>2.12</v>
      </c>
      <c r="CM13" s="36"/>
      <c r="CN13" s="286"/>
      <c r="CO13" s="249">
        <f t="shared" si="12"/>
        <v>21.609091000000003</v>
      </c>
      <c r="CP13" s="12">
        <f t="shared" si="12"/>
        <v>162.91932130000001</v>
      </c>
      <c r="CQ13" s="12">
        <f t="shared" si="12"/>
        <v>0</v>
      </c>
      <c r="CR13" s="12">
        <f t="shared" si="12"/>
        <v>133.49100000000001</v>
      </c>
      <c r="CS13" s="11">
        <f t="shared" si="12"/>
        <v>0</v>
      </c>
      <c r="CT13" s="11">
        <f t="shared" si="12"/>
        <v>0</v>
      </c>
      <c r="CU13" s="272">
        <f t="shared" si="12"/>
        <v>0</v>
      </c>
      <c r="CV13" s="249">
        <f t="shared" si="13"/>
        <v>0</v>
      </c>
      <c r="CW13" s="251">
        <f t="shared" si="13"/>
        <v>133.454486</v>
      </c>
      <c r="CX13" s="249">
        <f t="shared" si="13"/>
        <v>50.916197199999999</v>
      </c>
      <c r="CY13" s="272">
        <f t="shared" si="13"/>
        <v>0</v>
      </c>
      <c r="CZ13" s="13"/>
      <c r="DA13" s="240">
        <f>(D13+'[2]январь 20'!D13)/(AY13+'[2]январь 20'!AX13)</f>
        <v>2.2923558880498551</v>
      </c>
      <c r="DB13" s="241">
        <f>(T13+'[2]январь 20'!R13)/(AY13+'[2]январь 20'!AX13)</f>
        <v>1.3574676001459729</v>
      </c>
      <c r="DD13" s="292">
        <f t="shared" si="14"/>
        <v>13.452</v>
      </c>
      <c r="DE13" s="291">
        <v>0.35</v>
      </c>
      <c r="DF13" s="291">
        <v>14.6</v>
      </c>
      <c r="DG13" s="145">
        <f t="shared" si="15"/>
        <v>13.404918</v>
      </c>
      <c r="DH13" s="293">
        <f t="shared" si="31"/>
        <v>2.5963359352613429</v>
      </c>
      <c r="DJ13" s="322"/>
    </row>
    <row r="14" spans="1:114" s="76" customFormat="1" ht="16.5" customHeight="1" thickBot="1">
      <c r="A14" s="144">
        <v>8</v>
      </c>
      <c r="B14" s="122">
        <f t="shared" si="16"/>
        <v>274.96899999999999</v>
      </c>
      <c r="C14" s="123">
        <f t="shared" si="17"/>
        <v>3.5928114078314284</v>
      </c>
      <c r="D14" s="145">
        <f t="shared" si="18"/>
        <v>265.08988239999996</v>
      </c>
      <c r="E14" s="125">
        <f t="shared" si="19"/>
        <v>41.775783379217302</v>
      </c>
      <c r="F14" s="146">
        <f t="shared" si="20"/>
        <v>1.9046549964075299</v>
      </c>
      <c r="G14" s="127"/>
      <c r="H14" s="126">
        <f t="shared" si="21"/>
        <v>1.1554884494898694</v>
      </c>
      <c r="I14" s="230">
        <f>'[1]июль 20'!AI13</f>
        <v>0</v>
      </c>
      <c r="J14" s="247">
        <f>'[1]январь 20'!AA13</f>
        <v>11.43</v>
      </c>
      <c r="K14" s="276">
        <f>'[1]сентябрь 20'!AM13</f>
        <v>0</v>
      </c>
      <c r="L14" s="122">
        <f t="shared" si="22"/>
        <v>104.26900000000001</v>
      </c>
      <c r="M14" s="128">
        <f t="shared" si="23"/>
        <v>0.74916654691766071</v>
      </c>
      <c r="N14" s="400">
        <f>'[1]январь 20'!W13</f>
        <v>1.671</v>
      </c>
      <c r="O14" s="403">
        <f>'[1]январь 20'!AU13</f>
        <v>0</v>
      </c>
      <c r="P14" s="401">
        <f t="shared" si="0"/>
        <v>159.376</v>
      </c>
      <c r="Q14" s="122">
        <f t="shared" si="24"/>
        <v>159.376</v>
      </c>
      <c r="R14" s="123">
        <f t="shared" si="25"/>
        <v>2.15</v>
      </c>
      <c r="S14" s="129"/>
      <c r="T14" s="125">
        <f t="shared" si="1"/>
        <v>155.94941599999999</v>
      </c>
      <c r="U14" s="147">
        <f t="shared" si="2"/>
        <v>1.1204872539157926</v>
      </c>
      <c r="V14" s="130">
        <v>105.65</v>
      </c>
      <c r="W14" s="130">
        <v>70.790000000000006</v>
      </c>
      <c r="X14" s="129">
        <v>0.78</v>
      </c>
      <c r="Y14" s="131">
        <v>551</v>
      </c>
      <c r="Z14" s="150">
        <v>1201</v>
      </c>
      <c r="AA14" s="148" t="s">
        <v>124</v>
      </c>
      <c r="AB14" s="149">
        <v>75.45</v>
      </c>
      <c r="AC14" s="150">
        <v>113</v>
      </c>
      <c r="AD14" s="151">
        <v>4</v>
      </c>
      <c r="AE14" s="149">
        <v>15.8</v>
      </c>
      <c r="AF14" s="134">
        <f t="shared" si="3"/>
        <v>113.52205776692055</v>
      </c>
      <c r="AG14" s="152"/>
      <c r="AH14" s="129">
        <v>84.65</v>
      </c>
      <c r="AI14" s="134">
        <f t="shared" si="4"/>
        <v>608.20520189682441</v>
      </c>
      <c r="AJ14" s="153">
        <v>15.6</v>
      </c>
      <c r="AK14" s="154"/>
      <c r="AL14" s="155">
        <v>9.36</v>
      </c>
      <c r="AM14" s="156">
        <v>36.5</v>
      </c>
      <c r="AN14" s="126">
        <f t="shared" si="26"/>
        <v>0.19918144611186903</v>
      </c>
      <c r="AO14" s="157" t="s">
        <v>125</v>
      </c>
      <c r="AP14" s="156">
        <v>17.079999999999998</v>
      </c>
      <c r="AQ14" s="156">
        <v>6.17</v>
      </c>
      <c r="AR14" s="149"/>
      <c r="AS14" s="149">
        <v>12.12</v>
      </c>
      <c r="AT14" s="149">
        <v>183.25</v>
      </c>
      <c r="AU14" s="149">
        <v>1.79</v>
      </c>
      <c r="AV14" s="149"/>
      <c r="AW14" s="149"/>
      <c r="AX14" s="158">
        <f t="shared" si="5"/>
        <v>0</v>
      </c>
      <c r="AY14" s="125">
        <f t="shared" si="6"/>
        <v>139.17999999999998</v>
      </c>
      <c r="AZ14" s="125">
        <f t="shared" si="32"/>
        <v>130.22474511017472</v>
      </c>
      <c r="BA14" s="159">
        <f t="shared" si="7"/>
        <v>7.9475619718309867</v>
      </c>
      <c r="BB14" s="160">
        <f t="shared" si="8"/>
        <v>5.5671999999999988</v>
      </c>
      <c r="BC14" s="161">
        <f t="shared" si="9"/>
        <v>0.94824010890034816</v>
      </c>
      <c r="BD14" s="159">
        <f t="shared" si="27"/>
        <v>13.514761971830985</v>
      </c>
      <c r="BE14" s="167">
        <v>0.92</v>
      </c>
      <c r="BF14" s="25">
        <f t="shared" si="28"/>
        <v>1123.82</v>
      </c>
      <c r="BG14" s="25">
        <f t="shared" si="10"/>
        <v>116.12903225806451</v>
      </c>
      <c r="BH14" s="25">
        <f t="shared" si="29"/>
        <v>929.0322580645161</v>
      </c>
      <c r="BI14" s="26">
        <f t="shared" si="11"/>
        <v>1</v>
      </c>
      <c r="BJ14" s="37">
        <f t="shared" si="30"/>
        <v>929.0322580645161</v>
      </c>
      <c r="BK14" s="39">
        <v>56.078000000000003</v>
      </c>
      <c r="BL14" s="40">
        <v>114.622</v>
      </c>
      <c r="BM14" s="325"/>
      <c r="BN14" s="31">
        <v>104.26900000000001</v>
      </c>
      <c r="BO14" s="40"/>
      <c r="BP14" s="40"/>
      <c r="BQ14" s="32"/>
      <c r="BR14" s="33">
        <v>13.12</v>
      </c>
      <c r="BS14" s="34">
        <v>2.2000000000000002</v>
      </c>
      <c r="BT14" s="33"/>
      <c r="BU14" s="28"/>
      <c r="BV14" s="287"/>
      <c r="BW14" s="287"/>
      <c r="BX14" s="36"/>
      <c r="BY14" s="33">
        <v>43.14</v>
      </c>
      <c r="BZ14" s="34">
        <v>36.92</v>
      </c>
      <c r="CA14" s="33"/>
      <c r="CB14" s="35">
        <v>46.38</v>
      </c>
      <c r="CC14" s="235"/>
      <c r="CD14" s="235"/>
      <c r="CE14" s="36"/>
      <c r="CF14" s="30"/>
      <c r="CG14" s="30">
        <v>117.38200000000001</v>
      </c>
      <c r="CH14" s="30">
        <v>41.994</v>
      </c>
      <c r="CI14" s="32"/>
      <c r="CJ14" s="33"/>
      <c r="CK14" s="33">
        <v>2.15</v>
      </c>
      <c r="CL14" s="33">
        <v>2.15</v>
      </c>
      <c r="CM14" s="36"/>
      <c r="CN14" s="286"/>
      <c r="CO14" s="249">
        <f t="shared" si="12"/>
        <v>48.720566399999996</v>
      </c>
      <c r="CP14" s="12">
        <f t="shared" si="12"/>
        <v>112.10031599999999</v>
      </c>
      <c r="CQ14" s="12">
        <f t="shared" si="12"/>
        <v>0</v>
      </c>
      <c r="CR14" s="12">
        <f t="shared" si="12"/>
        <v>104.26900000000001</v>
      </c>
      <c r="CS14" s="11">
        <f t="shared" si="12"/>
        <v>0</v>
      </c>
      <c r="CT14" s="11">
        <f t="shared" si="12"/>
        <v>0</v>
      </c>
      <c r="CU14" s="272">
        <f t="shared" si="12"/>
        <v>0</v>
      </c>
      <c r="CV14" s="249">
        <f t="shared" si="13"/>
        <v>0</v>
      </c>
      <c r="CW14" s="12">
        <f t="shared" si="13"/>
        <v>114.85828699999999</v>
      </c>
      <c r="CX14" s="252">
        <f t="shared" si="13"/>
        <v>41.091128999999995</v>
      </c>
      <c r="CY14" s="272">
        <f t="shared" si="13"/>
        <v>0</v>
      </c>
      <c r="CZ14" s="13"/>
      <c r="DA14" s="240">
        <f>(D14+'[2]январь 20'!D14)/(AY14+'[2]январь 20'!AX14)</f>
        <v>1.9664761499493417</v>
      </c>
      <c r="DB14" s="241">
        <f>(T14+'[2]январь 20'!R14)/(AY14+'[2]январь 20'!AX14)</f>
        <v>1.1729321638442611</v>
      </c>
      <c r="DD14" s="292">
        <f t="shared" si="14"/>
        <v>11.43</v>
      </c>
      <c r="DE14" s="291">
        <v>0.9</v>
      </c>
      <c r="DF14" s="291">
        <v>13.91</v>
      </c>
      <c r="DG14" s="145">
        <f t="shared" si="15"/>
        <v>11.32713</v>
      </c>
      <c r="DH14" s="293">
        <f t="shared" si="31"/>
        <v>2.0882753916500993</v>
      </c>
      <c r="DJ14" s="322"/>
    </row>
    <row r="15" spans="1:114" s="76" customFormat="1" ht="16.5" customHeight="1" thickBot="1">
      <c r="A15" s="144">
        <v>9</v>
      </c>
      <c r="B15" s="122">
        <f t="shared" si="16"/>
        <v>122.994</v>
      </c>
      <c r="C15" s="123">
        <f t="shared" si="17"/>
        <v>3.3431524301998468</v>
      </c>
      <c r="D15" s="145">
        <f t="shared" si="18"/>
        <v>118.8821231</v>
      </c>
      <c r="E15" s="125">
        <f t="shared" si="19"/>
        <v>41.35894320048132</v>
      </c>
      <c r="F15" s="146">
        <f t="shared" si="20"/>
        <v>1.8058958392830018</v>
      </c>
      <c r="G15" s="127"/>
      <c r="H15" s="126">
        <f t="shared" si="21"/>
        <v>1.1380392389488074</v>
      </c>
      <c r="I15" s="230">
        <f>'[1]июль 20'!AI14</f>
        <v>0</v>
      </c>
      <c r="J15" s="247">
        <f>'[1]январь 20'!AA14</f>
        <v>4.0620000000000003</v>
      </c>
      <c r="K15" s="276">
        <f>'[1]сентябрь 20'!AM14</f>
        <v>0</v>
      </c>
      <c r="L15" s="122">
        <f t="shared" si="22"/>
        <v>43.965000000000003</v>
      </c>
      <c r="M15" s="128">
        <f t="shared" si="23"/>
        <v>0.66785660033419425</v>
      </c>
      <c r="N15" s="400">
        <f>'[1]январь 20'!W14</f>
        <v>2.58</v>
      </c>
      <c r="O15" s="403">
        <f>'[1]январь 20'!AU14</f>
        <v>0</v>
      </c>
      <c r="P15" s="401">
        <f t="shared" si="0"/>
        <v>71.635999999999996</v>
      </c>
      <c r="Q15" s="122">
        <f t="shared" si="24"/>
        <v>71.635999999999996</v>
      </c>
      <c r="R15" s="123">
        <f t="shared" si="25"/>
        <v>2.1600000000000006</v>
      </c>
      <c r="S15" s="129">
        <v>42.77</v>
      </c>
      <c r="T15" s="125">
        <f t="shared" si="1"/>
        <v>70.088662400000004</v>
      </c>
      <c r="U15" s="147">
        <f t="shared" si="2"/>
        <v>1.064691818319915</v>
      </c>
      <c r="V15" s="130">
        <v>36.479999999999997</v>
      </c>
      <c r="W15" s="130">
        <v>65.83</v>
      </c>
      <c r="X15" s="129">
        <v>0.24</v>
      </c>
      <c r="Y15" s="131">
        <v>548</v>
      </c>
      <c r="Z15" s="150">
        <v>1142</v>
      </c>
      <c r="AA15" s="148" t="s">
        <v>126</v>
      </c>
      <c r="AB15" s="149">
        <v>75.540000000000006</v>
      </c>
      <c r="AC15" s="150">
        <v>53</v>
      </c>
      <c r="AD15" s="151">
        <v>3</v>
      </c>
      <c r="AE15" s="149">
        <v>8.5</v>
      </c>
      <c r="AF15" s="134">
        <f t="shared" si="3"/>
        <v>129.12046179553397</v>
      </c>
      <c r="AG15" s="152"/>
      <c r="AH15" s="129">
        <v>44.75</v>
      </c>
      <c r="AI15" s="134">
        <f t="shared" si="4"/>
        <v>679.78125474707588</v>
      </c>
      <c r="AJ15" s="136">
        <v>11.67</v>
      </c>
      <c r="AK15" s="154"/>
      <c r="AL15" s="155">
        <v>4.53</v>
      </c>
      <c r="AM15" s="156">
        <v>23.37</v>
      </c>
      <c r="AN15" s="126">
        <f t="shared" si="26"/>
        <v>0.2536082474226804</v>
      </c>
      <c r="AO15" s="157" t="s">
        <v>127</v>
      </c>
      <c r="AP15" s="156">
        <v>16.2</v>
      </c>
      <c r="AQ15" s="156">
        <v>5.96</v>
      </c>
      <c r="AR15" s="149"/>
      <c r="AS15" s="149">
        <v>15.76</v>
      </c>
      <c r="AT15" s="149">
        <v>92.15</v>
      </c>
      <c r="AU15" s="149">
        <v>1.58</v>
      </c>
      <c r="AV15" s="149"/>
      <c r="AW15" s="149"/>
      <c r="AX15" s="158">
        <f t="shared" si="5"/>
        <v>0</v>
      </c>
      <c r="AY15" s="125">
        <f t="shared" si="6"/>
        <v>65.83</v>
      </c>
      <c r="AZ15" s="125">
        <f t="shared" si="32"/>
        <v>57.654765642178255</v>
      </c>
      <c r="BA15" s="159">
        <f t="shared" si="7"/>
        <v>5.4632816901408452</v>
      </c>
      <c r="BB15" s="160">
        <f t="shared" si="8"/>
        <v>2.6332</v>
      </c>
      <c r="BC15" s="161">
        <f t="shared" si="9"/>
        <v>1.0113811380478386</v>
      </c>
      <c r="BD15" s="159">
        <f t="shared" si="27"/>
        <v>8.0964816901408447</v>
      </c>
      <c r="BE15" s="167">
        <v>0.92400000000000004</v>
      </c>
      <c r="BF15" s="25">
        <f t="shared" si="28"/>
        <v>1189.6499999999999</v>
      </c>
      <c r="BG15" s="25">
        <f t="shared" si="10"/>
        <v>116.12903225806451</v>
      </c>
      <c r="BH15" s="25">
        <f t="shared" si="29"/>
        <v>1045.1612903225805</v>
      </c>
      <c r="BI15" s="26">
        <f t="shared" si="11"/>
        <v>1</v>
      </c>
      <c r="BJ15" s="37">
        <f t="shared" si="30"/>
        <v>1045.1612903225805</v>
      </c>
      <c r="BK15" s="38">
        <v>25.635999999999999</v>
      </c>
      <c r="BL15" s="42">
        <v>53.393000000000001</v>
      </c>
      <c r="BM15" s="31"/>
      <c r="BN15" s="31">
        <v>43.965000000000003</v>
      </c>
      <c r="BO15" s="40"/>
      <c r="BP15" s="40"/>
      <c r="BQ15" s="32"/>
      <c r="BR15" s="33">
        <v>11.27</v>
      </c>
      <c r="BS15" s="35">
        <v>2.29</v>
      </c>
      <c r="BT15" s="35"/>
      <c r="BU15" s="28"/>
      <c r="BV15" s="287"/>
      <c r="BW15" s="287"/>
      <c r="BX15" s="36"/>
      <c r="BY15" s="33">
        <v>41.72</v>
      </c>
      <c r="BZ15" s="34">
        <v>36.729999999999997</v>
      </c>
      <c r="CA15" s="35"/>
      <c r="CB15" s="35">
        <v>46.77</v>
      </c>
      <c r="CC15" s="35"/>
      <c r="CD15" s="35"/>
      <c r="CE15" s="35"/>
      <c r="CF15" s="38"/>
      <c r="CG15" s="30">
        <v>60.234999999999999</v>
      </c>
      <c r="CH15" s="30">
        <v>11.401</v>
      </c>
      <c r="CI15" s="32"/>
      <c r="CJ15" s="33"/>
      <c r="CK15" s="33">
        <v>2.16</v>
      </c>
      <c r="CL15" s="33">
        <v>2.16</v>
      </c>
      <c r="CM15" s="36"/>
      <c r="CN15" s="286"/>
      <c r="CO15" s="249">
        <f t="shared" si="12"/>
        <v>22.7468228</v>
      </c>
      <c r="CP15" s="12">
        <f t="shared" si="12"/>
        <v>52.170300300000001</v>
      </c>
      <c r="CQ15" s="12">
        <f t="shared" si="12"/>
        <v>0</v>
      </c>
      <c r="CR15" s="17">
        <f t="shared" si="12"/>
        <v>43.965000000000003</v>
      </c>
      <c r="CS15" s="11">
        <f t="shared" si="12"/>
        <v>0</v>
      </c>
      <c r="CT15" s="11">
        <f t="shared" si="12"/>
        <v>0</v>
      </c>
      <c r="CU15" s="272">
        <f t="shared" si="12"/>
        <v>0</v>
      </c>
      <c r="CV15" s="249">
        <f t="shared" si="13"/>
        <v>0</v>
      </c>
      <c r="CW15" s="12">
        <f t="shared" si="13"/>
        <v>58.933924000000005</v>
      </c>
      <c r="CX15" s="249">
        <f t="shared" si="13"/>
        <v>11.154738400000001</v>
      </c>
      <c r="CY15" s="274">
        <f t="shared" si="13"/>
        <v>0</v>
      </c>
      <c r="CZ15" s="13"/>
      <c r="DA15" s="240">
        <f>(D15+'[2]январь 20'!D15)/(AY15+'[2]январь 20'!AX15)</f>
        <v>2.0330215848898803</v>
      </c>
      <c r="DB15" s="241">
        <f>(T15+'[2]январь 20'!R15)/(AY15+'[2]январь 20'!AX15)</f>
        <v>1.2204790298299415</v>
      </c>
      <c r="DD15" s="292">
        <f t="shared" si="14"/>
        <v>4.0620000000000003</v>
      </c>
      <c r="DE15" s="291">
        <v>0.64</v>
      </c>
      <c r="DF15" s="291">
        <v>15.57</v>
      </c>
      <c r="DG15" s="145">
        <f t="shared" si="15"/>
        <v>4.0360032000000006</v>
      </c>
      <c r="DH15" s="293">
        <f t="shared" si="31"/>
        <v>0.83188469451946001</v>
      </c>
      <c r="DJ15" s="322"/>
    </row>
    <row r="16" spans="1:114" s="76" customFormat="1" ht="16.5" customHeight="1" thickBot="1">
      <c r="A16" s="144">
        <v>10</v>
      </c>
      <c r="B16" s="122">
        <f t="shared" si="16"/>
        <v>270.25900000000001</v>
      </c>
      <c r="C16" s="123">
        <f t="shared" si="17"/>
        <v>3.0094831624478737</v>
      </c>
      <c r="D16" s="145">
        <f t="shared" si="18"/>
        <v>262.12560089999999</v>
      </c>
      <c r="E16" s="125">
        <f t="shared" si="19"/>
        <v>40.960247762331683</v>
      </c>
      <c r="F16" s="146">
        <f t="shared" si="20"/>
        <v>2.417240878827001</v>
      </c>
      <c r="G16" s="127"/>
      <c r="H16" s="126">
        <f t="shared" si="21"/>
        <v>1.6229214395057174</v>
      </c>
      <c r="I16" s="230">
        <f>'[1]июль 20'!AI15</f>
        <v>0</v>
      </c>
      <c r="J16" s="247">
        <f>'[1]январь 20'!AA15</f>
        <v>11.406000000000001</v>
      </c>
      <c r="K16" s="276">
        <f>'[1]сентябрь 20'!AM15</f>
        <v>0</v>
      </c>
      <c r="L16" s="122">
        <f t="shared" si="22"/>
        <v>86.135999999999996</v>
      </c>
      <c r="M16" s="128">
        <f t="shared" si="23"/>
        <v>0.79431943932128368</v>
      </c>
      <c r="N16" s="400">
        <f>'[1]январь 20'!W15</f>
        <v>5.72</v>
      </c>
      <c r="O16" s="403">
        <f>'[1]январь 20'!AU15</f>
        <v>0</v>
      </c>
      <c r="P16" s="401">
        <f t="shared" si="0"/>
        <v>157.32300000000001</v>
      </c>
      <c r="Q16" s="122">
        <f t="shared" si="24"/>
        <v>157.32300000000001</v>
      </c>
      <c r="R16" s="123">
        <f t="shared" si="25"/>
        <v>2.1</v>
      </c>
      <c r="S16" s="129">
        <v>16.45</v>
      </c>
      <c r="T16" s="125">
        <f t="shared" si="1"/>
        <v>154.01921700000003</v>
      </c>
      <c r="U16" s="147">
        <f t="shared" si="2"/>
        <v>1.4203173828845448</v>
      </c>
      <c r="V16" s="130">
        <v>88.23</v>
      </c>
      <c r="W16" s="130">
        <v>30.58</v>
      </c>
      <c r="X16" s="129">
        <v>1.1100000000000001</v>
      </c>
      <c r="Y16" s="131">
        <v>586</v>
      </c>
      <c r="Z16" s="150">
        <v>1162</v>
      </c>
      <c r="AA16" s="148" t="s">
        <v>128</v>
      </c>
      <c r="AB16" s="149">
        <v>76.34</v>
      </c>
      <c r="AC16" s="150">
        <v>110</v>
      </c>
      <c r="AD16" s="151">
        <v>4</v>
      </c>
      <c r="AE16" s="149">
        <v>5.85</v>
      </c>
      <c r="AF16" s="134">
        <f t="shared" si="3"/>
        <v>53.946883068978231</v>
      </c>
      <c r="AG16" s="152"/>
      <c r="AH16" s="129">
        <v>64.45</v>
      </c>
      <c r="AI16" s="134">
        <f t="shared" si="4"/>
        <v>594.33788270011064</v>
      </c>
      <c r="AJ16" s="153">
        <v>15.06</v>
      </c>
      <c r="AK16" s="154"/>
      <c r="AL16" s="155">
        <v>5.71</v>
      </c>
      <c r="AM16" s="156">
        <v>35.83</v>
      </c>
      <c r="AN16" s="126">
        <f t="shared" si="26"/>
        <v>0.24063129617192744</v>
      </c>
      <c r="AO16" s="157" t="s">
        <v>129</v>
      </c>
      <c r="AP16" s="156">
        <v>17.41</v>
      </c>
      <c r="AQ16" s="156">
        <v>5.79</v>
      </c>
      <c r="AR16" s="149"/>
      <c r="AS16" s="149">
        <v>11.46</v>
      </c>
      <c r="AT16" s="149">
        <v>148.9</v>
      </c>
      <c r="AU16" s="149">
        <v>1.08</v>
      </c>
      <c r="AV16" s="149"/>
      <c r="AW16" s="149"/>
      <c r="AX16" s="158">
        <f t="shared" si="5"/>
        <v>0</v>
      </c>
      <c r="AY16" s="125">
        <f t="shared" si="6"/>
        <v>108.44</v>
      </c>
      <c r="AZ16" s="125">
        <f t="shared" si="32"/>
        <v>124.99721408515042</v>
      </c>
      <c r="BA16" s="159">
        <f t="shared" si="7"/>
        <v>5.7215260563380292</v>
      </c>
      <c r="BB16" s="160">
        <f t="shared" si="8"/>
        <v>4.3376000000000001</v>
      </c>
      <c r="BC16" s="161">
        <f t="shared" si="9"/>
        <v>0.77102711356385445</v>
      </c>
      <c r="BD16" s="160">
        <f t="shared" si="27"/>
        <v>10.05912605633803</v>
      </c>
      <c r="BE16" s="162">
        <v>0.90900000000000003</v>
      </c>
      <c r="BF16" s="25">
        <f t="shared" si="28"/>
        <v>1298.0899999999999</v>
      </c>
      <c r="BG16" s="25">
        <f t="shared" si="10"/>
        <v>116.12903225806451</v>
      </c>
      <c r="BH16" s="25">
        <f t="shared" si="29"/>
        <v>1161.2903225806449</v>
      </c>
      <c r="BI16" s="26">
        <f t="shared" si="11"/>
        <v>1</v>
      </c>
      <c r="BJ16" s="37">
        <f t="shared" si="30"/>
        <v>1161.2903225806449</v>
      </c>
      <c r="BK16" s="38">
        <v>44.503</v>
      </c>
      <c r="BL16" s="31">
        <v>139.62</v>
      </c>
      <c r="BM16" s="31"/>
      <c r="BN16" s="234">
        <v>86.135999999999996</v>
      </c>
      <c r="BO16" s="42"/>
      <c r="BP16" s="40"/>
      <c r="BQ16" s="32"/>
      <c r="BR16" s="33">
        <v>8.77</v>
      </c>
      <c r="BS16" s="34">
        <v>3.03</v>
      </c>
      <c r="BT16" s="35"/>
      <c r="BU16" s="28"/>
      <c r="BV16" s="287"/>
      <c r="BW16" s="287"/>
      <c r="BX16" s="36"/>
      <c r="BY16" s="33">
        <v>42.28</v>
      </c>
      <c r="BZ16" s="34">
        <v>37.270000000000003</v>
      </c>
      <c r="CA16" s="35"/>
      <c r="CB16" s="405">
        <v>46.26</v>
      </c>
      <c r="CC16" s="404"/>
      <c r="CD16" s="235"/>
      <c r="CE16" s="36"/>
      <c r="CF16" s="38"/>
      <c r="CG16" s="30">
        <v>116.161</v>
      </c>
      <c r="CH16" s="30">
        <v>41.161999999999999</v>
      </c>
      <c r="CI16" s="32"/>
      <c r="CJ16" s="33"/>
      <c r="CK16" s="33">
        <v>2.1</v>
      </c>
      <c r="CL16" s="33">
        <v>2.1</v>
      </c>
      <c r="CM16" s="36"/>
      <c r="CN16" s="286"/>
      <c r="CO16" s="249">
        <f t="shared" si="12"/>
        <v>40.600086900000001</v>
      </c>
      <c r="CP16" s="12">
        <f t="shared" si="12"/>
        <v>135.38951399999999</v>
      </c>
      <c r="CQ16" s="12">
        <f t="shared" si="12"/>
        <v>0</v>
      </c>
      <c r="CR16" s="11">
        <f t="shared" si="12"/>
        <v>86.135999999999996</v>
      </c>
      <c r="CS16" s="11">
        <f t="shared" si="12"/>
        <v>0</v>
      </c>
      <c r="CT16" s="11">
        <f t="shared" si="12"/>
        <v>0</v>
      </c>
      <c r="CU16" s="272">
        <f t="shared" si="12"/>
        <v>0</v>
      </c>
      <c r="CV16" s="249">
        <f t="shared" si="13"/>
        <v>0</v>
      </c>
      <c r="CW16" s="12">
        <f t="shared" si="13"/>
        <v>113.72161900000002</v>
      </c>
      <c r="CX16" s="249">
        <f t="shared" si="13"/>
        <v>40.297598000000001</v>
      </c>
      <c r="CY16" s="272">
        <f t="shared" si="13"/>
        <v>0</v>
      </c>
      <c r="CZ16" s="13"/>
      <c r="DA16" s="240">
        <f>(D16+'[2]январь 20'!D16)/(AY16+'[2]январь 20'!AX16)</f>
        <v>2.142746641161529</v>
      </c>
      <c r="DB16" s="241">
        <f>(T16+'[2]январь 20'!R16)/(AY16+'[2]январь 20'!AX16)</f>
        <v>1.2740732446925274</v>
      </c>
      <c r="DD16" s="292">
        <f t="shared" si="14"/>
        <v>11.406000000000001</v>
      </c>
      <c r="DE16" s="291">
        <v>0.62</v>
      </c>
      <c r="DF16" s="291">
        <v>14.92</v>
      </c>
      <c r="DG16" s="145">
        <f t="shared" si="15"/>
        <v>11.3352828</v>
      </c>
      <c r="DH16" s="293">
        <f t="shared" si="31"/>
        <v>2.215384063086193</v>
      </c>
      <c r="DJ16" s="322"/>
    </row>
    <row r="17" spans="1:114" s="76" customFormat="1" ht="16.5" customHeight="1" thickBot="1">
      <c r="A17" s="144">
        <v>11</v>
      </c>
      <c r="B17" s="122">
        <f t="shared" si="16"/>
        <v>275.38299999999998</v>
      </c>
      <c r="C17" s="123">
        <f t="shared" si="17"/>
        <v>3.3756808517591872</v>
      </c>
      <c r="D17" s="145">
        <f t="shared" si="18"/>
        <v>266.08694879999996</v>
      </c>
      <c r="E17" s="125">
        <f t="shared" si="19"/>
        <v>40.913544953755313</v>
      </c>
      <c r="F17" s="146">
        <f t="shared" si="20"/>
        <v>2.1151585755166931</v>
      </c>
      <c r="G17" s="127"/>
      <c r="H17" s="126">
        <f t="shared" si="21"/>
        <v>1.4141808330683627</v>
      </c>
      <c r="I17" s="230">
        <f>'[1]июль 20'!AI16</f>
        <v>0</v>
      </c>
      <c r="J17" s="247">
        <f>'[1]январь 20'!AA16</f>
        <v>11.324999999999999</v>
      </c>
      <c r="K17" s="276">
        <f>'[1]сентябрь 20'!AM16</f>
        <v>0</v>
      </c>
      <c r="L17" s="122">
        <f t="shared" si="22"/>
        <v>88.183000000000007</v>
      </c>
      <c r="M17" s="128">
        <f t="shared" si="23"/>
        <v>0.70097774244833078</v>
      </c>
      <c r="N17" s="400">
        <f>'[1]январь 20'!W16</f>
        <v>6.7889999999999997</v>
      </c>
      <c r="O17" s="403">
        <f>'[1]январь 20'!AU16</f>
        <v>0</v>
      </c>
      <c r="P17" s="401">
        <f t="shared" si="0"/>
        <v>161.54400000000001</v>
      </c>
      <c r="Q17" s="122">
        <f t="shared" si="24"/>
        <v>161.54400000000001</v>
      </c>
      <c r="R17" s="123">
        <f t="shared" si="25"/>
        <v>1.43</v>
      </c>
      <c r="S17" s="129">
        <v>7.43</v>
      </c>
      <c r="T17" s="125">
        <f t="shared" si="1"/>
        <v>159.23392079999999</v>
      </c>
      <c r="U17" s="147">
        <f t="shared" si="2"/>
        <v>1.2657704356120827</v>
      </c>
      <c r="V17" s="130">
        <v>125.8</v>
      </c>
      <c r="W17" s="130">
        <v>125.8</v>
      </c>
      <c r="X17" s="129">
        <v>0.28000000000000003</v>
      </c>
      <c r="Y17" s="131">
        <v>548</v>
      </c>
      <c r="Z17" s="150">
        <v>1191</v>
      </c>
      <c r="AA17" s="148" t="s">
        <v>130</v>
      </c>
      <c r="AB17" s="149">
        <v>76.19</v>
      </c>
      <c r="AC17" s="150">
        <v>111</v>
      </c>
      <c r="AD17" s="151">
        <v>4</v>
      </c>
      <c r="AE17" s="149">
        <v>6.2</v>
      </c>
      <c r="AF17" s="134">
        <f t="shared" si="3"/>
        <v>49.284578696343402</v>
      </c>
      <c r="AG17" s="152"/>
      <c r="AH17" s="129">
        <v>82.95</v>
      </c>
      <c r="AI17" s="134">
        <f t="shared" si="4"/>
        <v>659.3799682034977</v>
      </c>
      <c r="AJ17" s="136">
        <v>11.69</v>
      </c>
      <c r="AK17" s="154"/>
      <c r="AL17" s="155">
        <v>7.87</v>
      </c>
      <c r="AM17" s="156">
        <v>35.65</v>
      </c>
      <c r="AN17" s="126">
        <f t="shared" si="26"/>
        <v>0.21264539218610198</v>
      </c>
      <c r="AO17" s="157" t="s">
        <v>131</v>
      </c>
      <c r="AP17" s="156">
        <v>15.6</v>
      </c>
      <c r="AQ17" s="156">
        <v>6.14</v>
      </c>
      <c r="AR17" s="149"/>
      <c r="AS17" s="149">
        <v>11.57</v>
      </c>
      <c r="AT17" s="149">
        <v>167.65</v>
      </c>
      <c r="AU17" s="149">
        <v>1.67</v>
      </c>
      <c r="AV17" s="149"/>
      <c r="AW17" s="149"/>
      <c r="AX17" s="158">
        <f t="shared" si="5"/>
        <v>0</v>
      </c>
      <c r="AY17" s="125">
        <f t="shared" si="6"/>
        <v>125.8</v>
      </c>
      <c r="AZ17" s="125">
        <f t="shared" si="32"/>
        <v>126.68175022951392</v>
      </c>
      <c r="BA17" s="159">
        <f t="shared" si="7"/>
        <v>7.4345397887323958</v>
      </c>
      <c r="BB17" s="160">
        <f t="shared" si="8"/>
        <v>5.032</v>
      </c>
      <c r="BC17" s="161">
        <f t="shared" si="9"/>
        <v>0.88041600831502154</v>
      </c>
      <c r="BD17" s="160">
        <f t="shared" si="27"/>
        <v>12.466539788732396</v>
      </c>
      <c r="BE17" s="162">
        <v>0.90600000000000003</v>
      </c>
      <c r="BF17" s="25">
        <f t="shared" si="28"/>
        <v>1423.8899999999999</v>
      </c>
      <c r="BG17" s="25">
        <f t="shared" si="10"/>
        <v>116.12903225806451</v>
      </c>
      <c r="BH17" s="25">
        <f t="shared" si="29"/>
        <v>1277.4193548387093</v>
      </c>
      <c r="BI17" s="26">
        <f t="shared" si="11"/>
        <v>1</v>
      </c>
      <c r="BJ17" s="37">
        <f t="shared" si="30"/>
        <v>1277.4193548387093</v>
      </c>
      <c r="BK17" s="39">
        <v>45.152000000000001</v>
      </c>
      <c r="BL17" s="31">
        <v>142.048</v>
      </c>
      <c r="BM17" s="31"/>
      <c r="BN17" s="234">
        <v>88.183000000000007</v>
      </c>
      <c r="BO17" s="42"/>
      <c r="BP17" s="40"/>
      <c r="BQ17" s="32"/>
      <c r="BR17" s="33">
        <v>12.22</v>
      </c>
      <c r="BS17" s="34">
        <v>2.66</v>
      </c>
      <c r="BT17" s="35"/>
      <c r="BU17" s="28"/>
      <c r="BV17" s="287"/>
      <c r="BW17" s="287"/>
      <c r="BX17" s="36"/>
      <c r="BY17" s="33">
        <v>41.88</v>
      </c>
      <c r="BZ17" s="34">
        <v>37.07</v>
      </c>
      <c r="CA17" s="35"/>
      <c r="CB17" s="405">
        <v>46.61</v>
      </c>
      <c r="CC17" s="404"/>
      <c r="CD17" s="235"/>
      <c r="CE17" s="36"/>
      <c r="CF17" s="38"/>
      <c r="CG17" s="42">
        <v>119.53</v>
      </c>
      <c r="CH17" s="234">
        <v>42.014000000000003</v>
      </c>
      <c r="CI17" s="233"/>
      <c r="CJ17" s="33"/>
      <c r="CK17" s="33">
        <v>1.43</v>
      </c>
      <c r="CL17" s="33">
        <v>1.43</v>
      </c>
      <c r="CM17" s="36"/>
      <c r="CN17" s="286"/>
      <c r="CO17" s="249">
        <f t="shared" si="12"/>
        <v>39.6344256</v>
      </c>
      <c r="CP17" s="12">
        <f t="shared" si="12"/>
        <v>138.26952320000001</v>
      </c>
      <c r="CQ17" s="12">
        <f t="shared" si="12"/>
        <v>0</v>
      </c>
      <c r="CR17" s="12">
        <f t="shared" si="12"/>
        <v>88.183000000000007</v>
      </c>
      <c r="CS17" s="11">
        <f t="shared" si="12"/>
        <v>0</v>
      </c>
      <c r="CT17" s="11">
        <f t="shared" si="12"/>
        <v>0</v>
      </c>
      <c r="CU17" s="272">
        <f t="shared" si="12"/>
        <v>0</v>
      </c>
      <c r="CV17" s="249">
        <f t="shared" si="13"/>
        <v>0</v>
      </c>
      <c r="CW17" s="12">
        <f t="shared" si="13"/>
        <v>117.82072099999999</v>
      </c>
      <c r="CX17" s="254">
        <f t="shared" si="13"/>
        <v>41.413199800000001</v>
      </c>
      <c r="CY17" s="272">
        <f t="shared" si="13"/>
        <v>0</v>
      </c>
      <c r="CZ17" s="13"/>
      <c r="DA17" s="240">
        <f>(D17+'[2]январь 20'!D17)/(AY17+'[2]январь 20'!AX17)</f>
        <v>2.0968005296105807</v>
      </c>
      <c r="DB17" s="241">
        <f>(T17+'[2]январь 20'!R17)/(AY17+'[2]январь 20'!AX17)</f>
        <v>1.2561173278471711</v>
      </c>
      <c r="DD17" s="292">
        <f t="shared" si="14"/>
        <v>11.324999999999999</v>
      </c>
      <c r="DE17" s="291">
        <v>0.45</v>
      </c>
      <c r="DF17" s="291">
        <v>13.12</v>
      </c>
      <c r="DG17" s="145">
        <f t="shared" si="15"/>
        <v>11.274037499999999</v>
      </c>
      <c r="DH17" s="293">
        <f t="shared" si="31"/>
        <v>1.9414013912586947</v>
      </c>
      <c r="DJ17" s="322"/>
    </row>
    <row r="18" spans="1:114" s="76" customFormat="1" ht="16.5" customHeight="1" thickBot="1">
      <c r="A18" s="144">
        <v>12</v>
      </c>
      <c r="B18" s="122">
        <f t="shared" si="16"/>
        <v>265.14800000000002</v>
      </c>
      <c r="C18" s="123">
        <f t="shared" si="17"/>
        <v>3.3175895726160483</v>
      </c>
      <c r="D18" s="145">
        <f t="shared" si="18"/>
        <v>256.35147760000007</v>
      </c>
      <c r="E18" s="125">
        <f t="shared" si="19"/>
        <v>40.177340956748679</v>
      </c>
      <c r="F18" s="146">
        <f t="shared" si="20"/>
        <v>2.0841583544715454</v>
      </c>
      <c r="G18" s="127"/>
      <c r="H18" s="126">
        <f t="shared" si="21"/>
        <v>1.5176217691056912</v>
      </c>
      <c r="I18" s="230">
        <f>'[1]июль 20'!AI17</f>
        <v>0</v>
      </c>
      <c r="J18" s="247">
        <f>'[1]январь 20'!AA17</f>
        <v>10.749000000000001</v>
      </c>
      <c r="K18" s="276">
        <f>'[1]сентябрь 20'!AM17</f>
        <v>0</v>
      </c>
      <c r="L18" s="122">
        <f t="shared" si="22"/>
        <v>69.683999999999997</v>
      </c>
      <c r="M18" s="128">
        <f t="shared" si="23"/>
        <v>0.56653658536585372</v>
      </c>
      <c r="N18" s="400">
        <f>'[1]январь 20'!W17</f>
        <v>4.1420000000000003</v>
      </c>
      <c r="O18" s="403">
        <f>'[1]январь 20'!AU17</f>
        <v>0</v>
      </c>
      <c r="P18" s="401">
        <f t="shared" si="0"/>
        <v>153.20099999999999</v>
      </c>
      <c r="Q18" s="122">
        <f t="shared" si="24"/>
        <v>153.20099999999999</v>
      </c>
      <c r="R18" s="123">
        <f t="shared" si="25"/>
        <v>1.6400000000000001</v>
      </c>
      <c r="S18" s="129">
        <v>23.01</v>
      </c>
      <c r="T18" s="125">
        <f t="shared" si="1"/>
        <v>150.68850359999999</v>
      </c>
      <c r="U18" s="147">
        <f t="shared" si="2"/>
        <v>1.2251097853658537</v>
      </c>
      <c r="V18" s="130">
        <v>123</v>
      </c>
      <c r="W18" s="130">
        <v>31.25</v>
      </c>
      <c r="X18" s="129">
        <v>1.1200000000000001</v>
      </c>
      <c r="Y18" s="131">
        <v>555</v>
      </c>
      <c r="Z18" s="150">
        <v>1190</v>
      </c>
      <c r="AA18" s="148" t="s">
        <v>118</v>
      </c>
      <c r="AB18" s="149">
        <v>76.88</v>
      </c>
      <c r="AC18" s="150">
        <v>108</v>
      </c>
      <c r="AD18" s="151">
        <v>4</v>
      </c>
      <c r="AE18" s="149">
        <v>11.3</v>
      </c>
      <c r="AF18" s="134">
        <f t="shared" si="3"/>
        <v>91.869918699187011</v>
      </c>
      <c r="AG18" s="152"/>
      <c r="AH18" s="129">
        <v>68.900000000000006</v>
      </c>
      <c r="AI18" s="134">
        <f t="shared" si="4"/>
        <v>560.16260162601634</v>
      </c>
      <c r="AJ18" s="153">
        <v>13.19</v>
      </c>
      <c r="AK18" s="154"/>
      <c r="AL18" s="155">
        <v>12.55</v>
      </c>
      <c r="AM18" s="156">
        <v>37.21</v>
      </c>
      <c r="AN18" s="126">
        <f t="shared" si="26"/>
        <v>0.21933392278219865</v>
      </c>
      <c r="AO18" s="157" t="s">
        <v>132</v>
      </c>
      <c r="AP18" s="156">
        <v>18.22</v>
      </c>
      <c r="AQ18" s="156">
        <v>6.09</v>
      </c>
      <c r="AR18" s="151"/>
      <c r="AS18" s="149">
        <v>8.68</v>
      </c>
      <c r="AT18" s="149">
        <v>169.65</v>
      </c>
      <c r="AU18" s="149">
        <v>3.11</v>
      </c>
      <c r="AV18" s="149"/>
      <c r="AW18" s="149"/>
      <c r="AX18" s="158">
        <f t="shared" si="5"/>
        <v>0</v>
      </c>
      <c r="AY18" s="125">
        <f t="shared" si="6"/>
        <v>122.99999999999999</v>
      </c>
      <c r="AZ18" s="125">
        <f t="shared" si="32"/>
        <v>119.22201386869448</v>
      </c>
      <c r="BA18" s="159">
        <f t="shared" si="7"/>
        <v>4.6327971830985915</v>
      </c>
      <c r="BB18" s="160">
        <f t="shared" si="8"/>
        <v>4.92</v>
      </c>
      <c r="BC18" s="161">
        <f t="shared" si="9"/>
        <v>0.91812427556562659</v>
      </c>
      <c r="BD18" s="160">
        <f t="shared" si="27"/>
        <v>9.5527971830985905</v>
      </c>
      <c r="BE18" s="162">
        <v>0.90700000000000003</v>
      </c>
      <c r="BF18" s="25">
        <f t="shared" si="28"/>
        <v>1546.8899999999999</v>
      </c>
      <c r="BG18" s="25">
        <f t="shared" si="10"/>
        <v>116.12903225806451</v>
      </c>
      <c r="BH18" s="25">
        <f t="shared" si="29"/>
        <v>1393.5483870967737</v>
      </c>
      <c r="BI18" s="26">
        <f t="shared" si="11"/>
        <v>1</v>
      </c>
      <c r="BJ18" s="37">
        <f t="shared" si="30"/>
        <v>1393.5483870967737</v>
      </c>
      <c r="BK18" s="38">
        <v>51.783999999999999</v>
      </c>
      <c r="BL18" s="31">
        <v>143.68</v>
      </c>
      <c r="BM18" s="31"/>
      <c r="BN18" s="234"/>
      <c r="BO18" s="42"/>
      <c r="BP18" s="40"/>
      <c r="BQ18" s="411">
        <v>69.683999999999997</v>
      </c>
      <c r="BR18" s="41">
        <v>11.41</v>
      </c>
      <c r="BS18" s="34">
        <v>2.0099999999999998</v>
      </c>
      <c r="BT18" s="35"/>
      <c r="BU18" s="28"/>
      <c r="BV18" s="287"/>
      <c r="BW18" s="287"/>
      <c r="BX18" s="36"/>
      <c r="BY18" s="34">
        <v>43.14</v>
      </c>
      <c r="BZ18" s="34">
        <v>36.79</v>
      </c>
      <c r="CA18" s="35"/>
      <c r="CB18" s="405"/>
      <c r="CC18" s="404"/>
      <c r="CD18" s="235"/>
      <c r="CE18" s="405">
        <v>44.96</v>
      </c>
      <c r="CF18" s="38"/>
      <c r="CG18" s="42">
        <v>113.197</v>
      </c>
      <c r="CH18" s="234">
        <v>40.003999999999998</v>
      </c>
      <c r="CI18" s="233"/>
      <c r="CJ18" s="33"/>
      <c r="CK18" s="33">
        <v>1.64</v>
      </c>
      <c r="CL18" s="33">
        <v>1.64</v>
      </c>
      <c r="CM18" s="36"/>
      <c r="CN18" s="286"/>
      <c r="CO18" s="249">
        <f t="shared" si="12"/>
        <v>45.875445599999999</v>
      </c>
      <c r="CP18" s="12">
        <f t="shared" si="12"/>
        <v>140.79203200000001</v>
      </c>
      <c r="CQ18" s="12">
        <f t="shared" si="12"/>
        <v>0</v>
      </c>
      <c r="CR18" s="12">
        <f t="shared" si="12"/>
        <v>0</v>
      </c>
      <c r="CS18" s="11">
        <f t="shared" si="12"/>
        <v>0</v>
      </c>
      <c r="CT18" s="11">
        <f t="shared" si="12"/>
        <v>0</v>
      </c>
      <c r="CU18" s="272">
        <f t="shared" si="12"/>
        <v>69.683999999999997</v>
      </c>
      <c r="CV18" s="249">
        <f t="shared" si="13"/>
        <v>0</v>
      </c>
      <c r="CW18" s="11">
        <f t="shared" si="13"/>
        <v>111.3405692</v>
      </c>
      <c r="CX18" s="249">
        <f t="shared" si="13"/>
        <v>39.3479344</v>
      </c>
      <c r="CY18" s="272">
        <f t="shared" si="13"/>
        <v>0</v>
      </c>
      <c r="CZ18" s="13"/>
      <c r="DA18" s="240">
        <f>(D18+'[2]январь 20'!D18)/(AY18+'[2]январь 20'!AX18)</f>
        <v>2.4732607158182178</v>
      </c>
      <c r="DB18" s="241">
        <f>(T18+'[2]январь 20'!R18)/(AY18+'[2]январь 20'!AX18)</f>
        <v>1.4803418353813145</v>
      </c>
      <c r="DD18" s="292">
        <f t="shared" si="14"/>
        <v>10.749000000000001</v>
      </c>
      <c r="DE18" s="291">
        <v>0.27</v>
      </c>
      <c r="DF18" s="291">
        <v>16.260000000000002</v>
      </c>
      <c r="DG18" s="145">
        <f t="shared" si="15"/>
        <v>10.719977700000001</v>
      </c>
      <c r="DH18" s="293">
        <f t="shared" si="31"/>
        <v>2.2672585510145686</v>
      </c>
      <c r="DJ18" s="322"/>
    </row>
    <row r="19" spans="1:114" s="76" customFormat="1" ht="16.5" customHeight="1" thickBot="1">
      <c r="A19" s="144">
        <v>13</v>
      </c>
      <c r="B19" s="122">
        <f t="shared" si="16"/>
        <v>272.62700000000001</v>
      </c>
      <c r="C19" s="123">
        <f t="shared" si="17"/>
        <v>4.2608645511999921</v>
      </c>
      <c r="D19" s="145">
        <f t="shared" si="18"/>
        <v>261.01073280000003</v>
      </c>
      <c r="E19" s="125">
        <f t="shared" si="19"/>
        <v>39.297605739710299</v>
      </c>
      <c r="F19" s="146">
        <f t="shared" si="20"/>
        <v>2.2011362185866084</v>
      </c>
      <c r="G19" s="127"/>
      <c r="H19" s="126">
        <f t="shared" si="21"/>
        <v>1.8324146803845507</v>
      </c>
      <c r="I19" s="230">
        <f>'[1]июль 20'!AI18</f>
        <v>0</v>
      </c>
      <c r="J19" s="247">
        <f>'[1]январь 20'!AA18</f>
        <v>11.128</v>
      </c>
      <c r="K19" s="276">
        <f>'[1]сентябрь 20'!AM18</f>
        <v>0</v>
      </c>
      <c r="L19" s="122">
        <f t="shared" si="22"/>
        <v>43.722999999999999</v>
      </c>
      <c r="M19" s="128">
        <f t="shared" si="23"/>
        <v>0.36872153820205766</v>
      </c>
      <c r="N19" s="400">
        <f>'[1]январь 20'!W18</f>
        <v>0</v>
      </c>
      <c r="O19" s="403">
        <f>'[1]январь 20'!AU18</f>
        <v>0</v>
      </c>
      <c r="P19" s="401">
        <f t="shared" si="0"/>
        <v>154.76599999999999</v>
      </c>
      <c r="Q19" s="122">
        <f t="shared" si="24"/>
        <v>154.76599999999999</v>
      </c>
      <c r="R19" s="123">
        <f t="shared" si="25"/>
        <v>1.45</v>
      </c>
      <c r="S19" s="129">
        <v>9.51</v>
      </c>
      <c r="T19" s="125">
        <f t="shared" si="1"/>
        <v>152.52189299999998</v>
      </c>
      <c r="U19" s="147">
        <f t="shared" si="2"/>
        <v>1.2862362371394838</v>
      </c>
      <c r="V19" s="130">
        <v>118.58</v>
      </c>
      <c r="W19" s="130">
        <v>90.55</v>
      </c>
      <c r="X19" s="129">
        <v>0.8</v>
      </c>
      <c r="Y19" s="131">
        <v>551</v>
      </c>
      <c r="Z19" s="150">
        <v>1200</v>
      </c>
      <c r="AA19" s="148" t="s">
        <v>124</v>
      </c>
      <c r="AB19" s="149">
        <v>77.25</v>
      </c>
      <c r="AC19" s="150">
        <v>111</v>
      </c>
      <c r="AD19" s="151">
        <v>4</v>
      </c>
      <c r="AE19" s="149">
        <v>11.15</v>
      </c>
      <c r="AF19" s="134">
        <f t="shared" si="3"/>
        <v>94.029347276100538</v>
      </c>
      <c r="AG19" s="152"/>
      <c r="AH19" s="129">
        <v>64.55</v>
      </c>
      <c r="AI19" s="134">
        <f t="shared" si="4"/>
        <v>544.35823916343395</v>
      </c>
      <c r="AJ19" s="136">
        <v>15.76</v>
      </c>
      <c r="AK19" s="154"/>
      <c r="AL19" s="155">
        <v>9.01</v>
      </c>
      <c r="AM19" s="156">
        <v>36.630000000000003</v>
      </c>
      <c r="AN19" s="126">
        <f t="shared" si="26"/>
        <v>0.22548476454293631</v>
      </c>
      <c r="AO19" s="157" t="s">
        <v>133</v>
      </c>
      <c r="AP19" s="156">
        <v>16.8</v>
      </c>
      <c r="AQ19" s="156">
        <v>6.14</v>
      </c>
      <c r="AR19" s="151"/>
      <c r="AS19" s="149">
        <v>8.7799999999999994</v>
      </c>
      <c r="AT19" s="149">
        <v>162.44999999999999</v>
      </c>
      <c r="AU19" s="149">
        <v>1.77</v>
      </c>
      <c r="AV19" s="164"/>
      <c r="AW19" s="149"/>
      <c r="AX19" s="158">
        <f t="shared" si="5"/>
        <v>0</v>
      </c>
      <c r="AY19" s="125">
        <f t="shared" si="6"/>
        <v>118.58</v>
      </c>
      <c r="AZ19" s="125">
        <f t="shared" si="32"/>
        <v>118.41157739819481</v>
      </c>
      <c r="BA19" s="159">
        <f t="shared" si="7"/>
        <v>4.390309154929577</v>
      </c>
      <c r="BB19" s="160">
        <f t="shared" si="8"/>
        <v>4.7431999999999999</v>
      </c>
      <c r="BC19" s="161">
        <f t="shared" si="9"/>
        <v>0.8930699509658826</v>
      </c>
      <c r="BD19" s="160">
        <f t="shared" si="27"/>
        <v>9.1335091549295768</v>
      </c>
      <c r="BE19" s="162">
        <v>0.90600000000000003</v>
      </c>
      <c r="BF19" s="25">
        <f t="shared" si="28"/>
        <v>1665.4699999999998</v>
      </c>
      <c r="BG19" s="25">
        <f t="shared" si="10"/>
        <v>116.12903225806451</v>
      </c>
      <c r="BH19" s="25">
        <f t="shared" si="29"/>
        <v>1509.6774193548381</v>
      </c>
      <c r="BI19" s="26">
        <f t="shared" si="11"/>
        <v>1</v>
      </c>
      <c r="BJ19" s="37">
        <f t="shared" si="30"/>
        <v>1509.6774193548381</v>
      </c>
      <c r="BK19" s="38">
        <v>72.040000000000006</v>
      </c>
      <c r="BL19" s="31">
        <v>156.864</v>
      </c>
      <c r="BM19" s="31"/>
      <c r="BN19" s="234"/>
      <c r="BO19" s="42"/>
      <c r="BP19" s="40"/>
      <c r="BQ19" s="411">
        <v>43.722999999999999</v>
      </c>
      <c r="BR19" s="33">
        <v>12.14</v>
      </c>
      <c r="BS19" s="34">
        <v>1.83</v>
      </c>
      <c r="BT19" s="35"/>
      <c r="BU19" s="28"/>
      <c r="BV19" s="287"/>
      <c r="BW19" s="287"/>
      <c r="BX19" s="36"/>
      <c r="BY19" s="33">
        <v>42.3</v>
      </c>
      <c r="BZ19" s="34">
        <v>36.53</v>
      </c>
      <c r="CA19" s="35"/>
      <c r="CB19" s="405"/>
      <c r="CC19" s="404"/>
      <c r="CD19" s="235"/>
      <c r="CE19" s="413">
        <v>44.28</v>
      </c>
      <c r="CF19" s="41"/>
      <c r="CG19" s="41">
        <v>113.265</v>
      </c>
      <c r="CH19" s="30">
        <v>41.500999999999998</v>
      </c>
      <c r="CI19" s="32"/>
      <c r="CJ19" s="33"/>
      <c r="CK19" s="33">
        <v>1.45</v>
      </c>
      <c r="CL19" s="33">
        <v>1.45</v>
      </c>
      <c r="CM19" s="36"/>
      <c r="CN19" s="286"/>
      <c r="CO19" s="249">
        <f t="shared" si="12"/>
        <v>63.294344000000009</v>
      </c>
      <c r="CP19" s="12">
        <f t="shared" si="12"/>
        <v>153.99338880000002</v>
      </c>
      <c r="CQ19" s="12">
        <f t="shared" si="12"/>
        <v>0</v>
      </c>
      <c r="CR19" s="12">
        <f t="shared" si="12"/>
        <v>0</v>
      </c>
      <c r="CS19" s="11">
        <f t="shared" si="12"/>
        <v>0</v>
      </c>
      <c r="CT19" s="11">
        <f t="shared" si="12"/>
        <v>0</v>
      </c>
      <c r="CU19" s="272">
        <f t="shared" si="12"/>
        <v>43.722999999999999</v>
      </c>
      <c r="CV19" s="249">
        <f t="shared" si="13"/>
        <v>0</v>
      </c>
      <c r="CW19" s="251">
        <f t="shared" si="13"/>
        <v>111.62265749999999</v>
      </c>
      <c r="CX19" s="249">
        <f t="shared" si="13"/>
        <v>40.899235499999996</v>
      </c>
      <c r="CY19" s="272">
        <f t="shared" si="13"/>
        <v>0</v>
      </c>
      <c r="CZ19" s="13"/>
      <c r="DA19" s="240">
        <f>(D19+'[2]январь 20'!D19)/(AY19+'[2]январь 20'!AX19)</f>
        <v>2.086359179407713</v>
      </c>
      <c r="DB19" s="241">
        <f>(T19+'[2]январь 20'!R19)/(AY19+'[2]январь 20'!AX19)</f>
        <v>1.2351649207988977</v>
      </c>
      <c r="DD19" s="292">
        <f t="shared" si="14"/>
        <v>11.128</v>
      </c>
      <c r="DE19" s="291">
        <v>0.23</v>
      </c>
      <c r="DF19" s="291">
        <v>17.37</v>
      </c>
      <c r="DG19" s="145">
        <f t="shared" si="15"/>
        <v>11.102405599999999</v>
      </c>
      <c r="DH19" s="293">
        <f t="shared" si="31"/>
        <v>2.4964244048155342</v>
      </c>
      <c r="DJ19" s="322"/>
    </row>
    <row r="20" spans="1:114" s="76" customFormat="1" ht="16.5" customHeight="1" thickBot="1">
      <c r="A20" s="144">
        <v>14</v>
      </c>
      <c r="B20" s="122">
        <f t="shared" si="16"/>
        <v>267.387</v>
      </c>
      <c r="C20" s="123">
        <f t="shared" si="17"/>
        <v>5.3928986824340752</v>
      </c>
      <c r="D20" s="145">
        <f t="shared" si="18"/>
        <v>252.96708999999998</v>
      </c>
      <c r="E20" s="125">
        <f t="shared" si="19"/>
        <v>39.509880024084943</v>
      </c>
      <c r="F20" s="146">
        <f t="shared" si="20"/>
        <v>1.8260816429654225</v>
      </c>
      <c r="G20" s="127"/>
      <c r="H20" s="126">
        <f t="shared" si="21"/>
        <v>1.483188406843283</v>
      </c>
      <c r="I20" s="230">
        <f>'[1]июль 20'!AI19</f>
        <v>0</v>
      </c>
      <c r="J20" s="247">
        <f>'[1]январь 20'!AA19</f>
        <v>10.606</v>
      </c>
      <c r="K20" s="276">
        <f>'[1]сентябрь 20'!AM19</f>
        <v>0</v>
      </c>
      <c r="L20" s="122">
        <f t="shared" si="22"/>
        <v>47.500999999999998</v>
      </c>
      <c r="M20" s="128">
        <f t="shared" si="23"/>
        <v>0.34289323612213957</v>
      </c>
      <c r="N20" s="400">
        <f>'[1]январь 20'!W19</f>
        <v>0</v>
      </c>
      <c r="O20" s="403">
        <f>'[1]январь 20'!AU19</f>
        <v>0</v>
      </c>
      <c r="P20" s="401">
        <f t="shared" si="0"/>
        <v>151.559</v>
      </c>
      <c r="Q20" s="122">
        <f t="shared" si="24"/>
        <v>151.559</v>
      </c>
      <c r="R20" s="123">
        <f t="shared" si="25"/>
        <v>1.59</v>
      </c>
      <c r="S20" s="129">
        <v>14.94</v>
      </c>
      <c r="T20" s="125">
        <f t="shared" si="1"/>
        <v>149.14921189999998</v>
      </c>
      <c r="U20" s="147">
        <f t="shared" si="2"/>
        <v>1.0766564058326715</v>
      </c>
      <c r="V20" s="130">
        <v>138.53</v>
      </c>
      <c r="W20" s="130">
        <v>71.540000000000006</v>
      </c>
      <c r="X20" s="129">
        <v>0.83</v>
      </c>
      <c r="Y20" s="131">
        <v>600</v>
      </c>
      <c r="Z20" s="150">
        <v>1191</v>
      </c>
      <c r="AA20" s="168" t="s">
        <v>134</v>
      </c>
      <c r="AB20" s="149">
        <v>76.569999999999993</v>
      </c>
      <c r="AC20" s="150">
        <v>109</v>
      </c>
      <c r="AD20" s="151">
        <v>4</v>
      </c>
      <c r="AE20" s="149">
        <v>12.55</v>
      </c>
      <c r="AF20" s="134">
        <f t="shared" si="3"/>
        <v>90.594095141846537</v>
      </c>
      <c r="AG20" s="152"/>
      <c r="AH20" s="129">
        <v>81.95</v>
      </c>
      <c r="AI20" s="134">
        <f t="shared" si="4"/>
        <v>591.56861329675883</v>
      </c>
      <c r="AJ20" s="153">
        <v>13.54</v>
      </c>
      <c r="AK20" s="154"/>
      <c r="AL20" s="155">
        <v>7.01</v>
      </c>
      <c r="AM20" s="156">
        <v>35.659999999999997</v>
      </c>
      <c r="AN20" s="126">
        <f t="shared" si="26"/>
        <v>0.19921787709497205</v>
      </c>
      <c r="AO20" s="157" t="s">
        <v>135</v>
      </c>
      <c r="AP20" s="156">
        <v>16.41</v>
      </c>
      <c r="AQ20" s="156">
        <v>6.25</v>
      </c>
      <c r="AR20" s="149"/>
      <c r="AS20" s="149">
        <v>9.2100000000000009</v>
      </c>
      <c r="AT20" s="149">
        <v>179</v>
      </c>
      <c r="AU20" s="149">
        <v>2.2000000000000002</v>
      </c>
      <c r="AV20" s="149"/>
      <c r="AW20" s="149"/>
      <c r="AX20" s="158">
        <f t="shared" si="5"/>
        <v>0</v>
      </c>
      <c r="AY20" s="125">
        <f t="shared" si="6"/>
        <v>138.53</v>
      </c>
      <c r="AZ20" s="125">
        <f t="shared" si="32"/>
        <v>116.04797989182809</v>
      </c>
      <c r="BA20" s="159">
        <f t="shared" si="7"/>
        <v>5.846728521126761</v>
      </c>
      <c r="BB20" s="160">
        <f t="shared" si="8"/>
        <v>5.5411999999999999</v>
      </c>
      <c r="BC20" s="161">
        <f t="shared" si="9"/>
        <v>1.0612867582123127</v>
      </c>
      <c r="BD20" s="160">
        <f t="shared" si="27"/>
        <v>11.38792852112676</v>
      </c>
      <c r="BE20" s="162">
        <v>0.91700000000000004</v>
      </c>
      <c r="BF20" s="25">
        <f t="shared" si="28"/>
        <v>1803.9999999999998</v>
      </c>
      <c r="BG20" s="25">
        <f t="shared" si="10"/>
        <v>116.12903225806451</v>
      </c>
      <c r="BH20" s="25">
        <f t="shared" si="29"/>
        <v>1625.8064516129025</v>
      </c>
      <c r="BI20" s="26">
        <f t="shared" si="11"/>
        <v>1</v>
      </c>
      <c r="BJ20" s="37">
        <f t="shared" si="30"/>
        <v>1625.8064516129025</v>
      </c>
      <c r="BK20" s="38">
        <v>70.83</v>
      </c>
      <c r="BL20" s="31">
        <v>149.05600000000001</v>
      </c>
      <c r="BM20" s="31"/>
      <c r="BN20" s="234"/>
      <c r="BO20" s="42"/>
      <c r="BP20" s="40"/>
      <c r="BQ20" s="411">
        <v>47.500999999999998</v>
      </c>
      <c r="BR20" s="33">
        <v>13.94</v>
      </c>
      <c r="BS20" s="34">
        <v>3.05</v>
      </c>
      <c r="BT20" s="35"/>
      <c r="BU20" s="28"/>
      <c r="BV20" s="287"/>
      <c r="BW20" s="287"/>
      <c r="BX20" s="36"/>
      <c r="BY20" s="33">
        <v>41.29</v>
      </c>
      <c r="BZ20" s="34">
        <v>37.299999999999997</v>
      </c>
      <c r="CA20" s="35"/>
      <c r="CB20" s="405"/>
      <c r="CC20" s="404"/>
      <c r="CD20" s="235"/>
      <c r="CE20" s="413">
        <v>43.79</v>
      </c>
      <c r="CF20" s="30"/>
      <c r="CG20" s="30">
        <v>122.336</v>
      </c>
      <c r="CH20" s="31">
        <v>29.222999999999999</v>
      </c>
      <c r="CI20" s="32"/>
      <c r="CJ20" s="33"/>
      <c r="CK20" s="33">
        <v>1.59</v>
      </c>
      <c r="CL20" s="35">
        <v>1.59</v>
      </c>
      <c r="CM20" s="36"/>
      <c r="CN20" s="286"/>
      <c r="CO20" s="249">
        <f t="shared" si="12"/>
        <v>60.956298000000004</v>
      </c>
      <c r="CP20" s="12">
        <f t="shared" si="12"/>
        <v>144.509792</v>
      </c>
      <c r="CQ20" s="12">
        <f t="shared" si="12"/>
        <v>0</v>
      </c>
      <c r="CR20" s="12">
        <f t="shared" si="12"/>
        <v>0</v>
      </c>
      <c r="CS20" s="11">
        <f t="shared" si="12"/>
        <v>0</v>
      </c>
      <c r="CT20" s="11">
        <f t="shared" si="12"/>
        <v>0</v>
      </c>
      <c r="CU20" s="272">
        <f t="shared" si="12"/>
        <v>47.500999999999998</v>
      </c>
      <c r="CV20" s="249">
        <f t="shared" si="13"/>
        <v>0</v>
      </c>
      <c r="CW20" s="12">
        <f t="shared" si="13"/>
        <v>120.39085759999999</v>
      </c>
      <c r="CX20" s="249">
        <f t="shared" si="13"/>
        <v>28.758354299999997</v>
      </c>
      <c r="CY20" s="272">
        <f t="shared" si="13"/>
        <v>0</v>
      </c>
      <c r="CZ20" s="13"/>
      <c r="DA20" s="240">
        <f>(D20+'[2]январь 20'!D20)/(AY20+'[2]январь 20'!AX20)</f>
        <v>2.1699085030883265</v>
      </c>
      <c r="DB20" s="241">
        <f>(T20+'[2]январь 20'!R20)/(AY20+'[2]январь 20'!AX20)</f>
        <v>1.2863162813465101</v>
      </c>
      <c r="DD20" s="292">
        <f t="shared" si="14"/>
        <v>10.606</v>
      </c>
      <c r="DE20" s="291">
        <v>0.49</v>
      </c>
      <c r="DF20" s="291">
        <v>15.2</v>
      </c>
      <c r="DG20" s="145">
        <f t="shared" si="15"/>
        <v>10.554030600000001</v>
      </c>
      <c r="DH20" s="293">
        <f t="shared" si="31"/>
        <v>2.0950929230769235</v>
      </c>
      <c r="DJ20" s="322"/>
    </row>
    <row r="21" spans="1:114" s="76" customFormat="1" ht="16.5" customHeight="1" thickBot="1">
      <c r="A21" s="144">
        <v>15</v>
      </c>
      <c r="B21" s="122">
        <f t="shared" si="16"/>
        <v>273.63300000000004</v>
      </c>
      <c r="C21" s="123">
        <f t="shared" si="17"/>
        <v>4.9456355410348891</v>
      </c>
      <c r="D21" s="145">
        <f t="shared" si="18"/>
        <v>260.10010910000005</v>
      </c>
      <c r="E21" s="125">
        <f t="shared" si="19"/>
        <v>39.678338869946231</v>
      </c>
      <c r="F21" s="146">
        <f t="shared" si="20"/>
        <v>2.0682260583651404</v>
      </c>
      <c r="G21" s="127"/>
      <c r="H21" s="126">
        <f t="shared" si="21"/>
        <v>1.6785791118002547</v>
      </c>
      <c r="I21" s="230">
        <f>'[1]июль 20'!AI20</f>
        <v>0</v>
      </c>
      <c r="J21" s="247">
        <f>'[1]январь 20'!AA20</f>
        <v>11.038</v>
      </c>
      <c r="K21" s="276">
        <f>'[1]сентябрь 20'!AM20</f>
        <v>0</v>
      </c>
      <c r="L21" s="122">
        <f t="shared" si="22"/>
        <v>49.002000000000002</v>
      </c>
      <c r="M21" s="128">
        <f t="shared" si="23"/>
        <v>0.38964694656488552</v>
      </c>
      <c r="N21" s="400">
        <f>'[1]январь 20'!W20</f>
        <v>0</v>
      </c>
      <c r="O21" s="403">
        <f>'[1]январь 20'!AU20</f>
        <v>0</v>
      </c>
      <c r="P21" s="401">
        <f t="shared" si="0"/>
        <v>174.203</v>
      </c>
      <c r="Q21" s="122">
        <f t="shared" si="24"/>
        <v>174.203</v>
      </c>
      <c r="R21" s="123">
        <f t="shared" si="25"/>
        <v>1.37</v>
      </c>
      <c r="S21" s="129">
        <v>21.05</v>
      </c>
      <c r="T21" s="125">
        <f t="shared" si="1"/>
        <v>171.8164189</v>
      </c>
      <c r="U21" s="147">
        <f t="shared" si="2"/>
        <v>1.3662247049936387</v>
      </c>
      <c r="V21" s="130">
        <v>125.76</v>
      </c>
      <c r="W21" s="130">
        <v>97.39</v>
      </c>
      <c r="X21" s="129">
        <v>0.62</v>
      </c>
      <c r="Y21" s="131">
        <v>518</v>
      </c>
      <c r="Z21" s="150">
        <v>1193</v>
      </c>
      <c r="AA21" s="168" t="s">
        <v>136</v>
      </c>
      <c r="AB21" s="149">
        <v>76.349999999999994</v>
      </c>
      <c r="AC21" s="150">
        <v>113</v>
      </c>
      <c r="AD21" s="151">
        <v>4</v>
      </c>
      <c r="AE21" s="149">
        <v>13.5</v>
      </c>
      <c r="AF21" s="134">
        <f t="shared" si="3"/>
        <v>107.34732824427482</v>
      </c>
      <c r="AG21" s="152"/>
      <c r="AH21" s="129">
        <v>67.150000000000006</v>
      </c>
      <c r="AI21" s="134">
        <f t="shared" si="4"/>
        <v>533.95356234096698</v>
      </c>
      <c r="AJ21" s="136">
        <v>12.97</v>
      </c>
      <c r="AK21" s="154"/>
      <c r="AL21" s="155">
        <v>6.62</v>
      </c>
      <c r="AM21" s="156">
        <v>35.700000000000003</v>
      </c>
      <c r="AN21" s="126">
        <f t="shared" si="26"/>
        <v>0.21396463889721309</v>
      </c>
      <c r="AO21" s="157" t="s">
        <v>137</v>
      </c>
      <c r="AP21" s="156">
        <v>15.58</v>
      </c>
      <c r="AQ21" s="156">
        <v>6.34</v>
      </c>
      <c r="AR21" s="149"/>
      <c r="AS21" s="149">
        <v>8.92</v>
      </c>
      <c r="AT21" s="149">
        <v>166.85</v>
      </c>
      <c r="AU21" s="149">
        <v>1.23</v>
      </c>
      <c r="AV21" s="149"/>
      <c r="AW21" s="149"/>
      <c r="AX21" s="158">
        <f t="shared" si="5"/>
        <v>0</v>
      </c>
      <c r="AY21" s="125">
        <f t="shared" si="6"/>
        <v>125.75999999999999</v>
      </c>
      <c r="AZ21" s="125">
        <f t="shared" si="32"/>
        <v>120.16288790024041</v>
      </c>
      <c r="BA21" s="159">
        <f t="shared" si="7"/>
        <v>4.6399704225352112</v>
      </c>
      <c r="BB21" s="160">
        <f t="shared" si="8"/>
        <v>5.0303999999999993</v>
      </c>
      <c r="BC21" s="161">
        <f t="shared" si="9"/>
        <v>0.93037397505781827</v>
      </c>
      <c r="BD21" s="160">
        <f t="shared" si="27"/>
        <v>9.6703704225352105</v>
      </c>
      <c r="BE21" s="162">
        <v>0.91800000000000004</v>
      </c>
      <c r="BF21" s="25">
        <f t="shared" si="28"/>
        <v>1929.7599999999998</v>
      </c>
      <c r="BG21" s="25">
        <f t="shared" si="10"/>
        <v>116.12903225806451</v>
      </c>
      <c r="BH21" s="25">
        <f t="shared" si="29"/>
        <v>1741.9354838709669</v>
      </c>
      <c r="BI21" s="26">
        <f t="shared" si="11"/>
        <v>1</v>
      </c>
      <c r="BJ21" s="37">
        <f t="shared" si="30"/>
        <v>1741.9354838709669</v>
      </c>
      <c r="BK21" s="38">
        <v>72.605000000000004</v>
      </c>
      <c r="BL21" s="31">
        <v>152.02600000000001</v>
      </c>
      <c r="BM21" s="31"/>
      <c r="BN21" s="234"/>
      <c r="BO21" s="42"/>
      <c r="BP21" s="40"/>
      <c r="BQ21" s="411">
        <v>49.002000000000002</v>
      </c>
      <c r="BR21" s="33">
        <v>13.53</v>
      </c>
      <c r="BS21" s="34">
        <v>2.44</v>
      </c>
      <c r="BT21" s="35"/>
      <c r="BU21" s="35"/>
      <c r="BV21" s="235"/>
      <c r="BW21" s="235"/>
      <c r="BX21" s="36"/>
      <c r="BY21" s="33">
        <v>42.4</v>
      </c>
      <c r="BZ21" s="34">
        <v>37.049999999999997</v>
      </c>
      <c r="CA21" s="35"/>
      <c r="CB21" s="405"/>
      <c r="CC21" s="404"/>
      <c r="CD21" s="235"/>
      <c r="CE21" s="413">
        <v>43.8</v>
      </c>
      <c r="CF21" s="30"/>
      <c r="CG21" s="30">
        <v>174.203</v>
      </c>
      <c r="CH21" s="31"/>
      <c r="CI21" s="32"/>
      <c r="CJ21" s="33"/>
      <c r="CK21" s="33">
        <v>1.37</v>
      </c>
      <c r="CL21" s="35"/>
      <c r="CM21" s="36"/>
      <c r="CN21" s="286"/>
      <c r="CO21" s="249">
        <f t="shared" si="12"/>
        <v>62.781543500000005</v>
      </c>
      <c r="CP21" s="12">
        <f t="shared" si="12"/>
        <v>148.31656560000002</v>
      </c>
      <c r="CQ21" s="12">
        <f t="shared" si="12"/>
        <v>0</v>
      </c>
      <c r="CR21" s="12">
        <f t="shared" si="12"/>
        <v>0</v>
      </c>
      <c r="CS21" s="11">
        <f t="shared" si="12"/>
        <v>0</v>
      </c>
      <c r="CT21" s="11">
        <f t="shared" si="12"/>
        <v>0</v>
      </c>
      <c r="CU21" s="272">
        <f t="shared" si="12"/>
        <v>49.002000000000002</v>
      </c>
      <c r="CV21" s="249">
        <f t="shared" si="13"/>
        <v>0</v>
      </c>
      <c r="CW21" s="12">
        <f t="shared" si="13"/>
        <v>171.8164189</v>
      </c>
      <c r="CX21" s="249">
        <f t="shared" si="13"/>
        <v>0</v>
      </c>
      <c r="CY21" s="272">
        <f t="shared" si="13"/>
        <v>0</v>
      </c>
      <c r="CZ21" s="13"/>
      <c r="DA21" s="240">
        <f>(D21+'[2]январь 20'!D21)/(AY21+'[2]январь 20'!AX21)</f>
        <v>1.9045802752127468</v>
      </c>
      <c r="DB21" s="241">
        <f>(T21+'[2]январь 20'!R21)/(AY21+'[2]январь 20'!AX21)</f>
        <v>1.2106235104713623</v>
      </c>
      <c r="DD21" s="292">
        <f t="shared" si="14"/>
        <v>11.038</v>
      </c>
      <c r="DE21" s="291">
        <v>0.61</v>
      </c>
      <c r="DF21" s="291">
        <v>15.02</v>
      </c>
      <c r="DG21" s="145">
        <f t="shared" si="15"/>
        <v>10.9706682</v>
      </c>
      <c r="DH21" s="293">
        <f t="shared" si="31"/>
        <v>2.1582113472691553</v>
      </c>
      <c r="DJ21" s="322"/>
    </row>
    <row r="22" spans="1:114" s="76" customFormat="1" ht="16.5" customHeight="1" thickBot="1">
      <c r="A22" s="144">
        <v>16</v>
      </c>
      <c r="B22" s="122">
        <f t="shared" si="16"/>
        <v>246.89899999999997</v>
      </c>
      <c r="C22" s="123">
        <f t="shared" si="17"/>
        <v>4.9061513412367006</v>
      </c>
      <c r="D22" s="145">
        <f t="shared" si="18"/>
        <v>234.78576139999998</v>
      </c>
      <c r="E22" s="125">
        <f t="shared" si="19"/>
        <v>40.054694713222823</v>
      </c>
      <c r="F22" s="146">
        <f t="shared" si="20"/>
        <v>1.897872131598092</v>
      </c>
      <c r="G22" s="127"/>
      <c r="H22" s="126">
        <f t="shared" si="21"/>
        <v>1.5462109886023763</v>
      </c>
      <c r="I22" s="230">
        <f>'[1]июль 20'!AI21</f>
        <v>0</v>
      </c>
      <c r="J22" s="247">
        <f>'[1]январь 20'!AA21</f>
        <v>10.125999999999999</v>
      </c>
      <c r="K22" s="276">
        <f>'[1]сентябрь 20'!AM21</f>
        <v>0</v>
      </c>
      <c r="L22" s="122">
        <f t="shared" si="22"/>
        <v>43.503999999999998</v>
      </c>
      <c r="M22" s="128">
        <f t="shared" si="23"/>
        <v>0.35166114299571577</v>
      </c>
      <c r="N22" s="400">
        <f>'[1]январь 20'!W21</f>
        <v>0</v>
      </c>
      <c r="O22" s="403">
        <f>'[1]январь 20'!AU21</f>
        <v>0</v>
      </c>
      <c r="P22" s="401">
        <f t="shared" si="0"/>
        <v>154.74</v>
      </c>
      <c r="Q22" s="122">
        <f t="shared" si="24"/>
        <v>154.74</v>
      </c>
      <c r="R22" s="123">
        <f t="shared" si="25"/>
        <v>1.39</v>
      </c>
      <c r="S22" s="129">
        <v>8.73</v>
      </c>
      <c r="T22" s="125">
        <f t="shared" si="1"/>
        <v>152.589114</v>
      </c>
      <c r="U22" s="147">
        <f t="shared" si="2"/>
        <v>1.2334420337886993</v>
      </c>
      <c r="V22" s="130">
        <v>123.71</v>
      </c>
      <c r="W22" s="130">
        <v>35.47</v>
      </c>
      <c r="X22" s="129">
        <v>1.37</v>
      </c>
      <c r="Y22" s="131">
        <v>575</v>
      </c>
      <c r="Z22" s="150">
        <v>1192</v>
      </c>
      <c r="AA22" s="148" t="s">
        <v>138</v>
      </c>
      <c r="AB22" s="149">
        <v>76.27</v>
      </c>
      <c r="AC22" s="150">
        <v>101</v>
      </c>
      <c r="AD22" s="151">
        <v>4</v>
      </c>
      <c r="AE22" s="149">
        <v>17.649999999999999</v>
      </c>
      <c r="AF22" s="134">
        <f t="shared" si="3"/>
        <v>142.67237895077196</v>
      </c>
      <c r="AG22" s="152"/>
      <c r="AH22" s="129">
        <v>62.65</v>
      </c>
      <c r="AI22" s="134">
        <f t="shared" si="4"/>
        <v>506.42631961846251</v>
      </c>
      <c r="AJ22" s="153">
        <v>14.43</v>
      </c>
      <c r="AK22" s="154"/>
      <c r="AL22" s="155">
        <v>9.33</v>
      </c>
      <c r="AM22" s="156">
        <v>36.630000000000003</v>
      </c>
      <c r="AN22" s="126">
        <f t="shared" si="26"/>
        <v>0.21797084201130615</v>
      </c>
      <c r="AO22" s="157" t="s">
        <v>139</v>
      </c>
      <c r="AP22" s="156">
        <v>16.45</v>
      </c>
      <c r="AQ22" s="156">
        <v>6.17</v>
      </c>
      <c r="AR22" s="151"/>
      <c r="AS22" s="149">
        <v>7.59</v>
      </c>
      <c r="AT22" s="149">
        <v>168.05</v>
      </c>
      <c r="AU22" s="149">
        <v>1.62</v>
      </c>
      <c r="AV22" s="149"/>
      <c r="AW22" s="149"/>
      <c r="AX22" s="158">
        <f t="shared" si="5"/>
        <v>0</v>
      </c>
      <c r="AY22" s="125">
        <f t="shared" si="6"/>
        <v>123.71000000000001</v>
      </c>
      <c r="AZ22" s="125">
        <f t="shared" si="32"/>
        <v>109.83959571709356</v>
      </c>
      <c r="BA22" s="159">
        <f t="shared" si="7"/>
        <v>3.6835552816901402</v>
      </c>
      <c r="BB22" s="160">
        <f t="shared" si="8"/>
        <v>4.9484000000000004</v>
      </c>
      <c r="BC22" s="161">
        <f t="shared" si="9"/>
        <v>1.0033059129005433</v>
      </c>
      <c r="BD22" s="160">
        <f t="shared" si="27"/>
        <v>8.631955281690141</v>
      </c>
      <c r="BE22" s="162">
        <v>0.92200000000000004</v>
      </c>
      <c r="BF22" s="25">
        <f t="shared" si="28"/>
        <v>2053.4699999999998</v>
      </c>
      <c r="BG22" s="25">
        <f t="shared" si="10"/>
        <v>116.12903225806451</v>
      </c>
      <c r="BH22" s="25">
        <f t="shared" si="29"/>
        <v>1858.0645161290313</v>
      </c>
      <c r="BI22" s="26">
        <f t="shared" si="11"/>
        <v>1</v>
      </c>
      <c r="BJ22" s="37">
        <f t="shared" si="30"/>
        <v>1858.0645161290313</v>
      </c>
      <c r="BK22" s="38">
        <v>65.728999999999999</v>
      </c>
      <c r="BL22" s="31">
        <v>137.666</v>
      </c>
      <c r="BM22" s="31"/>
      <c r="BN22" s="234"/>
      <c r="BO22" s="42"/>
      <c r="BP22" s="40"/>
      <c r="BQ22" s="411">
        <v>43.503999999999998</v>
      </c>
      <c r="BR22" s="33">
        <v>14.68</v>
      </c>
      <c r="BS22" s="34">
        <v>1.79</v>
      </c>
      <c r="BT22" s="35"/>
      <c r="BU22" s="35"/>
      <c r="BV22" s="235"/>
      <c r="BW22" s="235"/>
      <c r="BX22" s="36"/>
      <c r="BY22" s="33">
        <v>43.31</v>
      </c>
      <c r="BZ22" s="34">
        <v>37.26</v>
      </c>
      <c r="CA22" s="35"/>
      <c r="CB22" s="405"/>
      <c r="CC22" s="404"/>
      <c r="CD22" s="235"/>
      <c r="CE22" s="413">
        <v>43.98</v>
      </c>
      <c r="CF22" s="30"/>
      <c r="CG22" s="30">
        <v>154.74</v>
      </c>
      <c r="CH22" s="31"/>
      <c r="CI22" s="32"/>
      <c r="CJ22" s="33"/>
      <c r="CK22" s="33">
        <v>1.39</v>
      </c>
      <c r="CL22" s="35"/>
      <c r="CM22" s="36"/>
      <c r="CN22" s="286"/>
      <c r="CO22" s="249">
        <f t="shared" si="12"/>
        <v>56.079982799999996</v>
      </c>
      <c r="CP22" s="12">
        <f t="shared" si="12"/>
        <v>135.20177859999998</v>
      </c>
      <c r="CQ22" s="12">
        <f t="shared" si="12"/>
        <v>0</v>
      </c>
      <c r="CR22" s="12">
        <f t="shared" si="12"/>
        <v>0</v>
      </c>
      <c r="CS22" s="11">
        <f t="shared" si="12"/>
        <v>0</v>
      </c>
      <c r="CT22" s="11">
        <f t="shared" si="12"/>
        <v>0</v>
      </c>
      <c r="CU22" s="272">
        <f t="shared" si="12"/>
        <v>43.503999999999998</v>
      </c>
      <c r="CV22" s="249">
        <f t="shared" si="13"/>
        <v>0</v>
      </c>
      <c r="CW22" s="12">
        <f t="shared" si="13"/>
        <v>152.589114</v>
      </c>
      <c r="CX22" s="249">
        <f t="shared" si="13"/>
        <v>0</v>
      </c>
      <c r="CY22" s="272">
        <f t="shared" si="13"/>
        <v>0</v>
      </c>
      <c r="CZ22" s="13"/>
      <c r="DA22" s="240">
        <f>(D22+'[2]январь 20'!D22)/(AY22+'[2]январь 20'!AX22)</f>
        <v>2.521784699228601</v>
      </c>
      <c r="DB22" s="241">
        <f>(T22+'[2]январь 20'!R22)/(AY22+'[2]январь 20'!AX22)</f>
        <v>1.5920824580922712</v>
      </c>
      <c r="DD22" s="292">
        <f t="shared" si="14"/>
        <v>10.125999999999999</v>
      </c>
      <c r="DE22" s="291">
        <v>0.21</v>
      </c>
      <c r="DF22" s="291">
        <v>16.579999999999998</v>
      </c>
      <c r="DG22" s="145">
        <f t="shared" si="15"/>
        <v>10.104735399999999</v>
      </c>
      <c r="DH22" s="293">
        <f t="shared" si="31"/>
        <v>2.196624005926314</v>
      </c>
      <c r="DJ22" s="322"/>
    </row>
    <row r="23" spans="1:114" s="76" customFormat="1" ht="16.5" customHeight="1" thickBot="1">
      <c r="A23" s="144">
        <v>17</v>
      </c>
      <c r="B23" s="122">
        <f t="shared" si="16"/>
        <v>270.67599999999999</v>
      </c>
      <c r="C23" s="123">
        <f t="shared" si="17"/>
        <v>5.2978096321801713</v>
      </c>
      <c r="D23" s="145">
        <f t="shared" si="18"/>
        <v>256.3361008</v>
      </c>
      <c r="E23" s="125">
        <f t="shared" si="19"/>
        <v>39.334911296162204</v>
      </c>
      <c r="F23" s="146">
        <f t="shared" si="20"/>
        <v>2.1511925209801945</v>
      </c>
      <c r="G23" s="127"/>
      <c r="H23" s="126">
        <f t="shared" si="21"/>
        <v>1.7482133333333334</v>
      </c>
      <c r="I23" s="230">
        <f>'[1]июль 20'!AI22</f>
        <v>0</v>
      </c>
      <c r="J23" s="247">
        <f>'[1]январь 20'!AA22</f>
        <v>10.824999999999999</v>
      </c>
      <c r="K23" s="276">
        <f>'[1]сентябрь 20'!AM22</f>
        <v>0</v>
      </c>
      <c r="L23" s="122">
        <f t="shared" si="22"/>
        <v>48.018999999999998</v>
      </c>
      <c r="M23" s="128">
        <f t="shared" si="23"/>
        <v>0.40297918764686136</v>
      </c>
      <c r="N23" s="400">
        <f>'[1]январь 20'!W22</f>
        <v>0</v>
      </c>
      <c r="O23" s="403">
        <f>'[1]январь 20'!AU22</f>
        <v>0</v>
      </c>
      <c r="P23" s="401">
        <f t="shared" si="0"/>
        <v>168.27699999999999</v>
      </c>
      <c r="Q23" s="122">
        <f t="shared" si="24"/>
        <v>168.27699999999999</v>
      </c>
      <c r="R23" s="123">
        <f t="shared" si="25"/>
        <v>1.32</v>
      </c>
      <c r="S23" s="129">
        <v>13.11</v>
      </c>
      <c r="T23" s="125">
        <f t="shared" si="1"/>
        <v>166.0557436</v>
      </c>
      <c r="U23" s="147">
        <f t="shared" si="2"/>
        <v>1.3935527324605572</v>
      </c>
      <c r="V23" s="130">
        <v>119.16</v>
      </c>
      <c r="W23" s="130">
        <v>62.52</v>
      </c>
      <c r="X23" s="129">
        <v>1.24</v>
      </c>
      <c r="Y23" s="131">
        <v>512</v>
      </c>
      <c r="Z23" s="150">
        <v>1187</v>
      </c>
      <c r="AA23" s="148" t="s">
        <v>116</v>
      </c>
      <c r="AB23" s="149">
        <v>76.05</v>
      </c>
      <c r="AC23" s="150">
        <v>110</v>
      </c>
      <c r="AD23" s="151">
        <v>4</v>
      </c>
      <c r="AE23" s="149">
        <v>13.65</v>
      </c>
      <c r="AF23" s="134">
        <f t="shared" si="3"/>
        <v>114.55186304128902</v>
      </c>
      <c r="AG23" s="152"/>
      <c r="AH23" s="129">
        <v>66.8</v>
      </c>
      <c r="AI23" s="134">
        <f t="shared" si="4"/>
        <v>560.59080228264509</v>
      </c>
      <c r="AJ23" s="136">
        <v>11.52</v>
      </c>
      <c r="AK23" s="154"/>
      <c r="AL23" s="155">
        <v>6.28</v>
      </c>
      <c r="AM23" s="156">
        <v>37.51</v>
      </c>
      <c r="AN23" s="126">
        <f t="shared" si="26"/>
        <v>0.23283674736188703</v>
      </c>
      <c r="AO23" s="157" t="s">
        <v>140</v>
      </c>
      <c r="AP23" s="156">
        <v>16.96</v>
      </c>
      <c r="AQ23" s="156">
        <v>6.52</v>
      </c>
      <c r="AR23" s="151"/>
      <c r="AS23" s="149">
        <v>7.13</v>
      </c>
      <c r="AT23" s="149">
        <v>161.1</v>
      </c>
      <c r="AU23" s="149">
        <v>1.85</v>
      </c>
      <c r="AV23" s="149"/>
      <c r="AW23" s="149"/>
      <c r="AX23" s="158">
        <f t="shared" si="5"/>
        <v>0</v>
      </c>
      <c r="AY23" s="125">
        <f t="shared" si="6"/>
        <v>119.16</v>
      </c>
      <c r="AZ23" s="125">
        <f t="shared" si="32"/>
        <v>117.82823306872635</v>
      </c>
      <c r="BA23" s="159">
        <f t="shared" si="7"/>
        <v>3.6895239436619716</v>
      </c>
      <c r="BB23" s="160">
        <f t="shared" si="8"/>
        <v>4.7664</v>
      </c>
      <c r="BC23" s="161">
        <f>IF((D23*E23)=0,0,(AY23*AB23)/(D23*E23))</f>
        <v>0.89875591978664315</v>
      </c>
      <c r="BD23" s="160">
        <f t="shared" si="27"/>
        <v>8.455923943661972</v>
      </c>
      <c r="BE23" s="162">
        <v>0.92100000000000004</v>
      </c>
      <c r="BF23" s="25">
        <f t="shared" si="28"/>
        <v>2172.6299999999997</v>
      </c>
      <c r="BG23" s="25">
        <f t="shared" si="10"/>
        <v>116.12903225806451</v>
      </c>
      <c r="BH23" s="25">
        <f t="shared" si="29"/>
        <v>1974.1935483870957</v>
      </c>
      <c r="BI23" s="26">
        <f t="shared" si="11"/>
        <v>1</v>
      </c>
      <c r="BJ23" s="37">
        <f t="shared" si="30"/>
        <v>1974.1935483870957</v>
      </c>
      <c r="BK23" s="38">
        <v>72.369</v>
      </c>
      <c r="BL23" s="31">
        <v>150.28800000000001</v>
      </c>
      <c r="BM23" s="31"/>
      <c r="BN23" s="234"/>
      <c r="BO23" s="42"/>
      <c r="BP23" s="40"/>
      <c r="BQ23" s="411">
        <v>48.018999999999998</v>
      </c>
      <c r="BR23" s="33">
        <v>16.16</v>
      </c>
      <c r="BS23" s="34">
        <v>1.76</v>
      </c>
      <c r="BT23" s="35"/>
      <c r="BU23" s="35"/>
      <c r="BV23" s="235"/>
      <c r="BW23" s="235"/>
      <c r="BX23" s="36"/>
      <c r="BY23" s="33">
        <v>41.32</v>
      </c>
      <c r="BZ23" s="34">
        <v>36.93</v>
      </c>
      <c r="CA23" s="35"/>
      <c r="CB23" s="405"/>
      <c r="CC23" s="404"/>
      <c r="CD23" s="235"/>
      <c r="CE23" s="413">
        <v>43.87</v>
      </c>
      <c r="CF23" s="30"/>
      <c r="CG23" s="30">
        <v>168.27699999999999</v>
      </c>
      <c r="CH23" s="31"/>
      <c r="CI23" s="32"/>
      <c r="CJ23" s="33"/>
      <c r="CK23" s="33">
        <v>1.32</v>
      </c>
      <c r="CL23" s="35"/>
      <c r="CM23" s="36"/>
      <c r="CN23" s="286"/>
      <c r="CO23" s="249">
        <f t="shared" ref="CO23:CU37" si="33">BK23*((100-BR23)/100)</f>
        <v>60.674169599999999</v>
      </c>
      <c r="CP23" s="12">
        <f t="shared" si="33"/>
        <v>147.64293119999999</v>
      </c>
      <c r="CQ23" s="12">
        <f t="shared" si="33"/>
        <v>0</v>
      </c>
      <c r="CR23" s="12">
        <f t="shared" si="33"/>
        <v>0</v>
      </c>
      <c r="CS23" s="11">
        <f t="shared" si="33"/>
        <v>0</v>
      </c>
      <c r="CT23" s="11">
        <f t="shared" si="33"/>
        <v>0</v>
      </c>
      <c r="CU23" s="272">
        <f t="shared" si="33"/>
        <v>48.018999999999998</v>
      </c>
      <c r="CV23" s="249">
        <f t="shared" si="13"/>
        <v>0</v>
      </c>
      <c r="CW23" s="11">
        <f t="shared" si="13"/>
        <v>166.0557436</v>
      </c>
      <c r="CX23" s="249">
        <f t="shared" si="13"/>
        <v>0</v>
      </c>
      <c r="CY23" s="272">
        <f t="shared" si="13"/>
        <v>0</v>
      </c>
      <c r="CZ23" s="13"/>
      <c r="DA23" s="240">
        <f>(D23+'[2]январь 20'!D23)/(AY23+'[2]январь 20'!AX23)</f>
        <v>2.2754617302173021</v>
      </c>
      <c r="DB23" s="241">
        <f>(T23+'[2]январь 20'!R23)/(AY23+'[2]январь 20'!AX23)</f>
        <v>1.4435757263905971</v>
      </c>
      <c r="DD23" s="292">
        <f t="shared" si="14"/>
        <v>10.824999999999999</v>
      </c>
      <c r="DE23" s="291">
        <v>0.38</v>
      </c>
      <c r="DF23" s="291">
        <v>14.69</v>
      </c>
      <c r="DG23" s="145">
        <f t="shared" si="15"/>
        <v>10.783865</v>
      </c>
      <c r="DH23" s="293">
        <f t="shared" si="31"/>
        <v>2.0830371709401714</v>
      </c>
      <c r="DJ23" s="322"/>
    </row>
    <row r="24" spans="1:114" s="76" customFormat="1" ht="16.5" customHeight="1" thickBot="1">
      <c r="A24" s="144">
        <v>18</v>
      </c>
      <c r="B24" s="122">
        <f t="shared" si="16"/>
        <v>267.01499999999999</v>
      </c>
      <c r="C24" s="123">
        <f t="shared" si="17"/>
        <v>3.7901495421605529</v>
      </c>
      <c r="D24" s="145">
        <f t="shared" si="18"/>
        <v>256.89473220000002</v>
      </c>
      <c r="E24" s="125">
        <f t="shared" si="19"/>
        <v>39.398406868527985</v>
      </c>
      <c r="F24" s="146">
        <f t="shared" si="20"/>
        <v>1.9586362625800551</v>
      </c>
      <c r="G24" s="127"/>
      <c r="H24" s="126">
        <f t="shared" si="21"/>
        <v>1.5964145486428791</v>
      </c>
      <c r="I24" s="230">
        <f>'[1]июль 20'!AI23</f>
        <v>0</v>
      </c>
      <c r="J24" s="247">
        <f>'[1]январь 20'!AA23</f>
        <v>10.724</v>
      </c>
      <c r="K24" s="276">
        <f>'[1]сентябрь 20'!AM23</f>
        <v>0</v>
      </c>
      <c r="L24" s="122">
        <f t="shared" si="22"/>
        <v>47.509</v>
      </c>
      <c r="M24" s="128">
        <f t="shared" si="23"/>
        <v>0.362221713937176</v>
      </c>
      <c r="N24" s="400">
        <f>'[1]январь 20'!W23</f>
        <v>0</v>
      </c>
      <c r="O24" s="403">
        <f>'[1]январь 20'!AU23</f>
        <v>0</v>
      </c>
      <c r="P24" s="401">
        <f t="shared" si="0"/>
        <v>165.958</v>
      </c>
      <c r="Q24" s="122">
        <f t="shared" si="24"/>
        <v>165.958</v>
      </c>
      <c r="R24" s="123">
        <f t="shared" si="25"/>
        <v>1.51</v>
      </c>
      <c r="S24" s="129">
        <v>7.13</v>
      </c>
      <c r="T24" s="125">
        <f t="shared" si="1"/>
        <v>163.45203419999999</v>
      </c>
      <c r="U24" s="147">
        <f t="shared" si="2"/>
        <v>1.2462033714547118</v>
      </c>
      <c r="V24" s="130">
        <v>131.16</v>
      </c>
      <c r="W24" s="130">
        <v>66.55</v>
      </c>
      <c r="X24" s="129">
        <v>1.23</v>
      </c>
      <c r="Y24" s="150">
        <v>594</v>
      </c>
      <c r="Z24" s="150">
        <v>1184</v>
      </c>
      <c r="AA24" s="148" t="s">
        <v>141</v>
      </c>
      <c r="AB24" s="149">
        <v>76.34</v>
      </c>
      <c r="AC24" s="150">
        <v>109</v>
      </c>
      <c r="AD24" s="151">
        <v>4</v>
      </c>
      <c r="AE24" s="149">
        <v>21.5</v>
      </c>
      <c r="AF24" s="134">
        <f t="shared" si="3"/>
        <v>163.92192741689541</v>
      </c>
      <c r="AG24" s="152"/>
      <c r="AH24" s="129">
        <v>71.5</v>
      </c>
      <c r="AI24" s="134">
        <f t="shared" si="4"/>
        <v>545.13571210734983</v>
      </c>
      <c r="AJ24" s="153">
        <v>12.26</v>
      </c>
      <c r="AK24" s="154"/>
      <c r="AL24" s="155">
        <v>6.09</v>
      </c>
      <c r="AM24" s="156">
        <v>36.909999999999997</v>
      </c>
      <c r="AN24" s="126">
        <f t="shared" si="26"/>
        <v>0.21378511439328118</v>
      </c>
      <c r="AO24" s="157" t="s">
        <v>142</v>
      </c>
      <c r="AP24" s="156">
        <v>17.3</v>
      </c>
      <c r="AQ24" s="156">
        <v>6.6</v>
      </c>
      <c r="AR24" s="151"/>
      <c r="AS24" s="149">
        <v>7.3</v>
      </c>
      <c r="AT24" s="149">
        <v>172.65</v>
      </c>
      <c r="AU24" s="149">
        <v>1.51</v>
      </c>
      <c r="AV24" s="164"/>
      <c r="AW24" s="149"/>
      <c r="AX24" s="158">
        <f t="shared" si="5"/>
        <v>0</v>
      </c>
      <c r="AY24" s="125">
        <f t="shared" si="6"/>
        <v>131.16</v>
      </c>
      <c r="AZ24" s="125">
        <f t="shared" si="32"/>
        <v>117.93094775554493</v>
      </c>
      <c r="BA24" s="159">
        <f t="shared" si="7"/>
        <v>4.0432746478873227</v>
      </c>
      <c r="BB24" s="160">
        <f t="shared" si="8"/>
        <v>5.2464000000000004</v>
      </c>
      <c r="BC24" s="161">
        <f t="shared" si="9"/>
        <v>0.98928108141948445</v>
      </c>
      <c r="BD24" s="160">
        <f t="shared" si="27"/>
        <v>9.289674647887324</v>
      </c>
      <c r="BE24" s="162">
        <v>0.92500000000000004</v>
      </c>
      <c r="BF24" s="25">
        <f t="shared" si="28"/>
        <v>2303.7899999999995</v>
      </c>
      <c r="BG24" s="25">
        <f t="shared" si="10"/>
        <v>116.12903225806451</v>
      </c>
      <c r="BH24" s="25">
        <f t="shared" si="29"/>
        <v>2090.3225806451601</v>
      </c>
      <c r="BI24" s="26">
        <f t="shared" si="11"/>
        <v>1</v>
      </c>
      <c r="BJ24" s="37">
        <f t="shared" si="30"/>
        <v>2090.3225806451601</v>
      </c>
      <c r="BK24" s="38">
        <v>76.462999999999994</v>
      </c>
      <c r="BL24" s="31">
        <v>143.04300000000001</v>
      </c>
      <c r="BM24" s="31"/>
      <c r="BN24" s="234"/>
      <c r="BO24" s="42"/>
      <c r="BP24" s="40"/>
      <c r="BQ24" s="411">
        <v>47.509</v>
      </c>
      <c r="BR24" s="33">
        <v>10.71</v>
      </c>
      <c r="BS24" s="34">
        <v>1.35</v>
      </c>
      <c r="BT24" s="35"/>
      <c r="BU24" s="35"/>
      <c r="BV24" s="235"/>
      <c r="BW24" s="235"/>
      <c r="BX24" s="36"/>
      <c r="BY24" s="33">
        <v>40.92</v>
      </c>
      <c r="BZ24" s="34">
        <v>37.07</v>
      </c>
      <c r="CA24" s="35"/>
      <c r="CB24" s="405"/>
      <c r="CC24" s="404"/>
      <c r="CD24" s="235"/>
      <c r="CE24" s="413">
        <v>43.96</v>
      </c>
      <c r="CF24" s="30"/>
      <c r="CG24" s="30">
        <v>165.958</v>
      </c>
      <c r="CH24" s="31"/>
      <c r="CI24" s="32"/>
      <c r="CJ24" s="33"/>
      <c r="CK24" s="33">
        <v>1.51</v>
      </c>
      <c r="CL24" s="35"/>
      <c r="CM24" s="36"/>
      <c r="CN24" s="286"/>
      <c r="CO24" s="249">
        <f t="shared" si="33"/>
        <v>68.273812699999993</v>
      </c>
      <c r="CP24" s="12">
        <f t="shared" si="33"/>
        <v>141.1119195</v>
      </c>
      <c r="CQ24" s="12">
        <f t="shared" si="33"/>
        <v>0</v>
      </c>
      <c r="CR24" s="12">
        <f t="shared" si="33"/>
        <v>0</v>
      </c>
      <c r="CS24" s="11">
        <f t="shared" si="33"/>
        <v>0</v>
      </c>
      <c r="CT24" s="11">
        <f t="shared" si="33"/>
        <v>0</v>
      </c>
      <c r="CU24" s="272">
        <f t="shared" si="33"/>
        <v>47.509</v>
      </c>
      <c r="CV24" s="249">
        <f t="shared" si="13"/>
        <v>0</v>
      </c>
      <c r="CW24" s="12">
        <f t="shared" si="13"/>
        <v>163.45203419999999</v>
      </c>
      <c r="CX24" s="249">
        <f t="shared" si="13"/>
        <v>0</v>
      </c>
      <c r="CY24" s="272">
        <f t="shared" si="13"/>
        <v>0</v>
      </c>
      <c r="CZ24" s="13"/>
      <c r="DA24" s="240">
        <f>(D24+'[2]январь 20'!D24)/(AY24+'[2]январь 20'!AX24)</f>
        <v>1.8909487042253523</v>
      </c>
      <c r="DB24" s="241">
        <f>(T24+'[2]январь 20'!R24)/(AY24+'[2]январь 20'!AX24)</f>
        <v>1.1793307512598525</v>
      </c>
      <c r="DD24" s="292">
        <f t="shared" si="14"/>
        <v>10.724</v>
      </c>
      <c r="DE24" s="291">
        <v>0.11</v>
      </c>
      <c r="DF24" s="291">
        <v>15.59</v>
      </c>
      <c r="DG24" s="145">
        <f t="shared" si="15"/>
        <v>10.7122036</v>
      </c>
      <c r="DH24" s="293">
        <f t="shared" si="31"/>
        <v>2.1876244973015457</v>
      </c>
      <c r="DJ24" s="322"/>
    </row>
    <row r="25" spans="1:114" s="76" customFormat="1" ht="16.5" customHeight="1" thickBot="1">
      <c r="A25" s="144">
        <v>19</v>
      </c>
      <c r="B25" s="122">
        <f t="shared" si="16"/>
        <v>302.67</v>
      </c>
      <c r="C25" s="123">
        <f t="shared" si="17"/>
        <v>5.1097984603693787</v>
      </c>
      <c r="D25" s="145">
        <f t="shared" si="18"/>
        <v>287.20417300000003</v>
      </c>
      <c r="E25" s="125">
        <f t="shared" si="19"/>
        <v>39.725517494300718</v>
      </c>
      <c r="F25" s="146">
        <f t="shared" si="20"/>
        <v>2.2130079596239791</v>
      </c>
      <c r="G25" s="127"/>
      <c r="H25" s="126">
        <f t="shared" si="21"/>
        <v>1.7928661812297735</v>
      </c>
      <c r="I25" s="230">
        <f>'[1]июль 20'!AI24</f>
        <v>0</v>
      </c>
      <c r="J25" s="247">
        <f>'[1]январь 20'!AA24</f>
        <v>12.412000000000001</v>
      </c>
      <c r="K25" s="276">
        <f>'[1]сентябрь 20'!AM24</f>
        <v>0</v>
      </c>
      <c r="L25" s="122">
        <f t="shared" si="22"/>
        <v>54.526000000000003</v>
      </c>
      <c r="M25" s="128">
        <f t="shared" si="23"/>
        <v>0.42014177839420558</v>
      </c>
      <c r="N25" s="400">
        <f>'[1]январь 20'!W24</f>
        <v>0</v>
      </c>
      <c r="O25" s="403">
        <f>'[1]январь 20'!AU24</f>
        <v>0</v>
      </c>
      <c r="P25" s="401">
        <f t="shared" si="0"/>
        <v>171.98</v>
      </c>
      <c r="Q25" s="122">
        <f t="shared" si="24"/>
        <v>171.98</v>
      </c>
      <c r="R25" s="123">
        <f>IF(Q25=0,0,(CI25*CM25+CG25*CK25+CH25*CL25+CF25*CJ25)/Q25)</f>
        <v>1.76</v>
      </c>
      <c r="S25" s="129">
        <v>43.5</v>
      </c>
      <c r="T25" s="125">
        <f t="shared" si="1"/>
        <v>168.95315199999999</v>
      </c>
      <c r="U25" s="147">
        <f t="shared" si="2"/>
        <v>1.3018427492679918</v>
      </c>
      <c r="V25" s="130">
        <v>129.78</v>
      </c>
      <c r="W25" s="130">
        <v>32.72</v>
      </c>
      <c r="X25" s="129">
        <v>0.98</v>
      </c>
      <c r="Y25" s="150">
        <v>511</v>
      </c>
      <c r="Z25" s="150">
        <v>1179</v>
      </c>
      <c r="AA25" s="148" t="s">
        <v>112</v>
      </c>
      <c r="AB25" s="149">
        <v>76.75</v>
      </c>
      <c r="AC25" s="150">
        <v>123</v>
      </c>
      <c r="AD25" s="151">
        <v>4</v>
      </c>
      <c r="AE25" s="149">
        <v>7.7</v>
      </c>
      <c r="AF25" s="134">
        <f t="shared" si="3"/>
        <v>59.331175836030205</v>
      </c>
      <c r="AG25" s="152"/>
      <c r="AH25" s="129">
        <v>68.849999999999994</v>
      </c>
      <c r="AI25" s="134">
        <f t="shared" si="4"/>
        <v>530.51317614424408</v>
      </c>
      <c r="AJ25" s="136">
        <v>15.3</v>
      </c>
      <c r="AK25" s="154"/>
      <c r="AL25" s="155">
        <v>6.46</v>
      </c>
      <c r="AM25" s="156">
        <v>36.72</v>
      </c>
      <c r="AN25" s="126">
        <f t="shared" si="26"/>
        <v>0.21411078717201165</v>
      </c>
      <c r="AO25" s="157" t="s">
        <v>143</v>
      </c>
      <c r="AP25" s="156">
        <v>15.4</v>
      </c>
      <c r="AQ25" s="156">
        <v>6.68</v>
      </c>
      <c r="AR25" s="152"/>
      <c r="AS25" s="149">
        <v>9.19</v>
      </c>
      <c r="AT25" s="149">
        <v>171.5</v>
      </c>
      <c r="AU25" s="149">
        <v>1.46</v>
      </c>
      <c r="AV25" s="164"/>
      <c r="AW25" s="149"/>
      <c r="AX25" s="158">
        <f t="shared" si="5"/>
        <v>0</v>
      </c>
      <c r="AY25" s="125">
        <f t="shared" si="6"/>
        <v>129.78</v>
      </c>
      <c r="AZ25" s="125">
        <f t="shared" si="32"/>
        <v>132.57369158693575</v>
      </c>
      <c r="BA25" s="159">
        <f t="shared" si="7"/>
        <v>4.9014411971830976</v>
      </c>
      <c r="BB25" s="160">
        <f t="shared" si="8"/>
        <v>5.1912000000000003</v>
      </c>
      <c r="BC25" s="161">
        <f t="shared" si="9"/>
        <v>0.87302332035413988</v>
      </c>
      <c r="BD25" s="160">
        <f t="shared" si="27"/>
        <v>10.092641197183099</v>
      </c>
      <c r="BE25" s="162">
        <v>0.92200000000000004</v>
      </c>
      <c r="BF25" s="25">
        <f t="shared" si="28"/>
        <v>2433.5699999999997</v>
      </c>
      <c r="BG25" s="25">
        <f t="shared" si="10"/>
        <v>116.12903225806451</v>
      </c>
      <c r="BH25" s="25">
        <f t="shared" si="29"/>
        <v>2206.4516129032245</v>
      </c>
      <c r="BI25" s="26">
        <f t="shared" si="11"/>
        <v>1</v>
      </c>
      <c r="BJ25" s="37">
        <f t="shared" si="30"/>
        <v>2206.4516129032245</v>
      </c>
      <c r="BK25" s="38">
        <v>89.414000000000001</v>
      </c>
      <c r="BL25" s="31">
        <v>158.72999999999999</v>
      </c>
      <c r="BM25" s="31"/>
      <c r="BN25" s="234"/>
      <c r="BO25" s="42"/>
      <c r="BP25" s="40"/>
      <c r="BQ25" s="411">
        <v>54.526000000000003</v>
      </c>
      <c r="BR25" s="33">
        <v>14.35</v>
      </c>
      <c r="BS25" s="34">
        <v>1.66</v>
      </c>
      <c r="BT25" s="35"/>
      <c r="BU25" s="35"/>
      <c r="BV25" s="235"/>
      <c r="BW25" s="235"/>
      <c r="BX25" s="36"/>
      <c r="BY25" s="33">
        <v>42.35</v>
      </c>
      <c r="BZ25" s="34">
        <v>36.82</v>
      </c>
      <c r="CA25" s="35"/>
      <c r="CB25" s="405"/>
      <c r="CC25" s="404"/>
      <c r="CD25" s="235"/>
      <c r="CE25" s="413">
        <v>43.88</v>
      </c>
      <c r="CF25" s="30">
        <v>108.34699999999999</v>
      </c>
      <c r="CG25" s="30">
        <v>63.633000000000003</v>
      </c>
      <c r="CH25" s="31"/>
      <c r="CI25" s="32"/>
      <c r="CJ25" s="33">
        <v>1.76</v>
      </c>
      <c r="CK25" s="33">
        <v>1.76</v>
      </c>
      <c r="CL25" s="35"/>
      <c r="CM25" s="36"/>
      <c r="CN25" s="286"/>
      <c r="CO25" s="249">
        <f t="shared" si="33"/>
        <v>76.58309100000001</v>
      </c>
      <c r="CP25" s="12">
        <f t="shared" si="33"/>
        <v>156.09508199999999</v>
      </c>
      <c r="CQ25" s="12">
        <f t="shared" si="33"/>
        <v>0</v>
      </c>
      <c r="CR25" s="12">
        <f t="shared" si="33"/>
        <v>0</v>
      </c>
      <c r="CS25" s="11">
        <f t="shared" si="33"/>
        <v>0</v>
      </c>
      <c r="CT25" s="11">
        <f t="shared" si="33"/>
        <v>0</v>
      </c>
      <c r="CU25" s="272">
        <f t="shared" si="33"/>
        <v>54.526000000000003</v>
      </c>
      <c r="CV25" s="249">
        <f t="shared" si="13"/>
        <v>106.44009279999999</v>
      </c>
      <c r="CW25" s="251">
        <f t="shared" si="13"/>
        <v>62.513059200000001</v>
      </c>
      <c r="CX25" s="249">
        <f t="shared" si="13"/>
        <v>0</v>
      </c>
      <c r="CY25" s="272">
        <f t="shared" si="13"/>
        <v>0</v>
      </c>
      <c r="CZ25" s="13"/>
      <c r="DA25" s="240">
        <f>(D25+'[2]январь 20'!D25)/(AY25+'[2]январь 20'!AX25)</f>
        <v>2.0847302052980132</v>
      </c>
      <c r="DB25" s="241">
        <f>(T25+'[2]январь 20'!R25)/(AY25+'[2]январь 20'!AX25)</f>
        <v>1.282819326230924</v>
      </c>
      <c r="DD25" s="292">
        <f t="shared" si="14"/>
        <v>12.412000000000001</v>
      </c>
      <c r="DE25" s="291">
        <v>0.71</v>
      </c>
      <c r="DF25" s="291">
        <v>17.420000000000002</v>
      </c>
      <c r="DG25" s="145">
        <f t="shared" si="15"/>
        <v>12.323874800000002</v>
      </c>
      <c r="DH25" s="293">
        <f t="shared" si="31"/>
        <v>2.7971582933680792</v>
      </c>
      <c r="DJ25" s="322"/>
    </row>
    <row r="26" spans="1:114" s="76" customFormat="1" ht="16.5" customHeight="1" thickBot="1">
      <c r="A26" s="144">
        <v>20</v>
      </c>
      <c r="B26" s="122">
        <f t="shared" si="16"/>
        <v>200.25299999999999</v>
      </c>
      <c r="C26" s="123">
        <f t="shared" si="17"/>
        <v>4.3963074211122928</v>
      </c>
      <c r="D26" s="145">
        <f t="shared" si="18"/>
        <v>191.44926249999997</v>
      </c>
      <c r="E26" s="125">
        <f t="shared" si="19"/>
        <v>40.416333038706043</v>
      </c>
      <c r="F26" s="146">
        <f t="shared" si="20"/>
        <v>1.9845471390069449</v>
      </c>
      <c r="G26" s="127"/>
      <c r="H26" s="126">
        <f t="shared" si="21"/>
        <v>1.6321059655851557</v>
      </c>
      <c r="I26" s="230">
        <f>'[1]июль 20'!AI25</f>
        <v>0</v>
      </c>
      <c r="J26" s="247">
        <f>'[1]январь 20'!AA25</f>
        <v>8.0289999999999999</v>
      </c>
      <c r="K26" s="276">
        <f>'[1]сентябрь 20'!AM25</f>
        <v>0</v>
      </c>
      <c r="L26" s="122">
        <f t="shared" si="22"/>
        <v>34</v>
      </c>
      <c r="M26" s="128">
        <f t="shared" si="23"/>
        <v>0.35244117342178916</v>
      </c>
      <c r="N26" s="400">
        <f>'[1]январь 20'!W25</f>
        <v>0</v>
      </c>
      <c r="O26" s="403">
        <f>'[1]январь 20'!AU25</f>
        <v>0</v>
      </c>
      <c r="P26" s="401">
        <f t="shared" si="0"/>
        <v>111.027</v>
      </c>
      <c r="Q26" s="122">
        <f t="shared" si="24"/>
        <v>111.027</v>
      </c>
      <c r="R26" s="123">
        <f t="shared" si="25"/>
        <v>1.62</v>
      </c>
      <c r="S26" s="129">
        <v>24.29</v>
      </c>
      <c r="T26" s="125">
        <f t="shared" si="1"/>
        <v>109.2283626</v>
      </c>
      <c r="U26" s="147">
        <f t="shared" si="2"/>
        <v>1.1322521260495491</v>
      </c>
      <c r="V26" s="169">
        <v>96.47</v>
      </c>
      <c r="W26" s="169">
        <v>39.6</v>
      </c>
      <c r="X26" s="170">
        <v>1.01</v>
      </c>
      <c r="Y26" s="166">
        <v>563</v>
      </c>
      <c r="Z26" s="166">
        <v>1157</v>
      </c>
      <c r="AA26" s="148" t="s">
        <v>138</v>
      </c>
      <c r="AB26" s="164">
        <v>76.38</v>
      </c>
      <c r="AC26" s="166">
        <v>83</v>
      </c>
      <c r="AD26" s="171">
        <v>4</v>
      </c>
      <c r="AE26" s="164">
        <v>13.2</v>
      </c>
      <c r="AF26" s="172">
        <f t="shared" si="3"/>
        <v>136.83010262257696</v>
      </c>
      <c r="AG26" s="173"/>
      <c r="AH26" s="170">
        <v>58.3</v>
      </c>
      <c r="AI26" s="134">
        <f t="shared" si="4"/>
        <v>604.33295324971493</v>
      </c>
      <c r="AJ26" s="174">
        <v>16.63</v>
      </c>
      <c r="AK26" s="175"/>
      <c r="AL26" s="176">
        <v>6.71</v>
      </c>
      <c r="AM26" s="177">
        <v>37.6</v>
      </c>
      <c r="AN26" s="126">
        <f t="shared" si="26"/>
        <v>0.2693409742120344</v>
      </c>
      <c r="AO26" s="178" t="s">
        <v>144</v>
      </c>
      <c r="AP26" s="177">
        <v>17.079999999999998</v>
      </c>
      <c r="AQ26" s="177">
        <v>6.69</v>
      </c>
      <c r="AR26" s="171"/>
      <c r="AS26" s="164">
        <v>7.79</v>
      </c>
      <c r="AT26" s="149">
        <v>139.6</v>
      </c>
      <c r="AU26" s="164">
        <v>1.18</v>
      </c>
      <c r="AV26" s="164"/>
      <c r="AW26" s="164"/>
      <c r="AX26" s="179">
        <f t="shared" si="5"/>
        <v>0</v>
      </c>
      <c r="AY26" s="125">
        <f t="shared" si="6"/>
        <v>96.47</v>
      </c>
      <c r="AZ26" s="125">
        <f t="shared" si="32"/>
        <v>89.677948621057794</v>
      </c>
      <c r="BA26" s="159">
        <f t="shared" si="7"/>
        <v>3.5181176056338028</v>
      </c>
      <c r="BB26" s="159">
        <f t="shared" si="8"/>
        <v>3.8588</v>
      </c>
      <c r="BC26" s="180">
        <f t="shared" si="9"/>
        <v>0.95227268521261199</v>
      </c>
      <c r="BD26" s="159">
        <f t="shared" si="27"/>
        <v>7.3769176056338033</v>
      </c>
      <c r="BE26" s="167">
        <v>0.92300000000000004</v>
      </c>
      <c r="BF26" s="25">
        <f t="shared" si="28"/>
        <v>2530.0399999999995</v>
      </c>
      <c r="BG26" s="25">
        <f t="shared" si="10"/>
        <v>116.12903225806451</v>
      </c>
      <c r="BH26" s="25">
        <f t="shared" si="29"/>
        <v>2322.5806451612889</v>
      </c>
      <c r="BI26" s="26">
        <f t="shared" si="11"/>
        <v>1</v>
      </c>
      <c r="BJ26" s="37">
        <f t="shared" si="30"/>
        <v>2322.5806451612889</v>
      </c>
      <c r="BK26" s="38">
        <v>61.991999999999997</v>
      </c>
      <c r="BL26" s="43">
        <v>104.261</v>
      </c>
      <c r="BM26" s="31"/>
      <c r="BN26" s="406"/>
      <c r="BO26" s="42"/>
      <c r="BP26" s="40"/>
      <c r="BQ26" s="412">
        <v>34</v>
      </c>
      <c r="BR26" s="33">
        <v>11.46</v>
      </c>
      <c r="BS26" s="34">
        <v>1.63</v>
      </c>
      <c r="BT26" s="35"/>
      <c r="BU26" s="35"/>
      <c r="BV26" s="235"/>
      <c r="BW26" s="235"/>
      <c r="BX26" s="36"/>
      <c r="BY26" s="33">
        <v>43.25</v>
      </c>
      <c r="BZ26" s="34">
        <v>37.54</v>
      </c>
      <c r="CA26" s="35"/>
      <c r="CB26" s="405"/>
      <c r="CC26" s="404"/>
      <c r="CD26" s="235"/>
      <c r="CE26" s="413">
        <v>44.07</v>
      </c>
      <c r="CF26" s="30">
        <v>111.027</v>
      </c>
      <c r="CG26" s="30"/>
      <c r="CH26" s="43"/>
      <c r="CI26" s="32"/>
      <c r="CJ26" s="33">
        <v>1.62</v>
      </c>
      <c r="CK26" s="33"/>
      <c r="CL26" s="35"/>
      <c r="CM26" s="36"/>
      <c r="CN26" s="286"/>
      <c r="CO26" s="249">
        <f t="shared" si="33"/>
        <v>54.887716799999993</v>
      </c>
      <c r="CP26" s="12">
        <f t="shared" si="33"/>
        <v>102.5615457</v>
      </c>
      <c r="CQ26" s="12">
        <f t="shared" si="33"/>
        <v>0</v>
      </c>
      <c r="CR26" s="12">
        <f t="shared" si="33"/>
        <v>0</v>
      </c>
      <c r="CS26" s="11">
        <f t="shared" si="33"/>
        <v>0</v>
      </c>
      <c r="CT26" s="11">
        <f t="shared" si="33"/>
        <v>0</v>
      </c>
      <c r="CU26" s="272">
        <f t="shared" si="33"/>
        <v>34</v>
      </c>
      <c r="CV26" s="249">
        <f t="shared" si="13"/>
        <v>109.2283626</v>
      </c>
      <c r="CW26" s="12">
        <f t="shared" si="13"/>
        <v>0</v>
      </c>
      <c r="CX26" s="249">
        <f t="shared" si="13"/>
        <v>0</v>
      </c>
      <c r="CY26" s="274">
        <f t="shared" si="13"/>
        <v>0</v>
      </c>
      <c r="CZ26" s="13"/>
      <c r="DA26" s="240">
        <f>(D26+'[2]январь 20'!D26)/(AY26+'[2]январь 20'!AX26)</f>
        <v>2.1283856074554293</v>
      </c>
      <c r="DB26" s="241">
        <f>(T26+'[2]январь 20'!R26)/(AY26+'[2]январь 20'!AX26)</f>
        <v>1.2934468803889791</v>
      </c>
      <c r="DD26" s="292">
        <f t="shared" si="14"/>
        <v>8.0289999999999999</v>
      </c>
      <c r="DE26" s="291">
        <v>0.14000000000000001</v>
      </c>
      <c r="DF26" s="291">
        <v>11.8</v>
      </c>
      <c r="DG26" s="145">
        <f t="shared" si="15"/>
        <v>8.017759400000001</v>
      </c>
      <c r="DH26" s="293">
        <f t="shared" si="31"/>
        <v>1.2386692971982198</v>
      </c>
      <c r="DJ26" s="322"/>
    </row>
    <row r="27" spans="1:114" s="76" customFormat="1" ht="16.5" customHeight="1" thickBot="1">
      <c r="A27" s="144">
        <v>21</v>
      </c>
      <c r="B27" s="122">
        <f t="shared" si="16"/>
        <v>257.44799999999998</v>
      </c>
      <c r="C27" s="123">
        <f t="shared" si="17"/>
        <v>2.7933136400360463</v>
      </c>
      <c r="D27" s="145">
        <f t="shared" si="18"/>
        <v>250.25666989999999</v>
      </c>
      <c r="E27" s="125">
        <f t="shared" si="19"/>
        <v>39.136491679873224</v>
      </c>
      <c r="F27" s="146">
        <f t="shared" si="20"/>
        <v>1.9741001017590911</v>
      </c>
      <c r="G27" s="127"/>
      <c r="H27" s="126">
        <f t="shared" si="21"/>
        <v>1.5736268036601719</v>
      </c>
      <c r="I27" s="230">
        <f>'[1]июль 20'!AI26</f>
        <v>0</v>
      </c>
      <c r="J27" s="247">
        <f>'[1]январь 20'!AA26</f>
        <v>10.573</v>
      </c>
      <c r="K27" s="276">
        <f>'[1]сентябрь 20'!AM26</f>
        <v>0</v>
      </c>
      <c r="L27" s="122">
        <f t="shared" si="22"/>
        <v>50.768000000000001</v>
      </c>
      <c r="M27" s="128">
        <f t="shared" si="23"/>
        <v>0.40047329809891929</v>
      </c>
      <c r="N27" s="400">
        <f>'[1]январь 20'!W26</f>
        <v>0</v>
      </c>
      <c r="O27" s="403">
        <f>'[1]январь 20'!AU26</f>
        <v>4.1609999999999996</v>
      </c>
      <c r="P27" s="401">
        <f t="shared" si="0"/>
        <v>143.70400000000001</v>
      </c>
      <c r="Q27" s="122">
        <f t="shared" si="24"/>
        <v>143.70400000000001</v>
      </c>
      <c r="R27" s="123">
        <f t="shared" si="25"/>
        <v>1.48</v>
      </c>
      <c r="S27" s="129">
        <v>2.87</v>
      </c>
      <c r="T27" s="125">
        <f t="shared" si="1"/>
        <v>141.57718080000001</v>
      </c>
      <c r="U27" s="147">
        <f t="shared" si="2"/>
        <v>1.1168035087165733</v>
      </c>
      <c r="V27" s="130">
        <v>126.77</v>
      </c>
      <c r="W27" s="130">
        <v>34.97</v>
      </c>
      <c r="X27" s="129">
        <v>1.03</v>
      </c>
      <c r="Y27" s="150">
        <v>528</v>
      </c>
      <c r="Z27" s="150">
        <v>1185</v>
      </c>
      <c r="AA27" s="148" t="s">
        <v>145</v>
      </c>
      <c r="AB27" s="149">
        <v>76.39</v>
      </c>
      <c r="AC27" s="150">
        <v>105</v>
      </c>
      <c r="AD27" s="151">
        <v>4</v>
      </c>
      <c r="AE27" s="149">
        <v>10.55</v>
      </c>
      <c r="AF27" s="134">
        <f t="shared" si="3"/>
        <v>83.221582393310726</v>
      </c>
      <c r="AG27" s="152"/>
      <c r="AH27" s="129">
        <v>80.599999999999994</v>
      </c>
      <c r="AI27" s="134">
        <f t="shared" si="4"/>
        <v>635.79711288159649</v>
      </c>
      <c r="AJ27" s="136">
        <v>15.38</v>
      </c>
      <c r="AK27" s="154"/>
      <c r="AL27" s="155">
        <v>7.47</v>
      </c>
      <c r="AM27" s="156">
        <v>35.950000000000003</v>
      </c>
      <c r="AN27" s="126">
        <f t="shared" si="26"/>
        <v>0.21347980997624705</v>
      </c>
      <c r="AO27" s="157" t="s">
        <v>146</v>
      </c>
      <c r="AP27" s="156">
        <v>17.170000000000002</v>
      </c>
      <c r="AQ27" s="156">
        <v>6.61</v>
      </c>
      <c r="AR27" s="151"/>
      <c r="AS27" s="149">
        <v>7.93</v>
      </c>
      <c r="AT27" s="149">
        <v>168.4</v>
      </c>
      <c r="AU27" s="149">
        <v>1.79</v>
      </c>
      <c r="AV27" s="164"/>
      <c r="AW27" s="149"/>
      <c r="AX27" s="158">
        <f t="shared" si="5"/>
        <v>0</v>
      </c>
      <c r="AY27" s="125">
        <f t="shared" si="6"/>
        <v>126.77000000000001</v>
      </c>
      <c r="AZ27" s="125">
        <f t="shared" si="32"/>
        <v>113.82865961908124</v>
      </c>
      <c r="BA27" s="159">
        <f t="shared" si="7"/>
        <v>4.9512239436619714</v>
      </c>
      <c r="BB27" s="160">
        <f t="shared" si="8"/>
        <v>5.0708000000000002</v>
      </c>
      <c r="BC27" s="161">
        <f t="shared" si="9"/>
        <v>0.98874761199920402</v>
      </c>
      <c r="BD27" s="160">
        <f t="shared" si="27"/>
        <v>10.022023943661971</v>
      </c>
      <c r="BE27" s="162">
        <v>0.92600000000000005</v>
      </c>
      <c r="BF27" s="25">
        <f t="shared" si="28"/>
        <v>2656.8099999999995</v>
      </c>
      <c r="BG27" s="25">
        <f t="shared" si="10"/>
        <v>116.12903225806451</v>
      </c>
      <c r="BH27" s="25">
        <f t="shared" si="29"/>
        <v>2438.7096774193533</v>
      </c>
      <c r="BI27" s="26">
        <f t="shared" si="11"/>
        <v>1</v>
      </c>
      <c r="BJ27" s="37">
        <f t="shared" si="30"/>
        <v>2438.7096774193533</v>
      </c>
      <c r="BK27" s="38">
        <v>44.356999999999999</v>
      </c>
      <c r="BL27" s="31">
        <v>162.32300000000001</v>
      </c>
      <c r="BM27" s="31"/>
      <c r="BN27" s="234">
        <v>6.9909999999999997</v>
      </c>
      <c r="BO27" s="42"/>
      <c r="BP27" s="40"/>
      <c r="BQ27" s="411">
        <v>43.777000000000001</v>
      </c>
      <c r="BR27" s="33">
        <v>10.65</v>
      </c>
      <c r="BS27" s="34">
        <v>1.52</v>
      </c>
      <c r="BT27" s="35"/>
      <c r="BU27" s="35"/>
      <c r="BV27" s="235"/>
      <c r="BW27" s="235"/>
      <c r="BX27" s="36"/>
      <c r="BY27" s="33">
        <v>41.57</v>
      </c>
      <c r="BZ27" s="34">
        <v>36.770000000000003</v>
      </c>
      <c r="CA27" s="35"/>
      <c r="CB27" s="405">
        <v>46.31</v>
      </c>
      <c r="CC27" s="404"/>
      <c r="CD27" s="235"/>
      <c r="CE27" s="413">
        <v>44.3</v>
      </c>
      <c r="CF27" s="30">
        <v>143.70400000000001</v>
      </c>
      <c r="CG27" s="30"/>
      <c r="CH27" s="31"/>
      <c r="CI27" s="32"/>
      <c r="CJ27" s="33">
        <v>1.48</v>
      </c>
      <c r="CK27" s="33"/>
      <c r="CL27" s="35"/>
      <c r="CM27" s="36"/>
      <c r="CN27" s="286"/>
      <c r="CO27" s="249">
        <f t="shared" si="33"/>
        <v>39.632979499999998</v>
      </c>
      <c r="CP27" s="12">
        <f t="shared" si="33"/>
        <v>159.85569040000001</v>
      </c>
      <c r="CQ27" s="12">
        <f t="shared" si="33"/>
        <v>0</v>
      </c>
      <c r="CR27" s="12">
        <f t="shared" si="33"/>
        <v>6.9909999999999997</v>
      </c>
      <c r="CS27" s="11">
        <f t="shared" si="33"/>
        <v>0</v>
      </c>
      <c r="CT27" s="11">
        <f t="shared" si="33"/>
        <v>0</v>
      </c>
      <c r="CU27" s="272">
        <f t="shared" si="33"/>
        <v>43.777000000000001</v>
      </c>
      <c r="CV27" s="249">
        <f t="shared" si="13"/>
        <v>141.57718080000001</v>
      </c>
      <c r="CW27" s="11">
        <f t="shared" si="13"/>
        <v>0</v>
      </c>
      <c r="CX27" s="249">
        <f t="shared" si="13"/>
        <v>0</v>
      </c>
      <c r="CY27" s="272">
        <f t="shared" si="13"/>
        <v>0</v>
      </c>
      <c r="CZ27" s="13"/>
      <c r="DA27" s="240">
        <f>(D27+'[2]январь 20'!D27)/(AY27+'[2]январь 20'!AX27)</f>
        <v>1.8353181753387608</v>
      </c>
      <c r="DB27" s="241">
        <f>(T27+'[2]январь 20'!R27)/(AY27+'[2]январь 20'!AX27)</f>
        <v>1.1031275341578162</v>
      </c>
      <c r="DD27" s="292">
        <f t="shared" si="14"/>
        <v>10.573</v>
      </c>
      <c r="DE27" s="291">
        <v>0.28999999999999998</v>
      </c>
      <c r="DF27" s="291">
        <v>13.76</v>
      </c>
      <c r="DG27" s="145">
        <f t="shared" si="15"/>
        <v>10.542338300000001</v>
      </c>
      <c r="DH27" s="293">
        <f t="shared" si="31"/>
        <v>1.8989733604922112</v>
      </c>
      <c r="DJ27" s="322"/>
    </row>
    <row r="28" spans="1:114" s="76" customFormat="1" ht="16.5" customHeight="1" thickBot="1">
      <c r="A28" s="144">
        <v>22</v>
      </c>
      <c r="B28" s="122">
        <f t="shared" si="16"/>
        <v>254.715</v>
      </c>
      <c r="C28" s="123">
        <f t="shared" si="17"/>
        <v>1.1754957894116953</v>
      </c>
      <c r="D28" s="145">
        <f t="shared" si="18"/>
        <v>251.7208359</v>
      </c>
      <c r="E28" s="125">
        <f t="shared" si="19"/>
        <v>39.205485738963155</v>
      </c>
      <c r="F28" s="146">
        <f t="shared" si="20"/>
        <v>2.048509406738281</v>
      </c>
      <c r="G28" s="127"/>
      <c r="H28" s="126">
        <f t="shared" si="21"/>
        <v>1.5682196931966144</v>
      </c>
      <c r="I28" s="230">
        <f>'[1]июль 20'!AI27</f>
        <v>0</v>
      </c>
      <c r="J28" s="247">
        <f>'[1]январь 20'!AA27</f>
        <v>10.333</v>
      </c>
      <c r="K28" s="276">
        <f>'[1]сентябрь 20'!AM27</f>
        <v>0</v>
      </c>
      <c r="L28" s="122">
        <f t="shared" si="22"/>
        <v>59.018000000000001</v>
      </c>
      <c r="M28" s="128">
        <f t="shared" si="23"/>
        <v>0.48028971354166661</v>
      </c>
      <c r="N28" s="400">
        <f>'[1]январь 20'!W27</f>
        <v>0</v>
      </c>
      <c r="O28" s="403">
        <f>'[1]январь 20'!AU27</f>
        <v>8.2520000000000007</v>
      </c>
      <c r="P28" s="401">
        <f t="shared" si="0"/>
        <v>143.43100000000001</v>
      </c>
      <c r="Q28" s="122">
        <f t="shared" si="24"/>
        <v>143.43100000000001</v>
      </c>
      <c r="R28" s="123">
        <f t="shared" si="25"/>
        <v>1.77</v>
      </c>
      <c r="S28" s="129">
        <v>20.86</v>
      </c>
      <c r="T28" s="125">
        <f t="shared" si="1"/>
        <v>140.89227130000003</v>
      </c>
      <c r="U28" s="147">
        <f t="shared" si="2"/>
        <v>1.1465842390950522</v>
      </c>
      <c r="V28" s="130">
        <v>122.88</v>
      </c>
      <c r="W28" s="130">
        <v>62.97</v>
      </c>
      <c r="X28" s="129">
        <v>0.88</v>
      </c>
      <c r="Y28" s="150">
        <v>550</v>
      </c>
      <c r="Z28" s="150">
        <v>1192</v>
      </c>
      <c r="AA28" s="148" t="s">
        <v>124</v>
      </c>
      <c r="AB28" s="149">
        <v>76.75</v>
      </c>
      <c r="AC28" s="150">
        <v>104</v>
      </c>
      <c r="AD28" s="151">
        <v>4</v>
      </c>
      <c r="AE28" s="149">
        <v>13.15</v>
      </c>
      <c r="AF28" s="134">
        <f t="shared" si="3"/>
        <v>107.01497395833333</v>
      </c>
      <c r="AG28" s="152"/>
      <c r="AH28" s="129">
        <v>80.45</v>
      </c>
      <c r="AI28" s="134">
        <f t="shared" si="4"/>
        <v>654.70377604166663</v>
      </c>
      <c r="AJ28" s="153">
        <v>12.36</v>
      </c>
      <c r="AK28" s="154"/>
      <c r="AL28" s="155">
        <v>5.43</v>
      </c>
      <c r="AM28" s="156">
        <v>37.51</v>
      </c>
      <c r="AN28" s="126">
        <f t="shared" si="26"/>
        <v>0.22899877899877896</v>
      </c>
      <c r="AO28" s="157" t="s">
        <v>147</v>
      </c>
      <c r="AP28" s="156">
        <v>10.4</v>
      </c>
      <c r="AQ28" s="156">
        <v>6.99</v>
      </c>
      <c r="AR28" s="151"/>
      <c r="AS28" s="149">
        <v>7.81</v>
      </c>
      <c r="AT28" s="149">
        <v>163.80000000000001</v>
      </c>
      <c r="AU28" s="149">
        <v>2.02</v>
      </c>
      <c r="AV28" s="164"/>
      <c r="AW28" s="149"/>
      <c r="AX28" s="158">
        <f t="shared" si="5"/>
        <v>0</v>
      </c>
      <c r="AY28" s="125">
        <f t="shared" si="6"/>
        <v>122.88000000000001</v>
      </c>
      <c r="AZ28" s="125">
        <f t="shared" si="32"/>
        <v>113.12169111730962</v>
      </c>
      <c r="BA28" s="159">
        <f t="shared" si="7"/>
        <v>4.8672249999999995</v>
      </c>
      <c r="BB28" s="160">
        <f t="shared" si="8"/>
        <v>4.9152000000000005</v>
      </c>
      <c r="BC28" s="161">
        <f t="shared" si="9"/>
        <v>0.95563837830194764</v>
      </c>
      <c r="BD28" s="160">
        <f t="shared" si="27"/>
        <v>9.7824249999999999</v>
      </c>
      <c r="BE28" s="162">
        <v>0.92700000000000005</v>
      </c>
      <c r="BF28" s="25">
        <f t="shared" si="28"/>
        <v>2779.6899999999996</v>
      </c>
      <c r="BG28" s="25">
        <f t="shared" si="10"/>
        <v>116.12903225806451</v>
      </c>
      <c r="BH28" s="25">
        <f t="shared" si="29"/>
        <v>2554.8387096774177</v>
      </c>
      <c r="BI28" s="26">
        <f t="shared" si="11"/>
        <v>1</v>
      </c>
      <c r="BJ28" s="37">
        <f t="shared" si="30"/>
        <v>2554.8387096774177</v>
      </c>
      <c r="BK28" s="38"/>
      <c r="BL28" s="31">
        <v>195.697</v>
      </c>
      <c r="BM28" s="31"/>
      <c r="BN28" s="234">
        <v>27.881</v>
      </c>
      <c r="BO28" s="42"/>
      <c r="BP28" s="40"/>
      <c r="BQ28" s="411">
        <v>31.137</v>
      </c>
      <c r="BR28" s="33"/>
      <c r="BS28" s="34">
        <v>1.53</v>
      </c>
      <c r="BT28" s="35"/>
      <c r="BU28" s="35"/>
      <c r="BV28" s="235"/>
      <c r="BW28" s="235"/>
      <c r="BX28" s="36"/>
      <c r="BY28" s="33"/>
      <c r="BZ28" s="34">
        <v>37.43</v>
      </c>
      <c r="CA28" s="35"/>
      <c r="CB28" s="405">
        <v>45.9</v>
      </c>
      <c r="CC28" s="404"/>
      <c r="CD28" s="235"/>
      <c r="CE28" s="36">
        <v>44.37</v>
      </c>
      <c r="CF28" s="30">
        <v>143.43100000000001</v>
      </c>
      <c r="CG28" s="30"/>
      <c r="CH28" s="31"/>
      <c r="CI28" s="32"/>
      <c r="CJ28" s="33">
        <v>1.77</v>
      </c>
      <c r="CK28" s="33"/>
      <c r="CL28" s="35"/>
      <c r="CM28" s="36"/>
      <c r="CN28" s="286"/>
      <c r="CO28" s="249">
        <f t="shared" si="33"/>
        <v>0</v>
      </c>
      <c r="CP28" s="12">
        <f t="shared" si="33"/>
        <v>192.7028359</v>
      </c>
      <c r="CQ28" s="12">
        <f t="shared" si="33"/>
        <v>0</v>
      </c>
      <c r="CR28" s="12">
        <f t="shared" si="33"/>
        <v>27.881</v>
      </c>
      <c r="CS28" s="11">
        <f t="shared" si="33"/>
        <v>0</v>
      </c>
      <c r="CT28" s="11">
        <f t="shared" si="33"/>
        <v>0</v>
      </c>
      <c r="CU28" s="272">
        <f t="shared" si="33"/>
        <v>31.137</v>
      </c>
      <c r="CV28" s="249">
        <f t="shared" si="13"/>
        <v>140.89227130000003</v>
      </c>
      <c r="CW28" s="12">
        <f t="shared" si="13"/>
        <v>0</v>
      </c>
      <c r="CX28" s="249">
        <f t="shared" si="13"/>
        <v>0</v>
      </c>
      <c r="CY28" s="272">
        <f t="shared" si="13"/>
        <v>0</v>
      </c>
      <c r="CZ28" s="13"/>
      <c r="DA28" s="240">
        <f>(D28+'[2]январь 20'!D28)/(AY28+'[2]январь 20'!AX28)</f>
        <v>2.024453117854502</v>
      </c>
      <c r="DB28" s="241">
        <f>(T28+'[2]январь 20'!R28)/(AY28+'[2]январь 20'!AX28)</f>
        <v>1.2048867280018203</v>
      </c>
      <c r="DD28" s="292">
        <f t="shared" si="14"/>
        <v>10.333</v>
      </c>
      <c r="DE28" s="305">
        <v>0.08</v>
      </c>
      <c r="DF28" s="291">
        <v>6.45</v>
      </c>
      <c r="DG28" s="145">
        <f t="shared" si="15"/>
        <v>10.3247336</v>
      </c>
      <c r="DH28" s="293">
        <f t="shared" si="31"/>
        <v>0.8676811950488601</v>
      </c>
      <c r="DJ28" s="322"/>
    </row>
    <row r="29" spans="1:114" s="76" customFormat="1" ht="16.5" customHeight="1" thickBot="1">
      <c r="A29" s="144">
        <v>23</v>
      </c>
      <c r="B29" s="122">
        <f t="shared" si="16"/>
        <v>268.18299999999999</v>
      </c>
      <c r="C29" s="123">
        <f t="shared" si="17"/>
        <v>1.2825840936972142</v>
      </c>
      <c r="D29" s="145">
        <f t="shared" si="18"/>
        <v>264.74332749999996</v>
      </c>
      <c r="E29" s="125">
        <f t="shared" si="19"/>
        <v>39.259172729069327</v>
      </c>
      <c r="F29" s="146">
        <f t="shared" si="20"/>
        <v>2.2875946383824415</v>
      </c>
      <c r="G29" s="127"/>
      <c r="H29" s="126">
        <f t="shared" si="21"/>
        <v>1.6882859025317545</v>
      </c>
      <c r="I29" s="230">
        <f>'[1]июль 20'!AI28</f>
        <v>0</v>
      </c>
      <c r="J29" s="247">
        <f>'[1]январь 20'!AA28</f>
        <v>10.500999999999999</v>
      </c>
      <c r="K29" s="276">
        <f>'[1]сентябрь 20'!AM28</f>
        <v>0</v>
      </c>
      <c r="L29" s="122">
        <f t="shared" si="22"/>
        <v>69.358000000000004</v>
      </c>
      <c r="M29" s="128">
        <f t="shared" si="23"/>
        <v>0.599308735850687</v>
      </c>
      <c r="N29" s="400">
        <f>'[1]январь 20'!W28</f>
        <v>0</v>
      </c>
      <c r="O29" s="403">
        <f>'[1]январь 20'!AU28</f>
        <v>9.4260000000000002</v>
      </c>
      <c r="P29" s="401">
        <f t="shared" si="0"/>
        <v>152.38</v>
      </c>
      <c r="Q29" s="122">
        <f t="shared" si="24"/>
        <v>152.38</v>
      </c>
      <c r="R29" s="123">
        <f t="shared" si="25"/>
        <v>1.87</v>
      </c>
      <c r="S29" s="129">
        <v>27.95</v>
      </c>
      <c r="T29" s="125">
        <f t="shared" si="1"/>
        <v>149.53049399999998</v>
      </c>
      <c r="U29" s="147">
        <f t="shared" si="2"/>
        <v>1.292063371640888</v>
      </c>
      <c r="V29" s="130">
        <v>115.73</v>
      </c>
      <c r="W29" s="130">
        <v>91.93</v>
      </c>
      <c r="X29" s="129">
        <v>0.69</v>
      </c>
      <c r="Y29" s="150">
        <v>493</v>
      </c>
      <c r="Z29" s="150">
        <v>1202</v>
      </c>
      <c r="AA29" s="148" t="s">
        <v>110</v>
      </c>
      <c r="AB29" s="149">
        <v>76.66</v>
      </c>
      <c r="AC29" s="150">
        <v>109</v>
      </c>
      <c r="AD29" s="151">
        <v>4</v>
      </c>
      <c r="AE29" s="149">
        <v>11.9</v>
      </c>
      <c r="AF29" s="134">
        <f t="shared" si="3"/>
        <v>102.82554221031711</v>
      </c>
      <c r="AG29" s="152"/>
      <c r="AH29" s="129">
        <v>82.8</v>
      </c>
      <c r="AI29" s="134">
        <f t="shared" si="4"/>
        <v>715.45839453901317</v>
      </c>
      <c r="AJ29" s="136">
        <v>13.62</v>
      </c>
      <c r="AK29" s="154"/>
      <c r="AL29" s="155">
        <v>6.65</v>
      </c>
      <c r="AM29" s="156">
        <v>36.76</v>
      </c>
      <c r="AN29" s="126">
        <f t="shared" si="26"/>
        <v>0.23243755927916532</v>
      </c>
      <c r="AO29" s="157" t="s">
        <v>148</v>
      </c>
      <c r="AP29" s="156">
        <v>10.62</v>
      </c>
      <c r="AQ29" s="156">
        <v>6.92</v>
      </c>
      <c r="AR29" s="149"/>
      <c r="AS29" s="149">
        <v>6.73</v>
      </c>
      <c r="AT29" s="149">
        <v>158.15</v>
      </c>
      <c r="AU29" s="149">
        <v>0.99</v>
      </c>
      <c r="AV29" s="164"/>
      <c r="AW29" s="149"/>
      <c r="AX29" s="158">
        <f t="shared" si="5"/>
        <v>0</v>
      </c>
      <c r="AY29" s="125">
        <f t="shared" si="6"/>
        <v>115.73</v>
      </c>
      <c r="AZ29" s="125">
        <f t="shared" si="32"/>
        <v>120.20037975843729</v>
      </c>
      <c r="BA29" s="159">
        <f t="shared" si="7"/>
        <v>4.3166788732394368</v>
      </c>
      <c r="BB29" s="160">
        <f t="shared" si="8"/>
        <v>4.6292</v>
      </c>
      <c r="BC29" s="161">
        <f t="shared" si="9"/>
        <v>0.85358858969462081</v>
      </c>
      <c r="BD29" s="160">
        <f t="shared" si="27"/>
        <v>8.9458788732394368</v>
      </c>
      <c r="BE29" s="162">
        <v>0.92400000000000004</v>
      </c>
      <c r="BF29" s="25">
        <f t="shared" si="28"/>
        <v>2895.4199999999996</v>
      </c>
      <c r="BG29" s="25">
        <f t="shared" si="10"/>
        <v>116.12903225806451</v>
      </c>
      <c r="BH29" s="25">
        <f t="shared" si="29"/>
        <v>2670.9677419354821</v>
      </c>
      <c r="BI29" s="26">
        <f t="shared" si="11"/>
        <v>1</v>
      </c>
      <c r="BJ29" s="37">
        <f t="shared" si="30"/>
        <v>2670.9677419354821</v>
      </c>
      <c r="BK29" s="328"/>
      <c r="BL29" s="31">
        <v>198.82499999999999</v>
      </c>
      <c r="BM29" s="31"/>
      <c r="BN29" s="31">
        <v>32.706000000000003</v>
      </c>
      <c r="BO29" s="40"/>
      <c r="BP29" s="40"/>
      <c r="BQ29" s="32">
        <v>36.652000000000001</v>
      </c>
      <c r="BR29" s="33"/>
      <c r="BS29" s="34">
        <v>1.73</v>
      </c>
      <c r="BT29" s="35"/>
      <c r="BU29" s="35"/>
      <c r="BV29" s="235"/>
      <c r="BW29" s="235"/>
      <c r="BX29" s="36"/>
      <c r="BY29" s="33"/>
      <c r="BZ29" s="34">
        <v>37.26</v>
      </c>
      <c r="CA29" s="35"/>
      <c r="CB29" s="35">
        <v>46.01</v>
      </c>
      <c r="CC29" s="235"/>
      <c r="CD29" s="235"/>
      <c r="CE29" s="36">
        <v>44.08</v>
      </c>
      <c r="CF29" s="30">
        <v>152.38</v>
      </c>
      <c r="CG29" s="30"/>
      <c r="CH29" s="31"/>
      <c r="CI29" s="32"/>
      <c r="CJ29" s="33">
        <v>1.87</v>
      </c>
      <c r="CK29" s="33"/>
      <c r="CL29" s="35"/>
      <c r="CM29" s="36"/>
      <c r="CN29" s="286"/>
      <c r="CO29" s="249">
        <f t="shared" si="33"/>
        <v>0</v>
      </c>
      <c r="CP29" s="12">
        <f t="shared" si="33"/>
        <v>195.38532749999996</v>
      </c>
      <c r="CQ29" s="12">
        <f t="shared" si="33"/>
        <v>0</v>
      </c>
      <c r="CR29" s="12">
        <f t="shared" si="33"/>
        <v>32.706000000000003</v>
      </c>
      <c r="CS29" s="11">
        <f t="shared" si="33"/>
        <v>0</v>
      </c>
      <c r="CT29" s="11">
        <f t="shared" si="33"/>
        <v>0</v>
      </c>
      <c r="CU29" s="272">
        <f t="shared" si="33"/>
        <v>36.652000000000001</v>
      </c>
      <c r="CV29" s="249">
        <f t="shared" si="13"/>
        <v>149.53049399999998</v>
      </c>
      <c r="CW29" s="12">
        <f t="shared" si="13"/>
        <v>0</v>
      </c>
      <c r="CX29" s="249">
        <f t="shared" si="13"/>
        <v>0</v>
      </c>
      <c r="CY29" s="272">
        <f t="shared" si="13"/>
        <v>0</v>
      </c>
      <c r="CZ29" s="13"/>
      <c r="DA29" s="240">
        <f>(D29+'[2]январь 20'!D29)/(AY29+'[2]январь 20'!AX29)</f>
        <v>2.1875441187816671</v>
      </c>
      <c r="DB29" s="241">
        <f>(T29+'[2]январь 20'!R29)/(AY29+'[2]январь 20'!AX29)</f>
        <v>1.3072906897742975</v>
      </c>
      <c r="DD29" s="292">
        <f t="shared" si="14"/>
        <v>10.500999999999999</v>
      </c>
      <c r="DE29" s="291">
        <v>0.43</v>
      </c>
      <c r="DF29" s="291">
        <v>13.48</v>
      </c>
      <c r="DG29" s="145">
        <f t="shared" si="15"/>
        <v>10.455845699999999</v>
      </c>
      <c r="DH29" s="293">
        <f t="shared" si="31"/>
        <v>1.8385703109313853</v>
      </c>
      <c r="DJ29" s="322"/>
    </row>
    <row r="30" spans="1:114" s="76" customFormat="1" ht="16.5" customHeight="1" thickBot="1">
      <c r="A30" s="144">
        <v>24</v>
      </c>
      <c r="B30" s="122">
        <f t="shared" si="16"/>
        <v>262.20599999999996</v>
      </c>
      <c r="C30" s="123">
        <f t="shared" si="17"/>
        <v>1.400708793849111</v>
      </c>
      <c r="D30" s="145">
        <f t="shared" si="18"/>
        <v>258.53325749999999</v>
      </c>
      <c r="E30" s="125">
        <f t="shared" si="19"/>
        <v>39.100287293196963</v>
      </c>
      <c r="F30" s="146">
        <f t="shared" si="20"/>
        <v>2.3887393282823615</v>
      </c>
      <c r="G30" s="127"/>
      <c r="H30" s="126">
        <f t="shared" si="21"/>
        <v>1.7615472373648708</v>
      </c>
      <c r="I30" s="230">
        <f>'[1]июль 20'!AI29</f>
        <v>0</v>
      </c>
      <c r="J30" s="247">
        <f>'[1]январь 20'!AA29</f>
        <v>10.553000000000001</v>
      </c>
      <c r="K30" s="276">
        <f>'[1]сентябрь 20'!AM29</f>
        <v>0</v>
      </c>
      <c r="L30" s="122">
        <f t="shared" si="22"/>
        <v>67.881</v>
      </c>
      <c r="M30" s="128">
        <f t="shared" si="23"/>
        <v>0.62719209091749051</v>
      </c>
      <c r="N30" s="400">
        <f>'[1]январь 20'!W29</f>
        <v>0</v>
      </c>
      <c r="O30" s="416">
        <f>'[1]январь 20'!AU29</f>
        <v>10.497</v>
      </c>
      <c r="P30" s="401">
        <f t="shared" si="0"/>
        <v>151.27799999999999</v>
      </c>
      <c r="Q30" s="122">
        <f t="shared" si="24"/>
        <v>151.27799999999999</v>
      </c>
      <c r="R30" s="123">
        <f t="shared" si="25"/>
        <v>1.79</v>
      </c>
      <c r="S30" s="170">
        <v>31.19</v>
      </c>
      <c r="T30" s="125">
        <f t="shared" si="1"/>
        <v>148.57012379999998</v>
      </c>
      <c r="U30" s="147">
        <f t="shared" si="2"/>
        <v>1.3727258967014688</v>
      </c>
      <c r="V30" s="169">
        <v>81.66</v>
      </c>
      <c r="W30" s="169">
        <v>81.66</v>
      </c>
      <c r="X30" s="170">
        <v>0.78</v>
      </c>
      <c r="Y30" s="166">
        <v>529</v>
      </c>
      <c r="Z30" s="166">
        <v>1181</v>
      </c>
      <c r="AA30" s="148" t="s">
        <v>150</v>
      </c>
      <c r="AB30" s="164">
        <v>75.95</v>
      </c>
      <c r="AC30" s="166">
        <v>107</v>
      </c>
      <c r="AD30" s="171">
        <v>4</v>
      </c>
      <c r="AE30" s="164">
        <v>12.05</v>
      </c>
      <c r="AF30" s="172">
        <f t="shared" si="3"/>
        <v>111.33696756906589</v>
      </c>
      <c r="AG30" s="173"/>
      <c r="AH30" s="170">
        <v>81.75</v>
      </c>
      <c r="AI30" s="134">
        <f t="shared" si="4"/>
        <v>755.33585881918134</v>
      </c>
      <c r="AJ30" s="174">
        <v>12.07</v>
      </c>
      <c r="AK30" s="175"/>
      <c r="AL30" s="176">
        <v>6.27</v>
      </c>
      <c r="AM30" s="177">
        <v>36.840000000000003</v>
      </c>
      <c r="AN30" s="126">
        <f t="shared" si="26"/>
        <v>0.24633901705115346</v>
      </c>
      <c r="AO30" s="178" t="s">
        <v>111</v>
      </c>
      <c r="AP30" s="177">
        <v>9.23</v>
      </c>
      <c r="AQ30" s="177">
        <v>6.92</v>
      </c>
      <c r="AR30" s="171"/>
      <c r="AS30" s="164">
        <v>8.77</v>
      </c>
      <c r="AT30" s="149">
        <v>149.55000000000001</v>
      </c>
      <c r="AU30" s="164">
        <v>1.79</v>
      </c>
      <c r="AV30" s="164"/>
      <c r="AW30" s="164"/>
      <c r="AX30" s="179">
        <f t="shared" si="5"/>
        <v>0</v>
      </c>
      <c r="AY30" s="125">
        <f t="shared" si="6"/>
        <v>108.23</v>
      </c>
      <c r="AZ30" s="125">
        <f t="shared" si="32"/>
        <v>117.68176791801008</v>
      </c>
      <c r="BA30" s="159">
        <f t="shared" si="7"/>
        <v>5.5538186619718308</v>
      </c>
      <c r="BB30" s="159">
        <f t="shared" si="8"/>
        <v>4.3292000000000002</v>
      </c>
      <c r="BC30" s="180">
        <f t="shared" si="9"/>
        <v>0.81316573457305941</v>
      </c>
      <c r="BD30" s="159">
        <f t="shared" si="27"/>
        <v>9.8830186619718319</v>
      </c>
      <c r="BE30" s="167">
        <v>0.91900000000000004</v>
      </c>
      <c r="BF30" s="25">
        <f t="shared" si="28"/>
        <v>3003.6499999999996</v>
      </c>
      <c r="BG30" s="25">
        <f t="shared" si="10"/>
        <v>116.12903225806451</v>
      </c>
      <c r="BH30" s="25">
        <f t="shared" si="29"/>
        <v>2787.0967741935465</v>
      </c>
      <c r="BI30" s="26">
        <f t="shared" si="11"/>
        <v>1</v>
      </c>
      <c r="BJ30" s="37">
        <f t="shared" si="30"/>
        <v>2787.0967741935465</v>
      </c>
      <c r="BK30" s="38"/>
      <c r="BL30" s="31">
        <v>194.32499999999999</v>
      </c>
      <c r="BM30" s="31"/>
      <c r="BN30" s="31">
        <v>32.134999999999998</v>
      </c>
      <c r="BO30" s="40"/>
      <c r="BP30" s="40"/>
      <c r="BQ30" s="44">
        <v>35.746000000000002</v>
      </c>
      <c r="BR30" s="45"/>
      <c r="BS30" s="46">
        <v>1.89</v>
      </c>
      <c r="BT30" s="47"/>
      <c r="BU30" s="47"/>
      <c r="BV30" s="283"/>
      <c r="BW30" s="283"/>
      <c r="BX30" s="48"/>
      <c r="BY30" s="45"/>
      <c r="BZ30" s="46">
        <v>37.130000000000003</v>
      </c>
      <c r="CA30" s="47"/>
      <c r="CB30" s="47">
        <v>45.42</v>
      </c>
      <c r="CC30" s="283"/>
      <c r="CD30" s="283"/>
      <c r="CE30" s="48">
        <v>44.13</v>
      </c>
      <c r="CF30" s="49">
        <v>151.27799999999999</v>
      </c>
      <c r="CG30" s="49"/>
      <c r="CH30" s="43"/>
      <c r="CI30" s="32"/>
      <c r="CJ30" s="33">
        <v>1.79</v>
      </c>
      <c r="CK30" s="33"/>
      <c r="CL30" s="35"/>
      <c r="CM30" s="36"/>
      <c r="CN30" s="286"/>
      <c r="CO30" s="249">
        <f t="shared" si="33"/>
        <v>0</v>
      </c>
      <c r="CP30" s="12">
        <f t="shared" si="33"/>
        <v>190.65225749999999</v>
      </c>
      <c r="CQ30" s="12">
        <f t="shared" si="33"/>
        <v>0</v>
      </c>
      <c r="CR30" s="12">
        <f t="shared" si="33"/>
        <v>32.134999999999998</v>
      </c>
      <c r="CS30" s="11">
        <f t="shared" si="33"/>
        <v>0</v>
      </c>
      <c r="CT30" s="11">
        <f t="shared" si="33"/>
        <v>0</v>
      </c>
      <c r="CU30" s="272">
        <f t="shared" si="33"/>
        <v>35.746000000000002</v>
      </c>
      <c r="CV30" s="249">
        <f t="shared" si="13"/>
        <v>148.57012379999998</v>
      </c>
      <c r="CW30" s="11">
        <f t="shared" si="13"/>
        <v>0</v>
      </c>
      <c r="CX30" s="252">
        <f t="shared" si="13"/>
        <v>0</v>
      </c>
      <c r="CY30" s="272">
        <f t="shared" si="13"/>
        <v>0</v>
      </c>
      <c r="CZ30" s="13"/>
      <c r="DA30" s="240">
        <f>(D30+'[2]январь 20'!D30)/(AY30+'[2]январь 20'!AX30)</f>
        <v>2.1806276855424929</v>
      </c>
      <c r="DB30" s="241">
        <f>(T30+'[2]январь 20'!R30)/(AY30+'[2]январь 20'!AX30)</f>
        <v>1.3122442304585837</v>
      </c>
      <c r="DD30" s="292">
        <f t="shared" si="14"/>
        <v>10.553000000000001</v>
      </c>
      <c r="DE30" s="291">
        <v>0.38</v>
      </c>
      <c r="DF30" s="291">
        <v>10.75</v>
      </c>
      <c r="DG30" s="145">
        <f t="shared" si="15"/>
        <v>10.512898600000002</v>
      </c>
      <c r="DH30" s="293">
        <f t="shared" si="31"/>
        <v>1.4880007893350888</v>
      </c>
      <c r="DJ30" s="322"/>
    </row>
    <row r="31" spans="1:114" s="76" customFormat="1" ht="16.5" customHeight="1" thickBot="1">
      <c r="A31" s="144">
        <v>25</v>
      </c>
      <c r="B31" s="122">
        <f t="shared" si="16"/>
        <v>273.375</v>
      </c>
      <c r="C31" s="123">
        <f t="shared" si="17"/>
        <v>1.926955720164609</v>
      </c>
      <c r="D31" s="145">
        <f t="shared" si="18"/>
        <v>268.10718479999997</v>
      </c>
      <c r="E31" s="125">
        <f t="shared" si="19"/>
        <v>39.314785002286236</v>
      </c>
      <c r="F31" s="146">
        <f t="shared" si="20"/>
        <v>1.9952905023442731</v>
      </c>
      <c r="G31" s="127"/>
      <c r="H31" s="126">
        <f t="shared" si="21"/>
        <v>1.4628576676341445</v>
      </c>
      <c r="I31" s="230">
        <f>'[1]июль 20'!AI30</f>
        <v>0</v>
      </c>
      <c r="J31" s="247">
        <f>'[1]январь 20'!AA30</f>
        <v>11.116</v>
      </c>
      <c r="K31" s="276">
        <f>'[1]сентябрь 20'!AM30</f>
        <v>0</v>
      </c>
      <c r="L31" s="122">
        <f t="shared" si="22"/>
        <v>71.543000000000006</v>
      </c>
      <c r="M31" s="128">
        <f t="shared" si="23"/>
        <v>0.53243283471012881</v>
      </c>
      <c r="N31" s="400">
        <f>'[1]январь 20'!W30</f>
        <v>0</v>
      </c>
      <c r="O31" s="416">
        <f>'[1]январь 20'!AU30</f>
        <v>10.359</v>
      </c>
      <c r="P31" s="401">
        <f t="shared" si="0"/>
        <v>158.95400000000001</v>
      </c>
      <c r="Q31" s="122">
        <f t="shared" si="24"/>
        <v>158.95400000000001</v>
      </c>
      <c r="R31" s="123">
        <f t="shared" si="25"/>
        <v>1.81</v>
      </c>
      <c r="S31" s="129">
        <v>8.09</v>
      </c>
      <c r="T31" s="125">
        <f t="shared" si="1"/>
        <v>156.07693260000002</v>
      </c>
      <c r="U31" s="147">
        <f t="shared" si="2"/>
        <v>1.1615459745478902</v>
      </c>
      <c r="V31" s="130">
        <v>134.37</v>
      </c>
      <c r="W31" s="130">
        <v>134.37</v>
      </c>
      <c r="X31" s="129">
        <v>0.78</v>
      </c>
      <c r="Y31" s="150">
        <v>522</v>
      </c>
      <c r="Z31" s="150">
        <v>1163</v>
      </c>
      <c r="AA31" s="148" t="s">
        <v>128</v>
      </c>
      <c r="AB31" s="149">
        <v>76.14</v>
      </c>
      <c r="AC31" s="150">
        <v>112</v>
      </c>
      <c r="AD31" s="151">
        <v>4</v>
      </c>
      <c r="AE31" s="149">
        <v>13.15</v>
      </c>
      <c r="AF31" s="134">
        <f t="shared" si="3"/>
        <v>97.864106571407305</v>
      </c>
      <c r="AG31" s="152"/>
      <c r="AH31" s="129">
        <v>91.5</v>
      </c>
      <c r="AI31" s="134">
        <f t="shared" si="4"/>
        <v>680.95557043983035</v>
      </c>
      <c r="AJ31" s="136">
        <v>13.2</v>
      </c>
      <c r="AK31" s="154"/>
      <c r="AL31" s="155">
        <v>5.38</v>
      </c>
      <c r="AM31" s="156">
        <v>36.619999999999997</v>
      </c>
      <c r="AN31" s="126">
        <f t="shared" si="26"/>
        <v>0.20955650929899855</v>
      </c>
      <c r="AO31" s="157" t="s">
        <v>151</v>
      </c>
      <c r="AP31" s="156">
        <v>9.82</v>
      </c>
      <c r="AQ31" s="156">
        <v>6.63</v>
      </c>
      <c r="AR31" s="151"/>
      <c r="AS31" s="149">
        <v>7.44</v>
      </c>
      <c r="AT31" s="149">
        <v>174.75</v>
      </c>
      <c r="AU31" s="149">
        <v>1.62</v>
      </c>
      <c r="AV31" s="164"/>
      <c r="AW31" s="149"/>
      <c r="AX31" s="158">
        <f t="shared" si="5"/>
        <v>0</v>
      </c>
      <c r="AY31" s="125">
        <f t="shared" si="6"/>
        <v>134.37</v>
      </c>
      <c r="AZ31" s="125">
        <f t="shared" si="32"/>
        <v>122.6192724451633</v>
      </c>
      <c r="BA31" s="159">
        <f t="shared" si="7"/>
        <v>5.2734929577464786</v>
      </c>
      <c r="BB31" s="160">
        <f t="shared" si="8"/>
        <v>5.3748000000000005</v>
      </c>
      <c r="BC31" s="161">
        <f t="shared" si="9"/>
        <v>0.9706235675976973</v>
      </c>
      <c r="BD31" s="160">
        <f t="shared" si="27"/>
        <v>10.648292957746479</v>
      </c>
      <c r="BE31" s="162">
        <v>0.92100000000000004</v>
      </c>
      <c r="BF31" s="25">
        <f t="shared" si="28"/>
        <v>3138.0199999999995</v>
      </c>
      <c r="BG31" s="25">
        <f t="shared" si="10"/>
        <v>116.12903225806451</v>
      </c>
      <c r="BH31" s="25">
        <f t="shared" si="29"/>
        <v>2903.2258064516109</v>
      </c>
      <c r="BI31" s="26">
        <f t="shared" si="11"/>
        <v>1</v>
      </c>
      <c r="BJ31" s="37">
        <f t="shared" si="30"/>
        <v>2903.2258064516109</v>
      </c>
      <c r="BK31" s="38"/>
      <c r="BL31" s="31">
        <v>201.83199999999999</v>
      </c>
      <c r="BM31" s="31"/>
      <c r="BN31" s="31">
        <v>33.581000000000003</v>
      </c>
      <c r="BO31" s="40"/>
      <c r="BP31" s="40"/>
      <c r="BQ31" s="32">
        <v>37.962000000000003</v>
      </c>
      <c r="BR31" s="33"/>
      <c r="BS31" s="34">
        <v>2.61</v>
      </c>
      <c r="BT31" s="35"/>
      <c r="BU31" s="35"/>
      <c r="BV31" s="235"/>
      <c r="BW31" s="235"/>
      <c r="BX31" s="36"/>
      <c r="BY31" s="33"/>
      <c r="BZ31" s="34">
        <v>37.340000000000003</v>
      </c>
      <c r="CA31" s="35"/>
      <c r="CB31" s="35">
        <v>45.91</v>
      </c>
      <c r="CC31" s="235"/>
      <c r="CD31" s="235"/>
      <c r="CE31" s="36">
        <v>43.98</v>
      </c>
      <c r="CF31" s="30">
        <v>158.95400000000001</v>
      </c>
      <c r="CG31" s="30"/>
      <c r="CH31" s="31"/>
      <c r="CI31" s="32"/>
      <c r="CJ31" s="33">
        <v>1.81</v>
      </c>
      <c r="CK31" s="33"/>
      <c r="CL31" s="35"/>
      <c r="CM31" s="36"/>
      <c r="CN31" s="286"/>
      <c r="CO31" s="249">
        <f t="shared" si="33"/>
        <v>0</v>
      </c>
      <c r="CP31" s="12">
        <f t="shared" si="33"/>
        <v>196.56418479999999</v>
      </c>
      <c r="CQ31" s="12">
        <f t="shared" si="33"/>
        <v>0</v>
      </c>
      <c r="CR31" s="12">
        <f t="shared" si="33"/>
        <v>33.581000000000003</v>
      </c>
      <c r="CS31" s="11">
        <f t="shared" si="33"/>
        <v>0</v>
      </c>
      <c r="CT31" s="11">
        <f t="shared" si="33"/>
        <v>0</v>
      </c>
      <c r="CU31" s="272">
        <f t="shared" si="33"/>
        <v>37.962000000000003</v>
      </c>
      <c r="CV31" s="249">
        <f t="shared" si="13"/>
        <v>156.07693260000002</v>
      </c>
      <c r="CW31" s="12">
        <f t="shared" si="13"/>
        <v>0</v>
      </c>
      <c r="CX31" s="249">
        <f t="shared" si="13"/>
        <v>0</v>
      </c>
      <c r="CY31" s="272">
        <f t="shared" si="13"/>
        <v>0</v>
      </c>
      <c r="CZ31" s="13"/>
      <c r="DA31" s="240">
        <f>(D31+'[2]январь 20'!D31)/(AY31+'[2]январь 20'!AX31)</f>
        <v>1.992957239102441</v>
      </c>
      <c r="DB31" s="241">
        <f>(T31+'[2]январь 20'!R31)/(AY31+'[2]январь 20'!AX31)</f>
        <v>1.1994217173073234</v>
      </c>
      <c r="DD31" s="292">
        <f t="shared" si="14"/>
        <v>11.116</v>
      </c>
      <c r="DE31" s="291">
        <v>0.31</v>
      </c>
      <c r="DF31" s="291">
        <v>12.12</v>
      </c>
      <c r="DG31" s="145">
        <f t="shared" si="15"/>
        <v>11.0815404</v>
      </c>
      <c r="DH31" s="293">
        <f t="shared" si="31"/>
        <v>1.7639646657210399</v>
      </c>
      <c r="DJ31" s="322"/>
    </row>
    <row r="32" spans="1:114" s="76" customFormat="1" ht="16.5" customHeight="1" thickBot="1">
      <c r="A32" s="144">
        <v>26</v>
      </c>
      <c r="B32" s="122">
        <f t="shared" si="16"/>
        <v>255.94300000000001</v>
      </c>
      <c r="C32" s="123">
        <f t="shared" si="17"/>
        <v>2.5027210746142696</v>
      </c>
      <c r="D32" s="145">
        <f t="shared" si="18"/>
        <v>249.53746060000003</v>
      </c>
      <c r="E32" s="125">
        <f t="shared" si="19"/>
        <v>39.327504991345734</v>
      </c>
      <c r="F32" s="146">
        <f t="shared" si="20"/>
        <v>1.8833015894339624</v>
      </c>
      <c r="G32" s="127"/>
      <c r="H32" s="126">
        <f t="shared" si="21"/>
        <v>1.3819430988679247</v>
      </c>
      <c r="I32" s="230">
        <f>'[1]июль 20'!AI31</f>
        <v>0</v>
      </c>
      <c r="J32" s="247">
        <f>'[1]январь 20'!AA31</f>
        <v>10.534000000000001</v>
      </c>
      <c r="K32" s="276">
        <f>'[1]сентябрь 20'!AM31</f>
        <v>0</v>
      </c>
      <c r="L32" s="122">
        <f t="shared" si="22"/>
        <v>66.429999999999993</v>
      </c>
      <c r="M32" s="128">
        <f t="shared" si="23"/>
        <v>0.50135849056603765</v>
      </c>
      <c r="N32" s="400">
        <f>'[1]январь 20'!W31</f>
        <v>0</v>
      </c>
      <c r="O32" s="416">
        <f>'[1]январь 20'!AU31</f>
        <v>10.686999999999999</v>
      </c>
      <c r="P32" s="401">
        <f t="shared" si="0"/>
        <v>148.66399999999999</v>
      </c>
      <c r="Q32" s="122">
        <f t="shared" si="24"/>
        <v>148.66399999999999</v>
      </c>
      <c r="R32" s="123">
        <f t="shared" si="25"/>
        <v>1.9</v>
      </c>
      <c r="S32" s="129">
        <v>9.89</v>
      </c>
      <c r="T32" s="125">
        <f t="shared" si="1"/>
        <v>145.839384</v>
      </c>
      <c r="U32" s="147">
        <f t="shared" si="2"/>
        <v>1.1006745962264151</v>
      </c>
      <c r="V32" s="130">
        <v>132.5</v>
      </c>
      <c r="W32" s="130">
        <v>67.72</v>
      </c>
      <c r="X32" s="129">
        <v>1.04</v>
      </c>
      <c r="Y32" s="150">
        <v>537</v>
      </c>
      <c r="Z32" s="150">
        <v>1160</v>
      </c>
      <c r="AA32" s="148" t="s">
        <v>130</v>
      </c>
      <c r="AB32" s="149">
        <v>76.540000000000006</v>
      </c>
      <c r="AC32" s="150">
        <v>105</v>
      </c>
      <c r="AD32" s="151">
        <v>4</v>
      </c>
      <c r="AE32" s="149">
        <v>10.199999999999999</v>
      </c>
      <c r="AF32" s="134">
        <f t="shared" si="3"/>
        <v>76.981132075471692</v>
      </c>
      <c r="AG32" s="152"/>
      <c r="AH32" s="129">
        <v>90.6</v>
      </c>
      <c r="AI32" s="134">
        <f t="shared" si="4"/>
        <v>683.7735849056603</v>
      </c>
      <c r="AJ32" s="153">
        <v>13.88</v>
      </c>
      <c r="AK32" s="154"/>
      <c r="AL32" s="155">
        <v>6.1</v>
      </c>
      <c r="AM32" s="156">
        <v>35.83</v>
      </c>
      <c r="AN32" s="126">
        <f t="shared" si="26"/>
        <v>0.20704998555330828</v>
      </c>
      <c r="AO32" s="157" t="s">
        <v>152</v>
      </c>
      <c r="AP32" s="156">
        <v>10.19</v>
      </c>
      <c r="AQ32" s="156">
        <v>6.95</v>
      </c>
      <c r="AR32" s="151"/>
      <c r="AS32" s="149">
        <v>6.57</v>
      </c>
      <c r="AT32" s="149">
        <v>173.05</v>
      </c>
      <c r="AU32" s="149">
        <v>1.38</v>
      </c>
      <c r="AV32" s="149"/>
      <c r="AW32" s="149"/>
      <c r="AX32" s="158">
        <f t="shared" si="5"/>
        <v>0</v>
      </c>
      <c r="AY32" s="125">
        <f t="shared" si="6"/>
        <v>132.5</v>
      </c>
      <c r="AZ32" s="125">
        <f t="shared" si="32"/>
        <v>113.94372688960559</v>
      </c>
      <c r="BA32" s="159">
        <f t="shared" si="7"/>
        <v>4.6110295774647883</v>
      </c>
      <c r="BB32" s="160">
        <f t="shared" si="8"/>
        <v>5.3</v>
      </c>
      <c r="BC32" s="161">
        <f t="shared" si="9"/>
        <v>1.0334088824359393</v>
      </c>
      <c r="BD32" s="160">
        <f t="shared" si="27"/>
        <v>9.9110295774647881</v>
      </c>
      <c r="BE32" s="162">
        <v>0.92600000000000005</v>
      </c>
      <c r="BF32" s="25">
        <f t="shared" si="28"/>
        <v>3270.5199999999995</v>
      </c>
      <c r="BG32" s="25">
        <f t="shared" si="10"/>
        <v>116.12903225806451</v>
      </c>
      <c r="BH32" s="25">
        <f t="shared" si="29"/>
        <v>3019.3548387096753</v>
      </c>
      <c r="BI32" s="26">
        <f t="shared" si="11"/>
        <v>1</v>
      </c>
      <c r="BJ32" s="37">
        <f t="shared" si="30"/>
        <v>3019.3548387096753</v>
      </c>
      <c r="BK32" s="38"/>
      <c r="BL32" s="31">
        <v>189.51300000000001</v>
      </c>
      <c r="BM32" s="31"/>
      <c r="BN32" s="31">
        <v>63.220999999999997</v>
      </c>
      <c r="BO32" s="40"/>
      <c r="BP32" s="40"/>
      <c r="BQ32" s="32">
        <v>3.2090000000000001</v>
      </c>
      <c r="BR32" s="33"/>
      <c r="BS32" s="34">
        <v>3.38</v>
      </c>
      <c r="BT32" s="35"/>
      <c r="BU32" s="35"/>
      <c r="BV32" s="235"/>
      <c r="BW32" s="235"/>
      <c r="BX32" s="36"/>
      <c r="BY32" s="33"/>
      <c r="BZ32" s="34">
        <v>37.119999999999997</v>
      </c>
      <c r="CA32" s="35"/>
      <c r="CB32" s="35">
        <v>45.7</v>
      </c>
      <c r="CC32" s="235"/>
      <c r="CD32" s="235"/>
      <c r="CE32" s="36">
        <v>44.15</v>
      </c>
      <c r="CF32" s="30">
        <v>148.66399999999999</v>
      </c>
      <c r="CG32" s="30"/>
      <c r="CH32" s="31"/>
      <c r="CI32" s="50"/>
      <c r="CJ32" s="33">
        <v>1.9</v>
      </c>
      <c r="CK32" s="33"/>
      <c r="CL32" s="35"/>
      <c r="CM32" s="36"/>
      <c r="CN32" s="286"/>
      <c r="CO32" s="249">
        <f t="shared" si="33"/>
        <v>0</v>
      </c>
      <c r="CP32" s="12">
        <f t="shared" si="33"/>
        <v>183.10746060000002</v>
      </c>
      <c r="CQ32" s="12">
        <f t="shared" si="33"/>
        <v>0</v>
      </c>
      <c r="CR32" s="12">
        <f t="shared" si="33"/>
        <v>63.220999999999997</v>
      </c>
      <c r="CS32" s="11">
        <f t="shared" si="33"/>
        <v>0</v>
      </c>
      <c r="CT32" s="11">
        <f t="shared" si="33"/>
        <v>0</v>
      </c>
      <c r="CU32" s="272">
        <f t="shared" si="33"/>
        <v>3.2090000000000001</v>
      </c>
      <c r="CV32" s="249">
        <f t="shared" si="13"/>
        <v>145.839384</v>
      </c>
      <c r="CW32" s="11">
        <f t="shared" si="13"/>
        <v>0</v>
      </c>
      <c r="CX32" s="249">
        <f t="shared" si="13"/>
        <v>0</v>
      </c>
      <c r="CY32" s="272">
        <f t="shared" si="13"/>
        <v>0</v>
      </c>
      <c r="CZ32" s="13"/>
      <c r="DA32" s="240">
        <f>(D32+'[2]январь 20'!D32)/(AY32+'[2]январь 20'!AX32)</f>
        <v>1.9545484267947997</v>
      </c>
      <c r="DB32" s="241">
        <f>(T32+'[2]январь 20'!R32)/(AY32+'[2]январь 20'!AX32)</f>
        <v>1.1765386772187676</v>
      </c>
      <c r="DD32" s="292">
        <f t="shared" si="14"/>
        <v>10.534000000000001</v>
      </c>
      <c r="DE32" s="291">
        <v>0.61</v>
      </c>
      <c r="DF32" s="291">
        <v>14.7</v>
      </c>
      <c r="DG32" s="145">
        <f t="shared" si="15"/>
        <v>10.4697426</v>
      </c>
      <c r="DH32" s="293">
        <f t="shared" si="31"/>
        <v>2.0107815027436633</v>
      </c>
      <c r="DJ32" s="322"/>
    </row>
    <row r="33" spans="1:114" s="76" customFormat="1" ht="16.5" customHeight="1" thickBot="1">
      <c r="A33" s="144">
        <v>27</v>
      </c>
      <c r="B33" s="122">
        <f t="shared" si="16"/>
        <v>290.68299999999999</v>
      </c>
      <c r="C33" s="123">
        <f t="shared" si="17"/>
        <v>1.6445351465341971</v>
      </c>
      <c r="D33" s="145">
        <f t="shared" si="18"/>
        <v>285.9026159</v>
      </c>
      <c r="E33" s="125">
        <f t="shared" si="19"/>
        <v>39.219852966977776</v>
      </c>
      <c r="F33" s="146">
        <f t="shared" si="20"/>
        <v>2.147544624802824</v>
      </c>
      <c r="G33" s="127"/>
      <c r="H33" s="126">
        <f t="shared" si="21"/>
        <v>1.5743004274017873</v>
      </c>
      <c r="I33" s="230">
        <f>'[1]июль 20'!AI32</f>
        <v>0</v>
      </c>
      <c r="J33" s="247">
        <f>'[1]январь 20'!AA32</f>
        <v>11.734</v>
      </c>
      <c r="K33" s="276">
        <f>'[1]сентябрь 20'!AM32</f>
        <v>0</v>
      </c>
      <c r="L33" s="122">
        <f t="shared" si="22"/>
        <v>76.316000000000003</v>
      </c>
      <c r="M33" s="128">
        <f t="shared" si="23"/>
        <v>0.57324419740103649</v>
      </c>
      <c r="N33" s="400">
        <f>'[1]январь 20'!W32</f>
        <v>0</v>
      </c>
      <c r="O33" s="403">
        <f>'[1]январь 20'!AU32</f>
        <v>8.2289999999999992</v>
      </c>
      <c r="P33" s="401">
        <f t="shared" si="0"/>
        <v>168.28399999999999</v>
      </c>
      <c r="Q33" s="122">
        <f t="shared" si="24"/>
        <v>168.28399999999999</v>
      </c>
      <c r="R33" s="123">
        <f t="shared" si="25"/>
        <v>1.5899999999999999</v>
      </c>
      <c r="S33" s="129">
        <v>17.93</v>
      </c>
      <c r="T33" s="125">
        <f t="shared" si="1"/>
        <v>165.60828439999997</v>
      </c>
      <c r="U33" s="147">
        <f t="shared" si="2"/>
        <v>1.243959170735371</v>
      </c>
      <c r="V33" s="130">
        <v>133.13</v>
      </c>
      <c r="W33" s="130">
        <v>101.94</v>
      </c>
      <c r="X33" s="129">
        <v>0.87</v>
      </c>
      <c r="Y33" s="150">
        <v>475</v>
      </c>
      <c r="Z33" s="150">
        <v>1167</v>
      </c>
      <c r="AA33" s="148" t="s">
        <v>141</v>
      </c>
      <c r="AB33" s="149">
        <v>76.8</v>
      </c>
      <c r="AC33" s="150">
        <v>119</v>
      </c>
      <c r="AD33" s="151">
        <v>4</v>
      </c>
      <c r="AE33" s="149">
        <v>6.5</v>
      </c>
      <c r="AF33" s="134">
        <f t="shared" si="3"/>
        <v>48.824457297378494</v>
      </c>
      <c r="AG33" s="152"/>
      <c r="AH33" s="129">
        <v>68.25</v>
      </c>
      <c r="AI33" s="134">
        <f t="shared" si="4"/>
        <v>512.65680162247418</v>
      </c>
      <c r="AJ33" s="136">
        <v>16.04</v>
      </c>
      <c r="AK33" s="154"/>
      <c r="AL33" s="155">
        <v>4.87</v>
      </c>
      <c r="AM33" s="156">
        <v>38.700000000000003</v>
      </c>
      <c r="AN33" s="126">
        <f t="shared" si="26"/>
        <v>0.22171297622457747</v>
      </c>
      <c r="AO33" s="157" t="s">
        <v>153</v>
      </c>
      <c r="AP33" s="156">
        <v>9.85</v>
      </c>
      <c r="AQ33" s="156">
        <v>6.81</v>
      </c>
      <c r="AR33" s="151"/>
      <c r="AS33" s="149">
        <v>7.42</v>
      </c>
      <c r="AT33" s="149">
        <v>174.55</v>
      </c>
      <c r="AU33" s="149">
        <v>2.15</v>
      </c>
      <c r="AV33" s="149"/>
      <c r="AW33" s="149"/>
      <c r="AX33" s="158">
        <f t="shared" si="5"/>
        <v>0</v>
      </c>
      <c r="AY33" s="125">
        <f t="shared" si="6"/>
        <v>133.13000000000002</v>
      </c>
      <c r="AZ33" s="125">
        <f t="shared" si="32"/>
        <v>129.46622467950962</v>
      </c>
      <c r="BA33" s="159">
        <f t="shared" si="7"/>
        <v>3.9229330985915496</v>
      </c>
      <c r="BB33" s="160">
        <f t="shared" si="8"/>
        <v>5.3252000000000015</v>
      </c>
      <c r="BC33" s="161">
        <f t="shared" si="9"/>
        <v>0.91182828901528368</v>
      </c>
      <c r="BD33" s="160">
        <f t="shared" si="27"/>
        <v>9.248133098591552</v>
      </c>
      <c r="BE33" s="162">
        <v>0.92500000000000004</v>
      </c>
      <c r="BF33" s="25">
        <f t="shared" si="28"/>
        <v>3403.6499999999996</v>
      </c>
      <c r="BG33" s="25">
        <f t="shared" si="10"/>
        <v>116.12903225806451</v>
      </c>
      <c r="BH33" s="25">
        <f t="shared" si="29"/>
        <v>3135.4838709677397</v>
      </c>
      <c r="BI33" s="26">
        <f t="shared" si="11"/>
        <v>1</v>
      </c>
      <c r="BJ33" s="37">
        <f t="shared" si="30"/>
        <v>3135.4838709677397</v>
      </c>
      <c r="BK33" s="38"/>
      <c r="BL33" s="31">
        <v>214.36699999999999</v>
      </c>
      <c r="BM33" s="31"/>
      <c r="BN33" s="31">
        <v>76.316000000000003</v>
      </c>
      <c r="BO33" s="40"/>
      <c r="BP33" s="40"/>
      <c r="BQ33" s="32"/>
      <c r="BR33" s="33"/>
      <c r="BS33" s="34">
        <v>2.23</v>
      </c>
      <c r="BT33" s="35"/>
      <c r="BU33" s="35"/>
      <c r="BV33" s="235"/>
      <c r="BW33" s="235"/>
      <c r="BX33" s="36"/>
      <c r="BY33" s="33"/>
      <c r="BZ33" s="34">
        <v>36.92</v>
      </c>
      <c r="CA33" s="35"/>
      <c r="CB33" s="35">
        <v>45.68</v>
      </c>
      <c r="CC33" s="235"/>
      <c r="CD33" s="235"/>
      <c r="CE33" s="36"/>
      <c r="CF33" s="30">
        <v>168.28399999999999</v>
      </c>
      <c r="CG33" s="30"/>
      <c r="CH33" s="31"/>
      <c r="CI33" s="32"/>
      <c r="CJ33" s="33">
        <v>1.59</v>
      </c>
      <c r="CK33" s="33"/>
      <c r="CL33" s="35"/>
      <c r="CM33" s="36"/>
      <c r="CN33" s="270"/>
      <c r="CO33" s="249">
        <f t="shared" si="33"/>
        <v>0</v>
      </c>
      <c r="CP33" s="12">
        <f t="shared" si="33"/>
        <v>209.5866159</v>
      </c>
      <c r="CQ33" s="12">
        <f t="shared" si="33"/>
        <v>0</v>
      </c>
      <c r="CR33" s="12">
        <f t="shared" si="33"/>
        <v>76.316000000000003</v>
      </c>
      <c r="CS33" s="11">
        <f t="shared" si="33"/>
        <v>0</v>
      </c>
      <c r="CT33" s="11">
        <f t="shared" si="33"/>
        <v>0</v>
      </c>
      <c r="CU33" s="272">
        <f t="shared" si="33"/>
        <v>0</v>
      </c>
      <c r="CV33" s="249">
        <f t="shared" si="13"/>
        <v>165.60828439999997</v>
      </c>
      <c r="CW33" s="12">
        <f t="shared" si="13"/>
        <v>0</v>
      </c>
      <c r="CX33" s="254">
        <f t="shared" si="13"/>
        <v>0</v>
      </c>
      <c r="CY33" s="275">
        <f t="shared" si="13"/>
        <v>0</v>
      </c>
      <c r="CZ33" s="13"/>
      <c r="DA33" s="240">
        <f>(D33+'[2]январь 20'!D33)/(AY33+'[2]январь 20'!AX33)</f>
        <v>2.0713932766954737</v>
      </c>
      <c r="DB33" s="241">
        <f>(T33+'[2]январь 20'!R33)/(AY33+'[2]январь 20'!AX33)</f>
        <v>1.2421804142375859</v>
      </c>
      <c r="DD33" s="292">
        <f t="shared" si="14"/>
        <v>11.734</v>
      </c>
      <c r="DE33" s="291">
        <v>0.56999999999999995</v>
      </c>
      <c r="DF33" s="291">
        <v>13.2</v>
      </c>
      <c r="DG33" s="145">
        <f t="shared" si="15"/>
        <v>11.667116200000001</v>
      </c>
      <c r="DH33" s="293">
        <f t="shared" si="31"/>
        <v>2.0052855968749999</v>
      </c>
      <c r="DJ33" s="322"/>
    </row>
    <row r="34" spans="1:114" s="76" customFormat="1" ht="16.5" customHeight="1" thickBot="1">
      <c r="A34" s="144">
        <v>28</v>
      </c>
      <c r="B34" s="122">
        <f t="shared" si="16"/>
        <v>220.60300000000001</v>
      </c>
      <c r="C34" s="123">
        <f t="shared" si="17"/>
        <v>1.5806176706572441</v>
      </c>
      <c r="D34" s="145">
        <f t="shared" si="18"/>
        <v>217.11610999999999</v>
      </c>
      <c r="E34" s="125">
        <f t="shared" si="19"/>
        <v>39.67202345389682</v>
      </c>
      <c r="F34" s="146">
        <f t="shared" si="20"/>
        <v>2.2691901128762542</v>
      </c>
      <c r="G34" s="127"/>
      <c r="H34" s="126">
        <f t="shared" si="21"/>
        <v>1.620068039297659</v>
      </c>
      <c r="I34" s="230">
        <f>'[1]июль 20'!AI33</f>
        <v>0</v>
      </c>
      <c r="J34" s="247">
        <f>'[1]январь 20'!AA33</f>
        <v>8.9499999999999993</v>
      </c>
      <c r="K34" s="276">
        <f>'[1]сентябрь 20'!AM33</f>
        <v>0</v>
      </c>
      <c r="L34" s="122">
        <f t="shared" si="22"/>
        <v>62.107999999999997</v>
      </c>
      <c r="M34" s="128">
        <f t="shared" si="23"/>
        <v>0.6491220735785953</v>
      </c>
      <c r="N34" s="400">
        <f>'[1]январь 20'!W33</f>
        <v>0</v>
      </c>
      <c r="O34" s="403">
        <f>'[1]январь 20'!AU33</f>
        <v>6.048</v>
      </c>
      <c r="P34" s="401">
        <f t="shared" si="0"/>
        <v>126.797</v>
      </c>
      <c r="Q34" s="122">
        <f t="shared" si="24"/>
        <v>126.797</v>
      </c>
      <c r="R34" s="123">
        <f t="shared" si="25"/>
        <v>1.78</v>
      </c>
      <c r="S34" s="170">
        <v>2.33</v>
      </c>
      <c r="T34" s="125">
        <f t="shared" si="1"/>
        <v>124.54001339999999</v>
      </c>
      <c r="U34" s="147">
        <f t="shared" si="2"/>
        <v>1.3016305748327759</v>
      </c>
      <c r="V34" s="169">
        <v>95.68</v>
      </c>
      <c r="W34" s="169">
        <v>64.14</v>
      </c>
      <c r="X34" s="170">
        <v>0.71</v>
      </c>
      <c r="Y34" s="166">
        <v>521</v>
      </c>
      <c r="Z34" s="166">
        <v>1151</v>
      </c>
      <c r="AA34" s="148" t="s">
        <v>114</v>
      </c>
      <c r="AB34" s="164">
        <v>77.569999999999993</v>
      </c>
      <c r="AC34" s="166">
        <v>91</v>
      </c>
      <c r="AD34" s="171">
        <v>3</v>
      </c>
      <c r="AE34" s="164">
        <v>7.85</v>
      </c>
      <c r="AF34" s="172">
        <f t="shared" si="3"/>
        <v>82.044314381270908</v>
      </c>
      <c r="AG34" s="173"/>
      <c r="AH34" s="170">
        <v>35.049999999999997</v>
      </c>
      <c r="AI34" s="134">
        <f t="shared" si="4"/>
        <v>366.3252508361204</v>
      </c>
      <c r="AJ34" s="174">
        <v>10.3</v>
      </c>
      <c r="AK34" s="175"/>
      <c r="AL34" s="176">
        <v>4.2699999999999996</v>
      </c>
      <c r="AM34" s="177">
        <v>29.45</v>
      </c>
      <c r="AN34" s="126">
        <f t="shared" si="26"/>
        <v>0.22927209030751267</v>
      </c>
      <c r="AO34" s="178" t="s">
        <v>154</v>
      </c>
      <c r="AP34" s="177">
        <v>11.75</v>
      </c>
      <c r="AQ34" s="177">
        <v>6.51</v>
      </c>
      <c r="AR34" s="171"/>
      <c r="AS34" s="164">
        <v>6.69</v>
      </c>
      <c r="AT34" s="149">
        <v>128.44999999999999</v>
      </c>
      <c r="AU34" s="164">
        <v>0.95</v>
      </c>
      <c r="AV34" s="164"/>
      <c r="AW34" s="164"/>
      <c r="AX34" s="179">
        <f t="shared" si="5"/>
        <v>0</v>
      </c>
      <c r="AY34" s="125">
        <f t="shared" si="6"/>
        <v>95.679999999999993</v>
      </c>
      <c r="AZ34" s="125">
        <f t="shared" si="32"/>
        <v>99.54016081610429</v>
      </c>
      <c r="BA34" s="159">
        <f t="shared" si="7"/>
        <v>1.8164292253521124</v>
      </c>
      <c r="BB34" s="159">
        <f t="shared" si="8"/>
        <v>3.8271999999999999</v>
      </c>
      <c r="BC34" s="180">
        <f t="shared" si="9"/>
        <v>0.8616652065431456</v>
      </c>
      <c r="BD34" s="159">
        <f t="shared" si="27"/>
        <v>5.6436292253521128</v>
      </c>
      <c r="BE34" s="167">
        <v>0.92300000000000004</v>
      </c>
      <c r="BF34" s="25">
        <f t="shared" si="28"/>
        <v>3499.3299999999995</v>
      </c>
      <c r="BG34" s="25">
        <f t="shared" si="10"/>
        <v>116.12903225806451</v>
      </c>
      <c r="BH34" s="25">
        <f t="shared" si="29"/>
        <v>3251.6129032258041</v>
      </c>
      <c r="BI34" s="26">
        <f t="shared" si="11"/>
        <v>1</v>
      </c>
      <c r="BJ34" s="37">
        <f t="shared" si="30"/>
        <v>3251.6129032258041</v>
      </c>
      <c r="BK34" s="38"/>
      <c r="BL34" s="30">
        <v>158.495</v>
      </c>
      <c r="BM34" s="43"/>
      <c r="BN34" s="43">
        <v>62.107999999999997</v>
      </c>
      <c r="BO34" s="281"/>
      <c r="BP34" s="281"/>
      <c r="BQ34" s="44"/>
      <c r="BR34" s="45"/>
      <c r="BS34" s="46">
        <v>2.2000000000000002</v>
      </c>
      <c r="BT34" s="47"/>
      <c r="BU34" s="47"/>
      <c r="BV34" s="283"/>
      <c r="BW34" s="283"/>
      <c r="BX34" s="48"/>
      <c r="BY34" s="45"/>
      <c r="BZ34" s="46">
        <v>37.69</v>
      </c>
      <c r="CA34" s="47"/>
      <c r="CB34" s="47">
        <v>44.73</v>
      </c>
      <c r="CC34" s="283"/>
      <c r="CD34" s="283"/>
      <c r="CE34" s="48"/>
      <c r="CF34" s="49">
        <v>126.797</v>
      </c>
      <c r="CG34" s="49"/>
      <c r="CH34" s="43"/>
      <c r="CI34" s="32"/>
      <c r="CJ34" s="33">
        <v>1.78</v>
      </c>
      <c r="CK34" s="33"/>
      <c r="CL34" s="35"/>
      <c r="CM34" s="36"/>
      <c r="CN34" s="270"/>
      <c r="CO34" s="249">
        <f t="shared" si="33"/>
        <v>0</v>
      </c>
      <c r="CP34" s="12">
        <f t="shared" si="33"/>
        <v>155.00810999999999</v>
      </c>
      <c r="CQ34" s="12">
        <f t="shared" si="33"/>
        <v>0</v>
      </c>
      <c r="CR34" s="12">
        <f t="shared" si="33"/>
        <v>62.107999999999997</v>
      </c>
      <c r="CS34" s="11">
        <f t="shared" si="33"/>
        <v>0</v>
      </c>
      <c r="CT34" s="11">
        <f t="shared" si="33"/>
        <v>0</v>
      </c>
      <c r="CU34" s="272">
        <f t="shared" si="33"/>
        <v>0</v>
      </c>
      <c r="CV34" s="249">
        <f t="shared" si="13"/>
        <v>124.54001339999999</v>
      </c>
      <c r="CW34" s="12">
        <f t="shared" si="13"/>
        <v>0</v>
      </c>
      <c r="CX34" s="249">
        <f t="shared" si="13"/>
        <v>0</v>
      </c>
      <c r="CY34" s="272">
        <f t="shared" si="13"/>
        <v>0</v>
      </c>
      <c r="CZ34" s="13"/>
      <c r="DA34" s="240">
        <f>(D34+'[2]январь 20'!D34)/(AY34+'[2]январь 20'!AX34)</f>
        <v>2.2696453611567322</v>
      </c>
      <c r="DB34" s="241">
        <f>(T34+'[2]январь 20'!R34)/(AY34+'[2]январь 20'!AX34)</f>
        <v>1.3681126248671627</v>
      </c>
      <c r="DD34" s="292">
        <f t="shared" si="14"/>
        <v>8.9499999999999993</v>
      </c>
      <c r="DE34" s="291">
        <v>0.32</v>
      </c>
      <c r="DF34" s="291">
        <v>22.62</v>
      </c>
      <c r="DG34" s="145">
        <f t="shared" si="15"/>
        <v>8.92136</v>
      </c>
      <c r="DH34" s="293">
        <f t="shared" si="31"/>
        <v>2.6015362021400028</v>
      </c>
      <c r="DJ34" s="322"/>
    </row>
    <row r="35" spans="1:114" s="76" customFormat="1" ht="16.5" customHeight="1" thickBot="1">
      <c r="A35" s="144">
        <v>29</v>
      </c>
      <c r="B35" s="122">
        <f t="shared" si="16"/>
        <v>273.35900000000004</v>
      </c>
      <c r="C35" s="123">
        <f t="shared" si="17"/>
        <v>1.5143299104840153</v>
      </c>
      <c r="D35" s="145">
        <f t="shared" si="18"/>
        <v>269.21944290000005</v>
      </c>
      <c r="E35" s="125">
        <f t="shared" si="19"/>
        <v>39.850668864021294</v>
      </c>
      <c r="F35" s="146">
        <f t="shared" si="20"/>
        <v>1.7643321508617871</v>
      </c>
      <c r="G35" s="127"/>
      <c r="H35" s="126">
        <f t="shared" si="21"/>
        <v>1.2230384881053806</v>
      </c>
      <c r="I35" s="230">
        <f>'[1]июль 20'!AI34</f>
        <v>0</v>
      </c>
      <c r="J35" s="247">
        <f>'[1]январь 20'!AA34</f>
        <v>11.372999999999999</v>
      </c>
      <c r="K35" s="276">
        <f>'[1]сентябрь 20'!AM34</f>
        <v>0</v>
      </c>
      <c r="L35" s="122">
        <f t="shared" si="22"/>
        <v>82.596000000000004</v>
      </c>
      <c r="M35" s="128">
        <f t="shared" si="23"/>
        <v>0.54129366275640611</v>
      </c>
      <c r="N35" s="400">
        <f>'[1]январь 20'!W34</f>
        <v>0</v>
      </c>
      <c r="O35" s="403">
        <f>'[1]январь 20'!AU34</f>
        <v>7.3079999999999998</v>
      </c>
      <c r="P35" s="401">
        <f t="shared" si="0"/>
        <v>157.834</v>
      </c>
      <c r="Q35" s="122">
        <f t="shared" si="24"/>
        <v>157.834</v>
      </c>
      <c r="R35" s="123">
        <f t="shared" si="25"/>
        <v>1.93</v>
      </c>
      <c r="S35" s="129">
        <v>3.08</v>
      </c>
      <c r="T35" s="125">
        <f t="shared" si="1"/>
        <v>154.78780379999998</v>
      </c>
      <c r="U35" s="147">
        <f t="shared" si="2"/>
        <v>1.0144033278720754</v>
      </c>
      <c r="V35" s="130">
        <v>152.59</v>
      </c>
      <c r="W35" s="130">
        <v>152.59</v>
      </c>
      <c r="X35" s="129">
        <v>0.35</v>
      </c>
      <c r="Y35" s="150">
        <v>524</v>
      </c>
      <c r="Z35" s="150">
        <v>1159</v>
      </c>
      <c r="AA35" s="148" t="s">
        <v>155</v>
      </c>
      <c r="AB35" s="149">
        <v>76.72</v>
      </c>
      <c r="AC35" s="150">
        <v>112</v>
      </c>
      <c r="AD35" s="151">
        <v>4</v>
      </c>
      <c r="AE35" s="181">
        <v>2.7</v>
      </c>
      <c r="AF35" s="134">
        <f t="shared" si="3"/>
        <v>17.694475391572194</v>
      </c>
      <c r="AG35" s="182"/>
      <c r="AH35" s="129">
        <v>104.15</v>
      </c>
      <c r="AI35" s="134">
        <f t="shared" si="4"/>
        <v>682.54800445638648</v>
      </c>
      <c r="AJ35" s="136">
        <v>15.77</v>
      </c>
      <c r="AK35" s="154"/>
      <c r="AL35" s="155">
        <v>7.06</v>
      </c>
      <c r="AM35" s="183">
        <v>35.619999999999997</v>
      </c>
      <c r="AN35" s="126">
        <f t="shared" si="26"/>
        <v>0.18436853002070394</v>
      </c>
      <c r="AO35" s="184" t="s">
        <v>156</v>
      </c>
      <c r="AP35" s="183">
        <v>10.11</v>
      </c>
      <c r="AQ35" s="183">
        <v>6.61</v>
      </c>
      <c r="AR35" s="185"/>
      <c r="AS35" s="181">
        <v>9.51</v>
      </c>
      <c r="AT35" s="149">
        <v>193.2</v>
      </c>
      <c r="AU35" s="181">
        <v>2.0699999999999998</v>
      </c>
      <c r="AV35" s="149"/>
      <c r="AW35" s="149"/>
      <c r="AX35" s="158">
        <f t="shared" si="5"/>
        <v>0</v>
      </c>
      <c r="AY35" s="125">
        <f t="shared" si="6"/>
        <v>152.58999999999997</v>
      </c>
      <c r="AZ35" s="125">
        <f t="shared" si="32"/>
        <v>125.206805651214</v>
      </c>
      <c r="BA35" s="159">
        <f t="shared" si="7"/>
        <v>7.6726278169014082</v>
      </c>
      <c r="BB35" s="160">
        <f t="shared" si="8"/>
        <v>6.1035999999999992</v>
      </c>
      <c r="BC35" s="161">
        <f t="shared" si="9"/>
        <v>1.0911705367225661</v>
      </c>
      <c r="BD35" s="160">
        <f t="shared" si="27"/>
        <v>13.776227816901407</v>
      </c>
      <c r="BE35" s="162">
        <v>0.92900000000000005</v>
      </c>
      <c r="BF35" s="25">
        <f t="shared" si="28"/>
        <v>3651.9199999999996</v>
      </c>
      <c r="BG35" s="25">
        <f t="shared" si="10"/>
        <v>116.12903225806451</v>
      </c>
      <c r="BH35" s="25">
        <f t="shared" si="29"/>
        <v>3367.7419354838685</v>
      </c>
      <c r="BI35" s="26">
        <f t="shared" si="11"/>
        <v>1</v>
      </c>
      <c r="BJ35" s="37">
        <f t="shared" si="30"/>
        <v>3367.7419354838685</v>
      </c>
      <c r="BK35" s="38"/>
      <c r="BL35" s="31">
        <v>190.76300000000001</v>
      </c>
      <c r="BM35" s="31"/>
      <c r="BN35" s="31">
        <v>82.596000000000004</v>
      </c>
      <c r="BO35" s="40"/>
      <c r="BP35" s="40"/>
      <c r="BQ35" s="32"/>
      <c r="BR35" s="33"/>
      <c r="BS35" s="34">
        <v>2.17</v>
      </c>
      <c r="BT35" s="35"/>
      <c r="BU35" s="35"/>
      <c r="BV35" s="235"/>
      <c r="BW35" s="235"/>
      <c r="BX35" s="36"/>
      <c r="BY35" s="33"/>
      <c r="BZ35" s="34">
        <v>37.369999999999997</v>
      </c>
      <c r="CA35" s="35"/>
      <c r="CB35" s="35">
        <v>45.58</v>
      </c>
      <c r="CC35" s="235"/>
      <c r="CD35" s="235"/>
      <c r="CE35" s="36"/>
      <c r="CF35" s="30">
        <v>157.834</v>
      </c>
      <c r="CG35" s="30"/>
      <c r="CH35" s="31"/>
      <c r="CI35" s="50"/>
      <c r="CJ35" s="33">
        <v>1.93</v>
      </c>
      <c r="CK35" s="33"/>
      <c r="CL35" s="35"/>
      <c r="CM35" s="36"/>
      <c r="CN35" s="270"/>
      <c r="CO35" s="249">
        <f t="shared" si="33"/>
        <v>0</v>
      </c>
      <c r="CP35" s="12">
        <f t="shared" si="33"/>
        <v>186.62344289999999</v>
      </c>
      <c r="CQ35" s="12">
        <f t="shared" si="33"/>
        <v>0</v>
      </c>
      <c r="CR35" s="12">
        <f t="shared" si="33"/>
        <v>82.596000000000004</v>
      </c>
      <c r="CS35" s="11">
        <f t="shared" si="33"/>
        <v>0</v>
      </c>
      <c r="CT35" s="11">
        <f t="shared" si="33"/>
        <v>0</v>
      </c>
      <c r="CU35" s="272">
        <f t="shared" si="33"/>
        <v>0</v>
      </c>
      <c r="CV35" s="249">
        <f t="shared" si="13"/>
        <v>154.78780379999998</v>
      </c>
      <c r="CW35" s="12">
        <f t="shared" si="13"/>
        <v>0</v>
      </c>
      <c r="CX35" s="249">
        <f t="shared" si="13"/>
        <v>0</v>
      </c>
      <c r="CY35" s="272">
        <f t="shared" si="13"/>
        <v>0</v>
      </c>
      <c r="CZ35" s="13"/>
      <c r="DA35" s="240">
        <f>(D35+'[2]январь 20'!D35)/(AY35+'[2]январь 20'!AX35)</f>
        <v>1.6917913179208939</v>
      </c>
      <c r="DB35" s="241">
        <f>(T35+'[2]январь 20'!R35)/(AY35+'[2]январь 20'!AX35)</f>
        <v>1.0201612164818745</v>
      </c>
      <c r="DD35" s="292">
        <f t="shared" si="14"/>
        <v>11.372999999999999</v>
      </c>
      <c r="DE35" s="291">
        <v>0.44</v>
      </c>
      <c r="DF35" s="291">
        <v>21.18</v>
      </c>
      <c r="DG35" s="145">
        <f t="shared" si="15"/>
        <v>11.3229588</v>
      </c>
      <c r="DH35" s="293">
        <f t="shared" si="31"/>
        <v>3.1259158939520328</v>
      </c>
      <c r="DJ35" s="322"/>
    </row>
    <row r="36" spans="1:114" s="76" customFormat="1" ht="16.5" customHeight="1" thickBot="1">
      <c r="A36" s="144">
        <v>30</v>
      </c>
      <c r="B36" s="122">
        <f t="shared" si="16"/>
        <v>235.43799999999999</v>
      </c>
      <c r="C36" s="123">
        <f t="shared" si="17"/>
        <v>1.1903133733721829</v>
      </c>
      <c r="D36" s="145">
        <f t="shared" si="18"/>
        <v>232.63554999999999</v>
      </c>
      <c r="E36" s="125">
        <f t="shared" si="19"/>
        <v>39.573442350002971</v>
      </c>
      <c r="F36" s="146">
        <f t="shared" si="20"/>
        <v>2.3933698559670784</v>
      </c>
      <c r="G36" s="127"/>
      <c r="H36" s="126">
        <f t="shared" si="21"/>
        <v>1.667155864197531</v>
      </c>
      <c r="I36" s="230">
        <f>'[1]июль 20'!AI35</f>
        <v>0</v>
      </c>
      <c r="J36" s="247">
        <f>'[1]январь 20'!AA35</f>
        <v>10.093999999999999</v>
      </c>
      <c r="K36" s="276">
        <f>'[1]сентябрь 20'!AM35</f>
        <v>0</v>
      </c>
      <c r="L36" s="122">
        <f t="shared" si="22"/>
        <v>70.587999999999994</v>
      </c>
      <c r="M36" s="128">
        <f t="shared" si="23"/>
        <v>0.72621399176954737</v>
      </c>
      <c r="N36" s="400">
        <f>'[1]январь 20'!W35</f>
        <v>0</v>
      </c>
      <c r="O36" s="403">
        <f>'[1]январь 20'!AU35</f>
        <v>5.2619999999999996</v>
      </c>
      <c r="P36" s="401">
        <f t="shared" si="0"/>
        <v>134.59200000000001</v>
      </c>
      <c r="Q36" s="122">
        <f t="shared" si="24"/>
        <v>134.59200000000001</v>
      </c>
      <c r="R36" s="123">
        <f t="shared" si="25"/>
        <v>1.75</v>
      </c>
      <c r="S36" s="129">
        <v>26.44</v>
      </c>
      <c r="T36" s="125">
        <f t="shared" si="1"/>
        <v>132.23664000000002</v>
      </c>
      <c r="U36" s="147">
        <f t="shared" si="2"/>
        <v>1.3604592592592597</v>
      </c>
      <c r="V36" s="130">
        <v>97.2</v>
      </c>
      <c r="W36" s="130">
        <v>31.66</v>
      </c>
      <c r="X36" s="129">
        <v>1.33</v>
      </c>
      <c r="Y36" s="150">
        <v>510</v>
      </c>
      <c r="Z36" s="150">
        <v>1127</v>
      </c>
      <c r="AA36" s="148" t="s">
        <v>130</v>
      </c>
      <c r="AB36" s="149">
        <v>76.56</v>
      </c>
      <c r="AC36" s="150">
        <v>97</v>
      </c>
      <c r="AD36" s="151">
        <v>3</v>
      </c>
      <c r="AE36" s="149">
        <v>4.1500000000000004</v>
      </c>
      <c r="AF36" s="134">
        <f t="shared" si="3"/>
        <v>42.695473251028815</v>
      </c>
      <c r="AG36" s="152"/>
      <c r="AH36" s="129">
        <v>51.55</v>
      </c>
      <c r="AI36" s="134">
        <f t="shared" si="4"/>
        <v>530.3497942386831</v>
      </c>
      <c r="AJ36" s="153">
        <v>11.91</v>
      </c>
      <c r="AK36" s="154"/>
      <c r="AL36" s="155">
        <v>3.86</v>
      </c>
      <c r="AM36" s="156">
        <v>29.79</v>
      </c>
      <c r="AN36" s="126">
        <f t="shared" si="26"/>
        <v>0.22941855987678089</v>
      </c>
      <c r="AO36" s="157" t="s">
        <v>157</v>
      </c>
      <c r="AP36" s="156">
        <v>12.05</v>
      </c>
      <c r="AQ36" s="156">
        <v>6.51</v>
      </c>
      <c r="AR36" s="151"/>
      <c r="AS36" s="149">
        <v>7.73</v>
      </c>
      <c r="AT36" s="149">
        <v>129.85</v>
      </c>
      <c r="AU36" s="149">
        <v>1</v>
      </c>
      <c r="AV36" s="149"/>
      <c r="AW36" s="149"/>
      <c r="AX36" s="158">
        <f t="shared" si="5"/>
        <v>0</v>
      </c>
      <c r="AY36" s="125">
        <f t="shared" si="6"/>
        <v>97.199999999999989</v>
      </c>
      <c r="AZ36" s="125">
        <f t="shared" si="32"/>
        <v>106.56913823200733</v>
      </c>
      <c r="BA36" s="159">
        <f t="shared" si="7"/>
        <v>3.0868285211267601</v>
      </c>
      <c r="BB36" s="160">
        <f t="shared" si="8"/>
        <v>3.8879999999999995</v>
      </c>
      <c r="BC36" s="161">
        <f t="shared" si="9"/>
        <v>0.80832922009593677</v>
      </c>
      <c r="BD36" s="160">
        <f t="shared" si="27"/>
        <v>6.97482852112676</v>
      </c>
      <c r="BE36" s="162">
        <v>0.92600000000000005</v>
      </c>
      <c r="BF36" s="25">
        <f t="shared" si="28"/>
        <v>3749.1199999999994</v>
      </c>
      <c r="BG36" s="25">
        <f t="shared" si="10"/>
        <v>116.12903225806451</v>
      </c>
      <c r="BH36" s="25">
        <f t="shared" si="29"/>
        <v>3483.8709677419329</v>
      </c>
      <c r="BI36" s="26">
        <f t="shared" si="11"/>
        <v>1</v>
      </c>
      <c r="BJ36" s="37">
        <f t="shared" si="30"/>
        <v>3483.8709677419329</v>
      </c>
      <c r="BK36" s="38"/>
      <c r="BL36" s="31">
        <v>164.85</v>
      </c>
      <c r="BM36" s="31"/>
      <c r="BN36" s="31">
        <v>70.587999999999994</v>
      </c>
      <c r="BO36" s="40"/>
      <c r="BP36" s="40"/>
      <c r="BQ36" s="32"/>
      <c r="BR36" s="33"/>
      <c r="BS36" s="34">
        <v>1.7</v>
      </c>
      <c r="BT36" s="35"/>
      <c r="BU36" s="35"/>
      <c r="BV36" s="235"/>
      <c r="BW36" s="235"/>
      <c r="BX36" s="36"/>
      <c r="BY36" s="33"/>
      <c r="BZ36" s="34">
        <v>37.04</v>
      </c>
      <c r="CA36" s="35"/>
      <c r="CB36" s="35">
        <v>45.49</v>
      </c>
      <c r="CC36" s="235"/>
      <c r="CD36" s="235"/>
      <c r="CE36" s="36"/>
      <c r="CF36" s="30">
        <v>134.59200000000001</v>
      </c>
      <c r="CG36" s="30"/>
      <c r="CH36" s="34"/>
      <c r="CI36" s="50"/>
      <c r="CJ36" s="33">
        <v>1.75</v>
      </c>
      <c r="CK36" s="33"/>
      <c r="CL36" s="35"/>
      <c r="CM36" s="36"/>
      <c r="CN36" s="270"/>
      <c r="CO36" s="249">
        <f t="shared" si="33"/>
        <v>0</v>
      </c>
      <c r="CP36" s="12">
        <f t="shared" si="33"/>
        <v>162.04755</v>
      </c>
      <c r="CQ36" s="12">
        <f t="shared" si="33"/>
        <v>0</v>
      </c>
      <c r="CR36" s="12">
        <f t="shared" si="33"/>
        <v>70.587999999999994</v>
      </c>
      <c r="CS36" s="11">
        <f t="shared" si="33"/>
        <v>0</v>
      </c>
      <c r="CT36" s="11">
        <f t="shared" si="33"/>
        <v>0</v>
      </c>
      <c r="CU36" s="272">
        <f t="shared" si="33"/>
        <v>0</v>
      </c>
      <c r="CV36" s="249">
        <f t="shared" si="13"/>
        <v>132.23664000000002</v>
      </c>
      <c r="CW36" s="12">
        <f t="shared" si="13"/>
        <v>0</v>
      </c>
      <c r="CX36" s="249">
        <f t="shared" si="13"/>
        <v>0</v>
      </c>
      <c r="CY36" s="274">
        <f t="shared" si="13"/>
        <v>0</v>
      </c>
      <c r="CZ36" s="13"/>
      <c r="DA36" s="240">
        <f>(D36+'[2]январь 20'!D36)/(AY36+'[2]январь 20'!AX36)</f>
        <v>2.3008656343917417</v>
      </c>
      <c r="DB36" s="241">
        <f>(T36+'[2]январь 20'!R36)/(AY36+'[2]январь 20'!AX36)</f>
        <v>1.386046779040899</v>
      </c>
      <c r="DD36" s="292">
        <f t="shared" si="14"/>
        <v>10.093999999999999</v>
      </c>
      <c r="DE36" s="291">
        <v>0.17</v>
      </c>
      <c r="DF36" s="291">
        <v>12.1</v>
      </c>
      <c r="DG36" s="145">
        <f t="shared" si="15"/>
        <v>10.076840199999999</v>
      </c>
      <c r="DH36" s="293">
        <f t="shared" si="31"/>
        <v>1.5926040545977009</v>
      </c>
      <c r="DJ36" s="322"/>
    </row>
    <row r="37" spans="1:114" s="76" customFormat="1" ht="16.5" customHeight="1" thickBot="1">
      <c r="A37" s="186">
        <v>31</v>
      </c>
      <c r="B37" s="122">
        <f t="shared" si="16"/>
        <v>278.12299999999999</v>
      </c>
      <c r="C37" s="123">
        <f t="shared" si="17"/>
        <v>1.3325560633245002</v>
      </c>
      <c r="D37" s="187">
        <f t="shared" si="18"/>
        <v>274.41685509999996</v>
      </c>
      <c r="E37" s="285">
        <f t="shared" si="19"/>
        <v>39.705590548066859</v>
      </c>
      <c r="F37" s="189">
        <f t="shared" si="20"/>
        <v>1.724698982464961</v>
      </c>
      <c r="G37" s="127"/>
      <c r="H37" s="126">
        <f t="shared" si="21"/>
        <v>1.1962343982150712</v>
      </c>
      <c r="I37" s="230">
        <f>'[1]июль 20'!AI36</f>
        <v>0</v>
      </c>
      <c r="J37" s="277">
        <f>'[1]январь 20'!AA36</f>
        <v>11.516999999999999</v>
      </c>
      <c r="K37" s="276">
        <f>'[1]сентябрь 20'!AM36</f>
        <v>0</v>
      </c>
      <c r="L37" s="122">
        <f t="shared" si="22"/>
        <v>84.084000000000003</v>
      </c>
      <c r="M37" s="128">
        <f t="shared" si="23"/>
        <v>0.52846458424988996</v>
      </c>
      <c r="N37" s="128">
        <f>'[1]январь 20'!W36</f>
        <v>0</v>
      </c>
      <c r="O37" s="399">
        <f>'[1]январь 20'!AU36</f>
        <v>5.8049999999999997</v>
      </c>
      <c r="P37" s="125">
        <f t="shared" si="0"/>
        <v>169.05699999999999</v>
      </c>
      <c r="Q37" s="122">
        <f t="shared" si="24"/>
        <v>169.05699999999999</v>
      </c>
      <c r="R37" s="123">
        <f t="shared" si="25"/>
        <v>1.8099999999999998</v>
      </c>
      <c r="S37" s="190">
        <v>9.68</v>
      </c>
      <c r="T37" s="125">
        <f t="shared" si="1"/>
        <v>165.9970683</v>
      </c>
      <c r="U37" s="191">
        <f t="shared" si="2"/>
        <v>1.0432849494060712</v>
      </c>
      <c r="V37" s="192">
        <v>159.11000000000001</v>
      </c>
      <c r="W37" s="192">
        <v>159.11000000000001</v>
      </c>
      <c r="X37" s="190">
        <v>0.44</v>
      </c>
      <c r="Y37" s="193">
        <v>503</v>
      </c>
      <c r="Z37" s="194">
        <v>1154</v>
      </c>
      <c r="AA37" s="195" t="s">
        <v>159</v>
      </c>
      <c r="AB37" s="196">
        <v>76.56</v>
      </c>
      <c r="AC37" s="194">
        <v>114</v>
      </c>
      <c r="AD37" s="193">
        <v>4</v>
      </c>
      <c r="AE37" s="196"/>
      <c r="AF37" s="134">
        <f t="shared" si="3"/>
        <v>0</v>
      </c>
      <c r="AG37" s="197"/>
      <c r="AH37" s="190">
        <v>99.15</v>
      </c>
      <c r="AI37" s="134">
        <f t="shared" si="4"/>
        <v>623.15379297341451</v>
      </c>
      <c r="AJ37" s="196">
        <v>13.71</v>
      </c>
      <c r="AK37" s="198"/>
      <c r="AL37" s="199">
        <v>4.1399999999999997</v>
      </c>
      <c r="AM37" s="200">
        <v>29.8</v>
      </c>
      <c r="AN37" s="126">
        <f t="shared" si="26"/>
        <v>0.15436415436415435</v>
      </c>
      <c r="AO37" s="201" t="s">
        <v>160</v>
      </c>
      <c r="AP37" s="200">
        <v>10.83</v>
      </c>
      <c r="AQ37" s="201">
        <v>6.69</v>
      </c>
      <c r="AR37" s="193"/>
      <c r="AS37" s="196">
        <v>10.49</v>
      </c>
      <c r="AT37" s="242">
        <v>193.05</v>
      </c>
      <c r="AU37" s="196"/>
      <c r="AV37" s="196"/>
      <c r="AW37" s="196"/>
      <c r="AX37" s="202">
        <f t="shared" si="5"/>
        <v>0</v>
      </c>
      <c r="AY37" s="188">
        <f t="shared" si="6"/>
        <v>159.11000000000001</v>
      </c>
      <c r="AZ37" s="125">
        <f t="shared" si="32"/>
        <v>126.27978611257201</v>
      </c>
      <c r="BA37" s="203">
        <f t="shared" si="7"/>
        <v>8.056984859154932</v>
      </c>
      <c r="BB37" s="204">
        <f t="shared" si="8"/>
        <v>6.3644000000000007</v>
      </c>
      <c r="BC37" s="205">
        <f t="shared" si="9"/>
        <v>1.1179875259233534</v>
      </c>
      <c r="BD37" s="206">
        <f t="shared" si="27"/>
        <v>14.421384859154934</v>
      </c>
      <c r="BE37" s="207">
        <v>0.93200000000000005</v>
      </c>
      <c r="BF37" s="25">
        <f t="shared" si="28"/>
        <v>3908.2299999999996</v>
      </c>
      <c r="BG37" s="25">
        <f t="shared" si="10"/>
        <v>116.12903225806451</v>
      </c>
      <c r="BH37" s="25">
        <f t="shared" si="29"/>
        <v>3599.9999999999973</v>
      </c>
      <c r="BI37" s="26">
        <f t="shared" si="11"/>
        <v>1</v>
      </c>
      <c r="BJ37" s="37">
        <f t="shared" si="30"/>
        <v>3599.9999999999973</v>
      </c>
      <c r="BK37" s="51"/>
      <c r="BL37" s="53">
        <v>194.03899999999999</v>
      </c>
      <c r="BM37" s="53"/>
      <c r="BN37" s="421">
        <v>84.084000000000003</v>
      </c>
      <c r="BO37" s="282"/>
      <c r="BP37" s="282"/>
      <c r="BQ37" s="54"/>
      <c r="BR37" s="55"/>
      <c r="BS37" s="52">
        <v>1.91</v>
      </c>
      <c r="BT37" s="56"/>
      <c r="BU37" s="56"/>
      <c r="BV37" s="284"/>
      <c r="BW37" s="284"/>
      <c r="BX37" s="57"/>
      <c r="BY37" s="55"/>
      <c r="BZ37" s="52">
        <v>37.159999999999997</v>
      </c>
      <c r="CA37" s="56"/>
      <c r="CB37" s="56">
        <v>45.58</v>
      </c>
      <c r="CC37" s="284"/>
      <c r="CD37" s="284"/>
      <c r="CE37" s="57"/>
      <c r="CF37" s="58">
        <v>169.05699999999999</v>
      </c>
      <c r="CG37" s="58"/>
      <c r="CH37" s="52"/>
      <c r="CI37" s="54"/>
      <c r="CJ37" s="33">
        <v>1.81</v>
      </c>
      <c r="CK37" s="265"/>
      <c r="CL37" s="59"/>
      <c r="CM37" s="60"/>
      <c r="CN37" s="270"/>
      <c r="CO37" s="269">
        <f t="shared" si="33"/>
        <v>0</v>
      </c>
      <c r="CP37" s="18">
        <f t="shared" si="33"/>
        <v>190.33285509999999</v>
      </c>
      <c r="CQ37" s="18">
        <f t="shared" si="33"/>
        <v>0</v>
      </c>
      <c r="CR37" s="18">
        <f t="shared" si="33"/>
        <v>84.084000000000003</v>
      </c>
      <c r="CS37" s="251">
        <f t="shared" si="33"/>
        <v>0</v>
      </c>
      <c r="CT37" s="11">
        <f t="shared" si="33"/>
        <v>0</v>
      </c>
      <c r="CU37" s="273">
        <f t="shared" si="33"/>
        <v>0</v>
      </c>
      <c r="CV37" s="269">
        <f t="shared" si="13"/>
        <v>165.9970683</v>
      </c>
      <c r="CW37" s="18">
        <f t="shared" si="13"/>
        <v>0</v>
      </c>
      <c r="CX37" s="261">
        <f t="shared" si="13"/>
        <v>0</v>
      </c>
      <c r="CY37" s="273">
        <f t="shared" si="13"/>
        <v>0</v>
      </c>
      <c r="CZ37" s="13"/>
      <c r="DA37" s="240">
        <f>(D37+'[2]январь 20'!D37)/(AY37+'[2]январь 20'!AX37)</f>
        <v>1.9493003564139195</v>
      </c>
      <c r="DB37" s="241">
        <f>(T37+'[2]январь 20'!R37)/(AY37+'[2]январь 20'!AX37)</f>
        <v>1.19883934151444</v>
      </c>
      <c r="DD37" s="292">
        <f t="shared" si="14"/>
        <v>11.516999999999999</v>
      </c>
      <c r="DE37" s="294">
        <v>0.41</v>
      </c>
      <c r="DF37" s="294">
        <v>13.59</v>
      </c>
      <c r="DG37" s="323">
        <f t="shared" si="15"/>
        <v>11.4697803</v>
      </c>
      <c r="DH37" s="293">
        <f t="shared" si="31"/>
        <v>2.0359758918103448</v>
      </c>
      <c r="DJ37" s="322"/>
    </row>
    <row r="38" spans="1:114" s="214" customFormat="1" ht="16.5" customHeight="1" thickBot="1">
      <c r="A38" s="91" t="s">
        <v>56</v>
      </c>
      <c r="B38" s="92">
        <f>SUM(B7:B37)</f>
        <v>8216.1900040000019</v>
      </c>
      <c r="C38" s="330"/>
      <c r="D38" s="331">
        <f>SUM(D7:D37)</f>
        <v>7988.3944258099318</v>
      </c>
      <c r="E38" s="332"/>
      <c r="F38" s="331"/>
      <c r="G38" s="333">
        <f>SUM(G7:G37)</f>
        <v>0</v>
      </c>
      <c r="H38" s="329"/>
      <c r="I38" s="334">
        <f>SUM(I7:I37)</f>
        <v>0</v>
      </c>
      <c r="J38" s="329">
        <f>SUM(J7:J37)</f>
        <v>334.60799999999995</v>
      </c>
      <c r="K38" s="329">
        <f>SUM(K7:K37)</f>
        <v>0</v>
      </c>
      <c r="L38" s="396">
        <f>SUM(L7:L37)</f>
        <v>2377.0600000000004</v>
      </c>
      <c r="M38" s="335"/>
      <c r="N38" s="329">
        <f>SUM(N7:N37)</f>
        <v>20.901999999999997</v>
      </c>
      <c r="O38" s="418">
        <f>SUM(O7:O37)</f>
        <v>101.83600000000001</v>
      </c>
      <c r="P38" s="330">
        <f>SUM(P7:P37)</f>
        <v>4775.1160019999988</v>
      </c>
      <c r="Q38" s="396">
        <f>SUM(Q7:Q37)</f>
        <v>4775.1160019999988</v>
      </c>
      <c r="R38" s="336">
        <f>IF(Q38=0,0,(CA38*CH38+CE38*CI38+CF38*CJ38)/Q38)</f>
        <v>0</v>
      </c>
      <c r="S38" s="398">
        <f>SUM(S7:S37)</f>
        <v>445.58999999999992</v>
      </c>
      <c r="T38" s="331">
        <f>SUM(T7:T37)</f>
        <v>4689.8759059000004</v>
      </c>
      <c r="U38" s="337"/>
      <c r="V38" s="90">
        <f>SUM(V7:V37)</f>
        <v>3466.67</v>
      </c>
      <c r="W38" s="229">
        <f>SUM(W7:W37)</f>
        <v>2703.2799999999997</v>
      </c>
      <c r="X38" s="338"/>
      <c r="Y38" s="337"/>
      <c r="Z38" s="339"/>
      <c r="AA38" s="340"/>
      <c r="AB38" s="338"/>
      <c r="AC38" s="339"/>
      <c r="AD38" s="339">
        <f>SUM(AD7:AD37)</f>
        <v>121</v>
      </c>
      <c r="AE38" s="90">
        <f>SUM(AE7:AE37)</f>
        <v>369.84999999999991</v>
      </c>
      <c r="AF38" s="341"/>
      <c r="AG38" s="342">
        <f>SUM(AG7:AG37)</f>
        <v>0</v>
      </c>
      <c r="AH38" s="90">
        <f>SUM(AH7:AH37)</f>
        <v>2335.7500000000005</v>
      </c>
      <c r="AI38" s="341"/>
      <c r="AJ38" s="332">
        <f>SUM(AJ7:AJ37)</f>
        <v>435.51</v>
      </c>
      <c r="AK38" s="343"/>
      <c r="AL38" s="397">
        <f>SUM(AL7:AL37)</f>
        <v>208.70000000000005</v>
      </c>
      <c r="AM38" s="417">
        <f>SUM(AM7:AM37)</f>
        <v>1095.94</v>
      </c>
      <c r="AN38" s="345"/>
      <c r="AO38" s="342"/>
      <c r="AP38" s="332"/>
      <c r="AQ38" s="342"/>
      <c r="AR38" s="342"/>
      <c r="AS38" s="346"/>
      <c r="AT38" s="332">
        <f>SUM(AT7:AT37)</f>
        <v>5162.8000000000011</v>
      </c>
      <c r="AU38" s="332">
        <f>SUM(AU7:AU37)</f>
        <v>50.070000000000007</v>
      </c>
      <c r="AV38" s="347">
        <f>SUM(AV7:AV37)</f>
        <v>0</v>
      </c>
      <c r="AW38" s="332">
        <f>SUM(AW7:AW37)</f>
        <v>0</v>
      </c>
      <c r="AX38" s="331"/>
      <c r="AY38" s="90">
        <f>SUM(AY7:AY37)</f>
        <v>3908.2299999999996</v>
      </c>
      <c r="AZ38" s="330">
        <f>SUM(AZ7:AZ37)</f>
        <v>3725.8891406566663</v>
      </c>
      <c r="BA38" s="342">
        <f>SUM(BA7:BA37)</f>
        <v>164.42502535211273</v>
      </c>
      <c r="BB38" s="342">
        <f>SUM(BB7:BB37)</f>
        <v>156.32920000000001</v>
      </c>
      <c r="BC38" s="332"/>
      <c r="BD38" s="89">
        <f>SUM(BD7:BD37)</f>
        <v>320.75422535211266</v>
      </c>
      <c r="BE38" s="348"/>
      <c r="BF38" s="19"/>
      <c r="BG38" s="19">
        <f t="shared" si="10"/>
        <v>0</v>
      </c>
      <c r="BH38" s="19"/>
      <c r="BI38" s="208">
        <f>SUM(BI7:BI37)</f>
        <v>31</v>
      </c>
      <c r="BJ38" s="209"/>
      <c r="BK38" s="278">
        <f t="shared" ref="BK38:BQ38" si="34">SUM(BK7:BK37)</f>
        <v>874.53700099999992</v>
      </c>
      <c r="BL38" s="61">
        <f t="shared" si="34"/>
        <v>4964.5929999999998</v>
      </c>
      <c r="BM38" s="61">
        <f t="shared" si="34"/>
        <v>9.9999999999999995E-7</v>
      </c>
      <c r="BN38" s="61">
        <f t="shared" si="34"/>
        <v>1705.3059999999998</v>
      </c>
      <c r="BO38" s="61">
        <f t="shared" si="34"/>
        <v>9.9999999999999995E-7</v>
      </c>
      <c r="BP38" s="61">
        <f t="shared" si="34"/>
        <v>9.9999999999999995E-7</v>
      </c>
      <c r="BQ38" s="64">
        <f t="shared" si="34"/>
        <v>671.75399999999991</v>
      </c>
      <c r="BR38" s="63"/>
      <c r="BS38" s="24"/>
      <c r="BT38" s="24"/>
      <c r="BU38" s="24"/>
      <c r="BV38" s="62"/>
      <c r="BW38" s="62"/>
      <c r="BX38" s="65"/>
      <c r="BY38" s="63"/>
      <c r="BZ38" s="24"/>
      <c r="CA38" s="24"/>
      <c r="CB38" s="24"/>
      <c r="CC38" s="62"/>
      <c r="CD38" s="62"/>
      <c r="CE38" s="62"/>
      <c r="CF38" s="66">
        <f>SUM(CF7:CF37)</f>
        <v>1874.349001</v>
      </c>
      <c r="CG38" s="66">
        <f>SUM(CG7:CG37)</f>
        <v>2334.35</v>
      </c>
      <c r="CH38" s="61">
        <f>SUM(CH7:CH37)</f>
        <v>566.41699999999992</v>
      </c>
      <c r="CI38" s="67">
        <f>SUM(CI7:CI37)</f>
        <v>9.9999999999999995E-7</v>
      </c>
      <c r="CJ38" s="210"/>
      <c r="CK38" s="266"/>
      <c r="CL38" s="211"/>
      <c r="CM38" s="212"/>
      <c r="CN38" s="213"/>
      <c r="CO38" s="68">
        <f t="shared" ref="CO38:CY38" si="35">SUM(CO7:CO37)</f>
        <v>762.35037720000003</v>
      </c>
      <c r="CP38" s="69">
        <f t="shared" si="35"/>
        <v>4848.9840468000011</v>
      </c>
      <c r="CQ38" s="70">
        <f t="shared" si="35"/>
        <v>9.9999998999999992E-7</v>
      </c>
      <c r="CR38" s="69">
        <f t="shared" si="35"/>
        <v>1705.30599926796</v>
      </c>
      <c r="CS38" s="72">
        <f t="shared" si="35"/>
        <v>9.9999998999999992E-7</v>
      </c>
      <c r="CT38" s="72">
        <f t="shared" si="35"/>
        <v>9.9999998999999992E-7</v>
      </c>
      <c r="CU38" s="71">
        <f t="shared" si="35"/>
        <v>671.75399954196996</v>
      </c>
      <c r="CV38" s="72">
        <f t="shared" si="35"/>
        <v>1841.3246527999997</v>
      </c>
      <c r="CW38" s="72">
        <f t="shared" si="35"/>
        <v>2293.0709947</v>
      </c>
      <c r="CX38" s="72">
        <f t="shared" si="35"/>
        <v>555.48025739999991</v>
      </c>
      <c r="CY38" s="72">
        <f t="shared" si="35"/>
        <v>9.9999998999999992E-7</v>
      </c>
      <c r="CZ38" s="70"/>
      <c r="DA38" s="240">
        <f>(D38+'[2]январь 20'!D38)/(AY38+'[2]январь 20'!AX38)</f>
        <v>2.0834668017573157</v>
      </c>
      <c r="DB38" s="241">
        <f>(T38+'[2]январь 20'!R38)/(AY38+'[2]январь 20'!AX38)</f>
        <v>1.252951641870675</v>
      </c>
      <c r="DD38" s="295">
        <f>SUM(DD7:DD37)</f>
        <v>334.60799999999995</v>
      </c>
      <c r="DE38" s="296">
        <f>(SUMPRODUCT(DD7:DD37,DE7:DE37))/DD38</f>
        <v>0.403050704107493</v>
      </c>
      <c r="DF38" s="296">
        <f>(SUMPRODUCT(DD7:DD37,DF7:DF37))/DD38</f>
        <v>14.911050991010377</v>
      </c>
      <c r="DG38" s="296">
        <f>(SUMPRODUCT(DE7:DE37,DG7:DG37))/DE38</f>
        <v>332.93658968329629</v>
      </c>
      <c r="DH38" s="324">
        <f>IF(J38=0,0,(DG38*DF38%)/(AB39/100))</f>
        <v>65.148437390667354</v>
      </c>
    </row>
    <row r="39" spans="1:114" s="214" customFormat="1" ht="16.5" customHeight="1" thickBot="1">
      <c r="A39" s="93" t="s">
        <v>57</v>
      </c>
      <c r="B39" s="349">
        <f>B38/AU2</f>
        <v>265.0383872258065</v>
      </c>
      <c r="C39" s="349">
        <f>(BK38*BR39+BM38*BT39+BQ38*BX39+BL38*BS39+BN38*BU39+BO38*BV39+BP38*BW39)/B38</f>
        <v>2.7725208165727562</v>
      </c>
      <c r="D39" s="350">
        <f>D38/AU2</f>
        <v>257.69014276806234</v>
      </c>
      <c r="E39" s="349">
        <f>(BK38*BY39+BM38*CA39+BQ38*CE39+BL38*BZ39+BN38*CB39+BO38*CC39+BP38*CD39)/B38</f>
        <v>39.997542874496538</v>
      </c>
      <c r="F39" s="351">
        <f>IF($AY$38=0,0,$D$38/$AY$38)</f>
        <v>2.0439929138791557</v>
      </c>
      <c r="G39" s="352">
        <f>G38/AU2</f>
        <v>0</v>
      </c>
      <c r="H39" s="353">
        <f>IF($AY$38=0,0,(CP38+CO38+CS38+CQ38+CT38)/AY38)</f>
        <v>1.435773848263793</v>
      </c>
      <c r="I39" s="349">
        <f>I38/AU2</f>
        <v>0</v>
      </c>
      <c r="J39" s="349">
        <f>J38/AU2</f>
        <v>10.793806451612902</v>
      </c>
      <c r="K39" s="349">
        <f>K38/AU2</f>
        <v>0</v>
      </c>
      <c r="L39" s="349">
        <f>L38/AU2</f>
        <v>76.679354838709685</v>
      </c>
      <c r="M39" s="354">
        <f>IF($AY$38=0,0,(CR38+CU38)/$AY$38)</f>
        <v>0.6082190656153631</v>
      </c>
      <c r="N39" s="349">
        <f>N38/AU2</f>
        <v>0.67425806451612891</v>
      </c>
      <c r="O39" s="349">
        <f>O38/AU2</f>
        <v>3.2850322580645166</v>
      </c>
      <c r="P39" s="349">
        <f>P38/AU2</f>
        <v>154.03600006451609</v>
      </c>
      <c r="Q39" s="349">
        <f>Q38/AU2</f>
        <v>154.03600006451609</v>
      </c>
      <c r="R39" s="349">
        <f>(SUMPRODUCT(R7:R37,Q7:Q37))/Q38</f>
        <v>1.7850895363442114</v>
      </c>
      <c r="S39" s="355">
        <f>S38/AU2</f>
        <v>14.373870967741933</v>
      </c>
      <c r="T39" s="356"/>
      <c r="U39" s="354">
        <f>IF($AY$38=0,0,$T$38/$AY$38)</f>
        <v>1.1999999759226045</v>
      </c>
      <c r="V39" s="349">
        <f>V38/AU2</f>
        <v>111.82806451612903</v>
      </c>
      <c r="W39" s="349">
        <f>W38/AU2</f>
        <v>87.202580645161277</v>
      </c>
      <c r="X39" s="349">
        <f>(SUMPRODUCT(X7:X37,AY7:AY37))/AY38</f>
        <v>0.7701370697220995</v>
      </c>
      <c r="Y39" s="357">
        <f>AVERAGE(Y7:Y37)</f>
        <v>534.67741935483866</v>
      </c>
      <c r="Z39" s="357">
        <f>AVERAGE(Z7:Z37)</f>
        <v>1183.2903225806451</v>
      </c>
      <c r="AA39" s="357"/>
      <c r="AB39" s="349">
        <f>(SUMPRODUCT(AB7:AB37,AY7:AY37))/AY38</f>
        <v>76.201896229239338</v>
      </c>
      <c r="AC39" s="358">
        <f>AVERAGE(AC7:AC37)</f>
        <v>108.3225806451613</v>
      </c>
      <c r="AD39" s="358">
        <f>AVERAGE(AD7:AD37)</f>
        <v>3.903225806451613</v>
      </c>
      <c r="AE39" s="349">
        <f>AE38/AU2</f>
        <v>11.93064516129032</v>
      </c>
      <c r="AF39" s="355">
        <f>IF(AY38=0,0,AE38/AY38*1000)</f>
        <v>94.633632104558828</v>
      </c>
      <c r="AG39" s="356" t="e">
        <f>AG38/$AW$2</f>
        <v>#DIV/0!</v>
      </c>
      <c r="AH39" s="349">
        <f>AH38/AU2</f>
        <v>75.346774193548399</v>
      </c>
      <c r="AI39" s="355">
        <f>IF(AY38=0,0,AH38/AY38*1000)</f>
        <v>597.64906364262106</v>
      </c>
      <c r="AJ39" s="349">
        <f>AJ38/AU2</f>
        <v>14.048709677419355</v>
      </c>
      <c r="AK39" s="359"/>
      <c r="AL39" s="349">
        <f>AL38/AU2</f>
        <v>6.7322580645161301</v>
      </c>
      <c r="AM39" s="349">
        <f>AM38/AU2</f>
        <v>35.35290322580645</v>
      </c>
      <c r="AN39" s="360">
        <f>IF(AM39=0,0,AM39/AT39)</f>
        <v>0.21227628418687527</v>
      </c>
      <c r="AO39" s="356"/>
      <c r="AP39" s="349">
        <f>AVERAGE(AP7:AP37)</f>
        <v>13.903225806451612</v>
      </c>
      <c r="AQ39" s="349">
        <f>AVERAGE(AQ7:AQ37)</f>
        <v>6.4812903225806444</v>
      </c>
      <c r="AR39" s="356"/>
      <c r="AS39" s="349">
        <f>AVERAGE(AS7:AS37)</f>
        <v>9.0616129032258073</v>
      </c>
      <c r="AT39" s="349">
        <f>AT38/AU2</f>
        <v>166.54193548387101</v>
      </c>
      <c r="AU39" s="349">
        <f>AU38/AU2</f>
        <v>1.6151612903225809</v>
      </c>
      <c r="AV39" s="349" t="e">
        <f>AV38/$AW$2</f>
        <v>#DIV/0!</v>
      </c>
      <c r="AW39" s="349" t="e">
        <f>AW38/$AW$2</f>
        <v>#DIV/0!</v>
      </c>
      <c r="AX39" s="349" t="e">
        <f>IF(AY39=0,0,AW39/AY39*100)</f>
        <v>#DIV/0!</v>
      </c>
      <c r="AY39" s="349">
        <f>AY38/AU2</f>
        <v>126.07193548387096</v>
      </c>
      <c r="AZ39" s="349">
        <f>AZ38/AU2</f>
        <v>120.1899722792473</v>
      </c>
      <c r="BA39" s="356"/>
      <c r="BB39" s="356"/>
      <c r="BC39" s="351">
        <f>(AY38*AB39)/(D38*E39)</f>
        <v>0.93207976578471941</v>
      </c>
      <c r="BD39" s="349">
        <f>BD38/AU2</f>
        <v>10.346910495229441</v>
      </c>
      <c r="BE39" s="361"/>
      <c r="BF39" s="19"/>
      <c r="BG39" s="19"/>
      <c r="BH39" s="19"/>
      <c r="BI39" s="19"/>
      <c r="BJ39" s="215"/>
      <c r="BK39" s="73"/>
      <c r="BL39" s="216"/>
      <c r="BM39" s="216"/>
      <c r="BN39" s="216"/>
      <c r="BO39" s="219"/>
      <c r="BP39" s="219"/>
      <c r="BQ39" s="217"/>
      <c r="BR39" s="73">
        <f t="shared" ref="BR39:BX39" si="36">(SUMPRODUCT(BK7:BK37,BR7:BR37))/BK38</f>
        <v>12.828116325749381</v>
      </c>
      <c r="BS39" s="29">
        <f t="shared" si="36"/>
        <v>2.3286693028008534</v>
      </c>
      <c r="BT39" s="29">
        <f t="shared" si="36"/>
        <v>9.9999999999999995E-7</v>
      </c>
      <c r="BU39" s="29">
        <f t="shared" si="36"/>
        <v>4.292719312545666E-8</v>
      </c>
      <c r="BV39" s="29">
        <f t="shared" si="36"/>
        <v>9.9999999999999995E-7</v>
      </c>
      <c r="BW39" s="29">
        <f t="shared" si="36"/>
        <v>9.9999999999999995E-7</v>
      </c>
      <c r="BX39" s="74">
        <f t="shared" si="36"/>
        <v>6.8184186473024355E-8</v>
      </c>
      <c r="BY39" s="73">
        <f t="shared" ref="BY39:CE39" si="37">(SUMPRODUCT(BK7:BK37,BY7:BY37))/BK38</f>
        <v>42.242988836100714</v>
      </c>
      <c r="BZ39" s="29">
        <f t="shared" si="37"/>
        <v>37.002585791020522</v>
      </c>
      <c r="CA39" s="29">
        <f t="shared" si="37"/>
        <v>9.9999999999999995E-7</v>
      </c>
      <c r="CB39" s="29">
        <f t="shared" si="37"/>
        <v>45.871462570353962</v>
      </c>
      <c r="CC39" s="29">
        <f t="shared" si="37"/>
        <v>9.9999999999999995E-7</v>
      </c>
      <c r="CD39" s="29">
        <f t="shared" si="37"/>
        <v>9.9999999999999995E-7</v>
      </c>
      <c r="CE39" s="74">
        <f t="shared" si="37"/>
        <v>44.29701413017267</v>
      </c>
      <c r="CF39" s="218"/>
      <c r="CG39" s="218"/>
      <c r="CH39" s="216"/>
      <c r="CI39" s="219"/>
      <c r="CJ39" s="75">
        <f>(SUMPRODUCT(CF7:CF37,CJ7:CJ37))/CF38</f>
        <v>1.7619103049848726</v>
      </c>
      <c r="CK39" s="75">
        <f>(SUMPRODUCT(CG7:CG37,CK7:CK37))/CG38</f>
        <v>1.7683297406130187</v>
      </c>
      <c r="CL39" s="29">
        <f>(SUMPRODUCT(CH7:CH37,CL7:CL37))/CH38</f>
        <v>1.9308641160134674</v>
      </c>
      <c r="CM39" s="74">
        <f>(SUMPRODUCT(CI7:CI37,CM7:CM37))/CI38</f>
        <v>9.9999999999999995E-7</v>
      </c>
      <c r="CN39" s="19"/>
      <c r="CO39" s="596">
        <f>CO38+CP38</f>
        <v>5611.3344240000015</v>
      </c>
      <c r="CP39" s="596"/>
      <c r="CQ39" s="597">
        <f>CQ38+CR38+CU38+CS38+CT38</f>
        <v>2377.0600018099294</v>
      </c>
      <c r="CR39" s="597"/>
      <c r="CS39" s="597"/>
      <c r="CT39" s="597"/>
      <c r="CU39" s="597"/>
      <c r="CV39" s="597">
        <f>CV38+CX38+CY38+CW38</f>
        <v>4689.8759058999995</v>
      </c>
      <c r="CW39" s="597"/>
      <c r="CX39" s="597"/>
      <c r="CY39" s="597"/>
      <c r="DA39" s="236"/>
      <c r="DB39" s="238"/>
      <c r="DD39" s="297"/>
      <c r="DE39" s="298"/>
      <c r="DF39" s="298"/>
      <c r="DG39" s="299"/>
      <c r="DH39" s="300"/>
    </row>
    <row r="40" spans="1:114" s="214" customFormat="1" ht="16.5" customHeight="1" thickBot="1">
      <c r="A40" s="94" t="s">
        <v>58</v>
      </c>
      <c r="B40" s="362"/>
      <c r="C40" s="362"/>
      <c r="D40" s="363"/>
      <c r="E40" s="364">
        <v>39.9</v>
      </c>
      <c r="F40" s="363">
        <v>2.08</v>
      </c>
      <c r="G40" s="365"/>
      <c r="H40" s="410">
        <v>1.4144000000000001</v>
      </c>
      <c r="I40" s="363"/>
      <c r="J40" s="363">
        <v>9.2899999999999991</v>
      </c>
      <c r="K40" s="363"/>
      <c r="L40" s="363"/>
      <c r="M40" s="410">
        <v>0.66559999999999997</v>
      </c>
      <c r="N40" s="363"/>
      <c r="O40" s="363">
        <v>5.806</v>
      </c>
      <c r="P40" s="366"/>
      <c r="Q40" s="362"/>
      <c r="R40" s="367"/>
      <c r="S40" s="368">
        <v>13.587092999999999</v>
      </c>
      <c r="T40" s="362"/>
      <c r="U40" s="369">
        <v>1.3</v>
      </c>
      <c r="V40" s="370">
        <v>3600</v>
      </c>
      <c r="W40" s="370">
        <v>3600</v>
      </c>
      <c r="X40" s="371"/>
      <c r="Y40" s="371"/>
      <c r="Z40" s="372">
        <v>1190</v>
      </c>
      <c r="AA40" s="372"/>
      <c r="AB40" s="362">
        <v>76</v>
      </c>
      <c r="AC40" s="362"/>
      <c r="AD40" s="362"/>
      <c r="AE40" s="362"/>
      <c r="AF40" s="362"/>
      <c r="AG40" s="362"/>
      <c r="AH40" s="362"/>
      <c r="AI40" s="362">
        <v>620</v>
      </c>
      <c r="AJ40" s="373"/>
      <c r="AK40" s="374"/>
      <c r="AL40" s="375"/>
      <c r="AM40" s="362"/>
      <c r="AN40" s="362"/>
      <c r="AO40" s="362"/>
      <c r="AP40" s="362"/>
      <c r="AQ40" s="362"/>
      <c r="AR40" s="362"/>
      <c r="AS40" s="362"/>
      <c r="AT40" s="376">
        <v>3600</v>
      </c>
      <c r="AU40" s="377">
        <v>25.2</v>
      </c>
      <c r="AV40" s="377"/>
      <c r="AW40" s="378"/>
      <c r="AX40" s="362"/>
      <c r="AY40" s="379">
        <v>116.13</v>
      </c>
      <c r="AZ40" s="362"/>
      <c r="BA40" s="362"/>
      <c r="BB40" s="362"/>
      <c r="BC40" s="363">
        <v>0.9</v>
      </c>
      <c r="BD40" s="362"/>
      <c r="BE40" s="380"/>
      <c r="BF40" s="19"/>
      <c r="BG40" s="19"/>
      <c r="BH40" s="19"/>
      <c r="BI40" s="19"/>
      <c r="BJ40" s="215"/>
      <c r="BK40" s="220"/>
      <c r="BL40" s="221"/>
      <c r="BM40" s="216"/>
      <c r="BN40" s="216"/>
      <c r="BO40" s="219"/>
      <c r="BP40" s="219"/>
      <c r="BQ40" s="217"/>
      <c r="BR40" s="218"/>
      <c r="BS40" s="216"/>
      <c r="BT40" s="216"/>
      <c r="BU40" s="216"/>
      <c r="BV40" s="219"/>
      <c r="BW40" s="219"/>
      <c r="BX40" s="217"/>
      <c r="BY40" s="218"/>
      <c r="BZ40" s="216"/>
      <c r="CA40" s="216"/>
      <c r="CB40" s="216"/>
      <c r="CC40" s="219"/>
      <c r="CD40" s="219"/>
      <c r="CE40" s="217"/>
      <c r="CF40" s="218"/>
      <c r="CG40" s="218"/>
      <c r="CH40" s="216"/>
      <c r="CI40" s="219"/>
      <c r="CJ40" s="220"/>
      <c r="CK40" s="218"/>
      <c r="CL40" s="216"/>
      <c r="CM40" s="217"/>
      <c r="CN40" s="213"/>
      <c r="CO40" s="604">
        <f>CO39+CQ39</f>
        <v>7988.3944258099309</v>
      </c>
      <c r="CP40" s="604"/>
      <c r="CQ40" s="604"/>
      <c r="CR40" s="604"/>
      <c r="CS40" s="604"/>
      <c r="CT40" s="604"/>
      <c r="CU40" s="604"/>
      <c r="DA40" s="237"/>
      <c r="DB40" s="239"/>
      <c r="DD40" s="301"/>
      <c r="DE40" s="302"/>
      <c r="DF40" s="302"/>
      <c r="DG40" s="303"/>
      <c r="DH40" s="304"/>
    </row>
    <row r="41" spans="1:114" s="214" customFormat="1" ht="16.5" customHeight="1" thickBot="1">
      <c r="A41" s="95" t="s">
        <v>59</v>
      </c>
      <c r="B41" s="381"/>
      <c r="C41" s="381"/>
      <c r="D41" s="382"/>
      <c r="E41" s="381"/>
      <c r="F41" s="383">
        <f>F39-F40</f>
        <v>-3.6007086120844356E-2</v>
      </c>
      <c r="G41" s="384">
        <f>G39-G40</f>
        <v>0</v>
      </c>
      <c r="H41" s="383"/>
      <c r="I41" s="385">
        <f>I39-I40</f>
        <v>0</v>
      </c>
      <c r="J41" s="385"/>
      <c r="K41" s="385"/>
      <c r="L41" s="385"/>
      <c r="M41" s="385"/>
      <c r="N41" s="385"/>
      <c r="O41" s="385"/>
      <c r="P41" s="383"/>
      <c r="Q41" s="386"/>
      <c r="R41" s="385">
        <f>R39-R40</f>
        <v>1.7850895363442114</v>
      </c>
      <c r="S41" s="386"/>
      <c r="T41" s="386"/>
      <c r="U41" s="383">
        <f>U39-U40</f>
        <v>-0.1000000240773955</v>
      </c>
      <c r="V41" s="383"/>
      <c r="W41" s="383"/>
      <c r="X41" s="383"/>
      <c r="Y41" s="383"/>
      <c r="Z41" s="387">
        <f>Z39-Z40</f>
        <v>-6.7096774193548754</v>
      </c>
      <c r="AA41" s="388"/>
      <c r="AB41" s="381"/>
      <c r="AC41" s="381"/>
      <c r="AD41" s="381"/>
      <c r="AE41" s="381"/>
      <c r="AF41" s="381"/>
      <c r="AG41" s="381"/>
      <c r="AH41" s="381"/>
      <c r="AI41" s="381"/>
      <c r="AJ41" s="381"/>
      <c r="AK41" s="389"/>
      <c r="AL41" s="390"/>
      <c r="AM41" s="381"/>
      <c r="AN41" s="381"/>
      <c r="AO41" s="381"/>
      <c r="AP41" s="381"/>
      <c r="AQ41" s="381"/>
      <c r="AR41" s="381"/>
      <c r="AS41" s="381"/>
      <c r="AT41" s="391">
        <f>AT38+AV38-AT40</f>
        <v>1562.8000000000011</v>
      </c>
      <c r="AU41" s="392"/>
      <c r="AV41" s="393"/>
      <c r="AW41" s="390"/>
      <c r="AX41" s="381"/>
      <c r="AY41" s="385"/>
      <c r="AZ41" s="381"/>
      <c r="BA41" s="381"/>
      <c r="BB41" s="381"/>
      <c r="BC41" s="394"/>
      <c r="BD41" s="381"/>
      <c r="BE41" s="395"/>
      <c r="BF41" s="222"/>
      <c r="BG41" s="222"/>
      <c r="BH41" s="222"/>
      <c r="BI41" s="222"/>
      <c r="BJ41" s="222"/>
      <c r="BK41" s="223"/>
      <c r="BL41" s="224"/>
      <c r="BM41" s="225"/>
      <c r="BN41" s="225"/>
      <c r="BO41" s="224"/>
      <c r="BP41" s="224"/>
      <c r="BQ41" s="226"/>
      <c r="BR41" s="227"/>
      <c r="BS41" s="225"/>
      <c r="BT41" s="225"/>
      <c r="BU41" s="225"/>
      <c r="BV41" s="224"/>
      <c r="BW41" s="224"/>
      <c r="BX41" s="224"/>
      <c r="BY41" s="228"/>
      <c r="BZ41" s="225"/>
      <c r="CA41" s="225"/>
      <c r="CB41" s="225"/>
      <c r="CC41" s="224"/>
      <c r="CD41" s="224"/>
      <c r="CE41" s="226"/>
      <c r="CF41" s="227"/>
      <c r="CG41" s="227"/>
      <c r="CH41" s="225"/>
      <c r="CI41" s="224"/>
      <c r="CJ41" s="228"/>
      <c r="CK41" s="227"/>
      <c r="CL41" s="225"/>
      <c r="CM41" s="226"/>
      <c r="CN41" s="213"/>
      <c r="CO41" s="213"/>
      <c r="CP41" s="213"/>
      <c r="CQ41" s="213"/>
      <c r="DA41" s="21"/>
      <c r="DH41" s="309"/>
    </row>
    <row r="42" spans="1:114" ht="15" hidden="1" customHeight="1">
      <c r="A42" s="96"/>
      <c r="B42" s="96"/>
      <c r="C42" s="96"/>
      <c r="D42" s="97"/>
      <c r="E42" s="96"/>
      <c r="F42" s="98"/>
      <c r="G42" s="99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1"/>
      <c r="AF42" s="101"/>
      <c r="AG42" s="100"/>
      <c r="AH42" s="100"/>
      <c r="AI42" s="100"/>
      <c r="AJ42" s="100"/>
      <c r="AK42" s="100"/>
      <c r="AL42" s="100"/>
      <c r="AM42" s="100"/>
      <c r="AN42" s="100"/>
      <c r="AO42" s="100"/>
      <c r="AP42" s="100"/>
      <c r="AQ42" s="100"/>
      <c r="AR42" s="100"/>
      <c r="AS42" s="96"/>
      <c r="AT42" s="612"/>
      <c r="AU42" s="612"/>
      <c r="AV42" s="612"/>
      <c r="AW42" s="96"/>
      <c r="AX42" s="96"/>
      <c r="AY42" s="100"/>
      <c r="AZ42" s="100"/>
      <c r="BA42" s="100"/>
      <c r="BB42" s="100"/>
      <c r="BC42" s="100"/>
      <c r="BD42" s="100"/>
      <c r="BE42" s="100"/>
      <c r="BK42" s="20"/>
      <c r="BL42" s="20"/>
      <c r="BM42" s="20"/>
    </row>
    <row r="43" spans="1:114">
      <c r="A43" s="100"/>
      <c r="B43" s="100"/>
      <c r="C43" s="100"/>
      <c r="D43" s="102"/>
      <c r="E43" s="100"/>
      <c r="F43" s="100"/>
      <c r="G43" s="96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1"/>
      <c r="AF43" s="101"/>
      <c r="AG43" s="100"/>
      <c r="AH43" s="100"/>
      <c r="AI43" s="100"/>
      <c r="AJ43" s="100"/>
      <c r="AK43" s="100"/>
      <c r="AL43" s="100"/>
      <c r="AM43" s="100"/>
      <c r="AN43" s="100"/>
      <c r="AO43" s="100"/>
      <c r="AP43" s="100"/>
      <c r="AQ43" s="100"/>
      <c r="AR43" s="100"/>
      <c r="AS43" s="96" t="s">
        <v>60</v>
      </c>
      <c r="AT43" s="103">
        <f>AT40/BE43</f>
        <v>116.12903225806451</v>
      </c>
      <c r="AU43" s="104"/>
      <c r="AV43" s="96"/>
      <c r="AW43" s="96" t="s">
        <v>61</v>
      </c>
      <c r="AX43" s="96"/>
      <c r="AY43" s="100"/>
      <c r="AZ43" s="100"/>
      <c r="BA43" s="100"/>
      <c r="BB43" s="100"/>
      <c r="BC43" s="100"/>
      <c r="BD43" s="105" t="s">
        <v>62</v>
      </c>
      <c r="BE43" s="100">
        <v>31</v>
      </c>
      <c r="CO43" s="1"/>
    </row>
    <row r="44" spans="1:114" ht="12" customHeight="1">
      <c r="A44" s="100"/>
      <c r="B44" s="100"/>
      <c r="C44" s="100"/>
      <c r="D44" s="102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100"/>
      <c r="AG44" s="100"/>
      <c r="AH44" s="100"/>
      <c r="AI44" s="100"/>
      <c r="AJ44" s="100"/>
      <c r="AK44" s="100"/>
      <c r="AL44" s="100"/>
      <c r="AM44" s="100"/>
      <c r="AN44" s="100"/>
      <c r="AO44" s="100"/>
      <c r="AP44" s="100"/>
      <c r="AQ44" s="100"/>
      <c r="AR44" s="100"/>
      <c r="AS44" s="100"/>
      <c r="AT44" s="100"/>
      <c r="AU44" s="100"/>
      <c r="AV44" s="100"/>
      <c r="AW44" s="100"/>
      <c r="AX44" s="100"/>
      <c r="AY44" s="100"/>
      <c r="AZ44" s="100"/>
      <c r="BA44" s="100"/>
      <c r="BB44" s="100"/>
      <c r="BC44" s="100"/>
      <c r="BD44" s="96"/>
      <c r="BE44" s="96"/>
    </row>
    <row r="45" spans="1:114" ht="13.5" thickBot="1">
      <c r="A45" s="100"/>
      <c r="B45" s="100"/>
      <c r="C45" s="100"/>
      <c r="D45" s="102"/>
      <c r="E45" s="100"/>
      <c r="F45" s="100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101"/>
      <c r="AE45" s="101"/>
      <c r="AF45" s="101"/>
      <c r="AG45" s="100"/>
      <c r="AH45" s="100"/>
      <c r="AI45" s="100"/>
      <c r="AJ45" s="100"/>
      <c r="AK45" s="100"/>
      <c r="AL45" s="100"/>
      <c r="AM45" s="106" t="s">
        <v>63</v>
      </c>
      <c r="AN45" s="106"/>
      <c r="AO45" s="106"/>
      <c r="AP45" s="106"/>
      <c r="AQ45" s="106"/>
      <c r="AR45" s="106"/>
      <c r="AS45" s="107" t="s">
        <v>64</v>
      </c>
      <c r="AT45" s="108">
        <v>30</v>
      </c>
      <c r="AU45" s="108"/>
      <c r="AV45" s="100"/>
      <c r="AW45" s="100"/>
      <c r="AX45" s="100"/>
      <c r="AY45" s="100"/>
      <c r="AZ45" s="100"/>
      <c r="BA45" s="100"/>
      <c r="BB45" s="100"/>
      <c r="BC45" s="100"/>
      <c r="BD45" s="96"/>
      <c r="BE45" s="96"/>
      <c r="BL45" s="1"/>
      <c r="BO45" s="1"/>
    </row>
    <row r="46" spans="1:114" ht="12.75" customHeight="1" thickBot="1">
      <c r="A46" s="100"/>
      <c r="B46" s="100"/>
      <c r="C46" s="109" t="s">
        <v>65</v>
      </c>
      <c r="D46" s="102"/>
      <c r="E46" s="100"/>
      <c r="F46" s="100"/>
      <c r="G46" s="100"/>
      <c r="H46" s="100"/>
      <c r="I46" s="100"/>
      <c r="J46" s="100"/>
      <c r="K46" s="100"/>
      <c r="L46" s="110">
        <f>AT38/AD38</f>
        <v>42.667768595041331</v>
      </c>
      <c r="M46" s="109" t="s">
        <v>88</v>
      </c>
      <c r="N46" s="606"/>
      <c r="O46" s="606"/>
      <c r="P46" s="111"/>
      <c r="Q46" s="100"/>
      <c r="R46" s="100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101"/>
      <c r="AE46" s="101"/>
      <c r="AF46" s="101"/>
      <c r="AG46" s="100"/>
      <c r="AH46" s="100"/>
      <c r="AI46" s="100"/>
      <c r="AJ46" s="100"/>
      <c r="AK46" s="100"/>
      <c r="AL46" s="100"/>
      <c r="AM46" s="100"/>
      <c r="AN46" s="100"/>
      <c r="AO46" s="106"/>
      <c r="AP46" s="106"/>
      <c r="AQ46" s="106"/>
      <c r="AR46" s="106"/>
      <c r="AS46" s="107" t="s">
        <v>66</v>
      </c>
      <c r="AT46" s="112">
        <f>AT40/AT45</f>
        <v>120</v>
      </c>
      <c r="AU46" s="112"/>
      <c r="AV46" s="100"/>
      <c r="AW46" s="100"/>
      <c r="AX46" s="100">
        <v>0</v>
      </c>
      <c r="AY46" s="100"/>
      <c r="AZ46" s="607" t="s">
        <v>67</v>
      </c>
      <c r="BA46" s="607"/>
      <c r="BB46" s="607"/>
      <c r="BC46" s="607"/>
      <c r="BD46" s="607"/>
      <c r="BE46" s="607"/>
    </row>
    <row r="47" spans="1:114">
      <c r="A47" s="100"/>
      <c r="B47" s="100"/>
      <c r="C47" s="100"/>
      <c r="D47" s="102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100"/>
      <c r="AI47" s="100"/>
      <c r="AJ47" s="100"/>
      <c r="AK47" s="100"/>
      <c r="AL47" s="100"/>
      <c r="AM47" s="100"/>
      <c r="AN47" s="100"/>
      <c r="AO47" s="100"/>
      <c r="AP47" s="100"/>
      <c r="AQ47" s="100"/>
      <c r="AR47" s="100"/>
      <c r="AS47" s="100"/>
      <c r="AT47" s="100"/>
      <c r="AU47" s="100"/>
      <c r="AV47" s="100"/>
      <c r="AW47" s="100"/>
      <c r="AX47" s="100"/>
      <c r="AY47" s="100"/>
      <c r="AZ47" s="607"/>
      <c r="BA47" s="607"/>
      <c r="BB47" s="607"/>
      <c r="BC47" s="607"/>
      <c r="BD47" s="607"/>
      <c r="BE47" s="607"/>
    </row>
    <row r="48" spans="1:114">
      <c r="A48" s="100"/>
      <c r="B48" s="100"/>
      <c r="C48" s="100"/>
      <c r="D48" s="102"/>
      <c r="E48" s="100"/>
      <c r="F48" s="100"/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13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  <c r="AE48" s="100"/>
      <c r="AF48" s="100"/>
      <c r="AG48" s="100"/>
      <c r="AH48" s="100"/>
      <c r="AI48" s="100"/>
      <c r="AJ48" s="100"/>
      <c r="AK48" s="100"/>
      <c r="AL48" s="100"/>
      <c r="AM48" s="100"/>
      <c r="AN48" s="100"/>
      <c r="AO48" s="100"/>
      <c r="AP48" s="100"/>
      <c r="AQ48" s="100"/>
      <c r="AR48" s="100"/>
      <c r="AS48" s="100"/>
      <c r="AT48" s="100"/>
      <c r="AU48" s="100"/>
      <c r="AV48" s="100"/>
      <c r="AW48" s="100"/>
      <c r="AX48" s="100"/>
      <c r="AY48" s="100"/>
      <c r="AZ48" s="608">
        <f>BF37-BJ37</f>
        <v>308.23000000000229</v>
      </c>
      <c r="BA48" s="608"/>
      <c r="BB48" s="608"/>
      <c r="BC48" s="608"/>
      <c r="BD48" s="609" t="s">
        <v>68</v>
      </c>
      <c r="BE48" s="114"/>
    </row>
    <row r="49" spans="1:57" ht="12" customHeight="1">
      <c r="A49" s="100"/>
      <c r="B49" s="100"/>
      <c r="C49" s="100"/>
      <c r="D49" s="102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15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100"/>
      <c r="AI49" s="100"/>
      <c r="AJ49" s="100"/>
      <c r="AK49" s="100"/>
      <c r="AL49" s="100"/>
      <c r="AM49" s="100"/>
      <c r="AN49" s="100"/>
      <c r="AO49" s="100"/>
      <c r="AP49" s="100"/>
      <c r="AQ49" s="100"/>
      <c r="AR49" s="100"/>
      <c r="AS49" s="100"/>
      <c r="AT49" s="100"/>
      <c r="AU49" s="100"/>
      <c r="AV49" s="100"/>
      <c r="AW49" s="100"/>
      <c r="AX49" s="100"/>
      <c r="AY49" s="100"/>
      <c r="AZ49" s="608"/>
      <c r="BA49" s="608"/>
      <c r="BB49" s="608"/>
      <c r="BC49" s="608"/>
      <c r="BD49" s="609"/>
      <c r="BE49" s="114"/>
    </row>
    <row r="50" spans="1:57" ht="13.5" customHeight="1">
      <c r="A50" s="100"/>
      <c r="B50" s="100"/>
      <c r="C50" s="100"/>
      <c r="D50" s="102"/>
      <c r="E50" s="100"/>
      <c r="F50" s="100"/>
      <c r="G50" s="100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100"/>
      <c r="AC50" s="100"/>
      <c r="AD50" s="100"/>
      <c r="AE50" s="100"/>
      <c r="AF50" s="100"/>
      <c r="AG50" s="100"/>
      <c r="AH50" s="100"/>
      <c r="AI50" s="100"/>
      <c r="AJ50" s="100"/>
      <c r="AK50" s="100"/>
      <c r="AL50" s="100"/>
      <c r="AM50" s="100"/>
      <c r="AN50" s="100"/>
      <c r="AO50" s="100"/>
      <c r="AP50" s="100"/>
      <c r="AQ50" s="100"/>
      <c r="AR50" s="100"/>
      <c r="AS50" s="100"/>
      <c r="AT50" s="100"/>
      <c r="AU50" s="100"/>
      <c r="AV50" s="100"/>
      <c r="AW50" s="100"/>
      <c r="AX50" s="100"/>
      <c r="AY50" s="100"/>
      <c r="AZ50" s="116"/>
      <c r="BA50" s="96"/>
      <c r="BB50" s="96"/>
      <c r="BC50" s="96"/>
      <c r="BD50" s="96"/>
      <c r="BE50" s="114"/>
    </row>
    <row r="51" spans="1:57" ht="13.5" customHeight="1" thickBot="1">
      <c r="A51" s="100"/>
      <c r="B51" s="100"/>
      <c r="C51" s="100"/>
      <c r="D51" s="102"/>
      <c r="E51" s="100"/>
      <c r="F51" s="100"/>
      <c r="G51" s="100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0"/>
      <c r="AC51" s="100"/>
      <c r="AD51" s="100"/>
      <c r="AE51" s="100"/>
      <c r="AF51" s="100"/>
      <c r="AG51" s="100"/>
      <c r="AH51" s="100"/>
      <c r="AI51" s="100"/>
      <c r="AJ51" s="100"/>
      <c r="AK51" s="100"/>
      <c r="AL51" s="100"/>
      <c r="AM51" s="100"/>
      <c r="AN51" s="100"/>
      <c r="AO51" s="100"/>
      <c r="AP51" s="100"/>
      <c r="AQ51" s="100"/>
      <c r="AR51" s="100"/>
      <c r="AS51" s="100"/>
      <c r="AT51" s="100"/>
      <c r="AU51" s="100"/>
      <c r="AV51" s="100"/>
      <c r="AW51" s="100"/>
      <c r="AX51" s="100"/>
      <c r="AY51" s="100"/>
      <c r="AZ51" s="610">
        <f>AZ48/AT40*100</f>
        <v>8.5619444444445083</v>
      </c>
      <c r="BA51" s="610"/>
      <c r="BB51" s="610"/>
      <c r="BC51" s="610"/>
      <c r="BD51" s="611" t="s">
        <v>69</v>
      </c>
      <c r="BE51" s="114"/>
    </row>
    <row r="52" spans="1:57" ht="13.5" thickBot="1">
      <c r="A52" s="100"/>
      <c r="B52" s="100"/>
      <c r="C52" s="100"/>
      <c r="D52" s="102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  <c r="AF52" s="100"/>
      <c r="AG52" s="100"/>
      <c r="AH52" s="100"/>
      <c r="AI52" s="100"/>
      <c r="AJ52" s="100"/>
      <c r="AK52" s="100"/>
      <c r="AL52" s="100"/>
      <c r="AM52" s="100"/>
      <c r="AN52" s="100"/>
      <c r="AO52" s="100"/>
      <c r="AP52" s="100"/>
      <c r="AQ52" s="100"/>
      <c r="AR52" s="100"/>
      <c r="AS52" s="100"/>
      <c r="AT52" s="100"/>
      <c r="AU52" s="100"/>
      <c r="AV52" s="100"/>
      <c r="AW52" s="100"/>
      <c r="AX52" s="100"/>
      <c r="AY52" s="100"/>
      <c r="AZ52" s="610"/>
      <c r="BA52" s="610"/>
      <c r="BB52" s="610"/>
      <c r="BC52" s="610"/>
      <c r="BD52" s="611"/>
      <c r="BE52" s="117"/>
    </row>
    <row r="53" spans="1:57">
      <c r="A53" s="100"/>
      <c r="B53" s="100"/>
      <c r="C53" s="100"/>
      <c r="D53" s="102"/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100"/>
      <c r="AI53" s="100"/>
      <c r="AJ53" s="100"/>
      <c r="AK53" s="100"/>
      <c r="AL53" s="100"/>
      <c r="AM53" s="100"/>
      <c r="AN53" s="100"/>
      <c r="AO53" s="100"/>
      <c r="AP53" s="100"/>
      <c r="AQ53" s="100"/>
      <c r="AR53" s="100"/>
      <c r="AS53" s="100"/>
      <c r="AT53" s="100"/>
      <c r="AU53" s="100"/>
      <c r="AV53" s="100"/>
      <c r="AW53" s="100"/>
      <c r="AX53" s="100"/>
      <c r="AY53" s="100"/>
      <c r="AZ53" s="100"/>
      <c r="BA53" s="100"/>
      <c r="BB53" s="100"/>
      <c r="BC53" s="100"/>
      <c r="BD53" s="100"/>
      <c r="BE53" s="100"/>
    </row>
    <row r="54" spans="1:57">
      <c r="A54" s="100"/>
      <c r="B54" s="100"/>
      <c r="C54" s="100"/>
      <c r="D54" s="102"/>
      <c r="E54" s="100"/>
      <c r="F54" s="100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100"/>
      <c r="AI54" s="100"/>
      <c r="AJ54" s="100"/>
      <c r="AK54" s="100"/>
      <c r="AL54" s="100"/>
      <c r="AM54" s="100"/>
      <c r="AN54" s="100"/>
      <c r="AO54" s="100"/>
      <c r="AP54" s="100"/>
      <c r="AQ54" s="100"/>
      <c r="AR54" s="100"/>
      <c r="AS54" s="100"/>
      <c r="AT54" s="100"/>
      <c r="AU54" s="100"/>
      <c r="AV54" s="100"/>
      <c r="AW54" s="100"/>
      <c r="AX54" s="100"/>
      <c r="AY54" s="100"/>
      <c r="AZ54" s="100"/>
      <c r="BA54" s="100"/>
      <c r="BB54" s="100"/>
      <c r="BC54" s="100"/>
      <c r="BD54" s="100"/>
      <c r="BE54" s="100"/>
    </row>
    <row r="55" spans="1:57">
      <c r="A55" s="100"/>
      <c r="B55" s="100"/>
      <c r="C55" s="100"/>
      <c r="D55" s="102"/>
      <c r="E55" s="100"/>
      <c r="F55" s="100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  <c r="AH55" s="100"/>
      <c r="AI55" s="100"/>
      <c r="AJ55" s="100"/>
      <c r="AK55" s="100"/>
      <c r="AL55" s="100"/>
      <c r="AM55" s="100"/>
      <c r="AN55" s="100"/>
      <c r="AO55" s="100"/>
      <c r="AP55" s="100"/>
      <c r="AQ55" s="100"/>
      <c r="AR55" s="100"/>
      <c r="AS55" s="100"/>
      <c r="AT55" s="100"/>
      <c r="AU55" s="100"/>
      <c r="AV55" s="100"/>
      <c r="AW55" s="100"/>
      <c r="AX55" s="100"/>
      <c r="AY55" s="100"/>
      <c r="AZ55" s="100"/>
      <c r="BA55" s="100"/>
      <c r="BB55" s="100"/>
      <c r="BC55" s="100"/>
      <c r="BD55" s="100"/>
      <c r="BE55" s="100"/>
    </row>
    <row r="56" spans="1:57">
      <c r="A56" s="100"/>
      <c r="B56" s="100"/>
      <c r="C56" s="100"/>
      <c r="D56" s="102"/>
      <c r="E56" s="100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/>
      <c r="AE56" s="100"/>
      <c r="AF56" s="100"/>
      <c r="AG56" s="100"/>
      <c r="AH56" s="100"/>
      <c r="AI56" s="100"/>
      <c r="AJ56" s="100"/>
      <c r="AK56" s="100"/>
      <c r="AL56" s="100"/>
      <c r="AM56" s="100"/>
      <c r="AN56" s="100"/>
      <c r="AO56" s="100"/>
      <c r="AP56" s="100"/>
      <c r="AQ56" s="100"/>
      <c r="AR56" s="100"/>
      <c r="AS56" s="100"/>
      <c r="AT56" s="100"/>
      <c r="AU56" s="100"/>
      <c r="AV56" s="100"/>
      <c r="AW56" s="100"/>
      <c r="AX56" s="100"/>
      <c r="AY56" s="100"/>
      <c r="AZ56" s="100"/>
      <c r="BA56" s="100"/>
      <c r="BB56" s="100"/>
      <c r="BC56" s="100"/>
      <c r="BD56" s="100"/>
      <c r="BE56" s="100"/>
    </row>
    <row r="57" spans="1:57">
      <c r="A57" s="100"/>
      <c r="B57" s="100"/>
      <c r="C57" s="100"/>
      <c r="D57" s="102"/>
      <c r="E57" s="100"/>
      <c r="F57" s="100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100"/>
      <c r="AI57" s="100"/>
      <c r="AJ57" s="100"/>
      <c r="AK57" s="100"/>
      <c r="AL57" s="100"/>
      <c r="AM57" s="100"/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X57" s="100"/>
      <c r="AY57" s="100"/>
      <c r="AZ57" s="100"/>
      <c r="BA57" s="100"/>
      <c r="BB57" s="100"/>
      <c r="BC57" s="100"/>
      <c r="BD57" s="100"/>
      <c r="BE57" s="100"/>
    </row>
    <row r="58" spans="1:57">
      <c r="A58" s="100"/>
      <c r="B58" s="100"/>
      <c r="C58" s="100"/>
      <c r="D58" s="102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  <c r="AA58" s="100"/>
      <c r="AB58" s="100"/>
      <c r="AC58" s="100"/>
      <c r="AD58" s="100"/>
      <c r="AE58" s="100"/>
      <c r="AF58" s="100"/>
      <c r="AG58" s="100"/>
      <c r="AH58" s="100"/>
      <c r="AI58" s="100"/>
      <c r="AJ58" s="100"/>
      <c r="AK58" s="100"/>
      <c r="AL58" s="100"/>
      <c r="AM58" s="100"/>
      <c r="AN58" s="100"/>
      <c r="AO58" s="100"/>
      <c r="AP58" s="100"/>
      <c r="AQ58" s="100"/>
      <c r="AR58" s="100"/>
      <c r="AS58" s="100"/>
      <c r="AT58" s="100"/>
      <c r="AU58" s="100"/>
      <c r="AV58" s="100"/>
      <c r="AW58" s="100"/>
      <c r="AX58" s="100"/>
      <c r="AY58" s="100"/>
      <c r="AZ58" s="100"/>
      <c r="BA58" s="100"/>
      <c r="BB58" s="100"/>
      <c r="BC58" s="100"/>
      <c r="BD58" s="100"/>
      <c r="BE58" s="100"/>
    </row>
    <row r="59" spans="1:57">
      <c r="A59" s="100"/>
      <c r="B59" s="100"/>
      <c r="C59" s="100"/>
      <c r="D59" s="102"/>
      <c r="E59" s="100"/>
      <c r="F59" s="100"/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  <c r="AE59" s="100"/>
      <c r="AF59" s="100"/>
      <c r="AG59" s="100"/>
      <c r="AH59" s="100"/>
      <c r="AI59" s="100"/>
      <c r="AJ59" s="100"/>
      <c r="AK59" s="100"/>
      <c r="AL59" s="100"/>
      <c r="AM59" s="100"/>
      <c r="AN59" s="100"/>
      <c r="AO59" s="100"/>
      <c r="AP59" s="100"/>
      <c r="AQ59" s="100"/>
      <c r="AR59" s="100"/>
      <c r="AS59" s="100"/>
      <c r="AT59" s="100"/>
      <c r="AU59" s="100"/>
      <c r="AV59" s="100"/>
      <c r="AW59" s="100"/>
      <c r="AX59" s="100"/>
      <c r="AY59" s="100"/>
      <c r="AZ59" s="100"/>
      <c r="BA59" s="100"/>
      <c r="BB59" s="100"/>
      <c r="BC59" s="100"/>
      <c r="BD59" s="100"/>
      <c r="BE59" s="100"/>
    </row>
    <row r="60" spans="1:57">
      <c r="A60" s="100"/>
      <c r="B60" s="100"/>
      <c r="C60" s="100"/>
      <c r="D60" s="102"/>
      <c r="E60" s="100"/>
      <c r="F60" s="100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  <c r="AE60" s="100"/>
      <c r="AF60" s="100"/>
      <c r="AG60" s="100"/>
      <c r="AH60" s="100"/>
      <c r="AI60" s="100"/>
      <c r="AJ60" s="100"/>
      <c r="AK60" s="100"/>
      <c r="AL60" s="100"/>
      <c r="AM60" s="100"/>
      <c r="AN60" s="100"/>
      <c r="AO60" s="100"/>
      <c r="AP60" s="100"/>
      <c r="AQ60" s="100"/>
      <c r="AR60" s="100"/>
      <c r="AS60" s="100"/>
      <c r="AT60" s="100"/>
      <c r="AU60" s="100"/>
      <c r="AV60" s="100"/>
      <c r="AW60" s="100"/>
      <c r="AX60" s="100"/>
      <c r="AY60" s="100"/>
      <c r="AZ60" s="100"/>
      <c r="BA60" s="100"/>
      <c r="BB60" s="100"/>
      <c r="BC60" s="100"/>
      <c r="BD60" s="100"/>
      <c r="BE60" s="100"/>
    </row>
    <row r="61" spans="1:57">
      <c r="A61" s="100"/>
      <c r="B61" s="100"/>
      <c r="C61" s="100"/>
      <c r="D61" s="102"/>
      <c r="E61" s="100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/>
      <c r="AE61" s="100"/>
      <c r="AF61" s="100"/>
      <c r="AG61" s="100"/>
      <c r="AH61" s="100"/>
      <c r="AI61" s="100"/>
      <c r="AJ61" s="100"/>
      <c r="AK61" s="100"/>
      <c r="AL61" s="100"/>
      <c r="AM61" s="100"/>
      <c r="AN61" s="100"/>
      <c r="AO61" s="100"/>
      <c r="AP61" s="100"/>
      <c r="AQ61" s="100"/>
      <c r="AR61" s="100"/>
      <c r="AS61" s="100"/>
      <c r="AT61" s="100"/>
      <c r="AU61" s="100"/>
      <c r="AV61" s="100"/>
      <c r="AW61" s="100"/>
      <c r="AX61" s="100"/>
      <c r="AY61" s="100"/>
      <c r="AZ61" s="100"/>
      <c r="BA61" s="100"/>
      <c r="BB61" s="100"/>
      <c r="BC61" s="100"/>
      <c r="BD61" s="100"/>
      <c r="BE61" s="100"/>
    </row>
    <row r="62" spans="1:57">
      <c r="A62" s="100"/>
      <c r="B62" s="100"/>
      <c r="C62" s="100"/>
      <c r="D62" s="102"/>
      <c r="E62" s="100"/>
      <c r="F62" s="100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100"/>
      <c r="AC62" s="100"/>
      <c r="AD62" s="100"/>
      <c r="AE62" s="100"/>
      <c r="AF62" s="100"/>
      <c r="AG62" s="100"/>
      <c r="AH62" s="100"/>
      <c r="AI62" s="100"/>
      <c r="AJ62" s="100"/>
      <c r="AK62" s="100"/>
      <c r="AL62" s="100"/>
      <c r="AM62" s="100"/>
      <c r="AN62" s="100"/>
      <c r="AO62" s="100"/>
      <c r="AP62" s="100"/>
      <c r="AQ62" s="100"/>
      <c r="AR62" s="100"/>
      <c r="AS62" s="100"/>
      <c r="AT62" s="100"/>
      <c r="AU62" s="100"/>
      <c r="AV62" s="100"/>
      <c r="AW62" s="100"/>
      <c r="AX62" s="100"/>
      <c r="AY62" s="100"/>
      <c r="AZ62" s="100"/>
      <c r="BA62" s="100"/>
      <c r="BB62" s="100"/>
      <c r="BC62" s="100"/>
      <c r="BD62" s="100"/>
      <c r="BE62" s="100"/>
    </row>
    <row r="63" spans="1:57">
      <c r="A63" s="100"/>
      <c r="B63" s="100"/>
      <c r="C63" s="100"/>
      <c r="D63" s="102"/>
      <c r="E63" s="100"/>
      <c r="F63" s="100"/>
      <c r="G63" s="100"/>
      <c r="H63" s="100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  <c r="AA63" s="100"/>
      <c r="AB63" s="100"/>
      <c r="AC63" s="100"/>
      <c r="AD63" s="100"/>
      <c r="AE63" s="100"/>
      <c r="AF63" s="100"/>
      <c r="AG63" s="100"/>
      <c r="AH63" s="100"/>
      <c r="AI63" s="100"/>
      <c r="AJ63" s="100"/>
      <c r="AK63" s="100"/>
      <c r="AL63" s="100"/>
      <c r="AM63" s="100"/>
      <c r="AN63" s="100"/>
      <c r="AO63" s="100"/>
      <c r="AP63" s="100"/>
      <c r="AQ63" s="100"/>
      <c r="AR63" s="100"/>
      <c r="AS63" s="100"/>
      <c r="AT63" s="100"/>
      <c r="AU63" s="100"/>
      <c r="AV63" s="100"/>
      <c r="AW63" s="100"/>
      <c r="AX63" s="100"/>
      <c r="AY63" s="100"/>
      <c r="AZ63" s="100"/>
      <c r="BA63" s="100"/>
      <c r="BB63" s="100"/>
      <c r="BC63" s="100"/>
      <c r="BD63" s="100"/>
      <c r="BE63" s="100"/>
    </row>
    <row r="64" spans="1:57">
      <c r="A64" s="100"/>
      <c r="B64" s="100"/>
      <c r="C64" s="100"/>
      <c r="D64" s="102"/>
      <c r="E64" s="100"/>
      <c r="F64" s="100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  <c r="AE64" s="100"/>
      <c r="AF64" s="100"/>
      <c r="AG64" s="100"/>
      <c r="AH64" s="100"/>
      <c r="AI64" s="100"/>
      <c r="AJ64" s="100"/>
      <c r="AK64" s="100"/>
      <c r="AL64" s="100"/>
      <c r="AM64" s="100"/>
      <c r="AN64" s="100"/>
      <c r="AO64" s="100"/>
      <c r="AP64" s="100"/>
      <c r="AQ64" s="100"/>
      <c r="AR64" s="100"/>
      <c r="AS64" s="100"/>
      <c r="AT64" s="100"/>
      <c r="AU64" s="100"/>
      <c r="AV64" s="100"/>
      <c r="AW64" s="100"/>
      <c r="AX64" s="100"/>
      <c r="AY64" s="100"/>
      <c r="AZ64" s="100"/>
      <c r="BA64" s="100"/>
      <c r="BB64" s="100"/>
      <c r="BC64" s="100"/>
      <c r="BD64" s="100"/>
      <c r="BE64" s="100"/>
    </row>
    <row r="65" spans="1:57">
      <c r="A65" s="100"/>
      <c r="B65" s="100"/>
      <c r="C65" s="100"/>
      <c r="D65" s="102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/>
      <c r="AE65" s="100"/>
      <c r="AF65" s="100"/>
      <c r="AG65" s="100"/>
      <c r="AH65" s="100"/>
      <c r="AI65" s="100"/>
      <c r="AJ65" s="100"/>
      <c r="AK65" s="100"/>
      <c r="AL65" s="100"/>
      <c r="AM65" s="100"/>
      <c r="AN65" s="100"/>
      <c r="AO65" s="100"/>
      <c r="AP65" s="100"/>
      <c r="AQ65" s="100"/>
      <c r="AR65" s="100"/>
      <c r="AS65" s="100"/>
      <c r="AT65" s="100"/>
      <c r="AU65" s="100"/>
      <c r="AV65" s="100"/>
      <c r="AW65" s="100"/>
      <c r="AX65" s="100"/>
      <c r="AY65" s="100"/>
      <c r="AZ65" s="100"/>
      <c r="BA65" s="100"/>
      <c r="BB65" s="100"/>
      <c r="BC65" s="100"/>
      <c r="BD65" s="100"/>
      <c r="BE65" s="100"/>
    </row>
    <row r="66" spans="1:57">
      <c r="A66" s="100"/>
      <c r="B66" s="100"/>
      <c r="C66" s="100"/>
      <c r="D66" s="102"/>
      <c r="E66" s="100"/>
      <c r="F66" s="100"/>
      <c r="G66" s="100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/>
      <c r="AE66" s="100"/>
      <c r="AF66" s="100"/>
      <c r="AG66" s="100"/>
      <c r="AH66" s="100"/>
      <c r="AI66" s="100"/>
      <c r="AJ66" s="100"/>
      <c r="AK66" s="100"/>
      <c r="AL66" s="100"/>
      <c r="AM66" s="100"/>
      <c r="AN66" s="100"/>
      <c r="AO66" s="100"/>
      <c r="AP66" s="100"/>
      <c r="AQ66" s="100"/>
      <c r="AR66" s="100"/>
      <c r="AS66" s="100"/>
      <c r="AT66" s="100"/>
      <c r="AU66" s="100"/>
      <c r="AV66" s="100"/>
      <c r="AW66" s="100"/>
      <c r="AX66" s="100"/>
      <c r="AY66" s="100"/>
      <c r="AZ66" s="100"/>
      <c r="BA66" s="100"/>
      <c r="BB66" s="100"/>
      <c r="BC66" s="100"/>
      <c r="BD66" s="100"/>
      <c r="BE66" s="100"/>
    </row>
    <row r="67" spans="1:57">
      <c r="A67" s="100"/>
      <c r="B67" s="100"/>
      <c r="C67" s="100"/>
      <c r="D67" s="102"/>
      <c r="E67" s="100"/>
      <c r="F67" s="100"/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  <c r="AD67" s="100"/>
      <c r="AE67" s="100"/>
      <c r="AF67" s="100"/>
      <c r="AG67" s="100"/>
      <c r="AH67" s="100"/>
      <c r="AI67" s="100"/>
      <c r="AJ67" s="100"/>
      <c r="AK67" s="100"/>
      <c r="AL67" s="100"/>
      <c r="AM67" s="100"/>
      <c r="AN67" s="100"/>
      <c r="AO67" s="100"/>
      <c r="AP67" s="100"/>
      <c r="AQ67" s="100"/>
      <c r="AR67" s="100"/>
      <c r="AS67" s="100"/>
      <c r="AT67" s="100"/>
      <c r="AU67" s="100"/>
      <c r="AV67" s="100"/>
      <c r="AW67" s="100"/>
      <c r="AX67" s="100"/>
      <c r="AY67" s="100"/>
      <c r="AZ67" s="100"/>
      <c r="BA67" s="100"/>
      <c r="BB67" s="100"/>
      <c r="BC67" s="100"/>
      <c r="BD67" s="100"/>
      <c r="BE67" s="100"/>
    </row>
    <row r="68" spans="1:57">
      <c r="A68" s="100"/>
      <c r="B68" s="100"/>
      <c r="C68" s="100"/>
      <c r="D68" s="102"/>
      <c r="E68" s="100"/>
      <c r="F68" s="100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  <c r="AI68" s="100"/>
      <c r="AJ68" s="100"/>
      <c r="AK68" s="100"/>
      <c r="AL68" s="100"/>
      <c r="AM68" s="100"/>
      <c r="AN68" s="100"/>
      <c r="AO68" s="100"/>
      <c r="AP68" s="100"/>
      <c r="AQ68" s="100"/>
      <c r="AR68" s="100"/>
      <c r="AS68" s="100"/>
      <c r="AT68" s="100"/>
      <c r="AU68" s="100"/>
      <c r="AV68" s="100"/>
      <c r="AW68" s="100"/>
      <c r="AX68" s="100"/>
      <c r="AY68" s="100"/>
      <c r="AZ68" s="100"/>
      <c r="BA68" s="100"/>
      <c r="BB68" s="100"/>
      <c r="BC68" s="100"/>
      <c r="BD68" s="100"/>
      <c r="BE68" s="100"/>
    </row>
    <row r="69" spans="1:57">
      <c r="A69" s="100"/>
      <c r="B69" s="100"/>
      <c r="C69" s="100"/>
      <c r="D69" s="102"/>
      <c r="E69" s="100"/>
      <c r="F69" s="100"/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100"/>
      <c r="AC69" s="100"/>
      <c r="AD69" s="100"/>
      <c r="AE69" s="100"/>
      <c r="AF69" s="100"/>
      <c r="AG69" s="100"/>
      <c r="AH69" s="100"/>
      <c r="AI69" s="100"/>
      <c r="AJ69" s="100"/>
      <c r="AK69" s="100"/>
      <c r="AL69" s="100"/>
      <c r="AM69" s="100"/>
      <c r="AN69" s="100"/>
      <c r="AO69" s="100"/>
      <c r="AP69" s="100"/>
      <c r="AQ69" s="100"/>
      <c r="AR69" s="100"/>
      <c r="AS69" s="100"/>
      <c r="AT69" s="100"/>
      <c r="AU69" s="100"/>
      <c r="AV69" s="100"/>
      <c r="AW69" s="100"/>
      <c r="AX69" s="100"/>
      <c r="AY69" s="100"/>
      <c r="AZ69" s="100"/>
      <c r="BA69" s="100"/>
      <c r="BB69" s="100"/>
      <c r="BC69" s="100"/>
      <c r="BD69" s="100"/>
      <c r="BE69" s="100"/>
    </row>
    <row r="70" spans="1:57">
      <c r="A70" s="100"/>
      <c r="B70" s="100"/>
      <c r="C70" s="100"/>
      <c r="D70" s="102"/>
      <c r="E70" s="100"/>
      <c r="F70" s="100"/>
      <c r="G70" s="100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  <c r="AE70" s="100"/>
      <c r="AF70" s="100"/>
      <c r="AG70" s="100"/>
      <c r="AH70" s="100"/>
      <c r="AI70" s="100"/>
      <c r="AJ70" s="100"/>
      <c r="AK70" s="100"/>
      <c r="AL70" s="100"/>
      <c r="AM70" s="100"/>
      <c r="AN70" s="100"/>
      <c r="AO70" s="100"/>
      <c r="AP70" s="100"/>
      <c r="AQ70" s="100"/>
      <c r="AR70" s="100"/>
      <c r="AS70" s="100"/>
      <c r="AT70" s="100"/>
      <c r="AU70" s="100"/>
      <c r="AV70" s="100"/>
      <c r="AW70" s="100"/>
      <c r="AX70" s="100"/>
      <c r="AY70" s="100"/>
      <c r="AZ70" s="100"/>
      <c r="BA70" s="100"/>
      <c r="BB70" s="100"/>
      <c r="BC70" s="100"/>
      <c r="BD70" s="100"/>
      <c r="BE70" s="100"/>
    </row>
    <row r="71" spans="1:57" ht="18" customHeight="1">
      <c r="A71" s="318" t="s">
        <v>70</v>
      </c>
      <c r="B71" s="319"/>
      <c r="C71" s="318"/>
      <c r="D71" s="318"/>
      <c r="E71" s="318"/>
      <c r="F71" s="318"/>
      <c r="G71" s="318"/>
      <c r="H71" s="318"/>
      <c r="I71" s="318"/>
      <c r="J71" s="320"/>
      <c r="K71" s="320"/>
      <c r="L71" s="605" t="s">
        <v>158</v>
      </c>
      <c r="M71" s="605"/>
      <c r="N71" s="605"/>
      <c r="O71" s="605"/>
      <c r="P71" s="605"/>
      <c r="Q71" s="605"/>
      <c r="R71" s="109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/>
      <c r="AE71" s="100"/>
      <c r="AF71" s="100"/>
      <c r="AG71" s="100"/>
      <c r="AH71" s="100"/>
      <c r="AI71" s="100"/>
      <c r="AJ71" s="100"/>
      <c r="AK71" s="100"/>
      <c r="AL71" s="100"/>
      <c r="AM71" s="100"/>
      <c r="AN71" s="100"/>
      <c r="AO71" s="100"/>
      <c r="AP71" s="100"/>
      <c r="AQ71" s="100"/>
      <c r="AR71" s="100"/>
      <c r="AS71" s="100"/>
      <c r="AT71" s="100"/>
      <c r="AU71" s="100"/>
      <c r="AV71" s="100"/>
      <c r="AW71" s="100"/>
      <c r="AX71" s="100"/>
      <c r="AY71" s="100"/>
      <c r="AZ71" s="100"/>
      <c r="BA71" s="100"/>
      <c r="BB71" s="100"/>
      <c r="BC71" s="100"/>
      <c r="BD71" s="100"/>
      <c r="BE71" s="100"/>
    </row>
    <row r="72" spans="1:57" ht="15">
      <c r="A72" s="118"/>
      <c r="B72" s="118"/>
      <c r="C72" s="119"/>
      <c r="D72" s="120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  <c r="AE72" s="100"/>
      <c r="AF72" s="100"/>
      <c r="AG72" s="100"/>
      <c r="AH72" s="100"/>
      <c r="AI72" s="100"/>
      <c r="AJ72" s="100"/>
      <c r="AK72" s="100"/>
      <c r="AL72" s="100"/>
      <c r="AM72" s="100"/>
      <c r="AN72" s="100"/>
      <c r="AO72" s="100"/>
      <c r="AP72" s="100"/>
      <c r="AQ72" s="100"/>
      <c r="AR72" s="100"/>
      <c r="AS72" s="100"/>
      <c r="AT72" s="100"/>
      <c r="AU72" s="100"/>
      <c r="AV72" s="100"/>
      <c r="AW72" s="100"/>
      <c r="AX72" s="100"/>
      <c r="AY72" s="100"/>
      <c r="AZ72" s="100"/>
      <c r="BA72" s="100"/>
      <c r="BB72" s="100"/>
      <c r="BC72" s="100"/>
      <c r="BD72" s="100"/>
      <c r="BE72" s="100"/>
    </row>
    <row r="73" spans="1:57" ht="15.75">
      <c r="A73" s="100"/>
      <c r="B73" s="100"/>
      <c r="C73" s="100"/>
      <c r="D73" s="102"/>
      <c r="E73" s="100"/>
      <c r="F73" s="100"/>
      <c r="G73" s="100"/>
      <c r="H73" s="100"/>
      <c r="I73" s="100"/>
      <c r="J73" s="100"/>
      <c r="K73" s="100"/>
      <c r="L73" s="111"/>
      <c r="M73" s="111"/>
      <c r="N73" s="111"/>
      <c r="O73" s="111"/>
      <c r="P73" s="111"/>
      <c r="Q73" s="111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00"/>
      <c r="AK73" s="100"/>
      <c r="AL73" s="100"/>
      <c r="AM73" s="100"/>
      <c r="AN73" s="100"/>
      <c r="AO73" s="100"/>
      <c r="AP73" s="100"/>
      <c r="AQ73" s="100"/>
      <c r="AR73" s="100"/>
      <c r="AS73" s="100"/>
      <c r="AT73" s="100"/>
      <c r="AU73" s="100"/>
      <c r="AV73" s="100"/>
      <c r="AW73" s="100"/>
      <c r="AX73" s="100"/>
      <c r="AY73" s="100"/>
      <c r="AZ73" s="100"/>
      <c r="BA73" s="100"/>
      <c r="BB73" s="100"/>
      <c r="BC73" s="100"/>
      <c r="BD73" s="100"/>
      <c r="BE73" s="100"/>
    </row>
    <row r="74" spans="1:57">
      <c r="A74" s="100"/>
      <c r="B74" s="100"/>
      <c r="C74" s="100"/>
      <c r="D74" s="102"/>
      <c r="E74" s="100"/>
      <c r="F74" s="100"/>
      <c r="G74" s="100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00"/>
      <c r="AK74" s="100"/>
      <c r="AL74" s="100"/>
      <c r="AM74" s="100"/>
      <c r="AN74" s="100"/>
      <c r="AO74" s="100"/>
      <c r="AP74" s="100"/>
      <c r="AQ74" s="100"/>
      <c r="AR74" s="100"/>
      <c r="AS74" s="100"/>
      <c r="AT74" s="100"/>
      <c r="AU74" s="100"/>
      <c r="AV74" s="100"/>
      <c r="AW74" s="100"/>
      <c r="AX74" s="100"/>
      <c r="AY74" s="100"/>
      <c r="AZ74" s="100"/>
      <c r="BA74" s="100"/>
      <c r="BB74" s="100"/>
      <c r="BC74" s="100"/>
      <c r="BD74" s="100"/>
      <c r="BE74" s="100"/>
    </row>
    <row r="75" spans="1:57">
      <c r="A75" s="100"/>
      <c r="B75" s="100"/>
      <c r="C75" s="100"/>
      <c r="D75" s="102"/>
      <c r="E75" s="100"/>
      <c r="F75" s="100"/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  <c r="AD75" s="100"/>
      <c r="AE75" s="100"/>
      <c r="AF75" s="100"/>
      <c r="AG75" s="100"/>
      <c r="AH75" s="100"/>
      <c r="AI75" s="100"/>
      <c r="AJ75" s="100"/>
      <c r="AK75" s="100"/>
      <c r="AL75" s="100"/>
      <c r="AM75" s="100"/>
      <c r="AN75" s="100"/>
      <c r="AO75" s="100"/>
      <c r="AP75" s="100"/>
      <c r="AQ75" s="100"/>
      <c r="AR75" s="100"/>
      <c r="AS75" s="100"/>
      <c r="AT75" s="100"/>
      <c r="AU75" s="100"/>
      <c r="AV75" s="100"/>
      <c r="AW75" s="100"/>
      <c r="AX75" s="100"/>
      <c r="AY75" s="100"/>
      <c r="AZ75" s="100"/>
      <c r="BA75" s="100"/>
      <c r="BB75" s="100"/>
      <c r="BC75" s="100"/>
      <c r="BD75" s="100"/>
      <c r="BE75" s="100"/>
    </row>
  </sheetData>
  <sheetProtection selectLockedCells="1" selectUnlockedCells="1"/>
  <mergeCells count="78">
    <mergeCell ref="CO40:CU40"/>
    <mergeCell ref="L71:Q71"/>
    <mergeCell ref="N46:O46"/>
    <mergeCell ref="AZ46:BE47"/>
    <mergeCell ref="AZ48:BC49"/>
    <mergeCell ref="BD48:BD49"/>
    <mergeCell ref="AZ51:BC52"/>
    <mergeCell ref="BD51:BD52"/>
    <mergeCell ref="AT42:AV42"/>
    <mergeCell ref="AC3:AC6"/>
    <mergeCell ref="AD3:AD6"/>
    <mergeCell ref="DA5:DB5"/>
    <mergeCell ref="CO39:CP39"/>
    <mergeCell ref="CQ39:CU39"/>
    <mergeCell ref="CV39:CY39"/>
    <mergeCell ref="AX5:AX6"/>
    <mergeCell ref="AY5:AY6"/>
    <mergeCell ref="AJ3:AK6"/>
    <mergeCell ref="AL3:AL6"/>
    <mergeCell ref="AM3:AM6"/>
    <mergeCell ref="AN3:AN6"/>
    <mergeCell ref="AO3:AO6"/>
    <mergeCell ref="AP3:AP6"/>
    <mergeCell ref="AT5:AT6"/>
    <mergeCell ref="AW5:AW6"/>
    <mergeCell ref="Q4:Q6"/>
    <mergeCell ref="R4:R6"/>
    <mergeCell ref="S4:S6"/>
    <mergeCell ref="T4:T6"/>
    <mergeCell ref="U4:U6"/>
    <mergeCell ref="AA3:AA6"/>
    <mergeCell ref="AB3:AB6"/>
    <mergeCell ref="N4:N6"/>
    <mergeCell ref="O4:O6"/>
    <mergeCell ref="DD4:DH4"/>
    <mergeCell ref="AE5:AE6"/>
    <mergeCell ref="AF5:AF6"/>
    <mergeCell ref="AG5:AG6"/>
    <mergeCell ref="AH5:AH6"/>
    <mergeCell ref="CF3:CI5"/>
    <mergeCell ref="AQ3:AQ6"/>
    <mergeCell ref="AS3:AS6"/>
    <mergeCell ref="AT3:AY4"/>
    <mergeCell ref="AZ3:AZ6"/>
    <mergeCell ref="BA3:BB4"/>
    <mergeCell ref="BC3:BC6"/>
    <mergeCell ref="CJ3:CM5"/>
    <mergeCell ref="B4:B6"/>
    <mergeCell ref="C4:C6"/>
    <mergeCell ref="D4:D6"/>
    <mergeCell ref="E4:E6"/>
    <mergeCell ref="F4:F6"/>
    <mergeCell ref="G4:G6"/>
    <mergeCell ref="H4:H6"/>
    <mergeCell ref="I4:I6"/>
    <mergeCell ref="J4:J6"/>
    <mergeCell ref="BD3:BD6"/>
    <mergeCell ref="BE3:BE6"/>
    <mergeCell ref="BK3:BQ5"/>
    <mergeCell ref="BR3:BX5"/>
    <mergeCell ref="BY3:CE5"/>
    <mergeCell ref="K4:K6"/>
    <mergeCell ref="AE3:AF4"/>
    <mergeCell ref="AG3:AI4"/>
    <mergeCell ref="AI5:AI6"/>
    <mergeCell ref="AY2:BC2"/>
    <mergeCell ref="A3:A6"/>
    <mergeCell ref="B3:G3"/>
    <mergeCell ref="H3:P3"/>
    <mergeCell ref="Q3:U3"/>
    <mergeCell ref="V3:V6"/>
    <mergeCell ref="W3:W6"/>
    <mergeCell ref="X3:X6"/>
    <mergeCell ref="Y3:Y6"/>
    <mergeCell ref="Z3:Z6"/>
    <mergeCell ref="P4:P6"/>
    <mergeCell ref="L4:L6"/>
    <mergeCell ref="M4:M6"/>
  </mergeCells>
  <printOptions horizontalCentered="1" verticalCentered="1"/>
  <pageMargins left="0" right="0" top="0" bottom="0" header="0" footer="0"/>
  <pageSetup paperSize="9" scale="46" firstPageNumber="0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DJ75"/>
  <sheetViews>
    <sheetView showZeros="0" zoomScale="88" zoomScaleNormal="88" workbookViewId="0">
      <pane xSplit="1" ySplit="6" topLeftCell="CL22" activePane="bottomRight" state="frozen"/>
      <selection pane="topRight" activeCell="B1" sqref="B1"/>
      <selection pane="bottomLeft" activeCell="A7" sqref="A7"/>
      <selection pane="bottomRight" activeCell="CS45" sqref="CS45"/>
    </sheetView>
  </sheetViews>
  <sheetFormatPr defaultColWidth="8.7109375" defaultRowHeight="12.75"/>
  <cols>
    <col min="1" max="1" width="3.5703125" customWidth="1"/>
    <col min="2" max="2" width="9" customWidth="1"/>
    <col min="3" max="3" width="6" customWidth="1"/>
    <col min="4" max="4" width="12" style="1" hidden="1" customWidth="1"/>
    <col min="5" max="5" width="7.140625" customWidth="1"/>
    <col min="6" max="6" width="7.5703125" customWidth="1"/>
    <col min="7" max="7" width="8" customWidth="1"/>
    <col min="8" max="8" width="7.28515625" customWidth="1"/>
    <col min="9" max="9" width="7.42578125" hidden="1" customWidth="1"/>
    <col min="10" max="10" width="9.140625" customWidth="1"/>
    <col min="11" max="11" width="5.5703125" hidden="1" customWidth="1"/>
    <col min="12" max="12" width="8.42578125" customWidth="1"/>
    <col min="13" max="13" width="7" customWidth="1"/>
    <col min="14" max="14" width="8.42578125" customWidth="1"/>
    <col min="15" max="15" width="7.28515625" customWidth="1"/>
    <col min="16" max="16" width="9.85546875" hidden="1" customWidth="1"/>
    <col min="17" max="17" width="9.28515625" customWidth="1"/>
    <col min="18" max="18" width="6" customWidth="1"/>
    <col min="19" max="19" width="6.7109375" customWidth="1"/>
    <col min="20" max="20" width="9.140625" hidden="1" customWidth="1"/>
    <col min="21" max="21" width="7.140625" customWidth="1"/>
    <col min="22" max="22" width="7.85546875" customWidth="1"/>
    <col min="23" max="23" width="8.28515625" customWidth="1"/>
    <col min="24" max="24" width="6" customWidth="1"/>
    <col min="25" max="25" width="5.42578125" customWidth="1"/>
    <col min="26" max="26" width="6.85546875" customWidth="1"/>
    <col min="27" max="27" width="6.5703125" customWidth="1"/>
    <col min="28" max="28" width="7.5703125" customWidth="1"/>
    <col min="29" max="29" width="6.5703125" customWidth="1"/>
    <col min="30" max="30" width="4.28515625" customWidth="1"/>
    <col min="31" max="32" width="6.85546875" customWidth="1"/>
    <col min="33" max="33" width="0" hidden="1" customWidth="1"/>
    <col min="34" max="34" width="8.42578125" customWidth="1"/>
    <col min="35" max="35" width="7" customWidth="1"/>
    <col min="36" max="36" width="7.85546875" customWidth="1"/>
    <col min="37" max="37" width="0" hidden="1" customWidth="1"/>
    <col min="38" max="38" width="6.7109375" customWidth="1"/>
    <col min="39" max="39" width="7.7109375" customWidth="1"/>
    <col min="40" max="40" width="7" customWidth="1"/>
    <col min="41" max="41" width="9.42578125" customWidth="1"/>
    <col min="42" max="42" width="6.28515625" customWidth="1"/>
    <col min="43" max="43" width="6.85546875" customWidth="1"/>
    <col min="44" max="44" width="0" hidden="1" customWidth="1"/>
    <col min="45" max="45" width="6.7109375" customWidth="1"/>
    <col min="46" max="46" width="9.7109375" customWidth="1"/>
    <col min="47" max="47" width="7" customWidth="1"/>
    <col min="48" max="48" width="0" hidden="1" customWidth="1"/>
    <col min="49" max="49" width="6.140625" hidden="1" customWidth="1"/>
    <col min="50" max="50" width="5.140625" hidden="1" customWidth="1"/>
    <col min="51" max="51" width="8.42578125" customWidth="1"/>
    <col min="52" max="52" width="10" customWidth="1"/>
    <col min="53" max="53" width="8.7109375" hidden="1" customWidth="1"/>
    <col min="54" max="54" width="3.85546875" hidden="1" customWidth="1"/>
    <col min="55" max="55" width="6.5703125" customWidth="1"/>
    <col min="56" max="56" width="6.140625" customWidth="1"/>
    <col min="57" max="57" width="6.7109375" customWidth="1"/>
    <col min="58" max="58" width="8.85546875" customWidth="1"/>
    <col min="59" max="59" width="7.85546875" customWidth="1"/>
    <col min="60" max="60" width="9.85546875" customWidth="1"/>
    <col min="61" max="62" width="8.7109375" customWidth="1"/>
    <col min="63" max="63" width="10.28515625" customWidth="1"/>
    <col min="64" max="64" width="10.85546875" customWidth="1"/>
    <col min="65" max="65" width="10.7109375" customWidth="1"/>
    <col min="66" max="66" width="11.28515625" customWidth="1"/>
    <col min="67" max="68" width="8.85546875" customWidth="1"/>
    <col min="69" max="69" width="11.28515625" customWidth="1"/>
    <col min="70" max="70" width="7.7109375" customWidth="1"/>
    <col min="71" max="71" width="10" customWidth="1"/>
    <col min="72" max="72" width="8.85546875" customWidth="1"/>
    <col min="73" max="73" width="10.140625" customWidth="1"/>
    <col min="74" max="75" width="8.85546875" customWidth="1"/>
    <col min="76" max="76" width="10.85546875" customWidth="1"/>
    <col min="77" max="78" width="8.7109375" customWidth="1"/>
    <col min="79" max="79" width="10" customWidth="1"/>
    <col min="80" max="80" width="10.42578125" customWidth="1"/>
    <col min="81" max="82" width="8.42578125" customWidth="1"/>
    <col min="83" max="83" width="9.85546875" customWidth="1"/>
    <col min="84" max="85" width="11.42578125" customWidth="1"/>
    <col min="86" max="86" width="11.140625" customWidth="1"/>
    <col min="87" max="87" width="11.28515625" customWidth="1"/>
    <col min="88" max="89" width="10" customWidth="1"/>
    <col min="90" max="90" width="8.7109375" customWidth="1"/>
    <col min="91" max="91" width="11.85546875" customWidth="1"/>
    <col min="92" max="92" width="8.7109375" customWidth="1"/>
    <col min="93" max="93" width="12.140625" customWidth="1"/>
    <col min="94" max="94" width="12.5703125" customWidth="1"/>
    <col min="95" max="95" width="11.7109375" customWidth="1"/>
    <col min="96" max="98" width="12.28515625" customWidth="1"/>
    <col min="99" max="99" width="13.28515625" customWidth="1"/>
    <col min="100" max="100" width="12.85546875" customWidth="1"/>
    <col min="101" max="101" width="13.42578125" customWidth="1"/>
    <col min="102" max="102" width="13.28515625" customWidth="1"/>
    <col min="103" max="103" width="12.5703125" customWidth="1"/>
    <col min="104" max="104" width="9.5703125" customWidth="1"/>
    <col min="105" max="105" width="19.140625" customWidth="1"/>
    <col min="106" max="106" width="19.42578125" customWidth="1"/>
    <col min="111" max="111" width="8.7109375" hidden="1" customWidth="1"/>
    <col min="112" max="112" width="9" bestFit="1" customWidth="1"/>
    <col min="114" max="114" width="9.5703125" bestFit="1" customWidth="1"/>
  </cols>
  <sheetData>
    <row r="1" spans="1:114" ht="17.25" customHeight="1">
      <c r="A1" s="310" t="s">
        <v>0</v>
      </c>
      <c r="B1" s="310"/>
      <c r="C1" s="310"/>
      <c r="D1" s="311"/>
      <c r="E1" s="310"/>
      <c r="F1" s="310"/>
      <c r="G1" s="310"/>
      <c r="H1" s="310"/>
      <c r="I1" s="310"/>
      <c r="J1" s="310"/>
      <c r="K1" s="310"/>
      <c r="L1" s="310"/>
      <c r="M1" s="310"/>
      <c r="N1" s="310"/>
      <c r="O1" s="310"/>
      <c r="P1" s="77"/>
      <c r="Q1" s="77"/>
      <c r="R1" s="77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</row>
    <row r="2" spans="1:114" ht="19.5" customHeight="1" thickBot="1">
      <c r="A2" s="22"/>
      <c r="B2" s="78"/>
      <c r="C2" s="78"/>
      <c r="D2" s="79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80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80"/>
      <c r="AT2" s="312" t="s">
        <v>1</v>
      </c>
      <c r="AU2" s="313">
        <v>29</v>
      </c>
      <c r="AV2" s="314"/>
      <c r="AW2" s="314"/>
      <c r="AX2" s="315" t="s">
        <v>81</v>
      </c>
      <c r="AY2" s="556" t="s">
        <v>149</v>
      </c>
      <c r="AZ2" s="556"/>
      <c r="BA2" s="556"/>
      <c r="BB2" s="556"/>
      <c r="BC2" s="556"/>
      <c r="BD2" s="316" t="s">
        <v>107</v>
      </c>
      <c r="BE2" s="317"/>
    </row>
    <row r="3" spans="1:114" ht="39.75" customHeight="1" thickBot="1">
      <c r="A3" s="557" t="s">
        <v>3</v>
      </c>
      <c r="B3" s="558" t="s">
        <v>71</v>
      </c>
      <c r="C3" s="558"/>
      <c r="D3" s="558"/>
      <c r="E3" s="558"/>
      <c r="F3" s="558"/>
      <c r="G3" s="558"/>
      <c r="H3" s="554" t="s">
        <v>4</v>
      </c>
      <c r="I3" s="554"/>
      <c r="J3" s="554"/>
      <c r="K3" s="554"/>
      <c r="L3" s="554"/>
      <c r="M3" s="554"/>
      <c r="N3" s="554"/>
      <c r="O3" s="554"/>
      <c r="P3" s="559"/>
      <c r="Q3" s="560" t="s">
        <v>5</v>
      </c>
      <c r="R3" s="561"/>
      <c r="S3" s="561"/>
      <c r="T3" s="561"/>
      <c r="U3" s="562"/>
      <c r="V3" s="563" t="s">
        <v>6</v>
      </c>
      <c r="W3" s="563" t="s">
        <v>7</v>
      </c>
      <c r="X3" s="564" t="s">
        <v>8</v>
      </c>
      <c r="Y3" s="564" t="s">
        <v>9</v>
      </c>
      <c r="Z3" s="564" t="s">
        <v>10</v>
      </c>
      <c r="AA3" s="564" t="s">
        <v>11</v>
      </c>
      <c r="AB3" s="564" t="s">
        <v>12</v>
      </c>
      <c r="AC3" s="564" t="s">
        <v>13</v>
      </c>
      <c r="AD3" s="564" t="s">
        <v>14</v>
      </c>
      <c r="AE3" s="554" t="s">
        <v>15</v>
      </c>
      <c r="AF3" s="554"/>
      <c r="AG3" s="554" t="s">
        <v>16</v>
      </c>
      <c r="AH3" s="554"/>
      <c r="AI3" s="554"/>
      <c r="AJ3" s="593" t="s">
        <v>17</v>
      </c>
      <c r="AK3" s="593"/>
      <c r="AL3" s="564" t="s">
        <v>18</v>
      </c>
      <c r="AM3" s="599" t="s">
        <v>19</v>
      </c>
      <c r="AN3" s="600" t="s">
        <v>95</v>
      </c>
      <c r="AO3" s="603" t="s">
        <v>20</v>
      </c>
      <c r="AP3" s="564" t="s">
        <v>105</v>
      </c>
      <c r="AQ3" s="564" t="s">
        <v>21</v>
      </c>
      <c r="AR3" s="81"/>
      <c r="AS3" s="593" t="s">
        <v>22</v>
      </c>
      <c r="AT3" s="554" t="s">
        <v>23</v>
      </c>
      <c r="AU3" s="554"/>
      <c r="AV3" s="554"/>
      <c r="AW3" s="554"/>
      <c r="AX3" s="554"/>
      <c r="AY3" s="554"/>
      <c r="AZ3" s="564" t="s">
        <v>24</v>
      </c>
      <c r="BA3" s="594" t="s">
        <v>25</v>
      </c>
      <c r="BB3" s="594"/>
      <c r="BC3" s="564" t="s">
        <v>26</v>
      </c>
      <c r="BD3" s="564" t="s">
        <v>27</v>
      </c>
      <c r="BE3" s="572" t="s">
        <v>28</v>
      </c>
      <c r="BF3" s="3"/>
      <c r="BG3" s="3"/>
      <c r="BH3" s="3"/>
      <c r="BI3" s="3"/>
      <c r="BJ3" s="3"/>
      <c r="BK3" s="573" t="s">
        <v>29</v>
      </c>
      <c r="BL3" s="574"/>
      <c r="BM3" s="574"/>
      <c r="BN3" s="574"/>
      <c r="BO3" s="575"/>
      <c r="BP3" s="575"/>
      <c r="BQ3" s="576"/>
      <c r="BR3" s="573" t="s">
        <v>30</v>
      </c>
      <c r="BS3" s="585"/>
      <c r="BT3" s="585"/>
      <c r="BU3" s="585"/>
      <c r="BV3" s="585"/>
      <c r="BW3" s="585"/>
      <c r="BX3" s="586"/>
      <c r="BY3" s="566" t="s">
        <v>31</v>
      </c>
      <c r="BZ3" s="566"/>
      <c r="CA3" s="566"/>
      <c r="CB3" s="566"/>
      <c r="CC3" s="566"/>
      <c r="CD3" s="566"/>
      <c r="CE3" s="566"/>
      <c r="CF3" s="566" t="s">
        <v>87</v>
      </c>
      <c r="CG3" s="566"/>
      <c r="CH3" s="566"/>
      <c r="CI3" s="566"/>
      <c r="CJ3" s="566" t="s">
        <v>32</v>
      </c>
      <c r="CK3" s="566"/>
      <c r="CL3" s="566"/>
      <c r="CM3" s="566"/>
      <c r="CN3" s="4"/>
      <c r="CO3" s="5"/>
      <c r="CP3" s="6"/>
      <c r="CQ3" s="6"/>
    </row>
    <row r="4" spans="1:114" s="7" customFormat="1" ht="30.75" customHeight="1" thickBot="1">
      <c r="A4" s="557"/>
      <c r="B4" s="565" t="s">
        <v>72</v>
      </c>
      <c r="C4" s="565" t="s">
        <v>73</v>
      </c>
      <c r="D4" s="568" t="s">
        <v>33</v>
      </c>
      <c r="E4" s="565" t="s">
        <v>74</v>
      </c>
      <c r="F4" s="569" t="s">
        <v>75</v>
      </c>
      <c r="G4" s="569" t="s">
        <v>34</v>
      </c>
      <c r="H4" s="555" t="s">
        <v>76</v>
      </c>
      <c r="I4" s="570" t="s">
        <v>101</v>
      </c>
      <c r="J4" s="555" t="s">
        <v>89</v>
      </c>
      <c r="K4" s="565" t="s">
        <v>35</v>
      </c>
      <c r="L4" s="565" t="s">
        <v>77</v>
      </c>
      <c r="M4" s="565" t="s">
        <v>78</v>
      </c>
      <c r="N4" s="565" t="s">
        <v>101</v>
      </c>
      <c r="O4" s="565" t="s">
        <v>96</v>
      </c>
      <c r="P4" s="555" t="s">
        <v>79</v>
      </c>
      <c r="Q4" s="555" t="s">
        <v>36</v>
      </c>
      <c r="R4" s="555" t="s">
        <v>32</v>
      </c>
      <c r="S4" s="555" t="s">
        <v>37</v>
      </c>
      <c r="T4" s="555" t="s">
        <v>38</v>
      </c>
      <c r="U4" s="555" t="s">
        <v>39</v>
      </c>
      <c r="V4" s="563"/>
      <c r="W4" s="563"/>
      <c r="X4" s="564"/>
      <c r="Y4" s="564"/>
      <c r="Z4" s="564"/>
      <c r="AA4" s="564"/>
      <c r="AB4" s="564"/>
      <c r="AC4" s="564"/>
      <c r="AD4" s="564"/>
      <c r="AE4" s="554"/>
      <c r="AF4" s="554"/>
      <c r="AG4" s="554"/>
      <c r="AH4" s="554"/>
      <c r="AI4" s="554"/>
      <c r="AJ4" s="593"/>
      <c r="AK4" s="593"/>
      <c r="AL4" s="564"/>
      <c r="AM4" s="599"/>
      <c r="AN4" s="601"/>
      <c r="AO4" s="603"/>
      <c r="AP4" s="564"/>
      <c r="AQ4" s="564"/>
      <c r="AR4" s="82"/>
      <c r="AS4" s="593"/>
      <c r="AT4" s="554"/>
      <c r="AU4" s="554"/>
      <c r="AV4" s="554"/>
      <c r="AW4" s="554"/>
      <c r="AX4" s="554"/>
      <c r="AY4" s="554"/>
      <c r="AZ4" s="564"/>
      <c r="BA4" s="594"/>
      <c r="BB4" s="594"/>
      <c r="BC4" s="564"/>
      <c r="BD4" s="564"/>
      <c r="BE4" s="572"/>
      <c r="BF4" s="3"/>
      <c r="BG4" s="3"/>
      <c r="BH4" s="3"/>
      <c r="BI4" s="3"/>
      <c r="BJ4" s="3"/>
      <c r="BK4" s="577"/>
      <c r="BL4" s="578"/>
      <c r="BM4" s="578"/>
      <c r="BN4" s="578"/>
      <c r="BO4" s="579"/>
      <c r="BP4" s="579"/>
      <c r="BQ4" s="580"/>
      <c r="BR4" s="577"/>
      <c r="BS4" s="566"/>
      <c r="BT4" s="566"/>
      <c r="BU4" s="566"/>
      <c r="BV4" s="566"/>
      <c r="BW4" s="566"/>
      <c r="BX4" s="587"/>
      <c r="BY4" s="566"/>
      <c r="BZ4" s="566"/>
      <c r="CA4" s="566"/>
      <c r="CB4" s="566"/>
      <c r="CC4" s="566"/>
      <c r="CD4" s="566"/>
      <c r="CE4" s="566"/>
      <c r="CF4" s="566"/>
      <c r="CG4" s="566"/>
      <c r="CH4" s="566"/>
      <c r="CI4" s="566"/>
      <c r="CJ4" s="566"/>
      <c r="CK4" s="566"/>
      <c r="CL4" s="566"/>
      <c r="CM4" s="566"/>
      <c r="CN4" s="4"/>
      <c r="CO4" s="6"/>
      <c r="CP4" s="6"/>
      <c r="CQ4" s="262"/>
      <c r="CR4" s="231"/>
      <c r="CS4" s="231"/>
      <c r="CT4" s="231"/>
      <c r="CU4" s="231"/>
      <c r="CV4" s="231"/>
      <c r="CW4" s="231"/>
      <c r="CX4" s="231"/>
      <c r="CY4" s="231"/>
      <c r="DD4" s="590" t="s">
        <v>90</v>
      </c>
      <c r="DE4" s="591"/>
      <c r="DF4" s="591"/>
      <c r="DG4" s="591"/>
      <c r="DH4" s="592"/>
    </row>
    <row r="5" spans="1:114" s="7" customFormat="1" ht="8.25" hidden="1" customHeight="1">
      <c r="A5" s="557"/>
      <c r="B5" s="565"/>
      <c r="C5" s="565"/>
      <c r="D5" s="568"/>
      <c r="E5" s="565"/>
      <c r="F5" s="569"/>
      <c r="G5" s="569"/>
      <c r="H5" s="555"/>
      <c r="I5" s="570"/>
      <c r="J5" s="565"/>
      <c r="K5" s="565"/>
      <c r="L5" s="565"/>
      <c r="M5" s="565"/>
      <c r="N5" s="565"/>
      <c r="O5" s="565"/>
      <c r="P5" s="555"/>
      <c r="Q5" s="555"/>
      <c r="R5" s="555"/>
      <c r="S5" s="555"/>
      <c r="T5" s="555"/>
      <c r="U5" s="555"/>
      <c r="V5" s="563"/>
      <c r="W5" s="563"/>
      <c r="X5" s="564"/>
      <c r="Y5" s="564"/>
      <c r="Z5" s="564"/>
      <c r="AA5" s="564"/>
      <c r="AB5" s="564"/>
      <c r="AC5" s="564"/>
      <c r="AD5" s="564"/>
      <c r="AE5" s="555" t="s">
        <v>40</v>
      </c>
      <c r="AF5" s="555" t="s">
        <v>41</v>
      </c>
      <c r="AG5" s="555" t="s">
        <v>42</v>
      </c>
      <c r="AH5" s="555" t="s">
        <v>40</v>
      </c>
      <c r="AI5" s="555" t="s">
        <v>41</v>
      </c>
      <c r="AJ5" s="593"/>
      <c r="AK5" s="593"/>
      <c r="AL5" s="564"/>
      <c r="AM5" s="599"/>
      <c r="AN5" s="601"/>
      <c r="AO5" s="603"/>
      <c r="AP5" s="564"/>
      <c r="AQ5" s="564"/>
      <c r="AR5" s="83"/>
      <c r="AS5" s="593"/>
      <c r="AT5" s="555" t="s">
        <v>43</v>
      </c>
      <c r="AU5" s="84"/>
      <c r="AV5" s="85"/>
      <c r="AW5" s="598" t="s">
        <v>44</v>
      </c>
      <c r="AX5" s="598" t="s">
        <v>45</v>
      </c>
      <c r="AY5" s="555" t="s">
        <v>46</v>
      </c>
      <c r="AZ5" s="564"/>
      <c r="BA5" s="86" t="s">
        <v>47</v>
      </c>
      <c r="BB5" s="86" t="s">
        <v>48</v>
      </c>
      <c r="BC5" s="564"/>
      <c r="BD5" s="564"/>
      <c r="BE5" s="572"/>
      <c r="BF5" s="3"/>
      <c r="BG5" s="3"/>
      <c r="BH5" s="3"/>
      <c r="BI5" s="3"/>
      <c r="BJ5" s="3"/>
      <c r="BK5" s="581"/>
      <c r="BL5" s="582"/>
      <c r="BM5" s="582"/>
      <c r="BN5" s="582"/>
      <c r="BO5" s="583"/>
      <c r="BP5" s="583"/>
      <c r="BQ5" s="584"/>
      <c r="BR5" s="581"/>
      <c r="BS5" s="588"/>
      <c r="BT5" s="588"/>
      <c r="BU5" s="588"/>
      <c r="BV5" s="588"/>
      <c r="BW5" s="588"/>
      <c r="BX5" s="589"/>
      <c r="BY5" s="567"/>
      <c r="BZ5" s="566"/>
      <c r="CA5" s="566"/>
      <c r="CB5" s="566"/>
      <c r="CC5" s="566"/>
      <c r="CD5" s="566"/>
      <c r="CE5" s="566"/>
      <c r="CF5" s="567"/>
      <c r="CG5" s="567"/>
      <c r="CH5" s="567"/>
      <c r="CI5" s="567"/>
      <c r="CJ5" s="567"/>
      <c r="CK5" s="567"/>
      <c r="CL5" s="567"/>
      <c r="CM5" s="567"/>
      <c r="CN5" s="4"/>
      <c r="CO5"/>
      <c r="CP5"/>
      <c r="CQ5" s="255"/>
      <c r="CR5" s="256"/>
      <c r="CS5" s="256"/>
      <c r="CT5" s="256"/>
      <c r="CU5" s="256"/>
      <c r="CV5" s="257"/>
      <c r="CW5" s="257"/>
      <c r="CX5" s="257"/>
      <c r="CY5" s="258"/>
      <c r="DA5" s="595" t="s">
        <v>49</v>
      </c>
      <c r="DB5" s="595"/>
    </row>
    <row r="6" spans="1:114" s="7" customFormat="1" ht="106.5" customHeight="1" thickBot="1">
      <c r="A6" s="557"/>
      <c r="B6" s="565"/>
      <c r="C6" s="565"/>
      <c r="D6" s="568"/>
      <c r="E6" s="565"/>
      <c r="F6" s="569"/>
      <c r="G6" s="569"/>
      <c r="H6" s="555"/>
      <c r="I6" s="570"/>
      <c r="J6" s="571"/>
      <c r="K6" s="565"/>
      <c r="L6" s="565"/>
      <c r="M6" s="565"/>
      <c r="N6" s="565"/>
      <c r="O6" s="565"/>
      <c r="P6" s="565"/>
      <c r="Q6" s="565"/>
      <c r="R6" s="565"/>
      <c r="S6" s="565"/>
      <c r="T6" s="555"/>
      <c r="U6" s="555"/>
      <c r="V6" s="563"/>
      <c r="W6" s="563"/>
      <c r="X6" s="564"/>
      <c r="Y6" s="564"/>
      <c r="Z6" s="564"/>
      <c r="AA6" s="564"/>
      <c r="AB6" s="564"/>
      <c r="AC6" s="564"/>
      <c r="AD6" s="564"/>
      <c r="AE6" s="555"/>
      <c r="AF6" s="555"/>
      <c r="AG6" s="555"/>
      <c r="AH6" s="555"/>
      <c r="AI6" s="555"/>
      <c r="AJ6" s="593"/>
      <c r="AK6" s="593"/>
      <c r="AL6" s="564"/>
      <c r="AM6" s="599"/>
      <c r="AN6" s="602"/>
      <c r="AO6" s="603"/>
      <c r="AP6" s="564"/>
      <c r="AQ6" s="564"/>
      <c r="AR6" s="415"/>
      <c r="AS6" s="593"/>
      <c r="AT6" s="555"/>
      <c r="AU6" s="414" t="s">
        <v>50</v>
      </c>
      <c r="AV6" s="414" t="s">
        <v>51</v>
      </c>
      <c r="AW6" s="598"/>
      <c r="AX6" s="598"/>
      <c r="AY6" s="555"/>
      <c r="AZ6" s="555"/>
      <c r="BA6" s="87"/>
      <c r="BB6" s="88">
        <v>0.04</v>
      </c>
      <c r="BC6" s="564"/>
      <c r="BD6" s="564"/>
      <c r="BE6" s="572"/>
      <c r="BF6" s="8" t="s">
        <v>52</v>
      </c>
      <c r="BG6" s="8" t="s">
        <v>53</v>
      </c>
      <c r="BH6" s="8" t="s">
        <v>54</v>
      </c>
      <c r="BI6" s="3"/>
      <c r="BJ6" s="3"/>
      <c r="BK6" s="308" t="s">
        <v>104</v>
      </c>
      <c r="BL6" s="280" t="s">
        <v>82</v>
      </c>
      <c r="BM6" s="279" t="s">
        <v>100</v>
      </c>
      <c r="BN6" s="307" t="s">
        <v>102</v>
      </c>
      <c r="BO6" s="308" t="s">
        <v>97</v>
      </c>
      <c r="BP6" s="326" t="s">
        <v>99</v>
      </c>
      <c r="BQ6" s="306" t="s">
        <v>86</v>
      </c>
      <c r="BR6" s="308" t="s">
        <v>104</v>
      </c>
      <c r="BS6" s="280" t="s">
        <v>82</v>
      </c>
      <c r="BT6" s="279" t="s">
        <v>100</v>
      </c>
      <c r="BU6" s="327"/>
      <c r="BV6" s="308" t="s">
        <v>97</v>
      </c>
      <c r="BW6" s="326" t="s">
        <v>99</v>
      </c>
      <c r="BX6" s="306"/>
      <c r="BY6" s="308" t="s">
        <v>104</v>
      </c>
      <c r="BZ6" s="280" t="s">
        <v>82</v>
      </c>
      <c r="CA6" s="279" t="s">
        <v>100</v>
      </c>
      <c r="CB6" s="307" t="s">
        <v>102</v>
      </c>
      <c r="CC6" s="308" t="s">
        <v>97</v>
      </c>
      <c r="CD6" s="326" t="s">
        <v>99</v>
      </c>
      <c r="CE6" s="306" t="s">
        <v>86</v>
      </c>
      <c r="CF6" s="267" t="s">
        <v>106</v>
      </c>
      <c r="CG6" s="268" t="s">
        <v>85</v>
      </c>
      <c r="CH6" s="244" t="s">
        <v>109</v>
      </c>
      <c r="CI6" s="245" t="s">
        <v>103</v>
      </c>
      <c r="CJ6" s="267" t="s">
        <v>106</v>
      </c>
      <c r="CK6" s="268" t="s">
        <v>85</v>
      </c>
      <c r="CL6" s="244" t="s">
        <v>109</v>
      </c>
      <c r="CM6" s="245" t="s">
        <v>103</v>
      </c>
      <c r="CN6" s="243"/>
      <c r="CO6" s="248" t="s">
        <v>104</v>
      </c>
      <c r="CP6" s="10" t="s">
        <v>82</v>
      </c>
      <c r="CQ6" s="264" t="s">
        <v>100</v>
      </c>
      <c r="CR6" s="23" t="s">
        <v>102</v>
      </c>
      <c r="CS6" s="248" t="s">
        <v>98</v>
      </c>
      <c r="CT6" s="248" t="s">
        <v>99</v>
      </c>
      <c r="CU6" s="9" t="s">
        <v>83</v>
      </c>
      <c r="CV6" s="259" t="s">
        <v>106</v>
      </c>
      <c r="CW6" s="248" t="s">
        <v>84</v>
      </c>
      <c r="CX6" s="232" t="s">
        <v>108</v>
      </c>
      <c r="CY6" s="263" t="s">
        <v>103</v>
      </c>
      <c r="CZ6" s="253"/>
      <c r="DA6" s="321" t="s">
        <v>80</v>
      </c>
      <c r="DB6" s="321" t="s">
        <v>55</v>
      </c>
      <c r="DD6" s="288" t="s">
        <v>91</v>
      </c>
      <c r="DE6" s="289" t="s">
        <v>92</v>
      </c>
      <c r="DF6" s="290" t="s">
        <v>93</v>
      </c>
      <c r="DG6" s="290"/>
      <c r="DH6" s="289" t="s">
        <v>94</v>
      </c>
    </row>
    <row r="7" spans="1:114" s="76" customFormat="1" ht="16.5" customHeight="1" thickBot="1">
      <c r="A7" s="121">
        <v>1</v>
      </c>
      <c r="B7" s="122">
        <f>'[1]февраль 20'!K6</f>
        <v>284.90100000000001</v>
      </c>
      <c r="C7" s="123">
        <f>IF(B7=0,0,(BK7*BR7+BL7*BS7+BM7*BT7+BN7*BU7+BQ7*BX7+BO7*BV7+BP7*BW7)/B7)</f>
        <v>0.76807238742933481</v>
      </c>
      <c r="D7" s="124">
        <f>B7*((100-C7)/100)</f>
        <v>282.71275408749</v>
      </c>
      <c r="E7" s="125">
        <f>IF(B7=0,0,(BK7*BY7+BL7*BZ7+BM7*CA7+BQ7*CE7+BN7*CB7+BO7*CC7+BP7*CD7)/B7)</f>
        <v>40.21975623111188</v>
      </c>
      <c r="F7" s="126">
        <f>IF(AY7=0,0,D7/AY7)</f>
        <v>1.9761830986124003</v>
      </c>
      <c r="G7" s="127"/>
      <c r="H7" s="126">
        <f>IF(AY7=0,0,(CP7+CO7+CS7+CQ7+CT7)/AY7)</f>
        <v>1.3383318817279464</v>
      </c>
      <c r="I7" s="230">
        <f>'[1]июль 20'!AI6</f>
        <v>0</v>
      </c>
      <c r="J7" s="246">
        <f>'[1]февраль 20'!AA6</f>
        <v>11.382</v>
      </c>
      <c r="K7" s="276">
        <f>'[1]сентябрь 20'!AM6</f>
        <v>0</v>
      </c>
      <c r="L7" s="122">
        <f>'[1]февраль 20'!AE6</f>
        <v>91.251000000000005</v>
      </c>
      <c r="M7" s="128">
        <f>IF(AY7=0,0,(CR7+CU7)/AY7)</f>
        <v>0.6378512518348245</v>
      </c>
      <c r="N7" s="128">
        <f>'[1]февраль 20'!W6</f>
        <v>0</v>
      </c>
      <c r="O7" s="402">
        <f>'[1]февраль 20'!AU6</f>
        <v>4.7060000000000004</v>
      </c>
      <c r="P7" s="125">
        <f t="shared" ref="P7:P37" si="0">CF7+CH7+CI7+CG7</f>
        <v>180.865003</v>
      </c>
      <c r="Q7" s="122">
        <f>'[1]февраль 20'!S6</f>
        <v>180.86500000000001</v>
      </c>
      <c r="R7" s="123">
        <f>IF(Q7=0,0,(CI7*CM7+CG7*CK7+CH7*CL7+CF7*CJ7)/Q7)</f>
        <v>1.8500000000000167</v>
      </c>
      <c r="S7" s="129">
        <v>19.21</v>
      </c>
      <c r="T7" s="125">
        <f t="shared" ref="T7:T37" si="1">Q7*((100-R7)/100)</f>
        <v>177.51899749999998</v>
      </c>
      <c r="U7" s="128">
        <f t="shared" ref="U7:U37" si="2">IF(AY7=0,0,T7/AY7)</f>
        <v>1.2408709457570248</v>
      </c>
      <c r="V7" s="130">
        <v>143.06</v>
      </c>
      <c r="W7" s="130">
        <v>143.06</v>
      </c>
      <c r="X7" s="129">
        <v>0.23</v>
      </c>
      <c r="Y7" s="131">
        <v>509</v>
      </c>
      <c r="Z7" s="131">
        <v>1168</v>
      </c>
      <c r="AA7" s="132" t="s">
        <v>161</v>
      </c>
      <c r="AB7" s="129">
        <v>77.55</v>
      </c>
      <c r="AC7" s="131">
        <v>115</v>
      </c>
      <c r="AD7" s="133">
        <v>4</v>
      </c>
      <c r="AE7" s="129"/>
      <c r="AF7" s="134">
        <f t="shared" ref="AF7:AF37" si="3">IF(AY7=0,0,AE7/AY7*1000)</f>
        <v>0</v>
      </c>
      <c r="AG7" s="135"/>
      <c r="AH7" s="129">
        <v>86.45</v>
      </c>
      <c r="AI7" s="134">
        <f t="shared" ref="AI7:AI37" si="4">IF(AY7=0,0,AH7/AY7*1000)</f>
        <v>604.2919054941982</v>
      </c>
      <c r="AJ7" s="136">
        <v>15.71</v>
      </c>
      <c r="AK7" s="127"/>
      <c r="AL7" s="137">
        <v>6.11</v>
      </c>
      <c r="AM7" s="138">
        <v>36.200000000000003</v>
      </c>
      <c r="AN7" s="126">
        <f>IF(AM7=0,0,AM7/AT7)</f>
        <v>0.19754433833560711</v>
      </c>
      <c r="AO7" s="139" t="s">
        <v>162</v>
      </c>
      <c r="AP7" s="138">
        <v>10.55</v>
      </c>
      <c r="AQ7" s="138">
        <v>6.58</v>
      </c>
      <c r="AR7" s="129"/>
      <c r="AS7" s="129">
        <v>10.92</v>
      </c>
      <c r="AT7" s="129">
        <v>183.25</v>
      </c>
      <c r="AU7" s="129">
        <v>2.12</v>
      </c>
      <c r="AV7" s="129"/>
      <c r="AW7" s="129"/>
      <c r="AX7" s="140">
        <f t="shared" ref="AX7:AX37" si="5">IF(AY7=0,0,AW7/AY7*100)</f>
        <v>0</v>
      </c>
      <c r="AY7" s="125">
        <f t="shared" ref="AY7:AY37" si="6">AT7-AL7-AM7+AV7+AW7+AU7</f>
        <v>143.06</v>
      </c>
      <c r="AZ7" s="125">
        <f>IF(AB7=0,0,((D7*0.97)*(E7/100)*0.9)/(AB7/100))+DH7</f>
        <v>129.62088413640666</v>
      </c>
      <c r="BA7" s="141">
        <f t="shared" ref="BA7:BA37" si="7">(AH7*AS7)/100*(55/71)</f>
        <v>7.3129394366197173</v>
      </c>
      <c r="BB7" s="142">
        <f t="shared" ref="BB7:BB37" si="8">AY7*$BB$6</f>
        <v>5.7224000000000004</v>
      </c>
      <c r="BC7" s="122">
        <f t="shared" ref="BC7:BC37" si="9">IF((D7*E7)=0,0,(AY7*AB7)/(D7*E7))</f>
        <v>0.97569748931050804</v>
      </c>
      <c r="BD7" s="142">
        <f>BA7+BB7</f>
        <v>13.035339436619719</v>
      </c>
      <c r="BE7" s="143">
        <v>0.97599999999999998</v>
      </c>
      <c r="BF7" s="25">
        <f>AY7</f>
        <v>143.06</v>
      </c>
      <c r="BG7" s="25">
        <f t="shared" ref="BG7:BG38" si="10">IF(A7&lt;=$BE$43,$AT$43,0)</f>
        <v>124.55172413793103</v>
      </c>
      <c r="BH7" s="25">
        <f>BG7</f>
        <v>124.55172413793103</v>
      </c>
      <c r="BI7" s="26">
        <f t="shared" ref="BI7:BI37" si="11">IF(AY7&lt;&gt;0,1,0)</f>
        <v>1</v>
      </c>
      <c r="BJ7" s="27">
        <f>BG7*BI7</f>
        <v>124.55172413793103</v>
      </c>
      <c r="BK7" s="28">
        <v>9.9999999999999995E-7</v>
      </c>
      <c r="BL7" s="28">
        <v>193.65</v>
      </c>
      <c r="BM7" s="28">
        <v>9.9999999999999995E-7</v>
      </c>
      <c r="BN7" s="28">
        <v>91.251000000000005</v>
      </c>
      <c r="BO7" s="28">
        <v>9.9999999999999995E-7</v>
      </c>
      <c r="BP7" s="28">
        <v>9.9999999999999995E-7</v>
      </c>
      <c r="BQ7" s="28">
        <v>9.9999999999999995E-7</v>
      </c>
      <c r="BR7" s="28">
        <v>9.9999999999999995E-7</v>
      </c>
      <c r="BS7" s="28">
        <v>1.1299999999999999</v>
      </c>
      <c r="BT7" s="28">
        <v>9.9999999999999995E-7</v>
      </c>
      <c r="BU7" s="28">
        <v>9.9999999999999995E-7</v>
      </c>
      <c r="BV7" s="28">
        <v>9.9999999999999995E-7</v>
      </c>
      <c r="BW7" s="28">
        <v>9.9999999999999995E-7</v>
      </c>
      <c r="BX7" s="28">
        <v>9.9999999999999995E-7</v>
      </c>
      <c r="BY7" s="28">
        <v>9.9999999999999995E-7</v>
      </c>
      <c r="BZ7" s="28">
        <v>37.840000000000003</v>
      </c>
      <c r="CA7" s="28">
        <v>9.9999999999999995E-7</v>
      </c>
      <c r="CB7" s="28">
        <v>45.27</v>
      </c>
      <c r="CC7" s="28">
        <v>9.9999999999999995E-7</v>
      </c>
      <c r="CD7" s="28">
        <v>9.9999999999999995E-7</v>
      </c>
      <c r="CE7" s="28">
        <v>9.9999999999999995E-7</v>
      </c>
      <c r="CF7" s="28">
        <v>180.86500000000001</v>
      </c>
      <c r="CG7" s="28">
        <v>9.9999999999999995E-7</v>
      </c>
      <c r="CH7" s="28">
        <v>9.9999999999999995E-7</v>
      </c>
      <c r="CI7" s="28">
        <v>9.9999999999999995E-7</v>
      </c>
      <c r="CJ7" s="28">
        <v>1.85</v>
      </c>
      <c r="CK7" s="28">
        <v>9.9999999999999995E-7</v>
      </c>
      <c r="CL7" s="28">
        <v>9.9999999999999995E-7</v>
      </c>
      <c r="CM7" s="28">
        <v>9.9999999999999995E-7</v>
      </c>
      <c r="CN7" s="286"/>
      <c r="CO7" s="252">
        <f t="shared" ref="CO7:CU22" si="12">BK7*((100-BR7)/100)</f>
        <v>9.9999998999999992E-7</v>
      </c>
      <c r="CP7" s="11">
        <f t="shared" si="12"/>
        <v>191.46175500000001</v>
      </c>
      <c r="CQ7" s="11">
        <f t="shared" si="12"/>
        <v>9.9999998999999992E-7</v>
      </c>
      <c r="CR7" s="11">
        <f t="shared" si="12"/>
        <v>91.250999087490015</v>
      </c>
      <c r="CS7" s="11">
        <f t="shared" si="12"/>
        <v>9.9999998999999992E-7</v>
      </c>
      <c r="CT7" s="11">
        <f t="shared" si="12"/>
        <v>9.9999998999999992E-7</v>
      </c>
      <c r="CU7" s="271">
        <f t="shared" si="12"/>
        <v>9.9999998999999992E-7</v>
      </c>
      <c r="CV7" s="260">
        <f t="shared" ref="CV7:CY37" si="13">CF7*((100-CJ7)/100)</f>
        <v>177.51899750000001</v>
      </c>
      <c r="CW7" s="250">
        <f t="shared" si="13"/>
        <v>9.9999998999999992E-7</v>
      </c>
      <c r="CX7" s="260">
        <f t="shared" si="13"/>
        <v>9.9999998999999992E-7</v>
      </c>
      <c r="CY7" s="271">
        <f t="shared" si="13"/>
        <v>9.9999998999999992E-7</v>
      </c>
      <c r="CZ7" s="13"/>
      <c r="DA7" s="240">
        <f>(D7+'[2]февраль 20'!D7)/(AY7+'[2]февраль 20'!AX7)</f>
        <v>1.9937716090505235</v>
      </c>
      <c r="DB7" s="241">
        <f>(T7+'[2]февраль 20'!R7)/(AY7+'[2]февраль 20'!AX7)</f>
        <v>1.2309833517645146</v>
      </c>
      <c r="DD7" s="292">
        <f t="shared" ref="DD7:DD37" si="14">J7</f>
        <v>11.382</v>
      </c>
      <c r="DE7" s="291">
        <v>0.37</v>
      </c>
      <c r="DF7" s="291">
        <v>11.07</v>
      </c>
      <c r="DG7" s="145">
        <f t="shared" ref="DG7:DG37" si="15">DD7*((100-DE7)/100)</f>
        <v>11.3398866</v>
      </c>
      <c r="DH7" s="293">
        <f>IF(AB7=0,0,(DG7*DF7%)/(AB7/100))</f>
        <v>1.61873042762089</v>
      </c>
      <c r="DJ7" s="322"/>
    </row>
    <row r="8" spans="1:114" s="76" customFormat="1" ht="16.5" customHeight="1" thickBot="1">
      <c r="A8" s="144">
        <v>2</v>
      </c>
      <c r="B8" s="122">
        <f>'[1]февраль 20'!K7</f>
        <v>282.69600000000003</v>
      </c>
      <c r="C8" s="123">
        <f t="shared" ref="C8:C37" si="16">IF(B8=0,0,(BK8*BR8+BL8*BS8+BM8*BT8+BN8*BU8+BQ8*BX8+BO8*BV8+BP8*BW8)/B8)</f>
        <v>0.87072926394430772</v>
      </c>
      <c r="D8" s="145">
        <f t="shared" ref="D8:D37" si="17">B8*((100-C8)/100)</f>
        <v>280.2344832</v>
      </c>
      <c r="E8" s="125">
        <f t="shared" ref="E8:E37" si="18">IF(B8=0,0,(BK8*BY8+BL8*BZ8+BM8*CA8+BQ8*CE8+BN8*CB8+BO8*CC8+BP8*CD8)/B8)</f>
        <v>39.657749172255706</v>
      </c>
      <c r="F8" s="146">
        <f t="shared" ref="F8:F37" si="19">IF(AY8=0,0,D8/AY8)</f>
        <v>2.0081295822285918</v>
      </c>
      <c r="G8" s="127"/>
      <c r="H8" s="126">
        <f t="shared" ref="H8:H37" si="20">IF(AY8=0,0,(CP8+CO8+CS8+CQ8+CT8)/AY8)</f>
        <v>1.3604047524184879</v>
      </c>
      <c r="I8" s="230">
        <f>'[1]июль 20'!AI7</f>
        <v>0</v>
      </c>
      <c r="J8" s="247">
        <f>'[1]февраль 20'!AA7</f>
        <v>11.089</v>
      </c>
      <c r="K8" s="276">
        <f>'[1]сентябрь 20'!AM7</f>
        <v>0</v>
      </c>
      <c r="L8" s="122">
        <f>'[1]февраль 20'!AE7</f>
        <v>90.39</v>
      </c>
      <c r="M8" s="128">
        <f t="shared" ref="M8:M37" si="21">IF(AY8=0,0,(CR8+CU8)/AY8)</f>
        <v>0.64772482981010382</v>
      </c>
      <c r="N8" s="400">
        <f>'[1]февраль 20'!W7</f>
        <v>0</v>
      </c>
      <c r="O8" s="403">
        <f>'[1]февраль 20'!AU7</f>
        <v>5.46</v>
      </c>
      <c r="P8" s="401">
        <f t="shared" si="0"/>
        <v>174.38399999999999</v>
      </c>
      <c r="Q8" s="122">
        <f>'[1]февраль 20'!S7</f>
        <v>174.38399999999999</v>
      </c>
      <c r="R8" s="123">
        <f t="shared" ref="R8:R37" si="22">IF(Q8=0,0,(CI8*CM8+CG8*CK8+CH8*CL8+CF8*CJ8)/Q8)</f>
        <v>2</v>
      </c>
      <c r="S8" s="129">
        <v>8.5500000000000007</v>
      </c>
      <c r="T8" s="125">
        <f t="shared" si="1"/>
        <v>170.89631999999997</v>
      </c>
      <c r="U8" s="147">
        <f t="shared" si="2"/>
        <v>1.2246242923683264</v>
      </c>
      <c r="V8" s="130">
        <v>139.55000000000001</v>
      </c>
      <c r="W8" s="130">
        <v>139.55000000000001</v>
      </c>
      <c r="X8" s="129">
        <v>0.49</v>
      </c>
      <c r="Y8" s="131">
        <v>518</v>
      </c>
      <c r="Z8" s="131">
        <v>1180</v>
      </c>
      <c r="AA8" s="148" t="s">
        <v>130</v>
      </c>
      <c r="AB8" s="149">
        <v>76.88</v>
      </c>
      <c r="AC8" s="150">
        <v>113</v>
      </c>
      <c r="AD8" s="151">
        <v>4</v>
      </c>
      <c r="AE8" s="149"/>
      <c r="AF8" s="134">
        <f t="shared" si="3"/>
        <v>0</v>
      </c>
      <c r="AG8" s="152"/>
      <c r="AH8" s="129">
        <v>83.2</v>
      </c>
      <c r="AI8" s="134">
        <f t="shared" si="4"/>
        <v>596.20207810820489</v>
      </c>
      <c r="AJ8" s="153">
        <v>13.65</v>
      </c>
      <c r="AK8" s="154"/>
      <c r="AL8" s="155">
        <v>5.01</v>
      </c>
      <c r="AM8" s="156">
        <v>35.869999999999997</v>
      </c>
      <c r="AN8" s="126">
        <f t="shared" ref="AN8:AN37" si="23">IF(AM8=0,0,AM8/AT8)</f>
        <v>0.20083986562150055</v>
      </c>
      <c r="AO8" s="157" t="s">
        <v>133</v>
      </c>
      <c r="AP8" s="156">
        <v>11.61</v>
      </c>
      <c r="AQ8" s="156">
        <v>6.69</v>
      </c>
      <c r="AR8" s="149"/>
      <c r="AS8" s="149">
        <v>7.46</v>
      </c>
      <c r="AT8" s="149">
        <v>178.6</v>
      </c>
      <c r="AU8" s="149">
        <v>1.83</v>
      </c>
      <c r="AV8" s="149"/>
      <c r="AW8" s="149"/>
      <c r="AX8" s="158">
        <f t="shared" si="5"/>
        <v>0</v>
      </c>
      <c r="AY8" s="125">
        <f t="shared" si="6"/>
        <v>139.55000000000001</v>
      </c>
      <c r="AZ8" s="125">
        <f>IF(AB8=0,0,((D8*0.97)*(E8/100)*0.9)/(AB8/100))+DH8</f>
        <v>128.2010348022593</v>
      </c>
      <c r="BA8" s="159">
        <f t="shared" si="7"/>
        <v>4.8080225352112675</v>
      </c>
      <c r="BB8" s="160">
        <f t="shared" si="8"/>
        <v>5.5820000000000007</v>
      </c>
      <c r="BC8" s="161">
        <f t="shared" si="9"/>
        <v>0.96536951247544389</v>
      </c>
      <c r="BD8" s="160">
        <f t="shared" ref="BD8:BD37" si="24">BA8+BB8</f>
        <v>10.390022535211269</v>
      </c>
      <c r="BE8" s="162">
        <v>0.97099999999999997</v>
      </c>
      <c r="BF8" s="25">
        <f t="shared" ref="BF8:BF37" si="25">BF7+AY8</f>
        <v>282.61</v>
      </c>
      <c r="BG8" s="25">
        <f t="shared" si="10"/>
        <v>124.55172413793103</v>
      </c>
      <c r="BH8" s="25">
        <f t="shared" ref="BH8:BH37" si="26">BG8+BH7</f>
        <v>249.10344827586206</v>
      </c>
      <c r="BI8" s="26">
        <f t="shared" si="11"/>
        <v>1</v>
      </c>
      <c r="BJ8" s="27">
        <f t="shared" ref="BJ8:BJ37" si="27">BG8*BI8+BJ7</f>
        <v>249.10344827586206</v>
      </c>
      <c r="BK8" s="30"/>
      <c r="BL8" s="31">
        <v>192.30600000000001</v>
      </c>
      <c r="BM8" s="31"/>
      <c r="BN8" s="31">
        <v>90.39</v>
      </c>
      <c r="BO8" s="40"/>
      <c r="BP8" s="40"/>
      <c r="BQ8" s="32"/>
      <c r="BR8" s="33"/>
      <c r="BS8" s="34">
        <v>1.28</v>
      </c>
      <c r="BT8" s="35"/>
      <c r="BU8" s="28"/>
      <c r="BV8" s="287"/>
      <c r="BW8" s="28"/>
      <c r="BX8" s="36"/>
      <c r="BY8" s="33"/>
      <c r="BZ8" s="34">
        <v>36.86</v>
      </c>
      <c r="CA8" s="35"/>
      <c r="CB8" s="35">
        <v>45.61</v>
      </c>
      <c r="CC8" s="235"/>
      <c r="CD8" s="235"/>
      <c r="CE8" s="36"/>
      <c r="CF8" s="30">
        <v>174.38399999999999</v>
      </c>
      <c r="CG8" s="30"/>
      <c r="CH8" s="31"/>
      <c r="CI8" s="32"/>
      <c r="CJ8" s="33">
        <v>2</v>
      </c>
      <c r="CK8" s="33"/>
      <c r="CL8" s="35"/>
      <c r="CM8" s="28"/>
      <c r="CN8" s="286"/>
      <c r="CO8" s="249">
        <f t="shared" si="12"/>
        <v>0</v>
      </c>
      <c r="CP8" s="12">
        <f t="shared" si="12"/>
        <v>189.84448320000001</v>
      </c>
      <c r="CQ8" s="12">
        <f t="shared" si="12"/>
        <v>0</v>
      </c>
      <c r="CR8" s="12">
        <f t="shared" si="12"/>
        <v>90.39</v>
      </c>
      <c r="CS8" s="11">
        <f t="shared" si="12"/>
        <v>0</v>
      </c>
      <c r="CT8" s="11">
        <f t="shared" si="12"/>
        <v>0</v>
      </c>
      <c r="CU8" s="272">
        <f t="shared" si="12"/>
        <v>0</v>
      </c>
      <c r="CV8" s="249">
        <f t="shared" si="13"/>
        <v>170.89631999999997</v>
      </c>
      <c r="CW8" s="12">
        <f t="shared" si="13"/>
        <v>0</v>
      </c>
      <c r="CX8" s="254">
        <f t="shared" si="13"/>
        <v>0</v>
      </c>
      <c r="CY8" s="272">
        <f t="shared" si="13"/>
        <v>0</v>
      </c>
      <c r="CZ8" s="13"/>
      <c r="DA8" s="240">
        <f>(D8+'[2]февраль 20'!D8)/(AY8+'[2]февраль 20'!AX8)</f>
        <v>2.0336879707338071</v>
      </c>
      <c r="DB8" s="241">
        <f>(T8+'[2]февраль 20'!R8)/(AY8+'[2]февраль 20'!AX8)</f>
        <v>1.239714654615881</v>
      </c>
      <c r="DD8" s="292">
        <f t="shared" si="14"/>
        <v>11.089</v>
      </c>
      <c r="DE8" s="291">
        <v>0.28000000000000003</v>
      </c>
      <c r="DF8" s="291">
        <v>13.93</v>
      </c>
      <c r="DG8" s="145">
        <f t="shared" si="15"/>
        <v>11.0579508</v>
      </c>
      <c r="DH8" s="293">
        <f t="shared" ref="DH8:DH37" si="28">IF(AB8=0,0,(DG8*DF8%)/(AB8/100))</f>
        <v>2.0036063299167539</v>
      </c>
      <c r="DJ8" s="322"/>
    </row>
    <row r="9" spans="1:114" s="76" customFormat="1" ht="16.5" customHeight="1" thickBot="1">
      <c r="A9" s="144">
        <v>3</v>
      </c>
      <c r="B9" s="122">
        <f>'[1]февраль 20'!K8</f>
        <v>280.22500000000002</v>
      </c>
      <c r="C9" s="123">
        <f t="shared" si="16"/>
        <v>2.7215558925863146</v>
      </c>
      <c r="D9" s="145">
        <f>B9*((100-C9)/100)</f>
        <v>272.59852000000001</v>
      </c>
      <c r="E9" s="125">
        <f t="shared" si="18"/>
        <v>40.049769899188156</v>
      </c>
      <c r="F9" s="146">
        <f t="shared" si="19"/>
        <v>2.2333157463542523</v>
      </c>
      <c r="G9" s="127"/>
      <c r="H9" s="126">
        <f t="shared" si="20"/>
        <v>1.4995536621333772</v>
      </c>
      <c r="I9" s="230">
        <f>'[1]июль 20'!AI8</f>
        <v>0</v>
      </c>
      <c r="J9" s="247">
        <f>'[1]февраль 20'!AA8</f>
        <v>3.2949999999999999</v>
      </c>
      <c r="K9" s="276">
        <f>'[1]сентябрь 20'!AM8</f>
        <v>0</v>
      </c>
      <c r="L9" s="122">
        <f>'[1]февраль 20'!AE8</f>
        <v>89.563000000000002</v>
      </c>
      <c r="M9" s="128">
        <f t="shared" si="21"/>
        <v>0.73376208422087508</v>
      </c>
      <c r="N9" s="400">
        <f>'[1]февраль 20'!W8</f>
        <v>0</v>
      </c>
      <c r="O9" s="403">
        <f>'[1]февраль 20'!AU8</f>
        <v>6.3579999999999997</v>
      </c>
      <c r="P9" s="401">
        <f t="shared" si="0"/>
        <v>173.20699999999999</v>
      </c>
      <c r="Q9" s="122">
        <f>'[1]февраль 20'!S8</f>
        <v>173.20699999999999</v>
      </c>
      <c r="R9" s="123">
        <f t="shared" si="22"/>
        <v>2.2999999999999998</v>
      </c>
      <c r="S9" s="129">
        <v>20.79</v>
      </c>
      <c r="T9" s="125">
        <f t="shared" si="1"/>
        <v>169.22323899999998</v>
      </c>
      <c r="U9" s="147">
        <f>IF(AY9=0,0,T9/AY9)</f>
        <v>1.3863938964443716</v>
      </c>
      <c r="V9" s="130">
        <v>122.06</v>
      </c>
      <c r="W9" s="130">
        <v>31.9</v>
      </c>
      <c r="X9" s="129">
        <v>1.38</v>
      </c>
      <c r="Y9" s="131">
        <v>505</v>
      </c>
      <c r="Z9" s="131">
        <v>1181</v>
      </c>
      <c r="AA9" s="148" t="s">
        <v>155</v>
      </c>
      <c r="AB9" s="149">
        <v>76.61</v>
      </c>
      <c r="AC9" s="150">
        <v>112</v>
      </c>
      <c r="AD9" s="151">
        <v>4</v>
      </c>
      <c r="AE9" s="149"/>
      <c r="AF9" s="134">
        <f t="shared" si="3"/>
        <v>0</v>
      </c>
      <c r="AG9" s="152"/>
      <c r="AH9" s="129">
        <v>67.599999999999994</v>
      </c>
      <c r="AI9" s="134">
        <f t="shared" si="4"/>
        <v>553.8259872194003</v>
      </c>
      <c r="AJ9" s="153">
        <v>13.37</v>
      </c>
      <c r="AK9" s="154"/>
      <c r="AL9" s="155">
        <v>5.54</v>
      </c>
      <c r="AM9" s="156">
        <v>35.869999999999997</v>
      </c>
      <c r="AN9" s="126">
        <f t="shared" si="23"/>
        <v>0.22114673242909988</v>
      </c>
      <c r="AO9" s="157" t="s">
        <v>147</v>
      </c>
      <c r="AP9" s="156">
        <v>12.36</v>
      </c>
      <c r="AQ9" s="156">
        <v>6.73</v>
      </c>
      <c r="AR9" s="149"/>
      <c r="AS9" s="149">
        <v>6.47</v>
      </c>
      <c r="AT9" s="149">
        <v>162.19999999999999</v>
      </c>
      <c r="AU9" s="149">
        <v>1.27</v>
      </c>
      <c r="AV9" s="149"/>
      <c r="AW9" s="149"/>
      <c r="AX9" s="158">
        <f t="shared" si="5"/>
        <v>0</v>
      </c>
      <c r="AY9" s="125">
        <f t="shared" si="6"/>
        <v>122.05999999999999</v>
      </c>
      <c r="AZ9" s="125">
        <f t="shared" ref="AZ9:AZ37" si="29">IF(AB9=0,0,((D9*0.97)*(E9/100)*0.9)/(AB9/100))+DH9</f>
        <v>124.76779663157704</v>
      </c>
      <c r="BA9" s="159">
        <f t="shared" si="7"/>
        <v>3.3880929577464785</v>
      </c>
      <c r="BB9" s="160">
        <f t="shared" si="8"/>
        <v>4.8823999999999996</v>
      </c>
      <c r="BC9" s="161">
        <f t="shared" si="9"/>
        <v>0.85651566266441437</v>
      </c>
      <c r="BD9" s="160">
        <f t="shared" si="24"/>
        <v>8.2704929577464785</v>
      </c>
      <c r="BE9" s="162">
        <v>0.93300000000000005</v>
      </c>
      <c r="BF9" s="25">
        <f t="shared" si="25"/>
        <v>404.67</v>
      </c>
      <c r="BG9" s="25">
        <f t="shared" si="10"/>
        <v>124.55172413793103</v>
      </c>
      <c r="BH9" s="25">
        <f t="shared" si="26"/>
        <v>373.65517241379308</v>
      </c>
      <c r="BI9" s="26">
        <f t="shared" si="11"/>
        <v>1</v>
      </c>
      <c r="BJ9" s="37">
        <f t="shared" si="27"/>
        <v>373.65517241379308</v>
      </c>
      <c r="BK9" s="38"/>
      <c r="BL9" s="31">
        <v>190.66200000000001</v>
      </c>
      <c r="BM9" s="31"/>
      <c r="BN9" s="31">
        <v>89.563000000000002</v>
      </c>
      <c r="BO9" s="40"/>
      <c r="BP9" s="40"/>
      <c r="BQ9" s="32"/>
      <c r="BR9" s="33"/>
      <c r="BS9" s="34">
        <v>4</v>
      </c>
      <c r="BT9" s="35"/>
      <c r="BU9" s="28"/>
      <c r="BV9" s="287"/>
      <c r="BW9" s="287"/>
      <c r="BX9" s="36"/>
      <c r="BY9" s="33"/>
      <c r="BZ9" s="34">
        <v>37.56</v>
      </c>
      <c r="CA9" s="35"/>
      <c r="CB9" s="35">
        <v>45.35</v>
      </c>
      <c r="CC9" s="235"/>
      <c r="CD9" s="235"/>
      <c r="CE9" s="36"/>
      <c r="CF9" s="30">
        <v>173.20699999999999</v>
      </c>
      <c r="CG9" s="30"/>
      <c r="CH9" s="31"/>
      <c r="CI9" s="32"/>
      <c r="CJ9" s="33">
        <v>2.2999999999999998</v>
      </c>
      <c r="CK9" s="33"/>
      <c r="CL9" s="35"/>
      <c r="CM9" s="36"/>
      <c r="CN9" s="286"/>
      <c r="CO9" s="249">
        <f t="shared" si="12"/>
        <v>0</v>
      </c>
      <c r="CP9" s="12">
        <f t="shared" si="12"/>
        <v>183.03551999999999</v>
      </c>
      <c r="CQ9" s="12">
        <f t="shared" si="12"/>
        <v>0</v>
      </c>
      <c r="CR9" s="12">
        <f t="shared" si="12"/>
        <v>89.563000000000002</v>
      </c>
      <c r="CS9" s="11">
        <f t="shared" si="12"/>
        <v>0</v>
      </c>
      <c r="CT9" s="11">
        <f t="shared" si="12"/>
        <v>0</v>
      </c>
      <c r="CU9" s="272">
        <f t="shared" si="12"/>
        <v>0</v>
      </c>
      <c r="CV9" s="249">
        <f t="shared" si="13"/>
        <v>169.22323899999998</v>
      </c>
      <c r="CW9" s="251">
        <f t="shared" si="13"/>
        <v>0</v>
      </c>
      <c r="CX9" s="249">
        <f t="shared" si="13"/>
        <v>0</v>
      </c>
      <c r="CY9" s="272">
        <f t="shared" si="13"/>
        <v>0</v>
      </c>
      <c r="CZ9" s="13"/>
      <c r="DA9" s="240">
        <f>(D9+'[2]февраль 20'!D9)/(AY9+'[2]февраль 20'!AX9)</f>
        <v>2.1045436171448486</v>
      </c>
      <c r="DB9" s="241">
        <f>(T9+'[2]февраль 20'!R9)/(AY9+'[2]февраль 20'!AX9)</f>
        <v>1.299056914275758</v>
      </c>
      <c r="DD9" s="292">
        <f t="shared" si="14"/>
        <v>3.2949999999999999</v>
      </c>
      <c r="DE9" s="291">
        <v>0.61</v>
      </c>
      <c r="DF9" s="291">
        <v>8.39</v>
      </c>
      <c r="DG9" s="145">
        <f t="shared" si="15"/>
        <v>3.2749004999999998</v>
      </c>
      <c r="DH9" s="293">
        <f t="shared" si="28"/>
        <v>0.35865311571596392</v>
      </c>
      <c r="DJ9" s="322"/>
    </row>
    <row r="10" spans="1:114" s="76" customFormat="1" ht="16.5" customHeight="1" thickBot="1">
      <c r="A10" s="144">
        <v>4</v>
      </c>
      <c r="B10" s="122">
        <f>'[1]февраль 20'!K9</f>
        <v>273.07299999999998</v>
      </c>
      <c r="C10" s="123">
        <f t="shared" si="16"/>
        <v>2.7094659669758641</v>
      </c>
      <c r="D10" s="145">
        <f t="shared" si="17"/>
        <v>265.67417999999998</v>
      </c>
      <c r="E10" s="125">
        <f>IF(B10=0,0,(BK10*BY10+BL10*BZ10+BM10*CA10+BQ10*CE10+BN10*CB10+BO10*CC10+BP10*CD10)/B10)</f>
        <v>39.941298590486802</v>
      </c>
      <c r="F10" s="146">
        <f t="shared" si="19"/>
        <v>1.9869432353601073</v>
      </c>
      <c r="G10" s="127"/>
      <c r="H10" s="126">
        <f t="shared" si="20"/>
        <v>1.3349875102834492</v>
      </c>
      <c r="I10" s="230">
        <f>'[1]июль 20'!AI9</f>
        <v>0</v>
      </c>
      <c r="J10" s="247">
        <f>'[1]февраль 20'!AA9</f>
        <v>0</v>
      </c>
      <c r="K10" s="276">
        <f>'[1]сентябрь 20'!AM9</f>
        <v>0</v>
      </c>
      <c r="L10" s="122">
        <f>'[1]февраль 20'!AE9</f>
        <v>87.173000000000002</v>
      </c>
      <c r="M10" s="128">
        <f t="shared" si="21"/>
        <v>0.65195572507665844</v>
      </c>
      <c r="N10" s="400">
        <f>'[1]февраль 20'!W9</f>
        <v>0</v>
      </c>
      <c r="O10" s="403">
        <f>'[1]февраль 20'!AU9</f>
        <v>7.5720000000000001</v>
      </c>
      <c r="P10" s="401">
        <f t="shared" si="0"/>
        <v>168.22300000000001</v>
      </c>
      <c r="Q10" s="122">
        <f>'[1]февраль 20'!S9</f>
        <v>168.22300000000001</v>
      </c>
      <c r="R10" s="123">
        <f t="shared" si="22"/>
        <v>1.72</v>
      </c>
      <c r="S10" s="129">
        <v>3.36</v>
      </c>
      <c r="T10" s="125">
        <f t="shared" si="1"/>
        <v>165.32956440000001</v>
      </c>
      <c r="U10" s="147">
        <f t="shared" si="2"/>
        <v>1.2364786807269463</v>
      </c>
      <c r="V10" s="130">
        <v>133.71</v>
      </c>
      <c r="W10" s="130">
        <v>34.58</v>
      </c>
      <c r="X10" s="129">
        <v>0.9</v>
      </c>
      <c r="Y10" s="131">
        <v>485</v>
      </c>
      <c r="Z10" s="131">
        <v>1192</v>
      </c>
      <c r="AA10" s="148" t="s">
        <v>114</v>
      </c>
      <c r="AB10" s="149">
        <v>76.81</v>
      </c>
      <c r="AC10" s="150">
        <v>109</v>
      </c>
      <c r="AD10" s="151">
        <v>4</v>
      </c>
      <c r="AE10" s="149">
        <v>4.1500000000000004</v>
      </c>
      <c r="AF10" s="134">
        <f t="shared" si="3"/>
        <v>31.03731957220851</v>
      </c>
      <c r="AG10" s="152"/>
      <c r="AH10" s="129">
        <v>78.75</v>
      </c>
      <c r="AI10" s="134">
        <f t="shared" si="4"/>
        <v>588.96118465335428</v>
      </c>
      <c r="AJ10" s="153">
        <v>15.69</v>
      </c>
      <c r="AK10" s="154"/>
      <c r="AL10" s="155">
        <v>5.38</v>
      </c>
      <c r="AM10" s="156">
        <v>34.85</v>
      </c>
      <c r="AN10" s="126">
        <f t="shared" si="23"/>
        <v>0.20202898550724638</v>
      </c>
      <c r="AO10" s="157" t="s">
        <v>163</v>
      </c>
      <c r="AP10" s="156">
        <v>11.34</v>
      </c>
      <c r="AQ10" s="156">
        <v>6.67</v>
      </c>
      <c r="AR10" s="149"/>
      <c r="AS10" s="149">
        <v>8.2899999999999991</v>
      </c>
      <c r="AT10" s="149">
        <v>172.5</v>
      </c>
      <c r="AU10" s="149">
        <v>1.44</v>
      </c>
      <c r="AV10" s="149"/>
      <c r="AW10" s="149"/>
      <c r="AX10" s="158">
        <f t="shared" si="5"/>
        <v>0</v>
      </c>
      <c r="AY10" s="125">
        <f>AT10-AL10-AM10+AV10+AW10+AU10</f>
        <v>133.71</v>
      </c>
      <c r="AZ10" s="125">
        <f>IF(AB10=0,0,((D10*0.97)*(E10/100)*0.9)/(AB10/100))+DH10</f>
        <v>120.60574845417354</v>
      </c>
      <c r="BA10" s="159">
        <f t="shared" si="7"/>
        <v>5.0571919014084505</v>
      </c>
      <c r="BB10" s="160">
        <f t="shared" si="8"/>
        <v>5.3484000000000007</v>
      </c>
      <c r="BC10" s="161">
        <f t="shared" si="9"/>
        <v>0.96785461303574072</v>
      </c>
      <c r="BD10" s="160">
        <f t="shared" si="24"/>
        <v>10.405591901408451</v>
      </c>
      <c r="BE10" s="162">
        <v>0.94199999999999995</v>
      </c>
      <c r="BF10" s="25">
        <f t="shared" si="25"/>
        <v>538.38</v>
      </c>
      <c r="BG10" s="25">
        <f t="shared" si="10"/>
        <v>124.55172413793103</v>
      </c>
      <c r="BH10" s="25">
        <f t="shared" si="26"/>
        <v>498.20689655172413</v>
      </c>
      <c r="BI10" s="26">
        <f t="shared" si="11"/>
        <v>1</v>
      </c>
      <c r="BJ10" s="37">
        <f t="shared" si="27"/>
        <v>498.20689655172413</v>
      </c>
      <c r="BK10" s="38"/>
      <c r="BL10" s="31">
        <v>185.9</v>
      </c>
      <c r="BM10" s="31"/>
      <c r="BN10" s="31">
        <v>87.173000000000002</v>
      </c>
      <c r="BO10" s="40"/>
      <c r="BP10" s="40"/>
      <c r="BQ10" s="32"/>
      <c r="BR10" s="33"/>
      <c r="BS10" s="34">
        <v>3.98</v>
      </c>
      <c r="BT10" s="35"/>
      <c r="BU10" s="28"/>
      <c r="BV10" s="287"/>
      <c r="BW10" s="287"/>
      <c r="BX10" s="36"/>
      <c r="BY10" s="33"/>
      <c r="BZ10" s="34">
        <v>37.33</v>
      </c>
      <c r="CA10" s="35"/>
      <c r="CB10" s="35">
        <v>45.51</v>
      </c>
      <c r="CC10" s="235"/>
      <c r="CD10" s="235"/>
      <c r="CE10" s="36"/>
      <c r="CF10" s="30">
        <v>168.22300000000001</v>
      </c>
      <c r="CG10" s="30"/>
      <c r="CH10" s="31"/>
      <c r="CI10" s="32"/>
      <c r="CJ10" s="33">
        <v>1.72</v>
      </c>
      <c r="CK10" s="33"/>
      <c r="CL10" s="35"/>
      <c r="CM10" s="36"/>
      <c r="CN10" s="286"/>
      <c r="CO10" s="249">
        <f t="shared" si="12"/>
        <v>0</v>
      </c>
      <c r="CP10" s="12">
        <f t="shared" si="12"/>
        <v>178.50118000000001</v>
      </c>
      <c r="CQ10" s="12">
        <f t="shared" si="12"/>
        <v>0</v>
      </c>
      <c r="CR10" s="14">
        <f t="shared" si="12"/>
        <v>87.173000000000002</v>
      </c>
      <c r="CS10" s="11">
        <f t="shared" si="12"/>
        <v>0</v>
      </c>
      <c r="CT10" s="11">
        <f t="shared" si="12"/>
        <v>0</v>
      </c>
      <c r="CU10" s="272">
        <f t="shared" si="12"/>
        <v>0</v>
      </c>
      <c r="CV10" s="249">
        <f t="shared" si="13"/>
        <v>165.32956440000001</v>
      </c>
      <c r="CW10" s="12">
        <f t="shared" si="13"/>
        <v>0</v>
      </c>
      <c r="CX10" s="249">
        <f t="shared" si="13"/>
        <v>0</v>
      </c>
      <c r="CY10" s="272">
        <f t="shared" si="13"/>
        <v>0</v>
      </c>
      <c r="CZ10" s="13"/>
      <c r="DA10" s="240">
        <f>(D10+'[2]февраль 20'!D10)/(AY10+'[2]февраль 20'!AX10)</f>
        <v>2.0000158294367698</v>
      </c>
      <c r="DB10" s="241">
        <f>(T10+'[2]февраль 20'!R10)/(AY10+'[2]февраль 20'!AX10)</f>
        <v>1.2289839649309249</v>
      </c>
      <c r="DD10" s="292">
        <f t="shared" si="14"/>
        <v>0</v>
      </c>
      <c r="DE10" s="291">
        <v>0.71</v>
      </c>
      <c r="DF10" s="291">
        <v>11.5</v>
      </c>
      <c r="DG10" s="145">
        <f t="shared" si="15"/>
        <v>0</v>
      </c>
      <c r="DH10" s="293">
        <f t="shared" si="28"/>
        <v>0</v>
      </c>
      <c r="DJ10" s="322"/>
    </row>
    <row r="11" spans="1:114" s="76" customFormat="1" ht="16.5" customHeight="1" thickBot="1">
      <c r="A11" s="144">
        <v>5</v>
      </c>
      <c r="B11" s="122">
        <f>'[1]февраль 20'!K10</f>
        <v>298.53399999999999</v>
      </c>
      <c r="C11" s="123">
        <f t="shared" si="16"/>
        <v>2.8339139260519741</v>
      </c>
      <c r="D11" s="145">
        <f t="shared" si="17"/>
        <v>290.07380339999997</v>
      </c>
      <c r="E11" s="125">
        <f t="shared" si="18"/>
        <v>40.084125225267471</v>
      </c>
      <c r="F11" s="146">
        <f t="shared" si="19"/>
        <v>2.2432433949423869</v>
      </c>
      <c r="G11" s="127"/>
      <c r="H11" s="126">
        <f t="shared" si="20"/>
        <v>1.4960467357512957</v>
      </c>
      <c r="I11" s="230">
        <f>'[1]июль 20'!AI10</f>
        <v>0</v>
      </c>
      <c r="J11" s="247">
        <f>'[1]февраль 20'!AA10</f>
        <v>0</v>
      </c>
      <c r="K11" s="276">
        <f>'[1]сентябрь 20'!AM10</f>
        <v>0</v>
      </c>
      <c r="L11" s="122">
        <f>'[1]февраль 20'!AE10</f>
        <v>96.62</v>
      </c>
      <c r="M11" s="128">
        <f t="shared" si="21"/>
        <v>0.74719665919109135</v>
      </c>
      <c r="N11" s="400">
        <f>'[1]февраль 20'!W10</f>
        <v>0</v>
      </c>
      <c r="O11" s="403">
        <f>'[1]февраль 20'!AU10</f>
        <v>8.0350000000000001</v>
      </c>
      <c r="P11" s="401">
        <f t="shared" si="0"/>
        <v>186.209</v>
      </c>
      <c r="Q11" s="122">
        <f>'[1]февраль 20'!S10</f>
        <v>186.209</v>
      </c>
      <c r="R11" s="123">
        <f t="shared" si="22"/>
        <v>1.86</v>
      </c>
      <c r="S11" s="129">
        <v>27.32</v>
      </c>
      <c r="T11" s="125">
        <f t="shared" si="1"/>
        <v>182.74551260000001</v>
      </c>
      <c r="U11" s="147">
        <f t="shared" si="2"/>
        <v>1.4132357327352876</v>
      </c>
      <c r="V11" s="130">
        <v>129.31</v>
      </c>
      <c r="W11" s="130">
        <v>63.92</v>
      </c>
      <c r="X11" s="129">
        <v>0.94</v>
      </c>
      <c r="Y11" s="131">
        <v>508</v>
      </c>
      <c r="Z11" s="131">
        <v>1178</v>
      </c>
      <c r="AA11" s="148" t="s">
        <v>114</v>
      </c>
      <c r="AB11" s="149">
        <v>76.63</v>
      </c>
      <c r="AC11" s="150">
        <v>117</v>
      </c>
      <c r="AD11" s="151">
        <v>4</v>
      </c>
      <c r="AE11" s="149"/>
      <c r="AF11" s="134">
        <f t="shared" si="3"/>
        <v>0</v>
      </c>
      <c r="AG11" s="152"/>
      <c r="AH11" s="129">
        <v>82.65</v>
      </c>
      <c r="AI11" s="134">
        <f t="shared" si="4"/>
        <v>639.161704431212</v>
      </c>
      <c r="AJ11" s="163">
        <v>14.71</v>
      </c>
      <c r="AK11" s="154"/>
      <c r="AL11" s="155">
        <v>5.4</v>
      </c>
      <c r="AM11" s="156">
        <v>34.61</v>
      </c>
      <c r="AN11" s="126">
        <f t="shared" si="23"/>
        <v>0.20588935157644259</v>
      </c>
      <c r="AO11" s="157" t="s">
        <v>162</v>
      </c>
      <c r="AP11" s="156">
        <v>11.17</v>
      </c>
      <c r="AQ11" s="156">
        <v>6.8</v>
      </c>
      <c r="AR11" s="149"/>
      <c r="AS11" s="149">
        <v>8.01</v>
      </c>
      <c r="AT11" s="149">
        <v>168.1</v>
      </c>
      <c r="AU11" s="149">
        <v>1.22</v>
      </c>
      <c r="AV11" s="149"/>
      <c r="AW11" s="149"/>
      <c r="AX11" s="158">
        <f t="shared" si="5"/>
        <v>0</v>
      </c>
      <c r="AY11" s="125">
        <f t="shared" si="6"/>
        <v>129.30999999999997</v>
      </c>
      <c r="AZ11" s="125">
        <f t="shared" si="29"/>
        <v>132.46353410189485</v>
      </c>
      <c r="BA11" s="159">
        <f t="shared" si="7"/>
        <v>5.1283742957746483</v>
      </c>
      <c r="BB11" s="160">
        <f t="shared" si="8"/>
        <v>5.1723999999999988</v>
      </c>
      <c r="BC11" s="161">
        <f t="shared" si="9"/>
        <v>0.85221665543940162</v>
      </c>
      <c r="BD11" s="160">
        <f t="shared" si="24"/>
        <v>10.300774295774648</v>
      </c>
      <c r="BE11" s="162">
        <v>0.92300000000000004</v>
      </c>
      <c r="BF11" s="25">
        <f t="shared" si="25"/>
        <v>667.68999999999994</v>
      </c>
      <c r="BG11" s="25">
        <f t="shared" si="10"/>
        <v>124.55172413793103</v>
      </c>
      <c r="BH11" s="25">
        <f t="shared" si="26"/>
        <v>622.75862068965512</v>
      </c>
      <c r="BI11" s="26">
        <f t="shared" si="11"/>
        <v>1</v>
      </c>
      <c r="BJ11" s="37">
        <f t="shared" si="27"/>
        <v>622.75862068965512</v>
      </c>
      <c r="BK11" s="38"/>
      <c r="BL11" s="31">
        <v>201.91399999999999</v>
      </c>
      <c r="BM11" s="31"/>
      <c r="BN11" s="31">
        <v>96.62</v>
      </c>
      <c r="BO11" s="40"/>
      <c r="BP11" s="40"/>
      <c r="BQ11" s="32"/>
      <c r="BR11" s="33"/>
      <c r="BS11" s="34">
        <v>4.1900000000000004</v>
      </c>
      <c r="BT11" s="35"/>
      <c r="BU11" s="28"/>
      <c r="BV11" s="287"/>
      <c r="BW11" s="287"/>
      <c r="BX11" s="36"/>
      <c r="BY11" s="33"/>
      <c r="BZ11" s="34">
        <v>37.659999999999997</v>
      </c>
      <c r="CA11" s="35"/>
      <c r="CB11" s="35">
        <v>45.15</v>
      </c>
      <c r="CC11" s="235"/>
      <c r="CD11" s="235"/>
      <c r="CE11" s="36"/>
      <c r="CF11" s="30">
        <v>186.209</v>
      </c>
      <c r="CG11" s="30"/>
      <c r="CH11" s="31"/>
      <c r="CI11" s="32"/>
      <c r="CJ11" s="33">
        <v>1.86</v>
      </c>
      <c r="CK11" s="33"/>
      <c r="CL11" s="35"/>
      <c r="CM11" s="36"/>
      <c r="CN11" s="286"/>
      <c r="CO11" s="249">
        <f t="shared" si="12"/>
        <v>0</v>
      </c>
      <c r="CP11" s="12">
        <f t="shared" si="12"/>
        <v>193.4538034</v>
      </c>
      <c r="CQ11" s="15">
        <f t="shared" si="12"/>
        <v>0</v>
      </c>
      <c r="CR11" s="16">
        <f t="shared" si="12"/>
        <v>96.62</v>
      </c>
      <c r="CS11" s="11">
        <f t="shared" si="12"/>
        <v>0</v>
      </c>
      <c r="CT11" s="11">
        <f t="shared" si="12"/>
        <v>0</v>
      </c>
      <c r="CU11" s="272">
        <f t="shared" si="12"/>
        <v>0</v>
      </c>
      <c r="CV11" s="249">
        <f t="shared" si="13"/>
        <v>182.74551260000001</v>
      </c>
      <c r="CW11" s="12">
        <f t="shared" si="13"/>
        <v>0</v>
      </c>
      <c r="CX11" s="249">
        <f t="shared" si="13"/>
        <v>0</v>
      </c>
      <c r="CY11" s="272">
        <f t="shared" si="13"/>
        <v>0</v>
      </c>
      <c r="CZ11" s="13"/>
      <c r="DA11" s="240">
        <f>(D11+'[2]февраль 20'!D11)/(AY11+'[2]февраль 20'!AX11)</f>
        <v>2.1844706386137203</v>
      </c>
      <c r="DB11" s="241">
        <f>(T11+'[2]февраль 20'!R11)/(AY11+'[2]февраль 20'!AX11)</f>
        <v>1.3463287921436526</v>
      </c>
      <c r="DD11" s="292">
        <f t="shared" si="14"/>
        <v>0</v>
      </c>
      <c r="DE11" s="291">
        <v>1.32</v>
      </c>
      <c r="DF11" s="407">
        <v>9.92</v>
      </c>
      <c r="DG11" s="145">
        <f t="shared" si="15"/>
        <v>0</v>
      </c>
      <c r="DH11" s="293">
        <f t="shared" si="28"/>
        <v>0</v>
      </c>
      <c r="DJ11" s="322"/>
    </row>
    <row r="12" spans="1:114" s="76" customFormat="1" ht="16.5" customHeight="1" thickBot="1">
      <c r="A12" s="144">
        <v>6</v>
      </c>
      <c r="B12" s="122">
        <f>'[1]февраль 20'!K11</f>
        <v>149.685</v>
      </c>
      <c r="C12" s="123">
        <f t="shared" si="16"/>
        <v>1.8424234225206264</v>
      </c>
      <c r="D12" s="145">
        <f t="shared" si="17"/>
        <v>146.92716850000002</v>
      </c>
      <c r="E12" s="125">
        <f t="shared" si="18"/>
        <v>39.957479707385509</v>
      </c>
      <c r="F12" s="146">
        <f t="shared" si="19"/>
        <v>1.8152602977514212</v>
      </c>
      <c r="G12" s="127"/>
      <c r="H12" s="126">
        <f t="shared" si="20"/>
        <v>1.2232168087472202</v>
      </c>
      <c r="I12" s="230">
        <f>'[1]июль 20'!AI11</f>
        <v>0</v>
      </c>
      <c r="J12" s="247">
        <f>'[1]февраль 20'!AA11</f>
        <v>0</v>
      </c>
      <c r="K12" s="276">
        <f>'[1]сентябрь 20'!AM11</f>
        <v>0</v>
      </c>
      <c r="L12" s="122">
        <f>'[1]февраль 20'!AE11</f>
        <v>47.92</v>
      </c>
      <c r="M12" s="128">
        <f t="shared" si="21"/>
        <v>0.59204348900420067</v>
      </c>
      <c r="N12" s="400">
        <f>'[1]февраль 20'!W11</f>
        <v>0</v>
      </c>
      <c r="O12" s="403">
        <f>'[1]февраль 20'!AU11</f>
        <v>3.9769999999999999</v>
      </c>
      <c r="P12" s="401">
        <f t="shared" si="0"/>
        <v>99.064999999999998</v>
      </c>
      <c r="Q12" s="122">
        <f>'[1]февраль 20'!S11</f>
        <v>99.064999999999998</v>
      </c>
      <c r="R12" s="123">
        <f t="shared" si="22"/>
        <v>1.93</v>
      </c>
      <c r="S12" s="129">
        <v>7.59</v>
      </c>
      <c r="T12" s="125">
        <f t="shared" si="1"/>
        <v>97.15304549999999</v>
      </c>
      <c r="U12" s="147">
        <f t="shared" si="2"/>
        <v>1.2003094329132691</v>
      </c>
      <c r="V12" s="130">
        <v>80.94</v>
      </c>
      <c r="W12" s="130">
        <v>21.63</v>
      </c>
      <c r="X12" s="129">
        <v>1.19</v>
      </c>
      <c r="Y12" s="131">
        <v>490</v>
      </c>
      <c r="Z12" s="150">
        <v>1142</v>
      </c>
      <c r="AA12" s="148" t="s">
        <v>155</v>
      </c>
      <c r="AB12" s="149">
        <v>77.02</v>
      </c>
      <c r="AC12" s="150">
        <v>62</v>
      </c>
      <c r="AD12" s="151">
        <v>3</v>
      </c>
      <c r="AE12" s="149">
        <v>10.35</v>
      </c>
      <c r="AF12" s="134">
        <f t="shared" si="3"/>
        <v>127.8724981467754</v>
      </c>
      <c r="AG12" s="152"/>
      <c r="AH12" s="129">
        <v>45.8</v>
      </c>
      <c r="AI12" s="134">
        <f t="shared" si="4"/>
        <v>565.85124783790468</v>
      </c>
      <c r="AJ12" s="153">
        <v>11.19</v>
      </c>
      <c r="AK12" s="154"/>
      <c r="AL12" s="155">
        <v>3.22</v>
      </c>
      <c r="AM12" s="156">
        <v>16.91</v>
      </c>
      <c r="AN12" s="126">
        <f t="shared" si="23"/>
        <v>0.16893106893106893</v>
      </c>
      <c r="AO12" s="157" t="s">
        <v>164</v>
      </c>
      <c r="AP12" s="156">
        <v>11.16</v>
      </c>
      <c r="AQ12" s="156">
        <v>6.89</v>
      </c>
      <c r="AR12" s="149"/>
      <c r="AS12" s="149">
        <v>7.72</v>
      </c>
      <c r="AT12" s="149">
        <v>100.1</v>
      </c>
      <c r="AU12" s="149">
        <v>0.97</v>
      </c>
      <c r="AV12" s="164"/>
      <c r="AW12" s="164"/>
      <c r="AX12" s="158">
        <f t="shared" si="5"/>
        <v>0</v>
      </c>
      <c r="AY12" s="125">
        <f t="shared" si="6"/>
        <v>80.94</v>
      </c>
      <c r="AZ12" s="125">
        <f t="shared" si="29"/>
        <v>66.544309995708417</v>
      </c>
      <c r="BA12" s="159">
        <f t="shared" si="7"/>
        <v>2.7389690140845069</v>
      </c>
      <c r="BB12" s="160">
        <f t="shared" si="8"/>
        <v>3.2376</v>
      </c>
      <c r="BC12" s="161">
        <f t="shared" si="9"/>
        <v>1.0618581814817383</v>
      </c>
      <c r="BD12" s="160">
        <f t="shared" si="24"/>
        <v>5.9765690140845074</v>
      </c>
      <c r="BE12" s="162">
        <v>0.93600000000000005</v>
      </c>
      <c r="BF12" s="25">
        <f t="shared" si="25"/>
        <v>748.62999999999988</v>
      </c>
      <c r="BG12" s="25">
        <f t="shared" si="10"/>
        <v>124.55172413793103</v>
      </c>
      <c r="BH12" s="25">
        <f t="shared" si="26"/>
        <v>747.31034482758616</v>
      </c>
      <c r="BI12" s="26">
        <f t="shared" si="11"/>
        <v>1</v>
      </c>
      <c r="BJ12" s="37">
        <f t="shared" si="27"/>
        <v>747.31034482758616</v>
      </c>
      <c r="BK12" s="38"/>
      <c r="BL12" s="31">
        <v>101.765</v>
      </c>
      <c r="BM12" s="31"/>
      <c r="BN12" s="31">
        <v>47.92</v>
      </c>
      <c r="BO12" s="40"/>
      <c r="BP12" s="40"/>
      <c r="BQ12" s="32"/>
      <c r="BR12" s="33"/>
      <c r="BS12" s="34">
        <v>2.71</v>
      </c>
      <c r="BT12" s="33"/>
      <c r="BU12" s="28"/>
      <c r="BV12" s="287"/>
      <c r="BW12" s="287"/>
      <c r="BX12" s="36"/>
      <c r="BY12" s="33"/>
      <c r="BZ12" s="34">
        <v>37.47</v>
      </c>
      <c r="CA12" s="33"/>
      <c r="CB12" s="35">
        <v>45.24</v>
      </c>
      <c r="CC12" s="235"/>
      <c r="CD12" s="235"/>
      <c r="CE12" s="36"/>
      <c r="CF12" s="30">
        <v>99.064999999999998</v>
      </c>
      <c r="CG12" s="30"/>
      <c r="CH12" s="31"/>
      <c r="CI12" s="32"/>
      <c r="CJ12" s="33">
        <v>1.93</v>
      </c>
      <c r="CK12" s="33"/>
      <c r="CL12" s="35"/>
      <c r="CM12" s="36"/>
      <c r="CN12" s="286"/>
      <c r="CO12" s="249">
        <f t="shared" si="12"/>
        <v>0</v>
      </c>
      <c r="CP12" s="12">
        <f t="shared" si="12"/>
        <v>99.007168500000006</v>
      </c>
      <c r="CQ12" s="12">
        <f t="shared" si="12"/>
        <v>0</v>
      </c>
      <c r="CR12" s="12">
        <f t="shared" si="12"/>
        <v>47.92</v>
      </c>
      <c r="CS12" s="11">
        <f t="shared" si="12"/>
        <v>0</v>
      </c>
      <c r="CT12" s="11">
        <f t="shared" si="12"/>
        <v>0</v>
      </c>
      <c r="CU12" s="272">
        <f t="shared" si="12"/>
        <v>0</v>
      </c>
      <c r="CV12" s="249">
        <f t="shared" si="13"/>
        <v>97.15304549999999</v>
      </c>
      <c r="CW12" s="12">
        <f t="shared" si="13"/>
        <v>0</v>
      </c>
      <c r="CX12" s="252">
        <f t="shared" si="13"/>
        <v>0</v>
      </c>
      <c r="CY12" s="272">
        <f t="shared" si="13"/>
        <v>0</v>
      </c>
      <c r="CZ12" s="13"/>
      <c r="DA12" s="240">
        <f>(D12+'[2]февраль 20'!D12)/(AY12+'[2]февраль 20'!AX12)</f>
        <v>1.986208056951928</v>
      </c>
      <c r="DB12" s="241">
        <f>(T12+'[2]февраль 20'!R12)/(AY12+'[2]февраль 20'!AX12)</f>
        <v>1.2247465323138982</v>
      </c>
      <c r="DD12" s="292">
        <f t="shared" si="14"/>
        <v>0</v>
      </c>
      <c r="DE12" s="291">
        <v>0.27</v>
      </c>
      <c r="DF12" s="291">
        <v>9.26</v>
      </c>
      <c r="DG12" s="145">
        <f t="shared" si="15"/>
        <v>0</v>
      </c>
      <c r="DH12" s="293">
        <f t="shared" si="28"/>
        <v>0</v>
      </c>
      <c r="DJ12" s="322"/>
    </row>
    <row r="13" spans="1:114" s="76" customFormat="1" ht="16.5" customHeight="1" thickBot="1">
      <c r="A13" s="144">
        <v>7</v>
      </c>
      <c r="B13" s="122">
        <f>'[1]февраль 20'!K12</f>
        <v>289.98500000000001</v>
      </c>
      <c r="C13" s="123">
        <f t="shared" si="16"/>
        <v>2.0000637964032624</v>
      </c>
      <c r="D13" s="145">
        <f t="shared" si="17"/>
        <v>284.185115</v>
      </c>
      <c r="E13" s="125">
        <f t="shared" si="18"/>
        <v>39.794787833853476</v>
      </c>
      <c r="F13" s="146">
        <f t="shared" si="19"/>
        <v>2.1436608206984986</v>
      </c>
      <c r="G13" s="127"/>
      <c r="H13" s="126">
        <f t="shared" si="20"/>
        <v>1.4443321641396998</v>
      </c>
      <c r="I13" s="230">
        <f>'[1]июль 20'!AI12</f>
        <v>0</v>
      </c>
      <c r="J13" s="247">
        <f>'[1]февраль 20'!AA12</f>
        <v>0</v>
      </c>
      <c r="K13" s="276">
        <f>'[1]сентябрь 20'!AM12</f>
        <v>0</v>
      </c>
      <c r="L13" s="122">
        <f>'[1]февраль 20'!AE12</f>
        <v>92.71</v>
      </c>
      <c r="M13" s="128">
        <f t="shared" si="21"/>
        <v>0.69932865655879894</v>
      </c>
      <c r="N13" s="400">
        <f>'[1]февраль 20'!W12</f>
        <v>0</v>
      </c>
      <c r="O13" s="403">
        <f>'[1]февраль 20'!AU12</f>
        <v>8.15</v>
      </c>
      <c r="P13" s="401">
        <f t="shared" si="0"/>
        <v>179.655</v>
      </c>
      <c r="Q13" s="122">
        <f>'[1]февраль 20'!S12</f>
        <v>179.655</v>
      </c>
      <c r="R13" s="123">
        <f t="shared" si="22"/>
        <v>1.79</v>
      </c>
      <c r="S13" s="129">
        <v>11.66</v>
      </c>
      <c r="T13" s="125">
        <f t="shared" si="1"/>
        <v>176.4391755</v>
      </c>
      <c r="U13" s="147">
        <f t="shared" si="2"/>
        <v>1.3309132948630911</v>
      </c>
      <c r="V13" s="130">
        <v>132.57</v>
      </c>
      <c r="W13" s="130">
        <v>65.03</v>
      </c>
      <c r="X13" s="129">
        <v>1.1100000000000001</v>
      </c>
      <c r="Y13" s="165">
        <v>528</v>
      </c>
      <c r="Z13" s="166">
        <v>1178</v>
      </c>
      <c r="AA13" s="148" t="s">
        <v>165</v>
      </c>
      <c r="AB13" s="149">
        <v>76.53</v>
      </c>
      <c r="AC13" s="150">
        <v>116</v>
      </c>
      <c r="AD13" s="151">
        <v>4</v>
      </c>
      <c r="AE13" s="149">
        <v>10.85</v>
      </c>
      <c r="AF13" s="134">
        <f t="shared" si="3"/>
        <v>81.843554348645981</v>
      </c>
      <c r="AG13" s="152"/>
      <c r="AH13" s="129">
        <v>84.15</v>
      </c>
      <c r="AI13" s="134">
        <f t="shared" si="4"/>
        <v>634.75899524779356</v>
      </c>
      <c r="AJ13" s="136">
        <v>14.55</v>
      </c>
      <c r="AK13" s="154"/>
      <c r="AL13" s="155">
        <v>6.26</v>
      </c>
      <c r="AM13" s="156">
        <v>36.43</v>
      </c>
      <c r="AN13" s="126">
        <f t="shared" si="23"/>
        <v>0.20948821161587119</v>
      </c>
      <c r="AO13" s="157" t="s">
        <v>166</v>
      </c>
      <c r="AP13" s="156">
        <v>11.95</v>
      </c>
      <c r="AQ13" s="156">
        <v>6.7</v>
      </c>
      <c r="AR13" s="149"/>
      <c r="AS13" s="149">
        <v>8.01</v>
      </c>
      <c r="AT13" s="149">
        <v>173.9</v>
      </c>
      <c r="AU13" s="149">
        <v>1.36</v>
      </c>
      <c r="AV13" s="149"/>
      <c r="AW13" s="149"/>
      <c r="AX13" s="158">
        <f t="shared" si="5"/>
        <v>0</v>
      </c>
      <c r="AY13" s="125">
        <f t="shared" si="6"/>
        <v>132.57000000000002</v>
      </c>
      <c r="AZ13" s="125">
        <f t="shared" si="29"/>
        <v>129.00604193949812</v>
      </c>
      <c r="BA13" s="159">
        <f t="shared" si="7"/>
        <v>5.2214482394366195</v>
      </c>
      <c r="BB13" s="160">
        <f t="shared" si="8"/>
        <v>5.3028000000000013</v>
      </c>
      <c r="BC13" s="161">
        <f t="shared" si="9"/>
        <v>0.89711774937081878</v>
      </c>
      <c r="BD13" s="160">
        <f t="shared" si="24"/>
        <v>10.52424823943662</v>
      </c>
      <c r="BE13" s="162">
        <v>0.93</v>
      </c>
      <c r="BF13" s="25">
        <f t="shared" si="25"/>
        <v>881.19999999999993</v>
      </c>
      <c r="BG13" s="25">
        <f t="shared" si="10"/>
        <v>124.55172413793103</v>
      </c>
      <c r="BH13" s="25">
        <f t="shared" si="26"/>
        <v>871.86206896551721</v>
      </c>
      <c r="BI13" s="26">
        <f t="shared" si="11"/>
        <v>1</v>
      </c>
      <c r="BJ13" s="37">
        <f t="shared" si="27"/>
        <v>871.86206896551721</v>
      </c>
      <c r="BK13" s="39"/>
      <c r="BL13" s="40">
        <v>197.27500000000001</v>
      </c>
      <c r="BM13" s="325"/>
      <c r="BN13" s="31">
        <v>92.71</v>
      </c>
      <c r="BO13" s="40"/>
      <c r="BP13" s="40"/>
      <c r="BQ13" s="32"/>
      <c r="BR13" s="33"/>
      <c r="BS13" s="34">
        <v>2.94</v>
      </c>
      <c r="BT13" s="33"/>
      <c r="BU13" s="28"/>
      <c r="BV13" s="287"/>
      <c r="BW13" s="287"/>
      <c r="BX13" s="36"/>
      <c r="BY13" s="33"/>
      <c r="BZ13" s="34">
        <v>37.17</v>
      </c>
      <c r="CA13" s="33"/>
      <c r="CB13" s="35">
        <v>45.38</v>
      </c>
      <c r="CC13" s="235"/>
      <c r="CD13" s="235"/>
      <c r="CE13" s="36"/>
      <c r="CF13" s="30">
        <v>179.655</v>
      </c>
      <c r="CG13" s="30"/>
      <c r="CH13" s="30"/>
      <c r="CI13" s="32"/>
      <c r="CJ13" s="33">
        <v>1.79</v>
      </c>
      <c r="CK13" s="33"/>
      <c r="CL13" s="33"/>
      <c r="CM13" s="36"/>
      <c r="CN13" s="286"/>
      <c r="CO13" s="249">
        <f t="shared" si="12"/>
        <v>0</v>
      </c>
      <c r="CP13" s="12">
        <f t="shared" si="12"/>
        <v>191.47511500000002</v>
      </c>
      <c r="CQ13" s="12">
        <f t="shared" si="12"/>
        <v>0</v>
      </c>
      <c r="CR13" s="12">
        <f t="shared" si="12"/>
        <v>92.71</v>
      </c>
      <c r="CS13" s="11">
        <f t="shared" si="12"/>
        <v>0</v>
      </c>
      <c r="CT13" s="11">
        <f t="shared" si="12"/>
        <v>0</v>
      </c>
      <c r="CU13" s="272">
        <f t="shared" si="12"/>
        <v>0</v>
      </c>
      <c r="CV13" s="249">
        <f t="shared" si="13"/>
        <v>176.4391755</v>
      </c>
      <c r="CW13" s="251">
        <f t="shared" si="13"/>
        <v>0</v>
      </c>
      <c r="CX13" s="249">
        <f t="shared" si="13"/>
        <v>0</v>
      </c>
      <c r="CY13" s="272">
        <f t="shared" si="13"/>
        <v>0</v>
      </c>
      <c r="CZ13" s="13"/>
      <c r="DA13" s="240">
        <f>(D13+'[2]февраль 20'!D13)/(AY13+'[2]февраль 20'!AX13)</f>
        <v>2.0800012221900426</v>
      </c>
      <c r="DB13" s="241">
        <f>(T13+'[2]февраль 20'!R13)/(AY13+'[2]февраль 20'!AX13)</f>
        <v>1.2706331468365761</v>
      </c>
      <c r="DD13" s="292">
        <f t="shared" si="14"/>
        <v>0</v>
      </c>
      <c r="DE13" s="291">
        <v>0.33</v>
      </c>
      <c r="DF13" s="291">
        <v>8.8000000000000007</v>
      </c>
      <c r="DG13" s="145">
        <f t="shared" si="15"/>
        <v>0</v>
      </c>
      <c r="DH13" s="293">
        <f t="shared" si="28"/>
        <v>0</v>
      </c>
      <c r="DJ13" s="322"/>
    </row>
    <row r="14" spans="1:114" s="76" customFormat="1" ht="16.5" customHeight="1" thickBot="1">
      <c r="A14" s="144">
        <v>8</v>
      </c>
      <c r="B14" s="122">
        <f>'[1]февраль 20'!K13</f>
        <v>257.70800000000003</v>
      </c>
      <c r="C14" s="123">
        <f t="shared" si="16"/>
        <v>2.5364804740248652</v>
      </c>
      <c r="D14" s="145">
        <f t="shared" si="17"/>
        <v>251.17128690000001</v>
      </c>
      <c r="E14" s="125">
        <f t="shared" si="18"/>
        <v>39.857824165334407</v>
      </c>
      <c r="F14" s="146">
        <f t="shared" si="19"/>
        <v>1.8202136886730926</v>
      </c>
      <c r="G14" s="127"/>
      <c r="H14" s="126">
        <f t="shared" si="20"/>
        <v>1.2226269070222482</v>
      </c>
      <c r="I14" s="230">
        <f>'[1]июль 20'!AI13</f>
        <v>0</v>
      </c>
      <c r="J14" s="247">
        <f>'[1]февраль 20'!AA13</f>
        <v>0</v>
      </c>
      <c r="K14" s="276">
        <f>'[1]сентябрь 20'!AM13</f>
        <v>0</v>
      </c>
      <c r="L14" s="122">
        <f>'[1]февраль 20'!AE13</f>
        <v>82.460999999999999</v>
      </c>
      <c r="M14" s="128">
        <f t="shared" si="21"/>
        <v>0.59758678165084433</v>
      </c>
      <c r="N14" s="400">
        <f>'[1]февраль 20'!W13</f>
        <v>0</v>
      </c>
      <c r="O14" s="403">
        <f>'[1]февраль 20'!AU13</f>
        <v>7.7839999999999998</v>
      </c>
      <c r="P14" s="401">
        <f t="shared" si="0"/>
        <v>157.881</v>
      </c>
      <c r="Q14" s="122">
        <f>'[1]февраль 20'!S13</f>
        <v>157.881</v>
      </c>
      <c r="R14" s="123">
        <f t="shared" si="22"/>
        <v>1.78</v>
      </c>
      <c r="S14" s="129">
        <v>7.17</v>
      </c>
      <c r="T14" s="125">
        <f t="shared" si="1"/>
        <v>155.07071819999999</v>
      </c>
      <c r="U14" s="147">
        <f t="shared" si="2"/>
        <v>1.1237822900210162</v>
      </c>
      <c r="V14" s="130">
        <v>137.99</v>
      </c>
      <c r="W14" s="130"/>
      <c r="X14" s="129">
        <v>1.41</v>
      </c>
      <c r="Y14" s="131">
        <v>498</v>
      </c>
      <c r="Z14" s="150">
        <v>1184</v>
      </c>
      <c r="AA14" s="148" t="s">
        <v>167</v>
      </c>
      <c r="AB14" s="149">
        <v>76.930000000000007</v>
      </c>
      <c r="AC14" s="150">
        <v>103</v>
      </c>
      <c r="AD14" s="151">
        <v>4</v>
      </c>
      <c r="AE14" s="149">
        <v>7.2</v>
      </c>
      <c r="AF14" s="134">
        <f t="shared" si="3"/>
        <v>52.177694035799711</v>
      </c>
      <c r="AG14" s="152"/>
      <c r="AH14" s="129">
        <v>88</v>
      </c>
      <c r="AI14" s="134">
        <f t="shared" si="4"/>
        <v>637.72737154866297</v>
      </c>
      <c r="AJ14" s="153">
        <v>19.8</v>
      </c>
      <c r="AK14" s="154"/>
      <c r="AL14" s="155">
        <v>6.21</v>
      </c>
      <c r="AM14" s="156">
        <v>35.5</v>
      </c>
      <c r="AN14" s="126">
        <f t="shared" si="23"/>
        <v>0.20033860045146729</v>
      </c>
      <c r="AO14" s="157" t="s">
        <v>168</v>
      </c>
      <c r="AP14" s="156">
        <v>11.56</v>
      </c>
      <c r="AQ14" s="156">
        <v>6.69</v>
      </c>
      <c r="AR14" s="149"/>
      <c r="AS14" s="149">
        <v>7.91</v>
      </c>
      <c r="AT14" s="149">
        <v>177.2</v>
      </c>
      <c r="AU14" s="149">
        <v>2.5</v>
      </c>
      <c r="AV14" s="149"/>
      <c r="AW14" s="149"/>
      <c r="AX14" s="158">
        <f t="shared" si="5"/>
        <v>0</v>
      </c>
      <c r="AY14" s="125">
        <f t="shared" si="6"/>
        <v>137.98999999999998</v>
      </c>
      <c r="AZ14" s="125">
        <f t="shared" si="29"/>
        <v>113.60621452077939</v>
      </c>
      <c r="BA14" s="159">
        <f t="shared" si="7"/>
        <v>5.3921690140845078</v>
      </c>
      <c r="BB14" s="160">
        <f t="shared" si="8"/>
        <v>5.5195999999999996</v>
      </c>
      <c r="BC14" s="161">
        <f t="shared" si="9"/>
        <v>1.0603757066297286</v>
      </c>
      <c r="BD14" s="159">
        <f t="shared" si="24"/>
        <v>10.911769014084507</v>
      </c>
      <c r="BE14" s="167">
        <v>0.94599999999999995</v>
      </c>
      <c r="BF14" s="25">
        <f t="shared" si="25"/>
        <v>1019.1899999999999</v>
      </c>
      <c r="BG14" s="25">
        <f t="shared" si="10"/>
        <v>124.55172413793103</v>
      </c>
      <c r="BH14" s="25">
        <f t="shared" si="26"/>
        <v>996.41379310344826</v>
      </c>
      <c r="BI14" s="26">
        <f t="shared" si="11"/>
        <v>1</v>
      </c>
      <c r="BJ14" s="37">
        <f t="shared" si="27"/>
        <v>996.41379310344826</v>
      </c>
      <c r="BK14" s="39"/>
      <c r="BL14" s="40">
        <v>175.24700000000001</v>
      </c>
      <c r="BM14" s="325"/>
      <c r="BN14" s="31">
        <v>82.460999999999999</v>
      </c>
      <c r="BO14" s="40"/>
      <c r="BP14" s="40"/>
      <c r="BQ14" s="32"/>
      <c r="BR14" s="33"/>
      <c r="BS14" s="34">
        <v>3.73</v>
      </c>
      <c r="BT14" s="33"/>
      <c r="BU14" s="28"/>
      <c r="BV14" s="287"/>
      <c r="BW14" s="287"/>
      <c r="BX14" s="36"/>
      <c r="BY14" s="33"/>
      <c r="BZ14" s="34">
        <v>37.25</v>
      </c>
      <c r="CA14" s="33"/>
      <c r="CB14" s="35">
        <v>45.4</v>
      </c>
      <c r="CC14" s="235"/>
      <c r="CD14" s="235"/>
      <c r="CE14" s="36"/>
      <c r="CF14" s="30">
        <v>157.881</v>
      </c>
      <c r="CG14" s="30"/>
      <c r="CH14" s="30"/>
      <c r="CI14" s="32"/>
      <c r="CJ14" s="33">
        <v>1.78</v>
      </c>
      <c r="CK14" s="33"/>
      <c r="CL14" s="33"/>
      <c r="CM14" s="36"/>
      <c r="CN14" s="286"/>
      <c r="CO14" s="249">
        <f t="shared" si="12"/>
        <v>0</v>
      </c>
      <c r="CP14" s="12">
        <f t="shared" si="12"/>
        <v>168.7102869</v>
      </c>
      <c r="CQ14" s="12">
        <f t="shared" si="12"/>
        <v>0</v>
      </c>
      <c r="CR14" s="12">
        <f t="shared" si="12"/>
        <v>82.460999999999999</v>
      </c>
      <c r="CS14" s="11">
        <f t="shared" si="12"/>
        <v>0</v>
      </c>
      <c r="CT14" s="11">
        <f t="shared" si="12"/>
        <v>0</v>
      </c>
      <c r="CU14" s="272">
        <f t="shared" si="12"/>
        <v>0</v>
      </c>
      <c r="CV14" s="249">
        <f t="shared" si="13"/>
        <v>155.07071819999999</v>
      </c>
      <c r="CW14" s="12">
        <f t="shared" si="13"/>
        <v>0</v>
      </c>
      <c r="CX14" s="252">
        <f t="shared" si="13"/>
        <v>0</v>
      </c>
      <c r="CY14" s="272">
        <f t="shared" si="13"/>
        <v>0</v>
      </c>
      <c r="CZ14" s="13"/>
      <c r="DA14" s="240">
        <f>(D14+'[2]февраль 20'!D14)/(AY14+'[2]февраль 20'!AX14)</f>
        <v>2.0525398032571864</v>
      </c>
      <c r="DB14" s="241">
        <f>(T14+'[2]февраль 20'!R14)/(AY14+'[2]февраль 20'!AX14)</f>
        <v>1.2554670406601816</v>
      </c>
      <c r="DD14" s="292">
        <f t="shared" si="14"/>
        <v>0</v>
      </c>
      <c r="DE14" s="291">
        <v>0.41</v>
      </c>
      <c r="DF14" s="291">
        <v>10.6</v>
      </c>
      <c r="DG14" s="145">
        <f t="shared" si="15"/>
        <v>0</v>
      </c>
      <c r="DH14" s="293">
        <f t="shared" si="28"/>
        <v>0</v>
      </c>
      <c r="DJ14" s="322"/>
    </row>
    <row r="15" spans="1:114" s="76" customFormat="1" ht="16.5" customHeight="1" thickBot="1">
      <c r="A15" s="144">
        <v>9</v>
      </c>
      <c r="B15" s="122">
        <f>'[1]февраль 20'!K14</f>
        <v>305.38499999999999</v>
      </c>
      <c r="C15" s="123">
        <f t="shared" si="16"/>
        <v>1.9732743913420763</v>
      </c>
      <c r="D15" s="145">
        <f t="shared" si="17"/>
        <v>299.35891600000002</v>
      </c>
      <c r="E15" s="125">
        <f t="shared" si="18"/>
        <v>39.638937275897632</v>
      </c>
      <c r="F15" s="146">
        <f t="shared" si="19"/>
        <v>2.2951691788698918</v>
      </c>
      <c r="G15" s="127"/>
      <c r="H15" s="126">
        <f t="shared" si="20"/>
        <v>1.5469594111784097</v>
      </c>
      <c r="I15" s="230">
        <f>'[1]июль 20'!AI14</f>
        <v>0</v>
      </c>
      <c r="J15" s="247">
        <f>'[1]февраль 20'!AA14</f>
        <v>0</v>
      </c>
      <c r="K15" s="276">
        <f>'[1]сентябрь 20'!AM14</f>
        <v>0</v>
      </c>
      <c r="L15" s="122">
        <f>'[1]февраль 20'!AE14</f>
        <v>97.588999999999999</v>
      </c>
      <c r="M15" s="128">
        <f t="shared" si="21"/>
        <v>0.74820976769148195</v>
      </c>
      <c r="N15" s="400">
        <f>'[1]февраль 20'!W14</f>
        <v>0</v>
      </c>
      <c r="O15" s="403">
        <f>'[1]февраль 20'!AU14</f>
        <v>8.7899999999999991</v>
      </c>
      <c r="P15" s="401">
        <f t="shared" si="0"/>
        <v>187.137</v>
      </c>
      <c r="Q15" s="122">
        <f>'[1]февраль 20'!S14</f>
        <v>187.137</v>
      </c>
      <c r="R15" s="123">
        <f t="shared" si="22"/>
        <v>1.8600000000000003</v>
      </c>
      <c r="S15" s="129">
        <v>10.31</v>
      </c>
      <c r="T15" s="125">
        <f t="shared" si="1"/>
        <v>183.65625180000001</v>
      </c>
      <c r="U15" s="147">
        <f t="shared" si="2"/>
        <v>1.4080828935060952</v>
      </c>
      <c r="V15" s="130">
        <v>130.43</v>
      </c>
      <c r="W15" s="130">
        <v>130.43</v>
      </c>
      <c r="X15" s="129">
        <v>0.5</v>
      </c>
      <c r="Y15" s="131">
        <v>527</v>
      </c>
      <c r="Z15" s="150">
        <v>1182</v>
      </c>
      <c r="AA15" s="148" t="s">
        <v>169</v>
      </c>
      <c r="AB15" s="149">
        <v>76.69</v>
      </c>
      <c r="AC15" s="150">
        <v>122</v>
      </c>
      <c r="AD15" s="151">
        <v>4</v>
      </c>
      <c r="AE15" s="149">
        <v>10.45</v>
      </c>
      <c r="AF15" s="134">
        <f t="shared" si="3"/>
        <v>80.119604385494114</v>
      </c>
      <c r="AG15" s="152"/>
      <c r="AH15" s="129">
        <v>85.8</v>
      </c>
      <c r="AI15" s="134">
        <f t="shared" si="4"/>
        <v>657.82412021774132</v>
      </c>
      <c r="AJ15" s="136">
        <v>14.13</v>
      </c>
      <c r="AK15" s="154"/>
      <c r="AL15" s="155">
        <v>4.7699999999999996</v>
      </c>
      <c r="AM15" s="156">
        <v>37.409999999999997</v>
      </c>
      <c r="AN15" s="126">
        <f t="shared" si="23"/>
        <v>0.21838879159369523</v>
      </c>
      <c r="AO15" s="157" t="s">
        <v>170</v>
      </c>
      <c r="AP15" s="156">
        <v>10.17</v>
      </c>
      <c r="AQ15" s="156">
        <v>6.47</v>
      </c>
      <c r="AR15" s="149"/>
      <c r="AS15" s="149">
        <v>10.5</v>
      </c>
      <c r="AT15" s="149">
        <v>171.3</v>
      </c>
      <c r="AU15" s="149">
        <v>1.31</v>
      </c>
      <c r="AV15" s="149"/>
      <c r="AW15" s="149"/>
      <c r="AX15" s="158">
        <f t="shared" si="5"/>
        <v>0</v>
      </c>
      <c r="AY15" s="125">
        <f t="shared" si="6"/>
        <v>130.43</v>
      </c>
      <c r="AZ15" s="125">
        <f t="shared" si="29"/>
        <v>135.0795813525624</v>
      </c>
      <c r="BA15" s="159">
        <f t="shared" si="7"/>
        <v>6.9788028169014087</v>
      </c>
      <c r="BB15" s="160">
        <f t="shared" si="8"/>
        <v>5.2172000000000001</v>
      </c>
      <c r="BC15" s="161">
        <f t="shared" si="9"/>
        <v>0.8429504212247102</v>
      </c>
      <c r="BD15" s="159">
        <f t="shared" si="24"/>
        <v>12.196002816901409</v>
      </c>
      <c r="BE15" s="167">
        <v>0.93300000000000005</v>
      </c>
      <c r="BF15" s="25">
        <f t="shared" si="25"/>
        <v>1149.6199999999999</v>
      </c>
      <c r="BG15" s="25">
        <f t="shared" si="10"/>
        <v>124.55172413793103</v>
      </c>
      <c r="BH15" s="25">
        <f t="shared" si="26"/>
        <v>1120.9655172413793</v>
      </c>
      <c r="BI15" s="26">
        <f t="shared" si="11"/>
        <v>1</v>
      </c>
      <c r="BJ15" s="37">
        <f t="shared" si="27"/>
        <v>1120.9655172413793</v>
      </c>
      <c r="BK15" s="38"/>
      <c r="BL15" s="42">
        <v>207.79599999999999</v>
      </c>
      <c r="BM15" s="31"/>
      <c r="BN15" s="31">
        <v>97.588999999999999</v>
      </c>
      <c r="BO15" s="40"/>
      <c r="BP15" s="40"/>
      <c r="BQ15" s="32"/>
      <c r="BR15" s="33"/>
      <c r="BS15" s="35">
        <v>2.9</v>
      </c>
      <c r="BT15" s="35"/>
      <c r="BU15" s="28"/>
      <c r="BV15" s="287"/>
      <c r="BW15" s="287"/>
      <c r="BX15" s="36"/>
      <c r="BY15" s="33"/>
      <c r="BZ15" s="34">
        <v>36.83</v>
      </c>
      <c r="CA15" s="35"/>
      <c r="CB15" s="35">
        <v>45.62</v>
      </c>
      <c r="CC15" s="35"/>
      <c r="CD15" s="35"/>
      <c r="CE15" s="35"/>
      <c r="CF15" s="38">
        <v>187.137</v>
      </c>
      <c r="CG15" s="30"/>
      <c r="CH15" s="30"/>
      <c r="CI15" s="32"/>
      <c r="CJ15" s="33">
        <v>1.86</v>
      </c>
      <c r="CK15" s="33"/>
      <c r="CL15" s="33"/>
      <c r="CM15" s="36"/>
      <c r="CN15" s="286"/>
      <c r="CO15" s="249">
        <f t="shared" si="12"/>
        <v>0</v>
      </c>
      <c r="CP15" s="12">
        <f t="shared" si="12"/>
        <v>201.76991599999999</v>
      </c>
      <c r="CQ15" s="12">
        <f t="shared" si="12"/>
        <v>0</v>
      </c>
      <c r="CR15" s="17">
        <f t="shared" si="12"/>
        <v>97.588999999999999</v>
      </c>
      <c r="CS15" s="11">
        <f t="shared" si="12"/>
        <v>0</v>
      </c>
      <c r="CT15" s="11">
        <f t="shared" si="12"/>
        <v>0</v>
      </c>
      <c r="CU15" s="272">
        <f t="shared" si="12"/>
        <v>0</v>
      </c>
      <c r="CV15" s="249">
        <f t="shared" si="13"/>
        <v>183.65625180000001</v>
      </c>
      <c r="CW15" s="12">
        <f t="shared" si="13"/>
        <v>0</v>
      </c>
      <c r="CX15" s="249">
        <f t="shared" si="13"/>
        <v>0</v>
      </c>
      <c r="CY15" s="274">
        <f t="shared" si="13"/>
        <v>0</v>
      </c>
      <c r="CZ15" s="13"/>
      <c r="DA15" s="240">
        <f>(D15+'[2]февраль 20'!D15)/(AY15+'[2]февраль 20'!AX15)</f>
        <v>2.1680206758034029</v>
      </c>
      <c r="DB15" s="241">
        <f>(T15+'[2]февраль 20'!R15)/(AY15+'[2]февраль 20'!AX15)</f>
        <v>1.3233728518168453</v>
      </c>
      <c r="DD15" s="292">
        <f t="shared" si="14"/>
        <v>0</v>
      </c>
      <c r="DE15" s="291">
        <v>0.04</v>
      </c>
      <c r="DF15" s="291">
        <v>13.92</v>
      </c>
      <c r="DG15" s="145">
        <f t="shared" si="15"/>
        <v>0</v>
      </c>
      <c r="DH15" s="293">
        <f t="shared" si="28"/>
        <v>0</v>
      </c>
      <c r="DJ15" s="322"/>
    </row>
    <row r="16" spans="1:114" s="76" customFormat="1" ht="16.5" customHeight="1" thickBot="1">
      <c r="A16" s="144">
        <v>10</v>
      </c>
      <c r="B16" s="122">
        <f>'[1]февраль 20'!K15</f>
        <v>288.05700000000002</v>
      </c>
      <c r="C16" s="123">
        <f t="shared" si="16"/>
        <v>1.4643446956678714</v>
      </c>
      <c r="D16" s="145">
        <f t="shared" si="17"/>
        <v>283.8388526</v>
      </c>
      <c r="E16" s="125">
        <f t="shared" si="18"/>
        <v>39.630247589886714</v>
      </c>
      <c r="F16" s="146">
        <f t="shared" si="19"/>
        <v>2.122794500037394</v>
      </c>
      <c r="G16" s="127"/>
      <c r="H16" s="126">
        <f t="shared" si="20"/>
        <v>1.4155624306334602</v>
      </c>
      <c r="I16" s="230">
        <f>'[1]июль 20'!AI15</f>
        <v>0</v>
      </c>
      <c r="J16" s="247">
        <f>'[1]февраль 20'!AA15</f>
        <v>0</v>
      </c>
      <c r="K16" s="276">
        <f>'[1]сентябрь 20'!AM15</f>
        <v>0</v>
      </c>
      <c r="L16" s="122">
        <f>'[1]февраль 20'!AE15</f>
        <v>94.563999999999993</v>
      </c>
      <c r="M16" s="128">
        <f t="shared" si="21"/>
        <v>0.70723206940393379</v>
      </c>
      <c r="N16" s="400">
        <f>'[1]февраль 20'!W15</f>
        <v>0</v>
      </c>
      <c r="O16" s="403">
        <f>'[1]февраль 20'!AU15</f>
        <v>7.48</v>
      </c>
      <c r="P16" s="401">
        <f t="shared" si="0"/>
        <v>176.416</v>
      </c>
      <c r="Q16" s="122">
        <f>'[1]февраль 20'!S15</f>
        <v>176.416</v>
      </c>
      <c r="R16" s="123">
        <f t="shared" si="22"/>
        <v>1.77</v>
      </c>
      <c r="S16" s="129">
        <v>23.86</v>
      </c>
      <c r="T16" s="125">
        <f t="shared" si="1"/>
        <v>173.29343679999999</v>
      </c>
      <c r="U16" s="147">
        <f t="shared" si="2"/>
        <v>1.2960394645127513</v>
      </c>
      <c r="V16" s="130">
        <v>133.71</v>
      </c>
      <c r="W16" s="130">
        <v>133.71</v>
      </c>
      <c r="X16" s="129">
        <v>0.52</v>
      </c>
      <c r="Y16" s="131">
        <v>493</v>
      </c>
      <c r="Z16" s="150">
        <v>1196</v>
      </c>
      <c r="AA16" s="148" t="s">
        <v>130</v>
      </c>
      <c r="AB16" s="149">
        <v>76.819999999999993</v>
      </c>
      <c r="AC16" s="150">
        <v>115</v>
      </c>
      <c r="AD16" s="151">
        <v>4</v>
      </c>
      <c r="AE16" s="149">
        <v>10.75</v>
      </c>
      <c r="AF16" s="134">
        <f t="shared" si="3"/>
        <v>80.397876000299163</v>
      </c>
      <c r="AG16" s="152"/>
      <c r="AH16" s="129">
        <v>82.3</v>
      </c>
      <c r="AI16" s="134">
        <f t="shared" si="4"/>
        <v>615.51118091391811</v>
      </c>
      <c r="AJ16" s="153">
        <v>14.44</v>
      </c>
      <c r="AK16" s="154"/>
      <c r="AL16" s="155">
        <v>5.44</v>
      </c>
      <c r="AM16" s="156">
        <v>34.47</v>
      </c>
      <c r="AN16" s="126">
        <f t="shared" si="23"/>
        <v>0.2</v>
      </c>
      <c r="AO16" s="157" t="s">
        <v>162</v>
      </c>
      <c r="AP16" s="156">
        <v>10.8</v>
      </c>
      <c r="AQ16" s="156">
        <v>6.44</v>
      </c>
      <c r="AR16" s="149"/>
      <c r="AS16" s="149">
        <v>8.24</v>
      </c>
      <c r="AT16" s="149">
        <v>172.35</v>
      </c>
      <c r="AU16" s="149">
        <v>1.27</v>
      </c>
      <c r="AV16" s="149"/>
      <c r="AW16" s="149"/>
      <c r="AX16" s="158">
        <f t="shared" si="5"/>
        <v>0</v>
      </c>
      <c r="AY16" s="125">
        <f t="shared" si="6"/>
        <v>133.71</v>
      </c>
      <c r="AZ16" s="125">
        <f t="shared" si="29"/>
        <v>127.8317013230683</v>
      </c>
      <c r="BA16" s="159">
        <f t="shared" si="7"/>
        <v>5.2532901408450705</v>
      </c>
      <c r="BB16" s="160">
        <f t="shared" si="8"/>
        <v>5.3484000000000007</v>
      </c>
      <c r="BC16" s="161">
        <f t="shared" si="9"/>
        <v>0.91314461742938025</v>
      </c>
      <c r="BD16" s="160">
        <f t="shared" si="24"/>
        <v>10.601690140845072</v>
      </c>
      <c r="BE16" s="162">
        <v>0.93100000000000005</v>
      </c>
      <c r="BF16" s="25">
        <f t="shared" si="25"/>
        <v>1283.33</v>
      </c>
      <c r="BG16" s="25">
        <f t="shared" si="10"/>
        <v>124.55172413793103</v>
      </c>
      <c r="BH16" s="25">
        <f t="shared" si="26"/>
        <v>1245.5172413793102</v>
      </c>
      <c r="BI16" s="26">
        <f t="shared" si="11"/>
        <v>1</v>
      </c>
      <c r="BJ16" s="37">
        <f t="shared" si="27"/>
        <v>1245.5172413793102</v>
      </c>
      <c r="BK16" s="38"/>
      <c r="BL16" s="31">
        <v>193.49299999999999</v>
      </c>
      <c r="BM16" s="31"/>
      <c r="BN16" s="234">
        <v>94.563999999999993</v>
      </c>
      <c r="BO16" s="42"/>
      <c r="BP16" s="40"/>
      <c r="BQ16" s="32"/>
      <c r="BR16" s="33"/>
      <c r="BS16" s="34">
        <v>2.1800000000000002</v>
      </c>
      <c r="BT16" s="35"/>
      <c r="BU16" s="28"/>
      <c r="BV16" s="287"/>
      <c r="BW16" s="287"/>
      <c r="BX16" s="36"/>
      <c r="BY16" s="33"/>
      <c r="BZ16" s="34">
        <v>36.83</v>
      </c>
      <c r="CA16" s="35"/>
      <c r="CB16" s="405">
        <v>45.36</v>
      </c>
      <c r="CC16" s="404"/>
      <c r="CD16" s="235"/>
      <c r="CE16" s="36"/>
      <c r="CF16" s="38">
        <v>176.416</v>
      </c>
      <c r="CG16" s="30"/>
      <c r="CH16" s="30"/>
      <c r="CI16" s="32"/>
      <c r="CJ16" s="33">
        <v>1.77</v>
      </c>
      <c r="CK16" s="33"/>
      <c r="CL16" s="33"/>
      <c r="CM16" s="36"/>
      <c r="CN16" s="286"/>
      <c r="CO16" s="249">
        <f t="shared" si="12"/>
        <v>0</v>
      </c>
      <c r="CP16" s="12">
        <f t="shared" si="12"/>
        <v>189.27485259999997</v>
      </c>
      <c r="CQ16" s="12">
        <f t="shared" si="12"/>
        <v>0</v>
      </c>
      <c r="CR16" s="11">
        <f t="shared" si="12"/>
        <v>94.563999999999993</v>
      </c>
      <c r="CS16" s="11">
        <f t="shared" si="12"/>
        <v>0</v>
      </c>
      <c r="CT16" s="11">
        <f t="shared" si="12"/>
        <v>0</v>
      </c>
      <c r="CU16" s="272">
        <f t="shared" si="12"/>
        <v>0</v>
      </c>
      <c r="CV16" s="249">
        <f t="shared" si="13"/>
        <v>173.29343679999999</v>
      </c>
      <c r="CW16" s="12">
        <f t="shared" si="13"/>
        <v>0</v>
      </c>
      <c r="CX16" s="249">
        <f t="shared" si="13"/>
        <v>0</v>
      </c>
      <c r="CY16" s="272">
        <f t="shared" si="13"/>
        <v>0</v>
      </c>
      <c r="CZ16" s="13"/>
      <c r="DA16" s="240">
        <f>(D16+'[2]февраль 20'!D16)/(AY16+'[2]февраль 20'!AX16)</f>
        <v>2.1387731470524955</v>
      </c>
      <c r="DB16" s="241">
        <f>(T16+'[2]февраль 20'!R16)/(AY16+'[2]февраль 20'!AX16)</f>
        <v>1.3038764974182444</v>
      </c>
      <c r="DD16" s="292">
        <f t="shared" si="14"/>
        <v>0</v>
      </c>
      <c r="DE16" s="291">
        <v>0.06</v>
      </c>
      <c r="DF16" s="291">
        <v>10.26</v>
      </c>
      <c r="DG16" s="145">
        <f t="shared" si="15"/>
        <v>0</v>
      </c>
      <c r="DH16" s="293">
        <f t="shared" si="28"/>
        <v>0</v>
      </c>
      <c r="DJ16" s="322"/>
    </row>
    <row r="17" spans="1:114" s="76" customFormat="1" ht="16.5" customHeight="1" thickBot="1">
      <c r="A17" s="144">
        <v>11</v>
      </c>
      <c r="B17" s="122">
        <f>'[1]февраль 20'!K16</f>
        <v>273.10700000000003</v>
      </c>
      <c r="C17" s="123">
        <f t="shared" si="16"/>
        <v>2.6235343656515573</v>
      </c>
      <c r="D17" s="145">
        <f t="shared" si="17"/>
        <v>265.94194400000003</v>
      </c>
      <c r="E17" s="125">
        <f t="shared" si="18"/>
        <v>40.167022082919871</v>
      </c>
      <c r="F17" s="146">
        <f t="shared" si="19"/>
        <v>2.0425648540706605</v>
      </c>
      <c r="G17" s="127"/>
      <c r="H17" s="126">
        <f t="shared" si="20"/>
        <v>1.3311439631336404</v>
      </c>
      <c r="I17" s="230">
        <f>'[1]июль 20'!AI16</f>
        <v>0</v>
      </c>
      <c r="J17" s="247">
        <f>'[1]февраль 20'!AA16</f>
        <v>0</v>
      </c>
      <c r="K17" s="276">
        <f>'[1]сентябрь 20'!AM16</f>
        <v>0</v>
      </c>
      <c r="L17" s="122">
        <f>'[1]февраль 20'!AE16</f>
        <v>92.626999999999995</v>
      </c>
      <c r="M17" s="128">
        <f t="shared" si="21"/>
        <v>0.71142089093701988</v>
      </c>
      <c r="N17" s="400">
        <f>'[1]февраль 20'!W16</f>
        <v>0</v>
      </c>
      <c r="O17" s="403">
        <f>'[1]февраль 20'!AU16</f>
        <v>7.516</v>
      </c>
      <c r="P17" s="401">
        <f t="shared" si="0"/>
        <v>167.392</v>
      </c>
      <c r="Q17" s="122">
        <f>'[1]февраль 20'!S16</f>
        <v>167.392</v>
      </c>
      <c r="R17" s="123">
        <f t="shared" si="22"/>
        <v>1.84</v>
      </c>
      <c r="S17" s="129">
        <v>3.57</v>
      </c>
      <c r="T17" s="125">
        <f t="shared" si="1"/>
        <v>164.31198719999998</v>
      </c>
      <c r="U17" s="147">
        <f t="shared" si="2"/>
        <v>1.2619968294930872</v>
      </c>
      <c r="V17" s="130">
        <v>130.19999999999999</v>
      </c>
      <c r="W17" s="130">
        <v>63.39</v>
      </c>
      <c r="X17" s="129">
        <v>1.03</v>
      </c>
      <c r="Y17" s="131">
        <v>516</v>
      </c>
      <c r="Z17" s="150">
        <v>1189</v>
      </c>
      <c r="AA17" s="148" t="s">
        <v>171</v>
      </c>
      <c r="AB17" s="149">
        <v>76.48</v>
      </c>
      <c r="AC17" s="150">
        <v>109</v>
      </c>
      <c r="AD17" s="151">
        <v>4</v>
      </c>
      <c r="AE17" s="149">
        <v>10</v>
      </c>
      <c r="AF17" s="134">
        <f t="shared" si="3"/>
        <v>76.804915514592921</v>
      </c>
      <c r="AG17" s="152"/>
      <c r="AH17" s="129">
        <v>78.25</v>
      </c>
      <c r="AI17" s="134">
        <f t="shared" si="4"/>
        <v>600.99846390168966</v>
      </c>
      <c r="AJ17" s="136">
        <v>11.93</v>
      </c>
      <c r="AK17" s="154"/>
      <c r="AL17" s="155">
        <v>6.07</v>
      </c>
      <c r="AM17" s="156">
        <v>36.33</v>
      </c>
      <c r="AN17" s="126">
        <f t="shared" si="23"/>
        <v>0.21220794392523365</v>
      </c>
      <c r="AO17" s="157" t="s">
        <v>172</v>
      </c>
      <c r="AP17" s="156">
        <v>12.25</v>
      </c>
      <c r="AQ17" s="156">
        <v>6.63</v>
      </c>
      <c r="AR17" s="149"/>
      <c r="AS17" s="149">
        <v>8.07</v>
      </c>
      <c r="AT17" s="149">
        <v>171.2</v>
      </c>
      <c r="AU17" s="149">
        <v>1.4</v>
      </c>
      <c r="AV17" s="149"/>
      <c r="AW17" s="149"/>
      <c r="AX17" s="158">
        <f t="shared" si="5"/>
        <v>0</v>
      </c>
      <c r="AY17" s="125">
        <f t="shared" si="6"/>
        <v>130.20000000000002</v>
      </c>
      <c r="AZ17" s="125">
        <f t="shared" si="29"/>
        <v>121.93344342795456</v>
      </c>
      <c r="BA17" s="159">
        <f t="shared" si="7"/>
        <v>4.8917271126760564</v>
      </c>
      <c r="BB17" s="160">
        <f t="shared" si="8"/>
        <v>5.2080000000000011</v>
      </c>
      <c r="BC17" s="161">
        <f t="shared" si="9"/>
        <v>0.93218559899983255</v>
      </c>
      <c r="BD17" s="160">
        <f t="shared" si="24"/>
        <v>10.099727112676057</v>
      </c>
      <c r="BE17" s="162">
        <v>0.93100000000000005</v>
      </c>
      <c r="BF17" s="25">
        <f t="shared" si="25"/>
        <v>1413.53</v>
      </c>
      <c r="BG17" s="25">
        <f t="shared" si="10"/>
        <v>124.55172413793103</v>
      </c>
      <c r="BH17" s="25">
        <f t="shared" si="26"/>
        <v>1370.0689655172412</v>
      </c>
      <c r="BI17" s="26">
        <f t="shared" si="11"/>
        <v>1</v>
      </c>
      <c r="BJ17" s="37">
        <f t="shared" si="27"/>
        <v>1370.0689655172412</v>
      </c>
      <c r="BK17" s="39"/>
      <c r="BL17" s="31">
        <v>180.48</v>
      </c>
      <c r="BM17" s="31"/>
      <c r="BN17" s="234">
        <v>92.626999999999995</v>
      </c>
      <c r="BO17" s="42"/>
      <c r="BP17" s="40"/>
      <c r="BQ17" s="32"/>
      <c r="BR17" s="33"/>
      <c r="BS17" s="34">
        <v>3.97</v>
      </c>
      <c r="BT17" s="35"/>
      <c r="BU17" s="28"/>
      <c r="BV17" s="287"/>
      <c r="BW17" s="287"/>
      <c r="BX17" s="36"/>
      <c r="BY17" s="33"/>
      <c r="BZ17" s="34">
        <v>37.43</v>
      </c>
      <c r="CA17" s="35"/>
      <c r="CB17" s="405">
        <v>45.5</v>
      </c>
      <c r="CC17" s="404"/>
      <c r="CD17" s="235"/>
      <c r="CE17" s="36"/>
      <c r="CF17" s="38">
        <v>167.392</v>
      </c>
      <c r="CG17" s="42"/>
      <c r="CH17" s="234"/>
      <c r="CI17" s="233"/>
      <c r="CJ17" s="33">
        <v>1.84</v>
      </c>
      <c r="CK17" s="33"/>
      <c r="CL17" s="33"/>
      <c r="CM17" s="36"/>
      <c r="CN17" s="286"/>
      <c r="CO17" s="249">
        <f t="shared" si="12"/>
        <v>0</v>
      </c>
      <c r="CP17" s="12">
        <f t="shared" si="12"/>
        <v>173.314944</v>
      </c>
      <c r="CQ17" s="12">
        <f t="shared" si="12"/>
        <v>0</v>
      </c>
      <c r="CR17" s="12">
        <f t="shared" si="12"/>
        <v>92.626999999999995</v>
      </c>
      <c r="CS17" s="11">
        <f t="shared" si="12"/>
        <v>0</v>
      </c>
      <c r="CT17" s="11">
        <f t="shared" si="12"/>
        <v>0</v>
      </c>
      <c r="CU17" s="272">
        <f t="shared" si="12"/>
        <v>0</v>
      </c>
      <c r="CV17" s="249">
        <f t="shared" si="13"/>
        <v>164.31198719999998</v>
      </c>
      <c r="CW17" s="12">
        <f t="shared" si="13"/>
        <v>0</v>
      </c>
      <c r="CX17" s="254">
        <f t="shared" si="13"/>
        <v>0</v>
      </c>
      <c r="CY17" s="272">
        <f t="shared" si="13"/>
        <v>0</v>
      </c>
      <c r="CZ17" s="13"/>
      <c r="DA17" s="240">
        <f>(D17+'[2]февраль 20'!D17)/(AY17+'[2]февраль 20'!AX17)</f>
        <v>2.0894663156566362</v>
      </c>
      <c r="DB17" s="241">
        <f>(T17+'[2]февраль 20'!R17)/(AY17+'[2]февраль 20'!AX17)</f>
        <v>1.2918253097394765</v>
      </c>
      <c r="DD17" s="292">
        <f t="shared" si="14"/>
        <v>0</v>
      </c>
      <c r="DE17" s="291">
        <v>0.18</v>
      </c>
      <c r="DF17" s="291">
        <v>9.33</v>
      </c>
      <c r="DG17" s="145">
        <f t="shared" si="15"/>
        <v>0</v>
      </c>
      <c r="DH17" s="293">
        <f t="shared" si="28"/>
        <v>0</v>
      </c>
      <c r="DJ17" s="322"/>
    </row>
    <row r="18" spans="1:114" s="76" customFormat="1" ht="16.5" customHeight="1" thickBot="1">
      <c r="A18" s="144">
        <v>12</v>
      </c>
      <c r="B18" s="122">
        <f>'[1]февраль 20'!K17</f>
        <v>285.36200000000002</v>
      </c>
      <c r="C18" s="123">
        <f t="shared" si="16"/>
        <v>2.4701048492791609</v>
      </c>
      <c r="D18" s="145">
        <f t="shared" si="17"/>
        <v>278.31325939999999</v>
      </c>
      <c r="E18" s="125">
        <f t="shared" si="18"/>
        <v>40.426684316762568</v>
      </c>
      <c r="F18" s="146">
        <f t="shared" si="19"/>
        <v>2.1052440196671709</v>
      </c>
      <c r="G18" s="127"/>
      <c r="H18" s="126">
        <f t="shared" si="20"/>
        <v>1.3723166369137672</v>
      </c>
      <c r="I18" s="230">
        <f>'[1]июль 20'!AI17</f>
        <v>0</v>
      </c>
      <c r="J18" s="247">
        <f>'[1]февраль 20'!AA17</f>
        <v>0</v>
      </c>
      <c r="K18" s="276">
        <f>'[1]сентябрь 20'!AM17</f>
        <v>0</v>
      </c>
      <c r="L18" s="122">
        <f>'[1]февраль 20'!AE17</f>
        <v>96.893000000000001</v>
      </c>
      <c r="M18" s="128">
        <f t="shared" si="21"/>
        <v>0.73292738275340397</v>
      </c>
      <c r="N18" s="400">
        <f>'[1]февраль 20'!W17</f>
        <v>0</v>
      </c>
      <c r="O18" s="403">
        <f>'[1]февраль 20'!AU17</f>
        <v>8.8179999999999996</v>
      </c>
      <c r="P18" s="401">
        <f t="shared" si="0"/>
        <v>173.126</v>
      </c>
      <c r="Q18" s="122">
        <f>'[1]февраль 20'!S17</f>
        <v>173.126</v>
      </c>
      <c r="R18" s="123">
        <f t="shared" si="22"/>
        <v>1.7900000000000003</v>
      </c>
      <c r="S18" s="129">
        <v>16.11</v>
      </c>
      <c r="T18" s="125">
        <f t="shared" si="1"/>
        <v>170.02704460000001</v>
      </c>
      <c r="U18" s="147">
        <f t="shared" si="2"/>
        <v>1.2861349818456886</v>
      </c>
      <c r="V18" s="130">
        <v>132.19999999999999</v>
      </c>
      <c r="W18" s="130">
        <v>35.28</v>
      </c>
      <c r="X18" s="129">
        <v>1.69</v>
      </c>
      <c r="Y18" s="131">
        <v>539</v>
      </c>
      <c r="Z18" s="150">
        <v>1195</v>
      </c>
      <c r="AA18" s="148" t="s">
        <v>128</v>
      </c>
      <c r="AB18" s="149">
        <v>76.11</v>
      </c>
      <c r="AC18" s="150">
        <v>114</v>
      </c>
      <c r="AD18" s="151">
        <v>4</v>
      </c>
      <c r="AE18" s="149">
        <v>7.9</v>
      </c>
      <c r="AF18" s="134">
        <f t="shared" si="3"/>
        <v>59.75794251134645</v>
      </c>
      <c r="AG18" s="152"/>
      <c r="AH18" s="129">
        <v>73.7</v>
      </c>
      <c r="AI18" s="134">
        <f t="shared" si="4"/>
        <v>557.48865355521946</v>
      </c>
      <c r="AJ18" s="153">
        <v>14.26</v>
      </c>
      <c r="AK18" s="154"/>
      <c r="AL18" s="155">
        <v>5.24</v>
      </c>
      <c r="AM18" s="156">
        <v>35.26</v>
      </c>
      <c r="AN18" s="126">
        <f t="shared" si="23"/>
        <v>0.2058978102189781</v>
      </c>
      <c r="AO18" s="157" t="s">
        <v>173</v>
      </c>
      <c r="AP18" s="156">
        <v>13.6</v>
      </c>
      <c r="AQ18" s="156">
        <v>6.4</v>
      </c>
      <c r="AR18" s="151"/>
      <c r="AS18" s="149">
        <v>6.54</v>
      </c>
      <c r="AT18" s="149">
        <v>171.25</v>
      </c>
      <c r="AU18" s="149">
        <v>1.45</v>
      </c>
      <c r="AV18" s="149"/>
      <c r="AW18" s="149"/>
      <c r="AX18" s="158">
        <f t="shared" si="5"/>
        <v>0</v>
      </c>
      <c r="AY18" s="125">
        <f t="shared" si="6"/>
        <v>132.19999999999999</v>
      </c>
      <c r="AZ18" s="125">
        <f t="shared" si="29"/>
        <v>129.05491301417101</v>
      </c>
      <c r="BA18" s="159">
        <f t="shared" si="7"/>
        <v>3.7337873239436621</v>
      </c>
      <c r="BB18" s="160">
        <f t="shared" si="8"/>
        <v>5.2879999999999994</v>
      </c>
      <c r="BC18" s="161">
        <f t="shared" si="9"/>
        <v>0.89427513687392302</v>
      </c>
      <c r="BD18" s="160">
        <f t="shared" si="24"/>
        <v>9.021787323943661</v>
      </c>
      <c r="BE18" s="162">
        <v>0.92800000000000005</v>
      </c>
      <c r="BF18" s="25">
        <f t="shared" si="25"/>
        <v>1545.73</v>
      </c>
      <c r="BG18" s="25">
        <f t="shared" si="10"/>
        <v>124.55172413793103</v>
      </c>
      <c r="BH18" s="25">
        <f t="shared" si="26"/>
        <v>1494.6206896551721</v>
      </c>
      <c r="BI18" s="26">
        <f t="shared" si="11"/>
        <v>1</v>
      </c>
      <c r="BJ18" s="37">
        <f t="shared" si="27"/>
        <v>1494.6206896551721</v>
      </c>
      <c r="BK18" s="38"/>
      <c r="BL18" s="31">
        <v>188.46899999999999</v>
      </c>
      <c r="BM18" s="31"/>
      <c r="BN18" s="234">
        <v>96.893000000000001</v>
      </c>
      <c r="BO18" s="42"/>
      <c r="BP18" s="40"/>
      <c r="BQ18" s="411"/>
      <c r="BR18" s="41"/>
      <c r="BS18" s="34">
        <v>3.74</v>
      </c>
      <c r="BT18" s="35"/>
      <c r="BU18" s="28"/>
      <c r="BV18" s="287"/>
      <c r="BW18" s="287"/>
      <c r="BX18" s="36"/>
      <c r="BY18" s="34"/>
      <c r="BZ18" s="34">
        <v>37.51</v>
      </c>
      <c r="CA18" s="35"/>
      <c r="CB18" s="405">
        <v>46.1</v>
      </c>
      <c r="CC18" s="404"/>
      <c r="CD18" s="235"/>
      <c r="CE18" s="405"/>
      <c r="CF18" s="38">
        <v>173.126</v>
      </c>
      <c r="CG18" s="42"/>
      <c r="CH18" s="234"/>
      <c r="CI18" s="233"/>
      <c r="CJ18" s="33">
        <v>1.79</v>
      </c>
      <c r="CK18" s="33"/>
      <c r="CL18" s="33"/>
      <c r="CM18" s="36"/>
      <c r="CN18" s="286"/>
      <c r="CO18" s="249">
        <f t="shared" si="12"/>
        <v>0</v>
      </c>
      <c r="CP18" s="12">
        <f t="shared" si="12"/>
        <v>181.42025939999999</v>
      </c>
      <c r="CQ18" s="12">
        <f t="shared" si="12"/>
        <v>0</v>
      </c>
      <c r="CR18" s="12">
        <f t="shared" si="12"/>
        <v>96.893000000000001</v>
      </c>
      <c r="CS18" s="11">
        <f t="shared" si="12"/>
        <v>0</v>
      </c>
      <c r="CT18" s="11">
        <f t="shared" si="12"/>
        <v>0</v>
      </c>
      <c r="CU18" s="272">
        <f t="shared" si="12"/>
        <v>0</v>
      </c>
      <c r="CV18" s="249">
        <f t="shared" si="13"/>
        <v>170.02704460000001</v>
      </c>
      <c r="CW18" s="11">
        <f t="shared" si="13"/>
        <v>0</v>
      </c>
      <c r="CX18" s="249">
        <f t="shared" si="13"/>
        <v>0</v>
      </c>
      <c r="CY18" s="272">
        <f t="shared" si="13"/>
        <v>0</v>
      </c>
      <c r="CZ18" s="13"/>
      <c r="DA18" s="240">
        <f>(D18+'[2]февраль 20'!D18)/(AY18+'[2]февраль 20'!AX18)</f>
        <v>2.0194608227681625</v>
      </c>
      <c r="DB18" s="241">
        <f>(T18+'[2]февраль 20'!R18)/(AY18+'[2]февраль 20'!AX18)</f>
        <v>1.2406939991582935</v>
      </c>
      <c r="DD18" s="292">
        <f t="shared" si="14"/>
        <v>0</v>
      </c>
      <c r="DE18" s="291">
        <v>0.25</v>
      </c>
      <c r="DF18" s="291">
        <v>13.78</v>
      </c>
      <c r="DG18" s="145">
        <f t="shared" si="15"/>
        <v>0</v>
      </c>
      <c r="DH18" s="293">
        <f t="shared" si="28"/>
        <v>0</v>
      </c>
      <c r="DJ18" s="322"/>
    </row>
    <row r="19" spans="1:114" s="76" customFormat="1" ht="16.5" customHeight="1" thickBot="1">
      <c r="A19" s="144">
        <v>13</v>
      </c>
      <c r="B19" s="122">
        <f>'[1]февраль 20'!K18</f>
        <v>295.04000000000002</v>
      </c>
      <c r="C19" s="123">
        <f t="shared" si="16"/>
        <v>1.405739357375271</v>
      </c>
      <c r="D19" s="145">
        <f t="shared" si="17"/>
        <v>290.89250660000005</v>
      </c>
      <c r="E19" s="125">
        <f t="shared" si="18"/>
        <v>40.262049688177868</v>
      </c>
      <c r="F19" s="146">
        <f t="shared" si="19"/>
        <v>2.0704092996441283</v>
      </c>
      <c r="G19" s="127"/>
      <c r="H19" s="126">
        <f t="shared" si="20"/>
        <v>1.356373712455516</v>
      </c>
      <c r="I19" s="230">
        <f>'[1]июль 20'!AI18</f>
        <v>0</v>
      </c>
      <c r="J19" s="247">
        <f>'[1]февраль 20'!AA18</f>
        <v>0</v>
      </c>
      <c r="K19" s="276">
        <f>'[1]сентябрь 20'!AM18</f>
        <v>0</v>
      </c>
      <c r="L19" s="122">
        <f>'[1]февраль 20'!AE18</f>
        <v>100.322</v>
      </c>
      <c r="M19" s="128">
        <f t="shared" si="21"/>
        <v>0.71403558718861215</v>
      </c>
      <c r="N19" s="400">
        <f>'[1]февраль 20'!W18</f>
        <v>0</v>
      </c>
      <c r="O19" s="403">
        <f>'[1]февраль 20'!AU18</f>
        <v>10.329000000000001</v>
      </c>
      <c r="P19" s="401">
        <f t="shared" si="0"/>
        <v>177.14500000000001</v>
      </c>
      <c r="Q19" s="122">
        <f>'[1]февраль 20'!S18</f>
        <v>177.14500000000001</v>
      </c>
      <c r="R19" s="123">
        <f t="shared" si="22"/>
        <v>1.7600000000000002</v>
      </c>
      <c r="S19" s="129">
        <v>49.4</v>
      </c>
      <c r="T19" s="125">
        <f t="shared" si="1"/>
        <v>174.02724799999999</v>
      </c>
      <c r="U19" s="147">
        <f t="shared" si="2"/>
        <v>1.2386280996441281</v>
      </c>
      <c r="V19" s="130">
        <v>106.24</v>
      </c>
      <c r="W19" s="130">
        <v>73.069999999999993</v>
      </c>
      <c r="X19" s="129">
        <v>1.2</v>
      </c>
      <c r="Y19" s="131">
        <v>519</v>
      </c>
      <c r="Z19" s="150">
        <v>1197</v>
      </c>
      <c r="AA19" s="148" t="s">
        <v>174</v>
      </c>
      <c r="AB19" s="149">
        <v>75.92</v>
      </c>
      <c r="AC19" s="150">
        <v>118</v>
      </c>
      <c r="AD19" s="151">
        <v>4</v>
      </c>
      <c r="AE19" s="149">
        <v>8.4499999999999993</v>
      </c>
      <c r="AF19" s="134">
        <f t="shared" si="3"/>
        <v>60.142348754448392</v>
      </c>
      <c r="AG19" s="152"/>
      <c r="AH19" s="129">
        <v>80.099999999999994</v>
      </c>
      <c r="AI19" s="134">
        <f t="shared" si="4"/>
        <v>570.10676156583634</v>
      </c>
      <c r="AJ19" s="136">
        <v>13.61</v>
      </c>
      <c r="AK19" s="154"/>
      <c r="AL19" s="155">
        <v>4.47</v>
      </c>
      <c r="AM19" s="156">
        <v>35.93</v>
      </c>
      <c r="AN19" s="126">
        <f t="shared" si="23"/>
        <v>0.19999999999999998</v>
      </c>
      <c r="AO19" s="157" t="s">
        <v>175</v>
      </c>
      <c r="AP19" s="156">
        <v>13.11</v>
      </c>
      <c r="AQ19" s="156">
        <v>6.45</v>
      </c>
      <c r="AR19" s="151"/>
      <c r="AS19" s="149">
        <v>7.77</v>
      </c>
      <c r="AT19" s="149">
        <v>179.65</v>
      </c>
      <c r="AU19" s="149">
        <v>1.25</v>
      </c>
      <c r="AV19" s="164"/>
      <c r="AW19" s="149"/>
      <c r="AX19" s="158">
        <f t="shared" si="5"/>
        <v>0</v>
      </c>
      <c r="AY19" s="125">
        <f t="shared" si="6"/>
        <v>140.5</v>
      </c>
      <c r="AZ19" s="125">
        <f t="shared" si="29"/>
        <v>134.67483704172207</v>
      </c>
      <c r="BA19" s="159">
        <f t="shared" si="7"/>
        <v>4.8212302816901396</v>
      </c>
      <c r="BB19" s="160">
        <f t="shared" si="8"/>
        <v>5.62</v>
      </c>
      <c r="BC19" s="161">
        <f t="shared" si="9"/>
        <v>0.91076033722618288</v>
      </c>
      <c r="BD19" s="160">
        <f t="shared" si="24"/>
        <v>10.441230281690139</v>
      </c>
      <c r="BE19" s="162">
        <v>0.92600000000000005</v>
      </c>
      <c r="BF19" s="25">
        <f t="shared" si="25"/>
        <v>1686.23</v>
      </c>
      <c r="BG19" s="25">
        <f t="shared" si="10"/>
        <v>124.55172413793103</v>
      </c>
      <c r="BH19" s="25">
        <f t="shared" si="26"/>
        <v>1619.172413793103</v>
      </c>
      <c r="BI19" s="26">
        <f t="shared" si="11"/>
        <v>1</v>
      </c>
      <c r="BJ19" s="37">
        <f t="shared" si="27"/>
        <v>1619.172413793103</v>
      </c>
      <c r="BK19" s="38"/>
      <c r="BL19" s="31">
        <v>194.71799999999999</v>
      </c>
      <c r="BM19" s="31"/>
      <c r="BN19" s="234">
        <v>100.322</v>
      </c>
      <c r="BO19" s="42"/>
      <c r="BP19" s="40"/>
      <c r="BQ19" s="411"/>
      <c r="BR19" s="33"/>
      <c r="BS19" s="34">
        <v>2.13</v>
      </c>
      <c r="BT19" s="35"/>
      <c r="BU19" s="28"/>
      <c r="BV19" s="287"/>
      <c r="BW19" s="287"/>
      <c r="BX19" s="36"/>
      <c r="BY19" s="33"/>
      <c r="BZ19" s="34">
        <v>37.28</v>
      </c>
      <c r="CA19" s="35"/>
      <c r="CB19" s="405">
        <v>46.05</v>
      </c>
      <c r="CC19" s="404"/>
      <c r="CD19" s="235"/>
      <c r="CE19" s="413"/>
      <c r="CF19" s="41">
        <v>177.14500000000001</v>
      </c>
      <c r="CG19" s="41"/>
      <c r="CH19" s="30"/>
      <c r="CI19" s="32"/>
      <c r="CJ19" s="33">
        <v>1.76</v>
      </c>
      <c r="CK19" s="33"/>
      <c r="CL19" s="33"/>
      <c r="CM19" s="36"/>
      <c r="CN19" s="286"/>
      <c r="CO19" s="249">
        <f t="shared" si="12"/>
        <v>0</v>
      </c>
      <c r="CP19" s="12">
        <f t="shared" si="12"/>
        <v>190.57050659999999</v>
      </c>
      <c r="CQ19" s="12">
        <f t="shared" si="12"/>
        <v>0</v>
      </c>
      <c r="CR19" s="12">
        <f t="shared" si="12"/>
        <v>100.322</v>
      </c>
      <c r="CS19" s="11">
        <f t="shared" si="12"/>
        <v>0</v>
      </c>
      <c r="CT19" s="11">
        <f t="shared" si="12"/>
        <v>0</v>
      </c>
      <c r="CU19" s="272">
        <f t="shared" si="12"/>
        <v>0</v>
      </c>
      <c r="CV19" s="249">
        <f t="shared" si="13"/>
        <v>174.02724799999999</v>
      </c>
      <c r="CW19" s="251">
        <f t="shared" si="13"/>
        <v>0</v>
      </c>
      <c r="CX19" s="249">
        <f t="shared" si="13"/>
        <v>0</v>
      </c>
      <c r="CY19" s="272">
        <f t="shared" si="13"/>
        <v>0</v>
      </c>
      <c r="CZ19" s="13"/>
      <c r="DA19" s="240">
        <f>(D19+'[2]февраль 20'!D19)/(AY19+'[2]февраль 20'!AX19)</f>
        <v>2.1010313781014021</v>
      </c>
      <c r="DB19" s="241">
        <f>(T19+'[2]февраль 20'!R19)/(AY19+'[2]февраль 20'!AX19)</f>
        <v>1.275531952535059</v>
      </c>
      <c r="DD19" s="292">
        <f t="shared" si="14"/>
        <v>0</v>
      </c>
      <c r="DE19" s="291">
        <v>0.08</v>
      </c>
      <c r="DF19" s="291">
        <v>14.17</v>
      </c>
      <c r="DG19" s="145">
        <f t="shared" si="15"/>
        <v>0</v>
      </c>
      <c r="DH19" s="293">
        <f t="shared" si="28"/>
        <v>0</v>
      </c>
      <c r="DJ19" s="322"/>
    </row>
    <row r="20" spans="1:114" s="76" customFormat="1" ht="16.5" customHeight="1" thickBot="1">
      <c r="A20" s="144">
        <v>14</v>
      </c>
      <c r="B20" s="122">
        <f>'[1]февраль 20'!K19</f>
        <v>287.69900000000001</v>
      </c>
      <c r="C20" s="123">
        <f t="shared" si="16"/>
        <v>1.4458084664875441</v>
      </c>
      <c r="D20" s="145">
        <f t="shared" si="17"/>
        <v>283.5394235</v>
      </c>
      <c r="E20" s="125">
        <f t="shared" si="18"/>
        <v>40.549969864337378</v>
      </c>
      <c r="F20" s="146">
        <f t="shared" si="19"/>
        <v>2.0625549101622171</v>
      </c>
      <c r="G20" s="127"/>
      <c r="H20" s="126">
        <f t="shared" si="20"/>
        <v>1.3513888375645595</v>
      </c>
      <c r="I20" s="230">
        <f>'[1]июль 20'!AI19</f>
        <v>0</v>
      </c>
      <c r="J20" s="247">
        <f>'[1]февраль 20'!AA19</f>
        <v>0</v>
      </c>
      <c r="K20" s="276">
        <f>'[1]сентябрь 20'!AM19</f>
        <v>0</v>
      </c>
      <c r="L20" s="122">
        <f>'[1]февраль 20'!AE19</f>
        <v>97.763999999999996</v>
      </c>
      <c r="M20" s="128">
        <f t="shared" si="21"/>
        <v>0.71116607259765763</v>
      </c>
      <c r="N20" s="400">
        <f>'[1]февраль 20'!W19</f>
        <v>0</v>
      </c>
      <c r="O20" s="403">
        <f>'[1]февраль 20'!AU19</f>
        <v>11.641</v>
      </c>
      <c r="P20" s="401">
        <f t="shared" si="0"/>
        <v>171.97200000000001</v>
      </c>
      <c r="Q20" s="122">
        <f>'[1]февраль 20'!S19</f>
        <v>171.97200000000001</v>
      </c>
      <c r="R20" s="123">
        <f t="shared" si="22"/>
        <v>2.06</v>
      </c>
      <c r="S20" s="129">
        <v>35.47</v>
      </c>
      <c r="T20" s="125">
        <f t="shared" si="1"/>
        <v>168.4293768</v>
      </c>
      <c r="U20" s="147">
        <f t="shared" si="2"/>
        <v>1.2252082403433477</v>
      </c>
      <c r="V20" s="130">
        <v>137.47</v>
      </c>
      <c r="W20" s="130">
        <v>35.18</v>
      </c>
      <c r="X20" s="129">
        <v>1.45</v>
      </c>
      <c r="Y20" s="131">
        <v>517</v>
      </c>
      <c r="Z20" s="150">
        <v>1196</v>
      </c>
      <c r="AA20" s="168" t="s">
        <v>128</v>
      </c>
      <c r="AB20" s="149">
        <v>76.33</v>
      </c>
      <c r="AC20" s="150">
        <v>115</v>
      </c>
      <c r="AD20" s="151">
        <v>4</v>
      </c>
      <c r="AE20" s="149">
        <v>7.35</v>
      </c>
      <c r="AF20" s="134">
        <f t="shared" si="3"/>
        <v>53.466210809631185</v>
      </c>
      <c r="AG20" s="152"/>
      <c r="AH20" s="129">
        <v>87.7</v>
      </c>
      <c r="AI20" s="134">
        <f t="shared" si="4"/>
        <v>637.95737251764024</v>
      </c>
      <c r="AJ20" s="153">
        <v>14.31</v>
      </c>
      <c r="AK20" s="154"/>
      <c r="AL20" s="155">
        <v>6.19</v>
      </c>
      <c r="AM20" s="156">
        <v>35.659999999999997</v>
      </c>
      <c r="AN20" s="126">
        <f t="shared" si="23"/>
        <v>0.19988789237668159</v>
      </c>
      <c r="AO20" s="157" t="s">
        <v>176</v>
      </c>
      <c r="AP20" s="156">
        <v>11.42</v>
      </c>
      <c r="AQ20" s="156">
        <v>6.57</v>
      </c>
      <c r="AR20" s="149"/>
      <c r="AS20" s="149">
        <v>8.58</v>
      </c>
      <c r="AT20" s="149">
        <v>178.4</v>
      </c>
      <c r="AU20" s="149">
        <v>0.92</v>
      </c>
      <c r="AV20" s="149"/>
      <c r="AW20" s="149"/>
      <c r="AX20" s="158">
        <f t="shared" si="5"/>
        <v>0</v>
      </c>
      <c r="AY20" s="125">
        <f t="shared" si="6"/>
        <v>137.47</v>
      </c>
      <c r="AZ20" s="125">
        <f t="shared" si="29"/>
        <v>131.49915712479321</v>
      </c>
      <c r="BA20" s="159">
        <f t="shared" si="7"/>
        <v>5.828961971830986</v>
      </c>
      <c r="BB20" s="160">
        <f t="shared" si="8"/>
        <v>5.4988000000000001</v>
      </c>
      <c r="BC20" s="161">
        <f t="shared" si="9"/>
        <v>0.91263938586396254</v>
      </c>
      <c r="BD20" s="160">
        <f t="shared" si="24"/>
        <v>11.327761971830986</v>
      </c>
      <c r="BE20" s="162">
        <v>0.92500000000000004</v>
      </c>
      <c r="BF20" s="25">
        <f t="shared" si="25"/>
        <v>1823.7</v>
      </c>
      <c r="BG20" s="25">
        <f t="shared" si="10"/>
        <v>124.55172413793103</v>
      </c>
      <c r="BH20" s="25">
        <f t="shared" si="26"/>
        <v>1743.724137931034</v>
      </c>
      <c r="BI20" s="26">
        <f t="shared" si="11"/>
        <v>1</v>
      </c>
      <c r="BJ20" s="37">
        <f t="shared" si="27"/>
        <v>1743.724137931034</v>
      </c>
      <c r="BK20" s="38"/>
      <c r="BL20" s="31">
        <v>189.935</v>
      </c>
      <c r="BM20" s="31"/>
      <c r="BN20" s="234">
        <v>97.763999999999996</v>
      </c>
      <c r="BO20" s="42"/>
      <c r="BP20" s="40"/>
      <c r="BQ20" s="411"/>
      <c r="BR20" s="33"/>
      <c r="BS20" s="34">
        <v>2.19</v>
      </c>
      <c r="BT20" s="35"/>
      <c r="BU20" s="28"/>
      <c r="BV20" s="287"/>
      <c r="BW20" s="287"/>
      <c r="BX20" s="36"/>
      <c r="BY20" s="33"/>
      <c r="BZ20" s="34">
        <v>37.58</v>
      </c>
      <c r="CA20" s="35"/>
      <c r="CB20" s="405">
        <v>46.32</v>
      </c>
      <c r="CC20" s="404"/>
      <c r="CD20" s="235"/>
      <c r="CE20" s="413"/>
      <c r="CF20" s="30">
        <v>139.13200000000001</v>
      </c>
      <c r="CG20" s="30"/>
      <c r="CH20" s="31">
        <v>32.840000000000003</v>
      </c>
      <c r="CI20" s="32"/>
      <c r="CJ20" s="33">
        <v>2.06</v>
      </c>
      <c r="CK20" s="33"/>
      <c r="CL20" s="35">
        <v>2.06</v>
      </c>
      <c r="CM20" s="36"/>
      <c r="CN20" s="286"/>
      <c r="CO20" s="249">
        <f t="shared" si="12"/>
        <v>0</v>
      </c>
      <c r="CP20" s="12">
        <f t="shared" si="12"/>
        <v>185.77542349999999</v>
      </c>
      <c r="CQ20" s="12">
        <f t="shared" si="12"/>
        <v>0</v>
      </c>
      <c r="CR20" s="12">
        <f t="shared" si="12"/>
        <v>97.763999999999996</v>
      </c>
      <c r="CS20" s="11">
        <f t="shared" si="12"/>
        <v>0</v>
      </c>
      <c r="CT20" s="11">
        <f t="shared" si="12"/>
        <v>0</v>
      </c>
      <c r="CU20" s="272">
        <f t="shared" si="12"/>
        <v>0</v>
      </c>
      <c r="CV20" s="249">
        <f t="shared" si="13"/>
        <v>136.26588079999999</v>
      </c>
      <c r="CW20" s="12">
        <f t="shared" si="13"/>
        <v>0</v>
      </c>
      <c r="CX20" s="249">
        <f t="shared" si="13"/>
        <v>32.163496000000002</v>
      </c>
      <c r="CY20" s="272">
        <f t="shared" si="13"/>
        <v>0</v>
      </c>
      <c r="CZ20" s="13"/>
      <c r="DA20" s="240">
        <f>(D20+'[2]февраль 20'!D20)/(AY20+'[2]февраль 20'!AX20)</f>
        <v>2.0075309659611138</v>
      </c>
      <c r="DB20" s="241">
        <f>(T20+'[2]февраль 20'!R20)/(AY20+'[2]февраль 20'!AX20)</f>
        <v>1.2109370840738944</v>
      </c>
      <c r="DD20" s="292">
        <f t="shared" si="14"/>
        <v>0</v>
      </c>
      <c r="DE20" s="291">
        <v>0.09</v>
      </c>
      <c r="DF20" s="291">
        <v>12.41</v>
      </c>
      <c r="DG20" s="145">
        <f t="shared" si="15"/>
        <v>0</v>
      </c>
      <c r="DH20" s="293">
        <f t="shared" si="28"/>
        <v>0</v>
      </c>
      <c r="DJ20" s="322"/>
    </row>
    <row r="21" spans="1:114" s="76" customFormat="1" ht="16.5" customHeight="1" thickBot="1">
      <c r="A21" s="144">
        <v>15</v>
      </c>
      <c r="B21" s="122">
        <f>'[1]февраль 20'!K20</f>
        <v>287.596</v>
      </c>
      <c r="C21" s="123">
        <f t="shared" si="16"/>
        <v>1.759657018873698</v>
      </c>
      <c r="D21" s="145">
        <f t="shared" si="17"/>
        <v>282.53529680000003</v>
      </c>
      <c r="E21" s="125">
        <f t="shared" si="18"/>
        <v>40.489495125106053</v>
      </c>
      <c r="F21" s="146">
        <f t="shared" si="19"/>
        <v>2.0648636760944239</v>
      </c>
      <c r="G21" s="127"/>
      <c r="H21" s="126">
        <f t="shared" si="20"/>
        <v>1.3534407425272235</v>
      </c>
      <c r="I21" s="230">
        <f>'[1]июль 20'!AI20</f>
        <v>0</v>
      </c>
      <c r="J21" s="247">
        <f>'[1]февраль 20'!AA20</f>
        <v>0</v>
      </c>
      <c r="K21" s="276">
        <f>'[1]сентябрь 20'!AM20</f>
        <v>0</v>
      </c>
      <c r="L21" s="122">
        <f>'[1]февраль 20'!AE20</f>
        <v>97.343999999999994</v>
      </c>
      <c r="M21" s="128">
        <f t="shared" si="21"/>
        <v>0.7114229335672001</v>
      </c>
      <c r="N21" s="400">
        <f>'[1]февраль 20'!W20</f>
        <v>0</v>
      </c>
      <c r="O21" s="403">
        <f>'[1]февраль 20'!AU20</f>
        <v>11.596</v>
      </c>
      <c r="P21" s="401">
        <f t="shared" si="0"/>
        <v>171.13800000000001</v>
      </c>
      <c r="Q21" s="122">
        <f>'[1]февраль 20'!S20</f>
        <v>171.13800000000001</v>
      </c>
      <c r="R21" s="123">
        <f t="shared" si="22"/>
        <v>3.1100000000000003</v>
      </c>
      <c r="S21" s="129">
        <v>18.04</v>
      </c>
      <c r="T21" s="125">
        <f t="shared" si="1"/>
        <v>165.81560820000001</v>
      </c>
      <c r="U21" s="147">
        <f t="shared" si="2"/>
        <v>1.211836645472484</v>
      </c>
      <c r="V21" s="130">
        <v>103.16</v>
      </c>
      <c r="W21" s="130">
        <v>102.47</v>
      </c>
      <c r="X21" s="129">
        <v>0.78</v>
      </c>
      <c r="Y21" s="131">
        <v>500</v>
      </c>
      <c r="Z21" s="150">
        <v>1198</v>
      </c>
      <c r="AA21" s="168" t="s">
        <v>122</v>
      </c>
      <c r="AB21" s="149">
        <v>75.25</v>
      </c>
      <c r="AC21" s="150">
        <v>115</v>
      </c>
      <c r="AD21" s="151">
        <v>4</v>
      </c>
      <c r="AE21" s="149">
        <v>9.5</v>
      </c>
      <c r="AF21" s="134">
        <f t="shared" si="3"/>
        <v>69.429218738580715</v>
      </c>
      <c r="AG21" s="152"/>
      <c r="AH21" s="129">
        <v>94.35</v>
      </c>
      <c r="AI21" s="134">
        <f t="shared" si="4"/>
        <v>689.54176715632536</v>
      </c>
      <c r="AJ21" s="136">
        <v>13.42</v>
      </c>
      <c r="AK21" s="154"/>
      <c r="AL21" s="155">
        <v>5.46</v>
      </c>
      <c r="AM21" s="156">
        <v>37.78</v>
      </c>
      <c r="AN21" s="126">
        <f t="shared" si="23"/>
        <v>0.21129753914988814</v>
      </c>
      <c r="AO21" s="157" t="s">
        <v>157</v>
      </c>
      <c r="AP21" s="156">
        <v>9.84</v>
      </c>
      <c r="AQ21" s="156">
        <v>6.61</v>
      </c>
      <c r="AR21" s="149"/>
      <c r="AS21" s="149">
        <v>14</v>
      </c>
      <c r="AT21" s="149">
        <v>178.8</v>
      </c>
      <c r="AU21" s="149">
        <v>1.27</v>
      </c>
      <c r="AV21" s="149"/>
      <c r="AW21" s="149"/>
      <c r="AX21" s="158">
        <f t="shared" si="5"/>
        <v>0</v>
      </c>
      <c r="AY21" s="125">
        <f t="shared" si="6"/>
        <v>136.83000000000001</v>
      </c>
      <c r="AZ21" s="125">
        <f t="shared" si="29"/>
        <v>132.71585593491474</v>
      </c>
      <c r="BA21" s="159">
        <f t="shared" si="7"/>
        <v>10.232323943661969</v>
      </c>
      <c r="BB21" s="160">
        <f t="shared" si="8"/>
        <v>5.4732000000000003</v>
      </c>
      <c r="BC21" s="161">
        <f t="shared" si="9"/>
        <v>0.90006268775134757</v>
      </c>
      <c r="BD21" s="160">
        <f t="shared" si="24"/>
        <v>15.705523943661969</v>
      </c>
      <c r="BE21" s="162">
        <v>0.92400000000000004</v>
      </c>
      <c r="BF21" s="25">
        <f t="shared" si="25"/>
        <v>1960.53</v>
      </c>
      <c r="BG21" s="25">
        <f t="shared" si="10"/>
        <v>124.55172413793103</v>
      </c>
      <c r="BH21" s="25">
        <f t="shared" si="26"/>
        <v>1868.2758620689649</v>
      </c>
      <c r="BI21" s="26">
        <f t="shared" si="11"/>
        <v>1</v>
      </c>
      <c r="BJ21" s="37">
        <f t="shared" si="27"/>
        <v>1868.2758620689649</v>
      </c>
      <c r="BK21" s="38"/>
      <c r="BL21" s="31">
        <v>190.25200000000001</v>
      </c>
      <c r="BM21" s="31"/>
      <c r="BN21" s="234">
        <v>97.343999999999994</v>
      </c>
      <c r="BO21" s="42"/>
      <c r="BP21" s="40"/>
      <c r="BQ21" s="411"/>
      <c r="BR21" s="33"/>
      <c r="BS21" s="34">
        <v>2.66</v>
      </c>
      <c r="BT21" s="35"/>
      <c r="BU21" s="35"/>
      <c r="BV21" s="235"/>
      <c r="BW21" s="235"/>
      <c r="BX21" s="36"/>
      <c r="BY21" s="33"/>
      <c r="BZ21" s="34">
        <v>37.67</v>
      </c>
      <c r="CA21" s="35"/>
      <c r="CB21" s="405">
        <v>46</v>
      </c>
      <c r="CC21" s="404"/>
      <c r="CD21" s="235"/>
      <c r="CE21" s="413"/>
      <c r="CF21" s="30"/>
      <c r="CG21" s="30"/>
      <c r="CH21" s="31">
        <v>171.13800000000001</v>
      </c>
      <c r="CI21" s="32"/>
      <c r="CJ21" s="33"/>
      <c r="CK21" s="33"/>
      <c r="CL21" s="35">
        <v>3.11</v>
      </c>
      <c r="CM21" s="36"/>
      <c r="CN21" s="286"/>
      <c r="CO21" s="249">
        <f t="shared" si="12"/>
        <v>0</v>
      </c>
      <c r="CP21" s="12">
        <f t="shared" si="12"/>
        <v>185.1912968</v>
      </c>
      <c r="CQ21" s="12">
        <f t="shared" si="12"/>
        <v>0</v>
      </c>
      <c r="CR21" s="12">
        <f t="shared" si="12"/>
        <v>97.343999999999994</v>
      </c>
      <c r="CS21" s="11">
        <f t="shared" si="12"/>
        <v>0</v>
      </c>
      <c r="CT21" s="11">
        <f t="shared" si="12"/>
        <v>0</v>
      </c>
      <c r="CU21" s="272">
        <f t="shared" si="12"/>
        <v>0</v>
      </c>
      <c r="CV21" s="249">
        <f t="shared" si="13"/>
        <v>0</v>
      </c>
      <c r="CW21" s="12">
        <f t="shared" si="13"/>
        <v>0</v>
      </c>
      <c r="CX21" s="249">
        <f t="shared" si="13"/>
        <v>165.81560820000001</v>
      </c>
      <c r="CY21" s="272">
        <f t="shared" si="13"/>
        <v>0</v>
      </c>
      <c r="CZ21" s="13"/>
      <c r="DA21" s="240">
        <f>(D21+'[2]февраль 20'!D21)/(AY21+'[2]февраль 20'!AX21)</f>
        <v>2.1908018096306985</v>
      </c>
      <c r="DB21" s="241">
        <f>(T21+'[2]февраль 20'!R21)/(AY21+'[2]февраль 20'!AX21)</f>
        <v>1.3323863187429854</v>
      </c>
      <c r="DD21" s="292">
        <f t="shared" si="14"/>
        <v>0</v>
      </c>
      <c r="DE21" s="291">
        <v>0.15</v>
      </c>
      <c r="DF21" s="291">
        <v>8.98</v>
      </c>
      <c r="DG21" s="145">
        <f t="shared" si="15"/>
        <v>0</v>
      </c>
      <c r="DH21" s="293">
        <f t="shared" si="28"/>
        <v>0</v>
      </c>
      <c r="DJ21" s="322"/>
    </row>
    <row r="22" spans="1:114" s="76" customFormat="1" ht="16.5" customHeight="1" thickBot="1">
      <c r="A22" s="144">
        <v>16</v>
      </c>
      <c r="B22" s="122">
        <f>'[1]февраль 20'!K21</f>
        <v>302.97300000000001</v>
      </c>
      <c r="C22" s="123">
        <f t="shared" si="16"/>
        <v>1.6809399517448751</v>
      </c>
      <c r="D22" s="145">
        <f t="shared" si="17"/>
        <v>297.8802058</v>
      </c>
      <c r="E22" s="125">
        <f t="shared" si="18"/>
        <v>39.971651764348636</v>
      </c>
      <c r="F22" s="146">
        <f t="shared" si="19"/>
        <v>2.1936829354149792</v>
      </c>
      <c r="G22" s="127"/>
      <c r="H22" s="126">
        <f t="shared" si="20"/>
        <v>1.4809132174681496</v>
      </c>
      <c r="I22" s="230">
        <f>'[1]июль 20'!AI21</f>
        <v>0</v>
      </c>
      <c r="J22" s="247">
        <f>'[1]февраль 20'!AA21</f>
        <v>0</v>
      </c>
      <c r="K22" s="276">
        <f>'[1]сентябрь 20'!AM21</f>
        <v>0</v>
      </c>
      <c r="L22" s="122">
        <f>'[1]февраль 20'!AE21</f>
        <v>96.787000000000006</v>
      </c>
      <c r="M22" s="128">
        <f t="shared" si="21"/>
        <v>0.71276971794682975</v>
      </c>
      <c r="N22" s="400">
        <f>'[1]февраль 20'!W21</f>
        <v>0</v>
      </c>
      <c r="O22" s="403">
        <f>'[1]февраль 20'!AU21</f>
        <v>11.722</v>
      </c>
      <c r="P22" s="401">
        <f t="shared" si="0"/>
        <v>189.821</v>
      </c>
      <c r="Q22" s="122">
        <f>'[1]февраль 20'!S21</f>
        <v>189.821</v>
      </c>
      <c r="R22" s="123">
        <f t="shared" si="22"/>
        <v>3.1800000000000006</v>
      </c>
      <c r="S22" s="129">
        <v>12.72</v>
      </c>
      <c r="T22" s="125">
        <f t="shared" si="1"/>
        <v>183.78469219999999</v>
      </c>
      <c r="U22" s="147">
        <f t="shared" si="2"/>
        <v>1.3534479136902571</v>
      </c>
      <c r="V22" s="130">
        <v>62.75</v>
      </c>
      <c r="W22" s="130">
        <v>135.79</v>
      </c>
      <c r="X22" s="129">
        <v>0.12</v>
      </c>
      <c r="Y22" s="131">
        <v>463</v>
      </c>
      <c r="Z22" s="150">
        <v>1192</v>
      </c>
      <c r="AA22" s="148" t="s">
        <v>159</v>
      </c>
      <c r="AB22" s="149">
        <v>75.260000000000005</v>
      </c>
      <c r="AC22" s="150">
        <v>122</v>
      </c>
      <c r="AD22" s="151">
        <v>4</v>
      </c>
      <c r="AE22" s="149">
        <v>9.0500000000000007</v>
      </c>
      <c r="AF22" s="134">
        <f t="shared" si="3"/>
        <v>66.647028499889544</v>
      </c>
      <c r="AG22" s="152"/>
      <c r="AH22" s="129">
        <v>110.8</v>
      </c>
      <c r="AI22" s="134">
        <f t="shared" si="4"/>
        <v>815.96582958980775</v>
      </c>
      <c r="AJ22" s="153">
        <v>12.62</v>
      </c>
      <c r="AK22" s="154"/>
      <c r="AL22" s="155">
        <v>6.67</v>
      </c>
      <c r="AM22" s="156">
        <v>38.56</v>
      </c>
      <c r="AN22" s="126">
        <f t="shared" si="23"/>
        <v>0.21457985531441293</v>
      </c>
      <c r="AO22" s="157" t="s">
        <v>177</v>
      </c>
      <c r="AP22" s="156">
        <v>8.51</v>
      </c>
      <c r="AQ22" s="156">
        <v>5.59</v>
      </c>
      <c r="AR22" s="151"/>
      <c r="AS22" s="149">
        <v>17.14</v>
      </c>
      <c r="AT22" s="149">
        <v>179.7</v>
      </c>
      <c r="AU22" s="149">
        <v>1.32</v>
      </c>
      <c r="AV22" s="149"/>
      <c r="AW22" s="149"/>
      <c r="AX22" s="158">
        <f t="shared" si="5"/>
        <v>0</v>
      </c>
      <c r="AY22" s="125">
        <f t="shared" si="6"/>
        <v>135.79</v>
      </c>
      <c r="AZ22" s="125">
        <f t="shared" si="29"/>
        <v>138.11592936893939</v>
      </c>
      <c r="BA22" s="159">
        <f t="shared" si="7"/>
        <v>14.711430985915493</v>
      </c>
      <c r="BB22" s="160">
        <f t="shared" si="8"/>
        <v>5.4315999999999995</v>
      </c>
      <c r="BC22" s="161">
        <f t="shared" si="9"/>
        <v>0.8582983189675385</v>
      </c>
      <c r="BD22" s="160">
        <f t="shared" si="24"/>
        <v>20.143030985915495</v>
      </c>
      <c r="BE22" s="162">
        <v>0.91900000000000004</v>
      </c>
      <c r="BF22" s="25">
        <f t="shared" si="25"/>
        <v>2096.3200000000002</v>
      </c>
      <c r="BG22" s="25">
        <f t="shared" si="10"/>
        <v>124.55172413793103</v>
      </c>
      <c r="BH22" s="25">
        <f t="shared" si="26"/>
        <v>1992.8275862068958</v>
      </c>
      <c r="BI22" s="26">
        <f t="shared" si="11"/>
        <v>1</v>
      </c>
      <c r="BJ22" s="37">
        <f t="shared" si="27"/>
        <v>1992.8275862068958</v>
      </c>
      <c r="BK22" s="38"/>
      <c r="BL22" s="31">
        <v>206.18600000000001</v>
      </c>
      <c r="BM22" s="31"/>
      <c r="BN22" s="234">
        <v>96.787000000000006</v>
      </c>
      <c r="BO22" s="42"/>
      <c r="BP22" s="40"/>
      <c r="BQ22" s="411"/>
      <c r="BR22" s="33"/>
      <c r="BS22" s="34">
        <v>2.4700000000000002</v>
      </c>
      <c r="BT22" s="35"/>
      <c r="BU22" s="35"/>
      <c r="BV22" s="235"/>
      <c r="BW22" s="235"/>
      <c r="BX22" s="36"/>
      <c r="BY22" s="33"/>
      <c r="BZ22" s="34">
        <v>36.94</v>
      </c>
      <c r="CA22" s="35"/>
      <c r="CB22" s="405">
        <v>46.43</v>
      </c>
      <c r="CC22" s="404"/>
      <c r="CD22" s="235"/>
      <c r="CE22" s="413"/>
      <c r="CF22" s="30"/>
      <c r="CG22" s="30"/>
      <c r="CH22" s="31">
        <v>189.821</v>
      </c>
      <c r="CI22" s="32"/>
      <c r="CJ22" s="33"/>
      <c r="CK22" s="33"/>
      <c r="CL22" s="35">
        <v>3.18</v>
      </c>
      <c r="CM22" s="36"/>
      <c r="CN22" s="286"/>
      <c r="CO22" s="249">
        <f t="shared" si="12"/>
        <v>0</v>
      </c>
      <c r="CP22" s="12">
        <f t="shared" si="12"/>
        <v>201.09320580000002</v>
      </c>
      <c r="CQ22" s="12">
        <f t="shared" si="12"/>
        <v>0</v>
      </c>
      <c r="CR22" s="12">
        <f t="shared" si="12"/>
        <v>96.787000000000006</v>
      </c>
      <c r="CS22" s="11">
        <f t="shared" si="12"/>
        <v>0</v>
      </c>
      <c r="CT22" s="11">
        <f t="shared" si="12"/>
        <v>0</v>
      </c>
      <c r="CU22" s="272">
        <f t="shared" si="12"/>
        <v>0</v>
      </c>
      <c r="CV22" s="249">
        <f t="shared" si="13"/>
        <v>0</v>
      </c>
      <c r="CW22" s="12">
        <f t="shared" si="13"/>
        <v>0</v>
      </c>
      <c r="CX22" s="249">
        <f t="shared" si="13"/>
        <v>183.78469219999999</v>
      </c>
      <c r="CY22" s="272">
        <f t="shared" si="13"/>
        <v>0</v>
      </c>
      <c r="CZ22" s="13"/>
      <c r="DA22" s="240">
        <f>(D22+'[2]февраль 20'!D22)/(AY22+'[2]февраль 20'!AX22)</f>
        <v>2.4574644063847142</v>
      </c>
      <c r="DB22" s="241">
        <f>(T22+'[2]февраль 20'!R22)/(AY22+'[2]февраль 20'!AX22)</f>
        <v>1.5423648264010252</v>
      </c>
      <c r="DD22" s="292">
        <f t="shared" si="14"/>
        <v>0</v>
      </c>
      <c r="DE22" s="291">
        <v>0.21</v>
      </c>
      <c r="DF22" s="291">
        <v>17.14</v>
      </c>
      <c r="DG22" s="145">
        <f t="shared" si="15"/>
        <v>0</v>
      </c>
      <c r="DH22" s="293">
        <f t="shared" si="28"/>
        <v>0</v>
      </c>
      <c r="DJ22" s="322"/>
    </row>
    <row r="23" spans="1:114" s="76" customFormat="1" ht="16.5" customHeight="1" thickBot="1">
      <c r="A23" s="144">
        <v>17</v>
      </c>
      <c r="B23" s="122">
        <f>'[1]февраль 20'!K22</f>
        <v>325.02699999999999</v>
      </c>
      <c r="C23" s="123">
        <f t="shared" si="16"/>
        <v>1.3919678057515223</v>
      </c>
      <c r="D23" s="145">
        <f t="shared" si="17"/>
        <v>320.5027288</v>
      </c>
      <c r="E23" s="125">
        <f t="shared" si="18"/>
        <v>39.810617671762657</v>
      </c>
      <c r="F23" s="146">
        <f t="shared" si="19"/>
        <v>2.4932145375340333</v>
      </c>
      <c r="G23" s="127"/>
      <c r="H23" s="126">
        <f t="shared" si="20"/>
        <v>1.6900328961493578</v>
      </c>
      <c r="I23" s="230">
        <f>'[1]июль 20'!AI22</f>
        <v>0</v>
      </c>
      <c r="J23" s="247">
        <f>'[1]февраль 20'!AA22</f>
        <v>0</v>
      </c>
      <c r="K23" s="276">
        <f>'[1]сентябрь 20'!AM22</f>
        <v>0</v>
      </c>
      <c r="L23" s="122">
        <f>'[1]февраль 20'!AE22</f>
        <v>103.249</v>
      </c>
      <c r="M23" s="128">
        <f t="shared" si="21"/>
        <v>0.80318164138467507</v>
      </c>
      <c r="N23" s="400">
        <f>'[1]февраль 20'!W22</f>
        <v>0</v>
      </c>
      <c r="O23" s="403">
        <f>'[1]февраль 20'!AU22</f>
        <v>11.534000000000001</v>
      </c>
      <c r="P23" s="401">
        <f t="shared" si="0"/>
        <v>206.875</v>
      </c>
      <c r="Q23" s="122">
        <f>'[1]февраль 20'!S22</f>
        <v>206.875</v>
      </c>
      <c r="R23" s="123">
        <f t="shared" si="22"/>
        <v>3.59</v>
      </c>
      <c r="S23" s="129">
        <v>32.159999999999997</v>
      </c>
      <c r="T23" s="125">
        <f t="shared" si="1"/>
        <v>199.44818749999999</v>
      </c>
      <c r="U23" s="147">
        <f t="shared" si="2"/>
        <v>1.5515222676001554</v>
      </c>
      <c r="V23" s="130">
        <v>96.58</v>
      </c>
      <c r="W23" s="130">
        <v>128.55000000000001</v>
      </c>
      <c r="X23" s="129">
        <v>0.15</v>
      </c>
      <c r="Y23" s="131">
        <v>490</v>
      </c>
      <c r="Z23" s="150">
        <v>1204</v>
      </c>
      <c r="AA23" s="148" t="s">
        <v>178</v>
      </c>
      <c r="AB23" s="149">
        <v>75.680000000000007</v>
      </c>
      <c r="AC23" s="150">
        <v>131</v>
      </c>
      <c r="AD23" s="151">
        <v>4</v>
      </c>
      <c r="AE23" s="149">
        <v>10.75</v>
      </c>
      <c r="AF23" s="134">
        <f t="shared" si="3"/>
        <v>83.625048619214311</v>
      </c>
      <c r="AG23" s="152"/>
      <c r="AH23" s="129">
        <v>102.2</v>
      </c>
      <c r="AI23" s="134">
        <f t="shared" si="4"/>
        <v>795.02139245429794</v>
      </c>
      <c r="AJ23" s="136">
        <v>12.1</v>
      </c>
      <c r="AK23" s="154"/>
      <c r="AL23" s="155">
        <v>6.71</v>
      </c>
      <c r="AM23" s="156">
        <v>37.880000000000003</v>
      </c>
      <c r="AN23" s="126">
        <f t="shared" si="23"/>
        <v>0.22081025939959195</v>
      </c>
      <c r="AO23" s="157" t="s">
        <v>179</v>
      </c>
      <c r="AP23" s="156">
        <v>9.6199999999999992</v>
      </c>
      <c r="AQ23" s="156">
        <v>5.86</v>
      </c>
      <c r="AR23" s="151"/>
      <c r="AS23" s="149">
        <v>12.22</v>
      </c>
      <c r="AT23" s="149">
        <v>171.55</v>
      </c>
      <c r="AU23" s="149">
        <v>1.59</v>
      </c>
      <c r="AV23" s="149"/>
      <c r="AW23" s="149"/>
      <c r="AX23" s="158">
        <f t="shared" si="5"/>
        <v>0</v>
      </c>
      <c r="AY23" s="125">
        <f t="shared" si="6"/>
        <v>128.55000000000001</v>
      </c>
      <c r="AZ23" s="125">
        <f t="shared" si="29"/>
        <v>147.18507301716076</v>
      </c>
      <c r="BA23" s="159">
        <f t="shared" si="7"/>
        <v>9.6744535211267593</v>
      </c>
      <c r="BB23" s="160">
        <f t="shared" si="8"/>
        <v>5.1420000000000003</v>
      </c>
      <c r="BC23" s="161">
        <f>IF((D23*E23)=0,0,(AY23*AB23)/(D23*E23))</f>
        <v>0.76246964246785709</v>
      </c>
      <c r="BD23" s="160">
        <f t="shared" si="24"/>
        <v>14.816453521126761</v>
      </c>
      <c r="BE23" s="162">
        <v>0.90800000000000003</v>
      </c>
      <c r="BF23" s="25">
        <f t="shared" si="25"/>
        <v>2224.8700000000003</v>
      </c>
      <c r="BG23" s="25">
        <f t="shared" si="10"/>
        <v>124.55172413793103</v>
      </c>
      <c r="BH23" s="25">
        <f t="shared" si="26"/>
        <v>2117.379310344827</v>
      </c>
      <c r="BI23" s="26">
        <f t="shared" si="11"/>
        <v>1</v>
      </c>
      <c r="BJ23" s="37">
        <f t="shared" si="27"/>
        <v>2117.379310344827</v>
      </c>
      <c r="BK23" s="38"/>
      <c r="BL23" s="31">
        <v>221.77799999999999</v>
      </c>
      <c r="BM23" s="31"/>
      <c r="BN23" s="234">
        <v>103.249</v>
      </c>
      <c r="BO23" s="42"/>
      <c r="BP23" s="40"/>
      <c r="BQ23" s="411"/>
      <c r="BR23" s="33"/>
      <c r="BS23" s="34">
        <v>2.04</v>
      </c>
      <c r="BT23" s="35"/>
      <c r="BU23" s="35"/>
      <c r="BV23" s="235"/>
      <c r="BW23" s="235"/>
      <c r="BX23" s="36"/>
      <c r="BY23" s="33"/>
      <c r="BZ23" s="34">
        <v>36.85</v>
      </c>
      <c r="CA23" s="35"/>
      <c r="CB23" s="405">
        <v>46.17</v>
      </c>
      <c r="CC23" s="404"/>
      <c r="CD23" s="235"/>
      <c r="CE23" s="413"/>
      <c r="CF23" s="30"/>
      <c r="CG23" s="30"/>
      <c r="CH23" s="31">
        <v>206.875</v>
      </c>
      <c r="CI23" s="32"/>
      <c r="CJ23" s="33"/>
      <c r="CK23" s="33"/>
      <c r="CL23" s="35">
        <v>3.59</v>
      </c>
      <c r="CM23" s="36"/>
      <c r="CN23" s="286"/>
      <c r="CO23" s="249">
        <f t="shared" ref="CO23:CU37" si="30">BK23*((100-BR23)/100)</f>
        <v>0</v>
      </c>
      <c r="CP23" s="12">
        <f t="shared" si="30"/>
        <v>217.25372879999998</v>
      </c>
      <c r="CQ23" s="12">
        <f t="shared" si="30"/>
        <v>0</v>
      </c>
      <c r="CR23" s="12">
        <f t="shared" si="30"/>
        <v>103.249</v>
      </c>
      <c r="CS23" s="11">
        <f t="shared" si="30"/>
        <v>0</v>
      </c>
      <c r="CT23" s="11">
        <f t="shared" si="30"/>
        <v>0</v>
      </c>
      <c r="CU23" s="272">
        <f t="shared" si="30"/>
        <v>0</v>
      </c>
      <c r="CV23" s="249">
        <f t="shared" si="13"/>
        <v>0</v>
      </c>
      <c r="CW23" s="11">
        <f t="shared" si="13"/>
        <v>0</v>
      </c>
      <c r="CX23" s="249">
        <f t="shared" si="13"/>
        <v>199.44818749999999</v>
      </c>
      <c r="CY23" s="272">
        <f t="shared" si="13"/>
        <v>0</v>
      </c>
      <c r="CZ23" s="13"/>
      <c r="DA23" s="240">
        <f>(D23+'[2]февраль 20'!D23)/(AY23+'[2]февраль 20'!AX23)</f>
        <v>2.3028688241628363</v>
      </c>
      <c r="DB23" s="241">
        <f>(T23+'[2]февраль 20'!R23)/(AY23+'[2]февраль 20'!AX23)</f>
        <v>1.4645520354563362</v>
      </c>
      <c r="DD23" s="292">
        <f t="shared" si="14"/>
        <v>0</v>
      </c>
      <c r="DE23" s="291">
        <v>0.2</v>
      </c>
      <c r="DF23" s="291">
        <v>13.96</v>
      </c>
      <c r="DG23" s="145">
        <f t="shared" si="15"/>
        <v>0</v>
      </c>
      <c r="DH23" s="293">
        <f t="shared" si="28"/>
        <v>0</v>
      </c>
      <c r="DJ23" s="322"/>
    </row>
    <row r="24" spans="1:114" s="76" customFormat="1" ht="16.5" customHeight="1" thickBot="1">
      <c r="A24" s="144">
        <v>18</v>
      </c>
      <c r="B24" s="122">
        <f>'[1]февраль 20'!K23</f>
        <v>336.06200000000001</v>
      </c>
      <c r="C24" s="123">
        <f t="shared" si="16"/>
        <v>1.4841115032345222</v>
      </c>
      <c r="D24" s="145">
        <f t="shared" si="17"/>
        <v>331.07446520000002</v>
      </c>
      <c r="E24" s="125">
        <f t="shared" si="18"/>
        <v>40.395051924942422</v>
      </c>
      <c r="F24" s="146">
        <f t="shared" si="19"/>
        <v>2.5049138624498757</v>
      </c>
      <c r="G24" s="127"/>
      <c r="H24" s="126">
        <f t="shared" si="20"/>
        <v>1.693262201709919</v>
      </c>
      <c r="I24" s="230">
        <f>'[1]июль 20'!AI23</f>
        <v>0</v>
      </c>
      <c r="J24" s="247">
        <f>'[1]февраль 20'!AA23</f>
        <v>0</v>
      </c>
      <c r="K24" s="276">
        <f>'[1]сентябрь 20'!AM23</f>
        <v>0</v>
      </c>
      <c r="L24" s="122">
        <f>'[1]февраль 20'!AE23</f>
        <v>107.276</v>
      </c>
      <c r="M24" s="128">
        <f t="shared" si="21"/>
        <v>0.8116516607399562</v>
      </c>
      <c r="N24" s="400">
        <f>'[1]февраль 20'!W23</f>
        <v>0</v>
      </c>
      <c r="O24" s="403">
        <f>'[1]февраль 20'!AU23</f>
        <v>11.923999999999999</v>
      </c>
      <c r="P24" s="401">
        <f t="shared" si="0"/>
        <v>219.10900000000001</v>
      </c>
      <c r="Q24" s="122">
        <f>'[1]февраль 20'!S23</f>
        <v>219.10900000000001</v>
      </c>
      <c r="R24" s="123">
        <f t="shared" si="22"/>
        <v>2.8899999999999997</v>
      </c>
      <c r="S24" s="129">
        <v>27.07</v>
      </c>
      <c r="T24" s="125">
        <f t="shared" si="1"/>
        <v>212.7767499</v>
      </c>
      <c r="U24" s="147">
        <f t="shared" si="2"/>
        <v>1.6098717553151245</v>
      </c>
      <c r="V24" s="130">
        <v>132.16999999999999</v>
      </c>
      <c r="W24" s="130">
        <v>132.16999999999999</v>
      </c>
      <c r="X24" s="129">
        <v>0.23</v>
      </c>
      <c r="Y24" s="150">
        <v>383</v>
      </c>
      <c r="Z24" s="150">
        <v>1194</v>
      </c>
      <c r="AA24" s="148" t="s">
        <v>114</v>
      </c>
      <c r="AB24" s="149">
        <v>75.95</v>
      </c>
      <c r="AC24" s="150">
        <v>135</v>
      </c>
      <c r="AD24" s="151">
        <v>4</v>
      </c>
      <c r="AE24" s="149">
        <v>9.8000000000000007</v>
      </c>
      <c r="AF24" s="134">
        <f t="shared" si="3"/>
        <v>74.146931981538927</v>
      </c>
      <c r="AG24" s="152"/>
      <c r="AH24" s="129">
        <v>100.45</v>
      </c>
      <c r="AI24" s="134">
        <f t="shared" si="4"/>
        <v>760.00605281077401</v>
      </c>
      <c r="AJ24" s="153">
        <v>10.39</v>
      </c>
      <c r="AK24" s="154"/>
      <c r="AL24" s="155">
        <v>8.74</v>
      </c>
      <c r="AM24" s="156">
        <v>34.36</v>
      </c>
      <c r="AN24" s="126">
        <f t="shared" si="23"/>
        <v>0.20005822416302765</v>
      </c>
      <c r="AO24" s="157" t="s">
        <v>180</v>
      </c>
      <c r="AP24" s="156">
        <v>8.92</v>
      </c>
      <c r="AQ24" s="156">
        <v>5.92</v>
      </c>
      <c r="AR24" s="151"/>
      <c r="AS24" s="149">
        <v>13.31</v>
      </c>
      <c r="AT24" s="149">
        <v>171.75</v>
      </c>
      <c r="AU24" s="149">
        <v>3.52</v>
      </c>
      <c r="AV24" s="164"/>
      <c r="AW24" s="149"/>
      <c r="AX24" s="158">
        <f t="shared" si="5"/>
        <v>0</v>
      </c>
      <c r="AY24" s="125">
        <f t="shared" si="6"/>
        <v>132.16999999999999</v>
      </c>
      <c r="AZ24" s="125">
        <f t="shared" si="29"/>
        <v>153.72352068142098</v>
      </c>
      <c r="BA24" s="159">
        <f t="shared" si="7"/>
        <v>10.356960915492959</v>
      </c>
      <c r="BB24" s="160">
        <f t="shared" si="8"/>
        <v>5.2867999999999995</v>
      </c>
      <c r="BC24" s="161">
        <f t="shared" si="9"/>
        <v>0.75059697753816379</v>
      </c>
      <c r="BD24" s="160">
        <f t="shared" si="24"/>
        <v>15.643760915492958</v>
      </c>
      <c r="BE24" s="162">
        <v>0.89800000000000002</v>
      </c>
      <c r="BF24" s="25">
        <f t="shared" si="25"/>
        <v>2357.0400000000004</v>
      </c>
      <c r="BG24" s="25">
        <f t="shared" si="10"/>
        <v>124.55172413793103</v>
      </c>
      <c r="BH24" s="25">
        <f t="shared" si="26"/>
        <v>2241.9310344827582</v>
      </c>
      <c r="BI24" s="26">
        <f t="shared" si="11"/>
        <v>1</v>
      </c>
      <c r="BJ24" s="37">
        <f t="shared" si="27"/>
        <v>2241.9310344827582</v>
      </c>
      <c r="BK24" s="38"/>
      <c r="BL24" s="31">
        <v>228.786</v>
      </c>
      <c r="BM24" s="31"/>
      <c r="BN24" s="234">
        <v>107.276</v>
      </c>
      <c r="BO24" s="42"/>
      <c r="BP24" s="40"/>
      <c r="BQ24" s="411"/>
      <c r="BR24" s="33"/>
      <c r="BS24" s="34">
        <v>2.1800000000000002</v>
      </c>
      <c r="BT24" s="35"/>
      <c r="BU24" s="35"/>
      <c r="BV24" s="235"/>
      <c r="BW24" s="235"/>
      <c r="BX24" s="36"/>
      <c r="BY24" s="33"/>
      <c r="BZ24" s="34">
        <v>37.57</v>
      </c>
      <c r="CA24" s="35"/>
      <c r="CB24" s="405">
        <v>46.42</v>
      </c>
      <c r="CC24" s="404"/>
      <c r="CD24" s="235"/>
      <c r="CE24" s="413"/>
      <c r="CF24" s="30"/>
      <c r="CG24" s="30"/>
      <c r="CH24" s="31">
        <v>219.10900000000001</v>
      </c>
      <c r="CI24" s="32"/>
      <c r="CJ24" s="33"/>
      <c r="CK24" s="33"/>
      <c r="CL24" s="35">
        <v>2.89</v>
      </c>
      <c r="CM24" s="36"/>
      <c r="CN24" s="286"/>
      <c r="CO24" s="249">
        <f t="shared" si="30"/>
        <v>0</v>
      </c>
      <c r="CP24" s="12">
        <f t="shared" si="30"/>
        <v>223.79846519999998</v>
      </c>
      <c r="CQ24" s="12">
        <f t="shared" si="30"/>
        <v>0</v>
      </c>
      <c r="CR24" s="12">
        <f t="shared" si="30"/>
        <v>107.276</v>
      </c>
      <c r="CS24" s="11">
        <f t="shared" si="30"/>
        <v>0</v>
      </c>
      <c r="CT24" s="11">
        <f t="shared" si="30"/>
        <v>0</v>
      </c>
      <c r="CU24" s="272">
        <f t="shared" si="30"/>
        <v>0</v>
      </c>
      <c r="CV24" s="249">
        <f t="shared" si="13"/>
        <v>0</v>
      </c>
      <c r="CW24" s="12">
        <f t="shared" si="13"/>
        <v>0</v>
      </c>
      <c r="CX24" s="249">
        <f t="shared" si="13"/>
        <v>212.7767499</v>
      </c>
      <c r="CY24" s="272">
        <f t="shared" si="13"/>
        <v>0</v>
      </c>
      <c r="CZ24" s="13"/>
      <c r="DA24" s="240">
        <f>(D24+'[2]февраль 20'!D24)/(AY24+'[2]февраль 20'!AX24)</f>
        <v>2.517962631044381</v>
      </c>
      <c r="DB24" s="241">
        <f>(T24+'[2]февраль 20'!R24)/(AY24+'[2]февраль 20'!AX24)</f>
        <v>1.6713479792448662</v>
      </c>
      <c r="DD24" s="292">
        <f t="shared" si="14"/>
        <v>0</v>
      </c>
      <c r="DE24" s="291">
        <v>0.16</v>
      </c>
      <c r="DF24" s="291">
        <v>11.95</v>
      </c>
      <c r="DG24" s="145">
        <f t="shared" si="15"/>
        <v>0</v>
      </c>
      <c r="DH24" s="293">
        <f t="shared" si="28"/>
        <v>0</v>
      </c>
      <c r="DJ24" s="322"/>
    </row>
    <row r="25" spans="1:114" s="76" customFormat="1" ht="16.5" customHeight="1" thickBot="1">
      <c r="A25" s="144">
        <v>19</v>
      </c>
      <c r="B25" s="122">
        <f>'[1]февраль 20'!K24</f>
        <v>285.23200000000003</v>
      </c>
      <c r="C25" s="123">
        <f t="shared" si="16"/>
        <v>1.5916531805687999</v>
      </c>
      <c r="D25" s="145">
        <f t="shared" si="17"/>
        <v>280.69209580000006</v>
      </c>
      <c r="E25" s="125">
        <f t="shared" si="18"/>
        <v>39.929783404386605</v>
      </c>
      <c r="F25" s="146">
        <f t="shared" si="19"/>
        <v>2.2462555681818186</v>
      </c>
      <c r="G25" s="127"/>
      <c r="H25" s="126">
        <f t="shared" si="20"/>
        <v>1.5162699727912932</v>
      </c>
      <c r="I25" s="230">
        <f>'[1]июль 20'!AI24</f>
        <v>0</v>
      </c>
      <c r="J25" s="247">
        <f>'[1]февраль 20'!AA24</f>
        <v>0</v>
      </c>
      <c r="K25" s="276">
        <f>'[1]сентябрь 20'!AM24</f>
        <v>0</v>
      </c>
      <c r="L25" s="122">
        <f>'[1]февраль 20'!AE24</f>
        <v>91.218999999999994</v>
      </c>
      <c r="M25" s="128">
        <f t="shared" si="21"/>
        <v>0.72998559539052499</v>
      </c>
      <c r="N25" s="400">
        <f>'[1]февраль 20'!W24</f>
        <v>0</v>
      </c>
      <c r="O25" s="403">
        <f>'[1]февраль 20'!AU24</f>
        <v>10.029</v>
      </c>
      <c r="P25" s="401">
        <f t="shared" si="0"/>
        <v>187.01900000000001</v>
      </c>
      <c r="Q25" s="122">
        <f>'[1]февраль 20'!S24</f>
        <v>187.01900000000001</v>
      </c>
      <c r="R25" s="123">
        <f>IF(Q25=0,0,(CI25*CM25+CG25*CK25+CH25*CL25+CF25*CJ25)/Q25)</f>
        <v>2.81</v>
      </c>
      <c r="S25" s="129">
        <v>8.7200000000000006</v>
      </c>
      <c r="T25" s="125">
        <f t="shared" si="1"/>
        <v>181.7637661</v>
      </c>
      <c r="U25" s="147">
        <f t="shared" si="2"/>
        <v>1.4545755929897568</v>
      </c>
      <c r="V25" s="130">
        <v>124.96</v>
      </c>
      <c r="W25" s="130">
        <v>31.69</v>
      </c>
      <c r="X25" s="129">
        <v>1.24</v>
      </c>
      <c r="Y25" s="150">
        <v>474</v>
      </c>
      <c r="Z25" s="150">
        <v>1196</v>
      </c>
      <c r="AA25" s="148" t="s">
        <v>128</v>
      </c>
      <c r="AB25" s="149">
        <v>76.06</v>
      </c>
      <c r="AC25" s="150">
        <v>114</v>
      </c>
      <c r="AD25" s="151">
        <v>4</v>
      </c>
      <c r="AE25" s="149">
        <v>9.1</v>
      </c>
      <c r="AF25" s="134">
        <f t="shared" si="3"/>
        <v>72.823303457106277</v>
      </c>
      <c r="AG25" s="152"/>
      <c r="AH25" s="129">
        <v>81.25</v>
      </c>
      <c r="AI25" s="134">
        <f t="shared" si="4"/>
        <v>650.20806658130607</v>
      </c>
      <c r="AJ25" s="136">
        <v>11.91</v>
      </c>
      <c r="AK25" s="154"/>
      <c r="AL25" s="155">
        <v>4.9400000000000004</v>
      </c>
      <c r="AM25" s="156">
        <v>34.71</v>
      </c>
      <c r="AN25" s="126">
        <f t="shared" si="23"/>
        <v>0.21261868300153139</v>
      </c>
      <c r="AO25" s="157" t="s">
        <v>181</v>
      </c>
      <c r="AP25" s="156">
        <v>10.31</v>
      </c>
      <c r="AQ25" s="156">
        <v>6.1</v>
      </c>
      <c r="AR25" s="152"/>
      <c r="AS25" s="149">
        <v>9.9499999999999993</v>
      </c>
      <c r="AT25" s="149">
        <v>163.25</v>
      </c>
      <c r="AU25" s="149">
        <v>1.36</v>
      </c>
      <c r="AV25" s="164"/>
      <c r="AW25" s="149"/>
      <c r="AX25" s="158">
        <f t="shared" si="5"/>
        <v>0</v>
      </c>
      <c r="AY25" s="125">
        <f t="shared" si="6"/>
        <v>124.96</v>
      </c>
      <c r="AZ25" s="125">
        <f t="shared" si="29"/>
        <v>128.64267441313353</v>
      </c>
      <c r="BA25" s="159">
        <f t="shared" si="7"/>
        <v>6.2625440140845061</v>
      </c>
      <c r="BB25" s="160">
        <f t="shared" si="8"/>
        <v>4.9984000000000002</v>
      </c>
      <c r="BC25" s="161">
        <f t="shared" si="9"/>
        <v>0.84800848938867102</v>
      </c>
      <c r="BD25" s="160">
        <f t="shared" si="24"/>
        <v>11.260944014084506</v>
      </c>
      <c r="BE25" s="162">
        <v>0.89500000000000002</v>
      </c>
      <c r="BF25" s="25">
        <f t="shared" si="25"/>
        <v>2482.0000000000005</v>
      </c>
      <c r="BG25" s="25">
        <f t="shared" si="10"/>
        <v>124.55172413793103</v>
      </c>
      <c r="BH25" s="25">
        <f t="shared" si="26"/>
        <v>2366.4827586206893</v>
      </c>
      <c r="BI25" s="26">
        <f t="shared" si="11"/>
        <v>1</v>
      </c>
      <c r="BJ25" s="37">
        <f t="shared" si="27"/>
        <v>2366.4827586206893</v>
      </c>
      <c r="BK25" s="38"/>
      <c r="BL25" s="31">
        <v>194.01300000000001</v>
      </c>
      <c r="BM25" s="31"/>
      <c r="BN25" s="234">
        <v>91.218999999999994</v>
      </c>
      <c r="BO25" s="42"/>
      <c r="BP25" s="40"/>
      <c r="BQ25" s="411"/>
      <c r="BR25" s="33"/>
      <c r="BS25" s="34">
        <v>2.34</v>
      </c>
      <c r="BT25" s="35"/>
      <c r="BU25" s="35"/>
      <c r="BV25" s="235"/>
      <c r="BW25" s="235"/>
      <c r="BX25" s="36"/>
      <c r="BY25" s="33"/>
      <c r="BZ25" s="34">
        <v>36.93</v>
      </c>
      <c r="CA25" s="35"/>
      <c r="CB25" s="405">
        <v>46.31</v>
      </c>
      <c r="CC25" s="404"/>
      <c r="CD25" s="235"/>
      <c r="CE25" s="413"/>
      <c r="CF25" s="30">
        <v>65.119</v>
      </c>
      <c r="CG25" s="30"/>
      <c r="CH25" s="31">
        <v>121.9</v>
      </c>
      <c r="CI25" s="32"/>
      <c r="CJ25" s="33">
        <v>2.81</v>
      </c>
      <c r="CK25" s="33"/>
      <c r="CL25" s="35">
        <v>2.81</v>
      </c>
      <c r="CM25" s="36"/>
      <c r="CN25" s="286"/>
      <c r="CO25" s="249">
        <f t="shared" si="30"/>
        <v>0</v>
      </c>
      <c r="CP25" s="12">
        <f t="shared" si="30"/>
        <v>189.47309579999998</v>
      </c>
      <c r="CQ25" s="12">
        <f t="shared" si="30"/>
        <v>0</v>
      </c>
      <c r="CR25" s="12">
        <f t="shared" si="30"/>
        <v>91.218999999999994</v>
      </c>
      <c r="CS25" s="11">
        <f t="shared" si="30"/>
        <v>0</v>
      </c>
      <c r="CT25" s="11">
        <f t="shared" si="30"/>
        <v>0</v>
      </c>
      <c r="CU25" s="272">
        <f t="shared" si="30"/>
        <v>0</v>
      </c>
      <c r="CV25" s="249">
        <f t="shared" si="13"/>
        <v>63.2891561</v>
      </c>
      <c r="CW25" s="251">
        <f t="shared" si="13"/>
        <v>0</v>
      </c>
      <c r="CX25" s="249">
        <f t="shared" si="13"/>
        <v>118.47461</v>
      </c>
      <c r="CY25" s="272">
        <f t="shared" si="13"/>
        <v>0</v>
      </c>
      <c r="CZ25" s="13"/>
      <c r="DA25" s="240">
        <f>(D25+'[2]февраль 20'!D25)/(AY25+'[2]февраль 20'!AX25)</f>
        <v>2.1243758336377692</v>
      </c>
      <c r="DB25" s="241">
        <f>(T25+'[2]февраль 20'!R25)/(AY25+'[2]февраль 20'!AX25)</f>
        <v>1.3859878209919911</v>
      </c>
      <c r="DD25" s="292">
        <f t="shared" si="14"/>
        <v>0</v>
      </c>
      <c r="DE25" s="291">
        <v>7.0000000000000007E-2</v>
      </c>
      <c r="DF25" s="291">
        <v>8.99</v>
      </c>
      <c r="DG25" s="145">
        <f t="shared" si="15"/>
        <v>0</v>
      </c>
      <c r="DH25" s="293">
        <f t="shared" si="28"/>
        <v>0</v>
      </c>
      <c r="DJ25" s="322"/>
    </row>
    <row r="26" spans="1:114" s="76" customFormat="1" ht="16.5" customHeight="1" thickBot="1">
      <c r="A26" s="144">
        <v>20</v>
      </c>
      <c r="B26" s="122">
        <f>'[1]февраль 20'!K25</f>
        <v>287.91300000000001</v>
      </c>
      <c r="C26" s="123">
        <f t="shared" si="16"/>
        <v>1.5311656646278564</v>
      </c>
      <c r="D26" s="145">
        <f t="shared" si="17"/>
        <v>283.50457500000005</v>
      </c>
      <c r="E26" s="125">
        <f t="shared" si="18"/>
        <v>40.288246136853836</v>
      </c>
      <c r="F26" s="146">
        <f t="shared" si="19"/>
        <v>2.4099334835090107</v>
      </c>
      <c r="G26" s="127"/>
      <c r="H26" s="126">
        <f t="shared" si="20"/>
        <v>1.6280310693641618</v>
      </c>
      <c r="I26" s="230">
        <f>'[1]июль 20'!AI25</f>
        <v>0</v>
      </c>
      <c r="J26" s="247">
        <f>'[1]февраль 20'!AA25</f>
        <v>0</v>
      </c>
      <c r="K26" s="276">
        <f>'[1]сентябрь 20'!AM25</f>
        <v>0</v>
      </c>
      <c r="L26" s="122">
        <f>'[1]февраль 20'!AE25</f>
        <v>91.983000000000004</v>
      </c>
      <c r="M26" s="128">
        <f t="shared" si="21"/>
        <v>0.78190241414484862</v>
      </c>
      <c r="N26" s="400">
        <f>'[1]февраль 20'!W25</f>
        <v>0</v>
      </c>
      <c r="O26" s="403">
        <f>'[1]февраль 20'!AU25</f>
        <v>9.8789999999999996</v>
      </c>
      <c r="P26" s="401">
        <f t="shared" si="0"/>
        <v>185.078</v>
      </c>
      <c r="Q26" s="122">
        <f>'[1]февраль 20'!S25</f>
        <v>185.078</v>
      </c>
      <c r="R26" s="123">
        <f t="shared" si="22"/>
        <v>3.92</v>
      </c>
      <c r="S26" s="129">
        <v>15.11</v>
      </c>
      <c r="T26" s="125">
        <f t="shared" si="1"/>
        <v>177.82294239999999</v>
      </c>
      <c r="U26" s="147">
        <f t="shared" si="2"/>
        <v>1.5115857055423323</v>
      </c>
      <c r="V26" s="169">
        <v>117.64</v>
      </c>
      <c r="W26" s="169">
        <v>60.57</v>
      </c>
      <c r="X26" s="170">
        <v>1.33</v>
      </c>
      <c r="Y26" s="166">
        <v>468</v>
      </c>
      <c r="Z26" s="166">
        <v>1198</v>
      </c>
      <c r="AA26" s="148" t="s">
        <v>130</v>
      </c>
      <c r="AB26" s="164">
        <v>75.790000000000006</v>
      </c>
      <c r="AC26" s="166">
        <v>116</v>
      </c>
      <c r="AD26" s="171">
        <v>4</v>
      </c>
      <c r="AE26" s="164">
        <v>8.65</v>
      </c>
      <c r="AF26" s="172">
        <f t="shared" si="3"/>
        <v>73.52941176470587</v>
      </c>
      <c r="AG26" s="173"/>
      <c r="AH26" s="170">
        <v>75.599999999999994</v>
      </c>
      <c r="AI26" s="134">
        <f t="shared" si="4"/>
        <v>642.63855831349872</v>
      </c>
      <c r="AJ26" s="174">
        <v>11.86</v>
      </c>
      <c r="AK26" s="175"/>
      <c r="AL26" s="176">
        <v>5.81</v>
      </c>
      <c r="AM26" s="177">
        <v>35.19</v>
      </c>
      <c r="AN26" s="126">
        <f t="shared" si="23"/>
        <v>0.22371265098537824</v>
      </c>
      <c r="AO26" s="178" t="s">
        <v>181</v>
      </c>
      <c r="AP26" s="177">
        <v>10.88</v>
      </c>
      <c r="AQ26" s="177">
        <v>6.46</v>
      </c>
      <c r="AR26" s="171"/>
      <c r="AS26" s="164">
        <v>8.91</v>
      </c>
      <c r="AT26" s="149">
        <v>157.30000000000001</v>
      </c>
      <c r="AU26" s="164">
        <v>1.34</v>
      </c>
      <c r="AV26" s="164"/>
      <c r="AW26" s="164"/>
      <c r="AX26" s="179">
        <f t="shared" si="5"/>
        <v>0</v>
      </c>
      <c r="AY26" s="125">
        <f t="shared" si="6"/>
        <v>117.64000000000001</v>
      </c>
      <c r="AZ26" s="125">
        <f t="shared" si="29"/>
        <v>131.56512115070026</v>
      </c>
      <c r="BA26" s="159">
        <f t="shared" si="7"/>
        <v>5.2179971830985918</v>
      </c>
      <c r="BB26" s="159">
        <f t="shared" si="8"/>
        <v>4.7056000000000004</v>
      </c>
      <c r="BC26" s="180">
        <f t="shared" si="9"/>
        <v>0.78059989685536335</v>
      </c>
      <c r="BD26" s="159">
        <f t="shared" si="24"/>
        <v>9.9235971830985932</v>
      </c>
      <c r="BE26" s="167">
        <v>0.88900000000000001</v>
      </c>
      <c r="BF26" s="25">
        <f t="shared" si="25"/>
        <v>2599.6400000000003</v>
      </c>
      <c r="BG26" s="25">
        <f t="shared" si="10"/>
        <v>124.55172413793103</v>
      </c>
      <c r="BH26" s="25">
        <f t="shared" si="26"/>
        <v>2491.0344827586205</v>
      </c>
      <c r="BI26" s="26">
        <f t="shared" si="11"/>
        <v>1</v>
      </c>
      <c r="BJ26" s="37">
        <f t="shared" si="27"/>
        <v>2491.0344827586205</v>
      </c>
      <c r="BK26" s="38"/>
      <c r="BL26" s="43">
        <v>195.93</v>
      </c>
      <c r="BM26" s="31"/>
      <c r="BN26" s="406">
        <v>91.983000000000004</v>
      </c>
      <c r="BO26" s="42"/>
      <c r="BP26" s="40"/>
      <c r="BQ26" s="412"/>
      <c r="BR26" s="33"/>
      <c r="BS26" s="34">
        <v>2.25</v>
      </c>
      <c r="BT26" s="35"/>
      <c r="BU26" s="35"/>
      <c r="BV26" s="235"/>
      <c r="BW26" s="235"/>
      <c r="BX26" s="36"/>
      <c r="BY26" s="33"/>
      <c r="BZ26" s="34">
        <v>37.479999999999997</v>
      </c>
      <c r="CA26" s="35"/>
      <c r="CB26" s="405">
        <v>46.27</v>
      </c>
      <c r="CC26" s="404"/>
      <c r="CD26" s="235"/>
      <c r="CE26" s="413"/>
      <c r="CF26" s="30">
        <v>35.390999999999998</v>
      </c>
      <c r="CG26" s="30"/>
      <c r="CH26" s="43">
        <v>149.68700000000001</v>
      </c>
      <c r="CI26" s="32"/>
      <c r="CJ26" s="33">
        <v>3.92</v>
      </c>
      <c r="CK26" s="33"/>
      <c r="CL26" s="35">
        <v>3.92</v>
      </c>
      <c r="CM26" s="36"/>
      <c r="CN26" s="286"/>
      <c r="CO26" s="249">
        <f t="shared" si="30"/>
        <v>0</v>
      </c>
      <c r="CP26" s="12">
        <f t="shared" si="30"/>
        <v>191.52157500000001</v>
      </c>
      <c r="CQ26" s="12">
        <f t="shared" si="30"/>
        <v>0</v>
      </c>
      <c r="CR26" s="12">
        <f t="shared" si="30"/>
        <v>91.983000000000004</v>
      </c>
      <c r="CS26" s="11">
        <f t="shared" si="30"/>
        <v>0</v>
      </c>
      <c r="CT26" s="11">
        <f t="shared" si="30"/>
        <v>0</v>
      </c>
      <c r="CU26" s="272">
        <f t="shared" si="30"/>
        <v>0</v>
      </c>
      <c r="CV26" s="249">
        <f t="shared" si="13"/>
        <v>34.003672799999997</v>
      </c>
      <c r="CW26" s="12">
        <f t="shared" si="13"/>
        <v>0</v>
      </c>
      <c r="CX26" s="249">
        <f t="shared" si="13"/>
        <v>143.81926960000001</v>
      </c>
      <c r="CY26" s="274">
        <f t="shared" si="13"/>
        <v>0</v>
      </c>
      <c r="CZ26" s="13"/>
      <c r="DA26" s="240">
        <f>(D26+'[2]февраль 20'!D26)/(AY26+'[2]февраль 20'!AX26)</f>
        <v>2.4499566247778226</v>
      </c>
      <c r="DB26" s="241">
        <f>(T26+'[2]февраль 20'!R26)/(AY26+'[2]февраль 20'!AX26)</f>
        <v>1.5746451164676163</v>
      </c>
      <c r="DD26" s="292">
        <f t="shared" si="14"/>
        <v>0</v>
      </c>
      <c r="DE26" s="291">
        <v>0.3</v>
      </c>
      <c r="DF26" s="291">
        <v>8.43</v>
      </c>
      <c r="DG26" s="145">
        <f t="shared" si="15"/>
        <v>0</v>
      </c>
      <c r="DH26" s="293">
        <f t="shared" si="28"/>
        <v>0</v>
      </c>
      <c r="DJ26" s="322"/>
    </row>
    <row r="27" spans="1:114" s="76" customFormat="1" ht="16.5" customHeight="1" thickBot="1">
      <c r="A27" s="144">
        <v>21</v>
      </c>
      <c r="B27" s="122">
        <f>'[1]февраль 20'!K26</f>
        <v>282.97899999999998</v>
      </c>
      <c r="C27" s="123">
        <f t="shared" si="16"/>
        <v>1.571716558472537</v>
      </c>
      <c r="D27" s="145">
        <f t="shared" si="17"/>
        <v>278.53137219999996</v>
      </c>
      <c r="E27" s="125">
        <f t="shared" si="18"/>
        <v>40.129525830538661</v>
      </c>
      <c r="F27" s="146">
        <f t="shared" si="19"/>
        <v>2.1040290995618673</v>
      </c>
      <c r="G27" s="127"/>
      <c r="H27" s="126">
        <f t="shared" si="20"/>
        <v>1.4208367744372263</v>
      </c>
      <c r="I27" s="230">
        <f>'[1]июль 20'!AI26</f>
        <v>0</v>
      </c>
      <c r="J27" s="247">
        <f>'[1]февраль 20'!AA26</f>
        <v>0</v>
      </c>
      <c r="K27" s="276">
        <f>'[1]сентябрь 20'!AM26</f>
        <v>0</v>
      </c>
      <c r="L27" s="122">
        <f>'[1]февраль 20'!AE26</f>
        <v>90.441000000000003</v>
      </c>
      <c r="M27" s="128">
        <f t="shared" si="21"/>
        <v>0.68319232512464123</v>
      </c>
      <c r="N27" s="400">
        <f>'[1]февраль 20'!W26</f>
        <v>0</v>
      </c>
      <c r="O27" s="403">
        <f>'[1]февраль 20'!AU26</f>
        <v>9.0250000000000004</v>
      </c>
      <c r="P27" s="401">
        <f t="shared" si="0"/>
        <v>177.96199999999999</v>
      </c>
      <c r="Q27" s="122">
        <f>'[1]февраль 20'!S26</f>
        <v>177.96199999999999</v>
      </c>
      <c r="R27" s="123">
        <f t="shared" si="22"/>
        <v>4.5999999999999996</v>
      </c>
      <c r="S27" s="129">
        <v>1.84</v>
      </c>
      <c r="T27" s="125">
        <f t="shared" si="1"/>
        <v>169.77574799999999</v>
      </c>
      <c r="U27" s="147">
        <f t="shared" si="2"/>
        <v>1.2824878984740897</v>
      </c>
      <c r="V27" s="130">
        <v>132.38</v>
      </c>
      <c r="W27" s="130">
        <v>99.93</v>
      </c>
      <c r="X27" s="129">
        <v>0.51</v>
      </c>
      <c r="Y27" s="150">
        <v>495</v>
      </c>
      <c r="Z27" s="150">
        <v>1187</v>
      </c>
      <c r="AA27" s="148" t="s">
        <v>134</v>
      </c>
      <c r="AB27" s="149">
        <v>76.17</v>
      </c>
      <c r="AC27" s="150">
        <v>113</v>
      </c>
      <c r="AD27" s="151">
        <v>4</v>
      </c>
      <c r="AE27" s="149">
        <v>1.2</v>
      </c>
      <c r="AF27" s="134">
        <f t="shared" si="3"/>
        <v>9.0648134159238563</v>
      </c>
      <c r="AG27" s="152"/>
      <c r="AH27" s="129">
        <v>96.8</v>
      </c>
      <c r="AI27" s="134">
        <f t="shared" si="4"/>
        <v>731.22828221785778</v>
      </c>
      <c r="AJ27" s="136">
        <v>9.19</v>
      </c>
      <c r="AK27" s="154"/>
      <c r="AL27" s="155">
        <v>5.9</v>
      </c>
      <c r="AM27" s="156">
        <v>36.25</v>
      </c>
      <c r="AN27" s="126">
        <f t="shared" si="23"/>
        <v>0.20929561200923788</v>
      </c>
      <c r="AO27" s="157" t="s">
        <v>183</v>
      </c>
      <c r="AP27" s="156">
        <v>9.77</v>
      </c>
      <c r="AQ27" s="156">
        <v>6.24</v>
      </c>
      <c r="AR27" s="151"/>
      <c r="AS27" s="149">
        <v>11.6</v>
      </c>
      <c r="AT27" s="149">
        <v>173.2</v>
      </c>
      <c r="AU27" s="149">
        <v>1.33</v>
      </c>
      <c r="AV27" s="164"/>
      <c r="AW27" s="149"/>
      <c r="AX27" s="158">
        <f t="shared" si="5"/>
        <v>0</v>
      </c>
      <c r="AY27" s="125">
        <f t="shared" si="6"/>
        <v>132.38</v>
      </c>
      <c r="AZ27" s="125">
        <f t="shared" si="29"/>
        <v>128.10569442838698</v>
      </c>
      <c r="BA27" s="159">
        <f t="shared" si="7"/>
        <v>8.6983661971830983</v>
      </c>
      <c r="BB27" s="160">
        <f t="shared" si="8"/>
        <v>5.2952000000000004</v>
      </c>
      <c r="BC27" s="161">
        <f t="shared" si="9"/>
        <v>0.90212804759123422</v>
      </c>
      <c r="BD27" s="160">
        <f t="shared" si="24"/>
        <v>13.9935661971831</v>
      </c>
      <c r="BE27" s="162">
        <v>0.89</v>
      </c>
      <c r="BF27" s="25">
        <f t="shared" si="25"/>
        <v>2732.0200000000004</v>
      </c>
      <c r="BG27" s="25">
        <f t="shared" si="10"/>
        <v>124.55172413793103</v>
      </c>
      <c r="BH27" s="25">
        <f t="shared" si="26"/>
        <v>2615.5862068965516</v>
      </c>
      <c r="BI27" s="26">
        <f t="shared" si="11"/>
        <v>1</v>
      </c>
      <c r="BJ27" s="37">
        <f t="shared" si="27"/>
        <v>2615.5862068965516</v>
      </c>
      <c r="BK27" s="38"/>
      <c r="BL27" s="31">
        <v>192.53800000000001</v>
      </c>
      <c r="BM27" s="31"/>
      <c r="BN27" s="234">
        <v>90.441000000000003</v>
      </c>
      <c r="BO27" s="42"/>
      <c r="BP27" s="40"/>
      <c r="BQ27" s="411"/>
      <c r="BR27" s="33"/>
      <c r="BS27" s="34">
        <v>2.31</v>
      </c>
      <c r="BT27" s="35"/>
      <c r="BU27" s="35"/>
      <c r="BV27" s="235"/>
      <c r="BW27" s="235"/>
      <c r="BX27" s="36"/>
      <c r="BY27" s="33"/>
      <c r="BZ27" s="34">
        <v>37.17</v>
      </c>
      <c r="CA27" s="35"/>
      <c r="CB27" s="405">
        <v>46.43</v>
      </c>
      <c r="CC27" s="404"/>
      <c r="CD27" s="235"/>
      <c r="CE27" s="413"/>
      <c r="CF27" s="30">
        <v>88.653999999999996</v>
      </c>
      <c r="CG27" s="30"/>
      <c r="CH27" s="31">
        <v>89.308000000000007</v>
      </c>
      <c r="CI27" s="32"/>
      <c r="CJ27" s="33">
        <v>4.5999999999999996</v>
      </c>
      <c r="CK27" s="33"/>
      <c r="CL27" s="35">
        <v>4.5999999999999996</v>
      </c>
      <c r="CM27" s="36"/>
      <c r="CN27" s="286"/>
      <c r="CO27" s="249">
        <f t="shared" si="30"/>
        <v>0</v>
      </c>
      <c r="CP27" s="12">
        <f t="shared" si="30"/>
        <v>188.09037220000002</v>
      </c>
      <c r="CQ27" s="12">
        <f t="shared" si="30"/>
        <v>0</v>
      </c>
      <c r="CR27" s="12">
        <f t="shared" si="30"/>
        <v>90.441000000000003</v>
      </c>
      <c r="CS27" s="11">
        <f t="shared" si="30"/>
        <v>0</v>
      </c>
      <c r="CT27" s="11">
        <f t="shared" si="30"/>
        <v>0</v>
      </c>
      <c r="CU27" s="272">
        <f t="shared" si="30"/>
        <v>0</v>
      </c>
      <c r="CV27" s="249">
        <f t="shared" si="13"/>
        <v>84.575916000000007</v>
      </c>
      <c r="CW27" s="11">
        <f t="shared" si="13"/>
        <v>0</v>
      </c>
      <c r="CX27" s="249">
        <f t="shared" si="13"/>
        <v>85.199832000000015</v>
      </c>
      <c r="CY27" s="272">
        <f t="shared" si="13"/>
        <v>0</v>
      </c>
      <c r="CZ27" s="13"/>
      <c r="DA27" s="240">
        <f>(D27+'[2]февраль 20'!D27)/(AY27+'[2]февраль 20'!AX27)</f>
        <v>1.9231728586193764</v>
      </c>
      <c r="DB27" s="241">
        <f>(T27+'[2]февраль 20'!R27)/(AY27+'[2]февраль 20'!AX27)</f>
        <v>1.2056675950606541</v>
      </c>
      <c r="DD27" s="292">
        <f t="shared" si="14"/>
        <v>0</v>
      </c>
      <c r="DE27" s="291">
        <v>0.21</v>
      </c>
      <c r="DF27" s="291">
        <v>17</v>
      </c>
      <c r="DG27" s="145">
        <f t="shared" si="15"/>
        <v>0</v>
      </c>
      <c r="DH27" s="293">
        <f t="shared" si="28"/>
        <v>0</v>
      </c>
      <c r="DJ27" s="322"/>
    </row>
    <row r="28" spans="1:114" s="76" customFormat="1" ht="16.5" customHeight="1" thickBot="1">
      <c r="A28" s="144">
        <v>22</v>
      </c>
      <c r="B28" s="122">
        <f>'[1]февраль 20'!K27</f>
        <v>290.06700000000001</v>
      </c>
      <c r="C28" s="123">
        <f t="shared" si="16"/>
        <v>1.6050883416589958</v>
      </c>
      <c r="D28" s="145">
        <f t="shared" si="17"/>
        <v>285.41116840000001</v>
      </c>
      <c r="E28" s="125">
        <f t="shared" si="18"/>
        <v>40.3361663684597</v>
      </c>
      <c r="F28" s="146">
        <f t="shared" si="19"/>
        <v>2.2297747531250001</v>
      </c>
      <c r="G28" s="127"/>
      <c r="H28" s="126">
        <f t="shared" si="20"/>
        <v>1.5048841281250001</v>
      </c>
      <c r="I28" s="230">
        <f>'[1]июль 20'!AI27</f>
        <v>0</v>
      </c>
      <c r="J28" s="247">
        <f>'[1]февраль 20'!AA27</f>
        <v>0</v>
      </c>
      <c r="K28" s="276">
        <f>'[1]сентябрь 20'!AM27</f>
        <v>0</v>
      </c>
      <c r="L28" s="122">
        <f>'[1]февраль 20'!AE27</f>
        <v>92.786000000000001</v>
      </c>
      <c r="M28" s="128">
        <f t="shared" si="21"/>
        <v>0.72489062500000001</v>
      </c>
      <c r="N28" s="400">
        <f>'[1]февраль 20'!W27</f>
        <v>0</v>
      </c>
      <c r="O28" s="403">
        <f>'[1]февраль 20'!AU27</f>
        <v>8.5169999999999995</v>
      </c>
      <c r="P28" s="401">
        <f t="shared" si="0"/>
        <v>184.37900000000002</v>
      </c>
      <c r="Q28" s="122">
        <f>'[1]февраль 20'!S27</f>
        <v>184.37899999999999</v>
      </c>
      <c r="R28" s="123">
        <f t="shared" si="22"/>
        <v>4.3499999999999996</v>
      </c>
      <c r="S28" s="129"/>
      <c r="T28" s="125">
        <f t="shared" si="1"/>
        <v>176.35851349999999</v>
      </c>
      <c r="U28" s="147">
        <f t="shared" si="2"/>
        <v>1.3778008867187499</v>
      </c>
      <c r="V28" s="130">
        <v>66.989999999999995</v>
      </c>
      <c r="W28" s="130">
        <v>65.7</v>
      </c>
      <c r="X28" s="129">
        <v>0.86</v>
      </c>
      <c r="Y28" s="150">
        <v>473</v>
      </c>
      <c r="Z28" s="150">
        <v>1199</v>
      </c>
      <c r="AA28" s="148" t="s">
        <v>122</v>
      </c>
      <c r="AB28" s="149">
        <v>75.62</v>
      </c>
      <c r="AC28" s="150">
        <v>116</v>
      </c>
      <c r="AD28" s="151">
        <v>4</v>
      </c>
      <c r="AE28" s="149">
        <v>2.5</v>
      </c>
      <c r="AF28" s="134">
        <f t="shared" si="3"/>
        <v>19.53125</v>
      </c>
      <c r="AG28" s="152"/>
      <c r="AH28" s="129">
        <v>75.5</v>
      </c>
      <c r="AI28" s="134">
        <f t="shared" si="4"/>
        <v>589.84375</v>
      </c>
      <c r="AJ28" s="153">
        <v>11.95</v>
      </c>
      <c r="AK28" s="154"/>
      <c r="AL28" s="155">
        <v>5.66</v>
      </c>
      <c r="AM28" s="156">
        <v>35.119999999999997</v>
      </c>
      <c r="AN28" s="126">
        <f t="shared" si="23"/>
        <v>0.20998505231689088</v>
      </c>
      <c r="AO28" s="157" t="s">
        <v>184</v>
      </c>
      <c r="AP28" s="156">
        <v>11.07</v>
      </c>
      <c r="AQ28" s="156">
        <v>6.29</v>
      </c>
      <c r="AR28" s="151"/>
      <c r="AS28" s="149">
        <v>8.9</v>
      </c>
      <c r="AT28" s="149">
        <v>167.25</v>
      </c>
      <c r="AU28" s="149">
        <v>1.53</v>
      </c>
      <c r="AV28" s="164"/>
      <c r="AW28" s="149"/>
      <c r="AX28" s="158">
        <f t="shared" si="5"/>
        <v>0</v>
      </c>
      <c r="AY28" s="125">
        <f t="shared" si="6"/>
        <v>128</v>
      </c>
      <c r="AZ28" s="125">
        <f t="shared" si="29"/>
        <v>132.90556123717286</v>
      </c>
      <c r="BA28" s="159">
        <f t="shared" si="7"/>
        <v>5.2052464788732395</v>
      </c>
      <c r="BB28" s="160">
        <f t="shared" si="8"/>
        <v>5.12</v>
      </c>
      <c r="BC28" s="161">
        <f t="shared" si="9"/>
        <v>0.84077745851876284</v>
      </c>
      <c r="BD28" s="160">
        <f t="shared" si="24"/>
        <v>10.32524647887324</v>
      </c>
      <c r="BE28" s="162">
        <v>0.88800000000000001</v>
      </c>
      <c r="BF28" s="25">
        <f t="shared" si="25"/>
        <v>2860.0200000000004</v>
      </c>
      <c r="BG28" s="25">
        <f t="shared" si="10"/>
        <v>124.55172413793103</v>
      </c>
      <c r="BH28" s="25">
        <f t="shared" si="26"/>
        <v>2740.1379310344828</v>
      </c>
      <c r="BI28" s="26">
        <f t="shared" si="11"/>
        <v>1</v>
      </c>
      <c r="BJ28" s="37">
        <f t="shared" si="27"/>
        <v>2740.1379310344828</v>
      </c>
      <c r="BK28" s="38"/>
      <c r="BL28" s="31">
        <v>197.28100000000001</v>
      </c>
      <c r="BM28" s="31"/>
      <c r="BN28" s="234">
        <v>92.786000000000001</v>
      </c>
      <c r="BO28" s="42"/>
      <c r="BP28" s="40"/>
      <c r="BQ28" s="411"/>
      <c r="BR28" s="33"/>
      <c r="BS28" s="34">
        <v>2.36</v>
      </c>
      <c r="BT28" s="35"/>
      <c r="BU28" s="35"/>
      <c r="BV28" s="235"/>
      <c r="BW28" s="235"/>
      <c r="BX28" s="36"/>
      <c r="BY28" s="33"/>
      <c r="BZ28" s="34">
        <v>37.630000000000003</v>
      </c>
      <c r="CA28" s="35"/>
      <c r="CB28" s="405">
        <v>46.09</v>
      </c>
      <c r="CC28" s="404"/>
      <c r="CD28" s="235"/>
      <c r="CE28" s="36"/>
      <c r="CF28" s="30">
        <v>92.674000000000007</v>
      </c>
      <c r="CG28" s="30"/>
      <c r="CH28" s="31">
        <v>91.704999999999998</v>
      </c>
      <c r="CI28" s="32"/>
      <c r="CJ28" s="33">
        <v>4.3499999999999996</v>
      </c>
      <c r="CK28" s="33"/>
      <c r="CL28" s="35">
        <v>4.3499999999999996</v>
      </c>
      <c r="CM28" s="36"/>
      <c r="CN28" s="286"/>
      <c r="CO28" s="249">
        <f t="shared" si="30"/>
        <v>0</v>
      </c>
      <c r="CP28" s="12">
        <f t="shared" si="30"/>
        <v>192.62516840000001</v>
      </c>
      <c r="CQ28" s="12">
        <f t="shared" si="30"/>
        <v>0</v>
      </c>
      <c r="CR28" s="12">
        <f t="shared" si="30"/>
        <v>92.786000000000001</v>
      </c>
      <c r="CS28" s="11">
        <f t="shared" si="30"/>
        <v>0</v>
      </c>
      <c r="CT28" s="11">
        <f t="shared" si="30"/>
        <v>0</v>
      </c>
      <c r="CU28" s="272">
        <f t="shared" si="30"/>
        <v>0</v>
      </c>
      <c r="CV28" s="249">
        <f t="shared" si="13"/>
        <v>88.64268100000001</v>
      </c>
      <c r="CW28" s="12">
        <f t="shared" si="13"/>
        <v>0</v>
      </c>
      <c r="CX28" s="249">
        <f t="shared" si="13"/>
        <v>87.715832500000005</v>
      </c>
      <c r="CY28" s="272">
        <f t="shared" si="13"/>
        <v>0</v>
      </c>
      <c r="CZ28" s="13"/>
      <c r="DA28" s="240">
        <f>(D28+'[2]февраль 20'!D28)/(AY28+'[2]февраль 20'!AX28)</f>
        <v>2.1368296602010077</v>
      </c>
      <c r="DB28" s="241">
        <f>(T28+'[2]февраль 20'!R28)/(AY28+'[2]февраль 20'!AX28)</f>
        <v>1.3433138523690211</v>
      </c>
      <c r="DD28" s="292">
        <f t="shared" si="14"/>
        <v>0</v>
      </c>
      <c r="DE28" s="305">
        <v>0.92</v>
      </c>
      <c r="DF28" s="291">
        <v>13.33</v>
      </c>
      <c r="DG28" s="145">
        <f t="shared" si="15"/>
        <v>0</v>
      </c>
      <c r="DH28" s="293">
        <f t="shared" si="28"/>
        <v>0</v>
      </c>
      <c r="DJ28" s="322"/>
    </row>
    <row r="29" spans="1:114" s="76" customFormat="1" ht="16.5" customHeight="1" thickBot="1">
      <c r="A29" s="144">
        <v>23</v>
      </c>
      <c r="B29" s="122">
        <f>'[1]февраль 20'!K28</f>
        <v>252.517</v>
      </c>
      <c r="C29" s="123">
        <f t="shared" si="16"/>
        <v>0.94534554109228286</v>
      </c>
      <c r="D29" s="145">
        <f t="shared" si="17"/>
        <v>250.12984180000001</v>
      </c>
      <c r="E29" s="125">
        <f t="shared" si="18"/>
        <v>39.968329894620958</v>
      </c>
      <c r="F29" s="146">
        <f t="shared" si="19"/>
        <v>2.081293408221002</v>
      </c>
      <c r="G29" s="127"/>
      <c r="H29" s="126">
        <f t="shared" si="20"/>
        <v>1.4091433000499252</v>
      </c>
      <c r="I29" s="230">
        <f>'[1]июль 20'!AI28</f>
        <v>0</v>
      </c>
      <c r="J29" s="247">
        <f>'[1]февраль 20'!AA28</f>
        <v>0</v>
      </c>
      <c r="K29" s="276">
        <f>'[1]сентябрь 20'!AM28</f>
        <v>0</v>
      </c>
      <c r="L29" s="122">
        <f>'[1]февраль 20'!AE28</f>
        <v>80.778999999999996</v>
      </c>
      <c r="M29" s="128">
        <f t="shared" si="21"/>
        <v>0.67215010817107668</v>
      </c>
      <c r="N29" s="400">
        <f>'[1]февраль 20'!W28</f>
        <v>0</v>
      </c>
      <c r="O29" s="403">
        <f>'[1]февраль 20'!AU28</f>
        <v>7.1310000000000002</v>
      </c>
      <c r="P29" s="401">
        <f t="shared" si="0"/>
        <v>159.90800000000002</v>
      </c>
      <c r="Q29" s="122">
        <f>'[1]февраль 20'!S28</f>
        <v>159.90799999999999</v>
      </c>
      <c r="R29" s="123">
        <f t="shared" si="22"/>
        <v>5.16</v>
      </c>
      <c r="S29" s="129">
        <v>10.31</v>
      </c>
      <c r="T29" s="125">
        <f t="shared" si="1"/>
        <v>151.65674719999998</v>
      </c>
      <c r="U29" s="147">
        <f t="shared" si="2"/>
        <v>1.2619133566317191</v>
      </c>
      <c r="V29" s="130">
        <v>120.18</v>
      </c>
      <c r="W29" s="130">
        <v>57.01</v>
      </c>
      <c r="X29" s="129">
        <v>1.02</v>
      </c>
      <c r="Y29" s="150">
        <v>526</v>
      </c>
      <c r="Z29" s="150">
        <v>1194</v>
      </c>
      <c r="AA29" s="148" t="s">
        <v>167</v>
      </c>
      <c r="AB29" s="149">
        <v>76.44</v>
      </c>
      <c r="AC29" s="150">
        <v>101</v>
      </c>
      <c r="AD29" s="151">
        <v>4</v>
      </c>
      <c r="AE29" s="149">
        <v>2.5</v>
      </c>
      <c r="AF29" s="134">
        <f t="shared" si="3"/>
        <v>20.802130138126145</v>
      </c>
      <c r="AG29" s="152"/>
      <c r="AH29" s="129">
        <v>86.05</v>
      </c>
      <c r="AI29" s="134">
        <f t="shared" si="4"/>
        <v>716.00931935430185</v>
      </c>
      <c r="AJ29" s="136">
        <v>11.4</v>
      </c>
      <c r="AK29" s="154"/>
      <c r="AL29" s="155">
        <v>4.82</v>
      </c>
      <c r="AM29" s="156">
        <v>36.340000000000003</v>
      </c>
      <c r="AN29" s="126">
        <f t="shared" si="23"/>
        <v>0.2271959987496093</v>
      </c>
      <c r="AO29" s="157" t="s">
        <v>185</v>
      </c>
      <c r="AP29" s="156">
        <v>10.34</v>
      </c>
      <c r="AQ29" s="156">
        <v>6.58</v>
      </c>
      <c r="AR29" s="149"/>
      <c r="AS29" s="149">
        <v>10.46</v>
      </c>
      <c r="AT29" s="149">
        <v>159.94999999999999</v>
      </c>
      <c r="AU29" s="149">
        <v>1.39</v>
      </c>
      <c r="AV29" s="164"/>
      <c r="AW29" s="149"/>
      <c r="AX29" s="158">
        <f t="shared" si="5"/>
        <v>0</v>
      </c>
      <c r="AY29" s="125">
        <f t="shared" si="6"/>
        <v>120.17999999999999</v>
      </c>
      <c r="AZ29" s="125">
        <f t="shared" si="29"/>
        <v>114.17606600327942</v>
      </c>
      <c r="BA29" s="159">
        <f t="shared" si="7"/>
        <v>6.9724739436619716</v>
      </c>
      <c r="BB29" s="160">
        <f t="shared" si="8"/>
        <v>4.8071999999999999</v>
      </c>
      <c r="BC29" s="161">
        <f t="shared" si="9"/>
        <v>0.91890659463592406</v>
      </c>
      <c r="BD29" s="160">
        <f t="shared" si="24"/>
        <v>11.779673943661972</v>
      </c>
      <c r="BE29" s="162">
        <v>0.88900000000000001</v>
      </c>
      <c r="BF29" s="25">
        <f t="shared" si="25"/>
        <v>2980.2000000000003</v>
      </c>
      <c r="BG29" s="25">
        <f t="shared" si="10"/>
        <v>124.55172413793103</v>
      </c>
      <c r="BH29" s="25">
        <f t="shared" si="26"/>
        <v>2864.6896551724139</v>
      </c>
      <c r="BI29" s="26">
        <f t="shared" si="11"/>
        <v>1</v>
      </c>
      <c r="BJ29" s="37">
        <f t="shared" si="27"/>
        <v>2864.6896551724139</v>
      </c>
      <c r="BK29" s="328"/>
      <c r="BL29" s="31">
        <v>171.738</v>
      </c>
      <c r="BM29" s="31"/>
      <c r="BN29" s="31">
        <v>80.778999999999996</v>
      </c>
      <c r="BO29" s="40"/>
      <c r="BP29" s="40"/>
      <c r="BQ29" s="32"/>
      <c r="BR29" s="33"/>
      <c r="BS29" s="34">
        <v>1.39</v>
      </c>
      <c r="BT29" s="35"/>
      <c r="BU29" s="35"/>
      <c r="BV29" s="235"/>
      <c r="BW29" s="235"/>
      <c r="BX29" s="36"/>
      <c r="BY29" s="33"/>
      <c r="BZ29" s="34">
        <v>37.31</v>
      </c>
      <c r="CA29" s="35"/>
      <c r="CB29" s="35">
        <v>45.62</v>
      </c>
      <c r="CC29" s="235"/>
      <c r="CD29" s="235"/>
      <c r="CE29" s="36"/>
      <c r="CF29" s="30">
        <v>80.031999999999996</v>
      </c>
      <c r="CG29" s="30"/>
      <c r="CH29" s="31">
        <v>79.876000000000005</v>
      </c>
      <c r="CI29" s="32"/>
      <c r="CJ29" s="33">
        <v>5.16</v>
      </c>
      <c r="CK29" s="33"/>
      <c r="CL29" s="35">
        <v>5.16</v>
      </c>
      <c r="CM29" s="36"/>
      <c r="CN29" s="286"/>
      <c r="CO29" s="249">
        <f t="shared" si="30"/>
        <v>0</v>
      </c>
      <c r="CP29" s="12">
        <f t="shared" si="30"/>
        <v>169.35084179999998</v>
      </c>
      <c r="CQ29" s="12">
        <f t="shared" si="30"/>
        <v>0</v>
      </c>
      <c r="CR29" s="12">
        <f t="shared" si="30"/>
        <v>80.778999999999996</v>
      </c>
      <c r="CS29" s="11">
        <f t="shared" si="30"/>
        <v>0</v>
      </c>
      <c r="CT29" s="11">
        <f t="shared" si="30"/>
        <v>0</v>
      </c>
      <c r="CU29" s="272">
        <f t="shared" si="30"/>
        <v>0</v>
      </c>
      <c r="CV29" s="249">
        <f t="shared" si="13"/>
        <v>75.902348799999999</v>
      </c>
      <c r="CW29" s="12">
        <f t="shared" si="13"/>
        <v>0</v>
      </c>
      <c r="CX29" s="249">
        <f t="shared" si="13"/>
        <v>75.754398399999999</v>
      </c>
      <c r="CY29" s="272">
        <f t="shared" si="13"/>
        <v>0</v>
      </c>
      <c r="CZ29" s="13"/>
      <c r="DA29" s="240">
        <f>(D29+'[2]февраль 20'!D29)/(AY29+'[2]февраль 20'!AX29)</f>
        <v>2.0376578784031598</v>
      </c>
      <c r="DB29" s="241">
        <f>(T29+'[2]февраль 20'!R29)/(AY29+'[2]февраль 20'!AX29)</f>
        <v>1.2716229290449994</v>
      </c>
      <c r="DD29" s="292">
        <f t="shared" si="14"/>
        <v>0</v>
      </c>
      <c r="DE29" s="291">
        <v>0.15</v>
      </c>
      <c r="DF29" s="291">
        <v>9.1999999999999993</v>
      </c>
      <c r="DG29" s="145">
        <f t="shared" si="15"/>
        <v>0</v>
      </c>
      <c r="DH29" s="293">
        <f t="shared" si="28"/>
        <v>0</v>
      </c>
      <c r="DJ29" s="322"/>
    </row>
    <row r="30" spans="1:114" s="76" customFormat="1" ht="16.5" customHeight="1" thickBot="1">
      <c r="A30" s="144">
        <v>24</v>
      </c>
      <c r="B30" s="122">
        <f>'[1]февраль 20'!K29</f>
        <v>293.52100000000002</v>
      </c>
      <c r="C30" s="123">
        <f t="shared" si="16"/>
        <v>1.6003035557932823</v>
      </c>
      <c r="D30" s="145">
        <f t="shared" si="17"/>
        <v>288.82377299999996</v>
      </c>
      <c r="E30" s="125">
        <f t="shared" si="18"/>
        <v>40.342342455906049</v>
      </c>
      <c r="F30" s="146">
        <f t="shared" si="19"/>
        <v>2.3445391103173958</v>
      </c>
      <c r="G30" s="127"/>
      <c r="H30" s="126">
        <f t="shared" si="20"/>
        <v>1.5844205942040752</v>
      </c>
      <c r="I30" s="230">
        <f>'[1]июль 20'!AI29</f>
        <v>0</v>
      </c>
      <c r="J30" s="247">
        <f>'[1]февраль 20'!AA29</f>
        <v>0</v>
      </c>
      <c r="K30" s="276">
        <f>'[1]сентябрь 20'!AM29</f>
        <v>0</v>
      </c>
      <c r="L30" s="122">
        <f>'[1]февраль 20'!AE29</f>
        <v>93.638999999999996</v>
      </c>
      <c r="M30" s="128">
        <f t="shared" si="21"/>
        <v>0.76011851611332093</v>
      </c>
      <c r="N30" s="400">
        <f>'[1]февраль 20'!W29</f>
        <v>0</v>
      </c>
      <c r="O30" s="403">
        <f>'[1]февраль 20'!AU29</f>
        <v>8.5649999999999995</v>
      </c>
      <c r="P30" s="401">
        <f t="shared" si="0"/>
        <v>183.405</v>
      </c>
      <c r="Q30" s="122">
        <f>'[1]февраль 20'!S29</f>
        <v>183.405</v>
      </c>
      <c r="R30" s="123">
        <f t="shared" si="22"/>
        <v>5.57</v>
      </c>
      <c r="S30" s="170">
        <v>14.95</v>
      </c>
      <c r="T30" s="125">
        <f t="shared" si="1"/>
        <v>173.18934150000001</v>
      </c>
      <c r="U30" s="147">
        <f t="shared" si="2"/>
        <v>1.4058717550125825</v>
      </c>
      <c r="V30" s="169">
        <v>123.19</v>
      </c>
      <c r="W30" s="169">
        <v>95.47</v>
      </c>
      <c r="X30" s="170">
        <v>1.01</v>
      </c>
      <c r="Y30" s="166">
        <v>508</v>
      </c>
      <c r="Z30" s="166">
        <v>1197</v>
      </c>
      <c r="AA30" s="148" t="s">
        <v>159</v>
      </c>
      <c r="AB30" s="164">
        <v>76.3</v>
      </c>
      <c r="AC30" s="166">
        <v>117</v>
      </c>
      <c r="AD30" s="171">
        <v>4</v>
      </c>
      <c r="AE30" s="164">
        <v>2.4500000000000002</v>
      </c>
      <c r="AF30" s="172">
        <f t="shared" si="3"/>
        <v>19.887977920285742</v>
      </c>
      <c r="AG30" s="173"/>
      <c r="AH30" s="170">
        <v>71.650000000000006</v>
      </c>
      <c r="AI30" s="134">
        <f t="shared" si="4"/>
        <v>581.62188489325445</v>
      </c>
      <c r="AJ30" s="174">
        <v>12.1</v>
      </c>
      <c r="AK30" s="175"/>
      <c r="AL30" s="176">
        <v>5.43</v>
      </c>
      <c r="AM30" s="177">
        <v>36.96</v>
      </c>
      <c r="AN30" s="126">
        <f t="shared" si="23"/>
        <v>0.22468085106382979</v>
      </c>
      <c r="AO30" s="178" t="s">
        <v>186</v>
      </c>
      <c r="AP30" s="177">
        <v>11.75</v>
      </c>
      <c r="AQ30" s="177">
        <v>6.45</v>
      </c>
      <c r="AR30" s="171"/>
      <c r="AS30" s="164">
        <v>8.69</v>
      </c>
      <c r="AT30" s="149">
        <v>164.5</v>
      </c>
      <c r="AU30" s="164">
        <v>1.08</v>
      </c>
      <c r="AV30" s="164"/>
      <c r="AW30" s="164"/>
      <c r="AX30" s="179">
        <f t="shared" si="5"/>
        <v>0</v>
      </c>
      <c r="AY30" s="125">
        <f t="shared" si="6"/>
        <v>123.18999999999998</v>
      </c>
      <c r="AZ30" s="125">
        <f t="shared" si="29"/>
        <v>133.31645425533046</v>
      </c>
      <c r="BA30" s="159">
        <f t="shared" si="7"/>
        <v>4.8232559859154929</v>
      </c>
      <c r="BB30" s="159">
        <f t="shared" si="8"/>
        <v>4.9275999999999991</v>
      </c>
      <c r="BC30" s="180">
        <f t="shared" si="9"/>
        <v>0.80668864620437464</v>
      </c>
      <c r="BD30" s="159">
        <f t="shared" si="24"/>
        <v>9.7508559859154929</v>
      </c>
      <c r="BE30" s="167">
        <v>0.88500000000000001</v>
      </c>
      <c r="BF30" s="25">
        <f t="shared" si="25"/>
        <v>3103.3900000000003</v>
      </c>
      <c r="BG30" s="25">
        <f t="shared" si="10"/>
        <v>124.55172413793103</v>
      </c>
      <c r="BH30" s="25">
        <f t="shared" si="26"/>
        <v>2989.2413793103451</v>
      </c>
      <c r="BI30" s="26">
        <f t="shared" si="11"/>
        <v>1</v>
      </c>
      <c r="BJ30" s="37">
        <f t="shared" si="27"/>
        <v>2989.2413793103451</v>
      </c>
      <c r="BK30" s="38"/>
      <c r="BL30" s="31">
        <v>199.88200000000001</v>
      </c>
      <c r="BM30" s="31"/>
      <c r="BN30" s="31">
        <v>93.638999999999996</v>
      </c>
      <c r="BO30" s="40"/>
      <c r="BP30" s="40"/>
      <c r="BQ30" s="44"/>
      <c r="BR30" s="45"/>
      <c r="BS30" s="46">
        <v>2.35</v>
      </c>
      <c r="BT30" s="47"/>
      <c r="BU30" s="47"/>
      <c r="BV30" s="283"/>
      <c r="BW30" s="283"/>
      <c r="BX30" s="48"/>
      <c r="BY30" s="45"/>
      <c r="BZ30" s="46">
        <v>37.72</v>
      </c>
      <c r="CA30" s="47"/>
      <c r="CB30" s="47">
        <v>45.94</v>
      </c>
      <c r="CC30" s="283"/>
      <c r="CD30" s="283"/>
      <c r="CE30" s="48"/>
      <c r="CF30" s="49">
        <v>91.147000000000006</v>
      </c>
      <c r="CG30" s="49"/>
      <c r="CH30" s="43">
        <v>92.257999999999996</v>
      </c>
      <c r="CI30" s="32"/>
      <c r="CJ30" s="33">
        <v>5.57</v>
      </c>
      <c r="CK30" s="33"/>
      <c r="CL30" s="35">
        <v>5.57</v>
      </c>
      <c r="CM30" s="36"/>
      <c r="CN30" s="286"/>
      <c r="CO30" s="249">
        <f t="shared" si="30"/>
        <v>0</v>
      </c>
      <c r="CP30" s="12">
        <f t="shared" si="30"/>
        <v>195.18477300000001</v>
      </c>
      <c r="CQ30" s="12">
        <f t="shared" si="30"/>
        <v>0</v>
      </c>
      <c r="CR30" s="12">
        <f t="shared" si="30"/>
        <v>93.638999999999996</v>
      </c>
      <c r="CS30" s="11">
        <f t="shared" si="30"/>
        <v>0</v>
      </c>
      <c r="CT30" s="11">
        <f t="shared" si="30"/>
        <v>0</v>
      </c>
      <c r="CU30" s="272">
        <f t="shared" si="30"/>
        <v>0</v>
      </c>
      <c r="CV30" s="249">
        <f t="shared" si="13"/>
        <v>86.070112100000003</v>
      </c>
      <c r="CW30" s="11">
        <f t="shared" si="13"/>
        <v>0</v>
      </c>
      <c r="CX30" s="252">
        <f t="shared" si="13"/>
        <v>87.119229399999995</v>
      </c>
      <c r="CY30" s="272">
        <f t="shared" si="13"/>
        <v>0</v>
      </c>
      <c r="CZ30" s="13"/>
      <c r="DA30" s="240">
        <f>(D30+'[2]февраль 20'!D30)/(AY30+'[2]февраль 20'!AX30)</f>
        <v>2.0559209739607374</v>
      </c>
      <c r="DB30" s="241">
        <f>(T30+'[2]февраль 20'!R30)/(AY30+'[2]февраль 20'!AX30)</f>
        <v>1.2833618656493528</v>
      </c>
      <c r="DD30" s="292">
        <f t="shared" si="14"/>
        <v>0</v>
      </c>
      <c r="DE30" s="291">
        <v>0.41</v>
      </c>
      <c r="DF30" s="291">
        <v>11.88</v>
      </c>
      <c r="DG30" s="145">
        <f t="shared" si="15"/>
        <v>0</v>
      </c>
      <c r="DH30" s="293">
        <f t="shared" si="28"/>
        <v>0</v>
      </c>
      <c r="DJ30" s="322"/>
    </row>
    <row r="31" spans="1:114" s="76" customFormat="1" ht="16.5" customHeight="1" thickBot="1">
      <c r="A31" s="144">
        <v>25</v>
      </c>
      <c r="B31" s="122">
        <f>'[1]февраль 20'!K30</f>
        <v>305.49200000000002</v>
      </c>
      <c r="C31" s="123">
        <f t="shared" si="16"/>
        <v>2.2250604598483759</v>
      </c>
      <c r="D31" s="145">
        <f t="shared" si="17"/>
        <v>298.6946183</v>
      </c>
      <c r="E31" s="125">
        <f t="shared" si="18"/>
        <v>39.878349122071931</v>
      </c>
      <c r="F31" s="146">
        <f t="shared" si="19"/>
        <v>2.31528267808697</v>
      </c>
      <c r="G31" s="127"/>
      <c r="H31" s="126">
        <f t="shared" si="20"/>
        <v>1.5585893984962409</v>
      </c>
      <c r="I31" s="230">
        <f>'[1]июль 20'!AI30</f>
        <v>0</v>
      </c>
      <c r="J31" s="247">
        <f>'[1]февраль 20'!AA30</f>
        <v>0</v>
      </c>
      <c r="K31" s="276">
        <f>'[1]сентябрь 20'!AM30</f>
        <v>0</v>
      </c>
      <c r="L31" s="122">
        <f>'[1]февраль 20'!AE30</f>
        <v>97.620999999999995</v>
      </c>
      <c r="M31" s="128">
        <f t="shared" si="21"/>
        <v>0.75669327959072941</v>
      </c>
      <c r="N31" s="400">
        <f>'[1]февраль 20'!W30</f>
        <v>0</v>
      </c>
      <c r="O31" s="403">
        <f>'[1]февраль 20'!AU30</f>
        <v>9.5869999999999997</v>
      </c>
      <c r="P31" s="401">
        <f t="shared" si="0"/>
        <v>192.203</v>
      </c>
      <c r="Q31" s="122">
        <f>'[1]февраль 20'!S30</f>
        <v>192.203</v>
      </c>
      <c r="R31" s="123">
        <f t="shared" si="22"/>
        <v>5.21</v>
      </c>
      <c r="S31" s="129">
        <v>16.23</v>
      </c>
      <c r="T31" s="125">
        <f t="shared" si="1"/>
        <v>182.18922370000001</v>
      </c>
      <c r="U31" s="147">
        <f t="shared" si="2"/>
        <v>1.4122100899155106</v>
      </c>
      <c r="V31" s="130">
        <v>129.01</v>
      </c>
      <c r="W31" s="130">
        <v>129.01</v>
      </c>
      <c r="X31" s="129">
        <v>0.45</v>
      </c>
      <c r="Y31" s="150">
        <v>500</v>
      </c>
      <c r="Z31" s="150">
        <v>1196</v>
      </c>
      <c r="AA31" s="148" t="s">
        <v>187</v>
      </c>
      <c r="AB31" s="149">
        <v>76.16</v>
      </c>
      <c r="AC31" s="150">
        <v>122</v>
      </c>
      <c r="AD31" s="151">
        <v>4</v>
      </c>
      <c r="AE31" s="149">
        <v>6.8</v>
      </c>
      <c r="AF31" s="134">
        <f t="shared" si="3"/>
        <v>52.709092318424929</v>
      </c>
      <c r="AG31" s="152"/>
      <c r="AH31" s="129">
        <v>82.6</v>
      </c>
      <c r="AI31" s="134">
        <f t="shared" si="4"/>
        <v>640.26044492674987</v>
      </c>
      <c r="AJ31" s="136">
        <v>12.24</v>
      </c>
      <c r="AK31" s="154"/>
      <c r="AL31" s="155">
        <v>6.43</v>
      </c>
      <c r="AM31" s="156">
        <v>35.31</v>
      </c>
      <c r="AN31" s="126">
        <f t="shared" si="23"/>
        <v>0.20856467808623744</v>
      </c>
      <c r="AO31" s="157" t="s">
        <v>184</v>
      </c>
      <c r="AP31" s="156">
        <v>10.86</v>
      </c>
      <c r="AQ31" s="156">
        <v>6.53</v>
      </c>
      <c r="AR31" s="151"/>
      <c r="AS31" s="149">
        <v>9.0299999999999994</v>
      </c>
      <c r="AT31" s="149">
        <v>169.3</v>
      </c>
      <c r="AU31" s="149">
        <v>1.45</v>
      </c>
      <c r="AV31" s="164"/>
      <c r="AW31" s="149"/>
      <c r="AX31" s="158">
        <f t="shared" si="5"/>
        <v>0</v>
      </c>
      <c r="AY31" s="125">
        <f t="shared" si="6"/>
        <v>129.01</v>
      </c>
      <c r="AZ31" s="125">
        <f t="shared" si="29"/>
        <v>136.5374781936855</v>
      </c>
      <c r="BA31" s="159">
        <f t="shared" si="7"/>
        <v>5.7779281690140838</v>
      </c>
      <c r="BB31" s="160">
        <f t="shared" si="8"/>
        <v>5.1604000000000001</v>
      </c>
      <c r="BC31" s="161">
        <f t="shared" si="9"/>
        <v>0.82487044209381521</v>
      </c>
      <c r="BD31" s="160">
        <f t="shared" si="24"/>
        <v>10.938328169014085</v>
      </c>
      <c r="BE31" s="162">
        <v>0.88300000000000001</v>
      </c>
      <c r="BF31" s="25">
        <f t="shared" si="25"/>
        <v>3232.4000000000005</v>
      </c>
      <c r="BG31" s="25">
        <f t="shared" si="10"/>
        <v>124.55172413793103</v>
      </c>
      <c r="BH31" s="25">
        <f t="shared" si="26"/>
        <v>3113.7931034482763</v>
      </c>
      <c r="BI31" s="26">
        <f t="shared" si="11"/>
        <v>1</v>
      </c>
      <c r="BJ31" s="37">
        <f t="shared" si="27"/>
        <v>3113.7931034482763</v>
      </c>
      <c r="BK31" s="38"/>
      <c r="BL31" s="31">
        <v>207.87100000000001</v>
      </c>
      <c r="BM31" s="31"/>
      <c r="BN31" s="31">
        <v>97.620999999999995</v>
      </c>
      <c r="BO31" s="40"/>
      <c r="BP31" s="40"/>
      <c r="BQ31" s="32"/>
      <c r="BR31" s="33"/>
      <c r="BS31" s="34">
        <v>3.27</v>
      </c>
      <c r="BT31" s="35"/>
      <c r="BU31" s="35"/>
      <c r="BV31" s="235"/>
      <c r="BW31" s="235"/>
      <c r="BX31" s="36"/>
      <c r="BY31" s="33"/>
      <c r="BZ31" s="34">
        <v>36.979999999999997</v>
      </c>
      <c r="CA31" s="35"/>
      <c r="CB31" s="35">
        <v>46.05</v>
      </c>
      <c r="CC31" s="235"/>
      <c r="CD31" s="235"/>
      <c r="CE31" s="36"/>
      <c r="CF31" s="30">
        <v>95.828000000000003</v>
      </c>
      <c r="CG31" s="30"/>
      <c r="CH31" s="31">
        <v>96.375</v>
      </c>
      <c r="CI31" s="32"/>
      <c r="CJ31" s="33">
        <v>5.21</v>
      </c>
      <c r="CK31" s="33"/>
      <c r="CL31" s="35">
        <v>5.21</v>
      </c>
      <c r="CM31" s="36"/>
      <c r="CN31" s="286"/>
      <c r="CO31" s="249">
        <f t="shared" si="30"/>
        <v>0</v>
      </c>
      <c r="CP31" s="12">
        <f t="shared" si="30"/>
        <v>201.07361830000002</v>
      </c>
      <c r="CQ31" s="12">
        <f t="shared" si="30"/>
        <v>0</v>
      </c>
      <c r="CR31" s="12">
        <f t="shared" si="30"/>
        <v>97.620999999999995</v>
      </c>
      <c r="CS31" s="11">
        <f t="shared" si="30"/>
        <v>0</v>
      </c>
      <c r="CT31" s="11">
        <f t="shared" si="30"/>
        <v>0</v>
      </c>
      <c r="CU31" s="272">
        <f t="shared" si="30"/>
        <v>0</v>
      </c>
      <c r="CV31" s="249">
        <f t="shared" si="13"/>
        <v>90.835361200000008</v>
      </c>
      <c r="CW31" s="12">
        <f t="shared" si="13"/>
        <v>0</v>
      </c>
      <c r="CX31" s="249">
        <f t="shared" si="13"/>
        <v>91.353862500000005</v>
      </c>
      <c r="CY31" s="272">
        <f t="shared" si="13"/>
        <v>0</v>
      </c>
      <c r="CZ31" s="13"/>
      <c r="DA31" s="240">
        <f>(D31+'[2]февраль 20'!D31)/(AY31+'[2]февраль 20'!AX31)</f>
        <v>2.1383395750475165</v>
      </c>
      <c r="DB31" s="241">
        <f>(T31+'[2]февраль 20'!R31)/(AY31+'[2]февраль 20'!AX31)</f>
        <v>1.3426831116847751</v>
      </c>
      <c r="DD31" s="292">
        <f t="shared" si="14"/>
        <v>0</v>
      </c>
      <c r="DE31" s="291">
        <v>0.13</v>
      </c>
      <c r="DF31" s="291">
        <v>13.57</v>
      </c>
      <c r="DG31" s="145">
        <f t="shared" si="15"/>
        <v>0</v>
      </c>
      <c r="DH31" s="293">
        <f t="shared" si="28"/>
        <v>0</v>
      </c>
      <c r="DJ31" s="322">
        <f t="shared" ref="DJ31:DJ37" si="31">CO31+CP31+CQ31+CR31+CS31+CT31+CU31</f>
        <v>298.6946183</v>
      </c>
    </row>
    <row r="32" spans="1:114" s="76" customFormat="1" ht="16.5" customHeight="1" thickBot="1">
      <c r="A32" s="144">
        <v>26</v>
      </c>
      <c r="B32" s="122">
        <f>'[1]февраль 20'!K31</f>
        <v>240.73500000000001</v>
      </c>
      <c r="C32" s="123">
        <f t="shared" si="16"/>
        <v>0.99387467547303054</v>
      </c>
      <c r="D32" s="145">
        <f t="shared" si="17"/>
        <v>238.34239579999999</v>
      </c>
      <c r="E32" s="125">
        <f t="shared" si="18"/>
        <v>40.232054998234567</v>
      </c>
      <c r="F32" s="146">
        <f t="shared" si="19"/>
        <v>1.9661969625474347</v>
      </c>
      <c r="G32" s="127"/>
      <c r="H32" s="126">
        <f t="shared" si="20"/>
        <v>1.3321596749711271</v>
      </c>
      <c r="I32" s="230">
        <f>'[1]июль 20'!AI31</f>
        <v>0</v>
      </c>
      <c r="J32" s="247">
        <f>'[1]февраль 20'!AA31</f>
        <v>3.4239999999999999</v>
      </c>
      <c r="K32" s="276">
        <f>'[1]сентябрь 20'!AM31</f>
        <v>0</v>
      </c>
      <c r="L32" s="122">
        <f>'[1]февраль 20'!AE31</f>
        <v>76.858000000000004</v>
      </c>
      <c r="M32" s="128">
        <f t="shared" si="21"/>
        <v>0.63403728757630762</v>
      </c>
      <c r="N32" s="400">
        <f>'[1]февраль 20'!W31</f>
        <v>0</v>
      </c>
      <c r="O32" s="403">
        <f>'[1]февраль 20'!AU31</f>
        <v>6.9749999999999996</v>
      </c>
      <c r="P32" s="401">
        <f t="shared" si="0"/>
        <v>153.37200000000001</v>
      </c>
      <c r="Q32" s="122">
        <f>'[1]февраль 20'!S31</f>
        <v>153.37200000000001</v>
      </c>
      <c r="R32" s="123">
        <f t="shared" si="22"/>
        <v>4.04</v>
      </c>
      <c r="S32" s="129">
        <v>8.43</v>
      </c>
      <c r="T32" s="125">
        <f t="shared" si="1"/>
        <v>147.17577119999999</v>
      </c>
      <c r="U32" s="147">
        <f t="shared" si="2"/>
        <v>1.214121194522356</v>
      </c>
      <c r="V32" s="130">
        <v>121.22</v>
      </c>
      <c r="W32" s="130">
        <v>121.22</v>
      </c>
      <c r="X32" s="129">
        <v>0.56000000000000005</v>
      </c>
      <c r="Y32" s="150">
        <v>545</v>
      </c>
      <c r="Z32" s="150">
        <v>1178</v>
      </c>
      <c r="AA32" s="148" t="s">
        <v>188</v>
      </c>
      <c r="AB32" s="149">
        <v>76.28</v>
      </c>
      <c r="AC32" s="150">
        <v>96</v>
      </c>
      <c r="AD32" s="151">
        <v>4</v>
      </c>
      <c r="AE32" s="149">
        <v>5.65</v>
      </c>
      <c r="AF32" s="134">
        <f t="shared" si="3"/>
        <v>46.609470384425016</v>
      </c>
      <c r="AG32" s="152"/>
      <c r="AH32" s="129">
        <v>83.7</v>
      </c>
      <c r="AI32" s="134">
        <f t="shared" si="4"/>
        <v>690.48011879227863</v>
      </c>
      <c r="AJ32" s="153">
        <v>12.42</v>
      </c>
      <c r="AK32" s="154"/>
      <c r="AL32" s="155">
        <v>4.75</v>
      </c>
      <c r="AM32" s="156">
        <v>35.99</v>
      </c>
      <c r="AN32" s="126">
        <f t="shared" si="23"/>
        <v>0.22444652323043346</v>
      </c>
      <c r="AO32" s="157" t="s">
        <v>189</v>
      </c>
      <c r="AP32" s="156">
        <v>9.99</v>
      </c>
      <c r="AQ32" s="156">
        <v>6.57</v>
      </c>
      <c r="AR32" s="151"/>
      <c r="AS32" s="149">
        <v>11.24</v>
      </c>
      <c r="AT32" s="149">
        <v>160.35</v>
      </c>
      <c r="AU32" s="149">
        <v>1.61</v>
      </c>
      <c r="AV32" s="149"/>
      <c r="AW32" s="149"/>
      <c r="AX32" s="158">
        <f t="shared" si="5"/>
        <v>0</v>
      </c>
      <c r="AY32" s="125">
        <f t="shared" si="6"/>
        <v>121.21999999999998</v>
      </c>
      <c r="AZ32" s="125">
        <f t="shared" si="29"/>
        <v>110.58820803322686</v>
      </c>
      <c r="BA32" s="159">
        <f t="shared" si="7"/>
        <v>7.2877943661971836</v>
      </c>
      <c r="BB32" s="160">
        <f t="shared" si="8"/>
        <v>4.8487999999999998</v>
      </c>
      <c r="BC32" s="161">
        <f t="shared" si="9"/>
        <v>0.96429840233622344</v>
      </c>
      <c r="BD32" s="160">
        <f t="shared" si="24"/>
        <v>12.136594366197183</v>
      </c>
      <c r="BE32" s="162">
        <v>0.88500000000000001</v>
      </c>
      <c r="BF32" s="25">
        <f t="shared" si="25"/>
        <v>3353.6200000000003</v>
      </c>
      <c r="BG32" s="25">
        <f t="shared" si="10"/>
        <v>124.55172413793103</v>
      </c>
      <c r="BH32" s="25">
        <f t="shared" si="26"/>
        <v>3238.3448275862074</v>
      </c>
      <c r="BI32" s="26">
        <f t="shared" si="11"/>
        <v>1</v>
      </c>
      <c r="BJ32" s="37">
        <f t="shared" si="27"/>
        <v>3238.3448275862074</v>
      </c>
      <c r="BK32" s="38"/>
      <c r="BL32" s="31">
        <v>163.87700000000001</v>
      </c>
      <c r="BM32" s="31"/>
      <c r="BN32" s="31">
        <v>76.858000000000004</v>
      </c>
      <c r="BO32" s="40"/>
      <c r="BP32" s="40"/>
      <c r="BQ32" s="32"/>
      <c r="BR32" s="33"/>
      <c r="BS32" s="34">
        <v>1.46</v>
      </c>
      <c r="BT32" s="35"/>
      <c r="BU32" s="35"/>
      <c r="BV32" s="235"/>
      <c r="BW32" s="235"/>
      <c r="BX32" s="36"/>
      <c r="BY32" s="33"/>
      <c r="BZ32" s="34">
        <v>37.479999999999997</v>
      </c>
      <c r="CA32" s="35"/>
      <c r="CB32" s="35">
        <v>46.1</v>
      </c>
      <c r="CC32" s="235"/>
      <c r="CD32" s="235"/>
      <c r="CE32" s="36"/>
      <c r="CF32" s="30">
        <v>77.510999999999996</v>
      </c>
      <c r="CG32" s="30"/>
      <c r="CH32" s="31">
        <v>75.861000000000004</v>
      </c>
      <c r="CI32" s="50"/>
      <c r="CJ32" s="33">
        <v>4.04</v>
      </c>
      <c r="CK32" s="33"/>
      <c r="CL32" s="35">
        <v>4.04</v>
      </c>
      <c r="CM32" s="36"/>
      <c r="CN32" s="286"/>
      <c r="CO32" s="249">
        <f t="shared" si="30"/>
        <v>0</v>
      </c>
      <c r="CP32" s="12">
        <f t="shared" si="30"/>
        <v>161.48439580000002</v>
      </c>
      <c r="CQ32" s="12">
        <f t="shared" si="30"/>
        <v>0</v>
      </c>
      <c r="CR32" s="12">
        <f t="shared" si="30"/>
        <v>76.858000000000004</v>
      </c>
      <c r="CS32" s="11">
        <f t="shared" si="30"/>
        <v>0</v>
      </c>
      <c r="CT32" s="11">
        <f t="shared" si="30"/>
        <v>0</v>
      </c>
      <c r="CU32" s="272">
        <f t="shared" si="30"/>
        <v>0</v>
      </c>
      <c r="CV32" s="249">
        <f t="shared" si="13"/>
        <v>74.379555599999989</v>
      </c>
      <c r="CW32" s="11">
        <f t="shared" si="13"/>
        <v>0</v>
      </c>
      <c r="CX32" s="249">
        <f t="shared" si="13"/>
        <v>72.796215599999996</v>
      </c>
      <c r="CY32" s="272">
        <f t="shared" si="13"/>
        <v>0</v>
      </c>
      <c r="CZ32" s="13"/>
      <c r="DA32" s="240">
        <f>(D32+'[2]февраль 20'!D32)/(AY32+'[2]февраль 20'!AX32)</f>
        <v>1.8674356965010417</v>
      </c>
      <c r="DB32" s="241">
        <f>(T32+'[2]февраль 20'!R32)/(AY32+'[2]февраль 20'!AX32)</f>
        <v>1.1580996248766042</v>
      </c>
      <c r="DD32" s="292">
        <f t="shared" si="14"/>
        <v>3.4239999999999999</v>
      </c>
      <c r="DE32" s="291">
        <v>0.38</v>
      </c>
      <c r="DF32" s="291">
        <v>18.899999999999999</v>
      </c>
      <c r="DG32" s="145">
        <f t="shared" si="15"/>
        <v>3.4109888000000002</v>
      </c>
      <c r="DH32" s="293">
        <f t="shared" si="28"/>
        <v>0.84514536339800728</v>
      </c>
      <c r="DJ32" s="322">
        <f t="shared" si="31"/>
        <v>238.34239580000002</v>
      </c>
    </row>
    <row r="33" spans="1:114" s="76" customFormat="1" ht="16.5" customHeight="1" thickBot="1">
      <c r="A33" s="144">
        <v>27</v>
      </c>
      <c r="B33" s="122">
        <f>'[1]февраль 20'!K32</f>
        <v>288.03300000000002</v>
      </c>
      <c r="C33" s="123">
        <f t="shared" si="16"/>
        <v>2.1647688285717259</v>
      </c>
      <c r="D33" s="145">
        <f t="shared" si="17"/>
        <v>281.79775139999998</v>
      </c>
      <c r="E33" s="125">
        <f t="shared" si="18"/>
        <v>40.468314047348748</v>
      </c>
      <c r="F33" s="146">
        <f t="shared" si="19"/>
        <v>2.1700119467118433</v>
      </c>
      <c r="G33" s="127"/>
      <c r="H33" s="126">
        <f t="shared" si="20"/>
        <v>1.4618955136300629</v>
      </c>
      <c r="I33" s="230">
        <f>'[1]июль 20'!AI32</f>
        <v>0</v>
      </c>
      <c r="J33" s="247">
        <f>'[1]февраль 20'!AA32</f>
        <v>5.827</v>
      </c>
      <c r="K33" s="276">
        <f>'[1]сентябрь 20'!AM32</f>
        <v>0</v>
      </c>
      <c r="L33" s="122">
        <f>'[1]февраль 20'!AE32</f>
        <v>91.956000000000003</v>
      </c>
      <c r="M33" s="128">
        <f t="shared" si="21"/>
        <v>0.70811643308178029</v>
      </c>
      <c r="N33" s="400">
        <f>'[1]февраль 20'!W32</f>
        <v>0</v>
      </c>
      <c r="O33" s="403">
        <f>'[1]февраль 20'!AU32</f>
        <v>8.4440000000000008</v>
      </c>
      <c r="P33" s="401">
        <f t="shared" si="0"/>
        <v>183.88600000000002</v>
      </c>
      <c r="Q33" s="122">
        <f>'[1]февраль 20'!S32</f>
        <v>183.886</v>
      </c>
      <c r="R33" s="123">
        <f t="shared" si="22"/>
        <v>3.49</v>
      </c>
      <c r="S33" s="129">
        <v>14.59</v>
      </c>
      <c r="T33" s="125">
        <f t="shared" si="1"/>
        <v>177.46837860000002</v>
      </c>
      <c r="U33" s="147">
        <f t="shared" si="2"/>
        <v>1.3666131110426614</v>
      </c>
      <c r="V33" s="130">
        <v>129.86000000000001</v>
      </c>
      <c r="W33" s="130">
        <v>62.17</v>
      </c>
      <c r="X33" s="129">
        <v>0.89</v>
      </c>
      <c r="Y33" s="150">
        <v>503</v>
      </c>
      <c r="Z33" s="150">
        <v>1194</v>
      </c>
      <c r="AA33" s="148" t="s">
        <v>190</v>
      </c>
      <c r="AB33" s="149">
        <v>76.260000000000005</v>
      </c>
      <c r="AC33" s="150">
        <v>115</v>
      </c>
      <c r="AD33" s="151">
        <v>4</v>
      </c>
      <c r="AE33" s="149">
        <v>8.85</v>
      </c>
      <c r="AF33" s="134">
        <f t="shared" si="3"/>
        <v>68.150315724626509</v>
      </c>
      <c r="AG33" s="152"/>
      <c r="AH33" s="129">
        <v>84</v>
      </c>
      <c r="AI33" s="134">
        <f t="shared" si="4"/>
        <v>646.85045433543803</v>
      </c>
      <c r="AJ33" s="136">
        <v>11.94</v>
      </c>
      <c r="AK33" s="154"/>
      <c r="AL33" s="155">
        <v>5.51</v>
      </c>
      <c r="AM33" s="156">
        <v>33.83</v>
      </c>
      <c r="AN33" s="126">
        <f t="shared" si="23"/>
        <v>0.20148898153662892</v>
      </c>
      <c r="AO33" s="157" t="s">
        <v>191</v>
      </c>
      <c r="AP33" s="156">
        <v>11.65</v>
      </c>
      <c r="AQ33" s="156">
        <v>6.25</v>
      </c>
      <c r="AR33" s="151"/>
      <c r="AS33" s="149">
        <v>9.52</v>
      </c>
      <c r="AT33" s="149">
        <v>167.9</v>
      </c>
      <c r="AU33" s="149">
        <v>1.3</v>
      </c>
      <c r="AV33" s="149"/>
      <c r="AW33" s="149"/>
      <c r="AX33" s="158">
        <f t="shared" si="5"/>
        <v>0</v>
      </c>
      <c r="AY33" s="125">
        <f t="shared" si="6"/>
        <v>129.86000000000001</v>
      </c>
      <c r="AZ33" s="125">
        <f t="shared" si="29"/>
        <v>131.82704538917434</v>
      </c>
      <c r="BA33" s="159">
        <f t="shared" si="7"/>
        <v>6.1947042253521118</v>
      </c>
      <c r="BB33" s="160">
        <f t="shared" si="8"/>
        <v>5.1944000000000008</v>
      </c>
      <c r="BC33" s="161">
        <f t="shared" si="9"/>
        <v>0.86839949960402751</v>
      </c>
      <c r="BD33" s="160">
        <f t="shared" si="24"/>
        <v>11.389104225352114</v>
      </c>
      <c r="BE33" s="162">
        <v>0.88500000000000001</v>
      </c>
      <c r="BF33" s="25">
        <f t="shared" si="25"/>
        <v>3483.4800000000005</v>
      </c>
      <c r="BG33" s="25">
        <f t="shared" si="10"/>
        <v>124.55172413793103</v>
      </c>
      <c r="BH33" s="25">
        <f t="shared" si="26"/>
        <v>3362.8965517241386</v>
      </c>
      <c r="BI33" s="26">
        <f t="shared" si="11"/>
        <v>1</v>
      </c>
      <c r="BJ33" s="37">
        <f t="shared" si="27"/>
        <v>3362.8965517241386</v>
      </c>
      <c r="BK33" s="38"/>
      <c r="BL33" s="31">
        <v>196.077</v>
      </c>
      <c r="BM33" s="31"/>
      <c r="BN33" s="31">
        <v>91.956000000000003</v>
      </c>
      <c r="BO33" s="40"/>
      <c r="BP33" s="40"/>
      <c r="BQ33" s="32"/>
      <c r="BR33" s="33"/>
      <c r="BS33" s="34">
        <v>3.18</v>
      </c>
      <c r="BT33" s="35"/>
      <c r="BU33" s="35"/>
      <c r="BV33" s="235"/>
      <c r="BW33" s="235"/>
      <c r="BX33" s="36"/>
      <c r="BY33" s="33"/>
      <c r="BZ33" s="34">
        <v>37.86</v>
      </c>
      <c r="CA33" s="35"/>
      <c r="CB33" s="35">
        <v>46.03</v>
      </c>
      <c r="CC33" s="235"/>
      <c r="CD33" s="235"/>
      <c r="CE33" s="36"/>
      <c r="CF33" s="30">
        <v>92.936000000000007</v>
      </c>
      <c r="CG33" s="30"/>
      <c r="CH33" s="31">
        <v>90.95</v>
      </c>
      <c r="CI33" s="32"/>
      <c r="CJ33" s="33">
        <v>3.49</v>
      </c>
      <c r="CK33" s="33"/>
      <c r="CL33" s="35">
        <v>3.49</v>
      </c>
      <c r="CM33" s="36"/>
      <c r="CN33" s="270"/>
      <c r="CO33" s="249">
        <f t="shared" si="30"/>
        <v>0</v>
      </c>
      <c r="CP33" s="12">
        <f t="shared" si="30"/>
        <v>189.84175139999999</v>
      </c>
      <c r="CQ33" s="12">
        <f t="shared" si="30"/>
        <v>0</v>
      </c>
      <c r="CR33" s="12">
        <f t="shared" si="30"/>
        <v>91.956000000000003</v>
      </c>
      <c r="CS33" s="11">
        <f t="shared" si="30"/>
        <v>0</v>
      </c>
      <c r="CT33" s="11">
        <f t="shared" si="30"/>
        <v>0</v>
      </c>
      <c r="CU33" s="272">
        <f t="shared" si="30"/>
        <v>0</v>
      </c>
      <c r="CV33" s="249">
        <f t="shared" si="13"/>
        <v>89.692533600000019</v>
      </c>
      <c r="CW33" s="12">
        <f t="shared" si="13"/>
        <v>0</v>
      </c>
      <c r="CX33" s="254">
        <f t="shared" si="13"/>
        <v>87.775845000000004</v>
      </c>
      <c r="CY33" s="275">
        <f t="shared" si="13"/>
        <v>0</v>
      </c>
      <c r="CZ33" s="13"/>
      <c r="DA33" s="240">
        <f>(D33+'[2]февраль 20'!D33)/(AY33+'[2]февраль 20'!AX33)</f>
        <v>2.0352829543608899</v>
      </c>
      <c r="DB33" s="241">
        <f>(T33+'[2]февраль 20'!R33)/(AY33+'[2]февраль 20'!AX33)</f>
        <v>1.3006561057874506</v>
      </c>
      <c r="DD33" s="292">
        <f t="shared" si="14"/>
        <v>5.827</v>
      </c>
      <c r="DE33" s="291">
        <v>0.12</v>
      </c>
      <c r="DF33" s="291">
        <v>16.760000000000002</v>
      </c>
      <c r="DG33" s="145">
        <f t="shared" si="15"/>
        <v>5.8200075999999994</v>
      </c>
      <c r="DH33" s="293">
        <f t="shared" si="28"/>
        <v>1.2790890030946762</v>
      </c>
      <c r="DJ33" s="322">
        <f t="shared" si="31"/>
        <v>281.79775139999998</v>
      </c>
    </row>
    <row r="34" spans="1:114" s="76" customFormat="1" ht="16.5" customHeight="1" thickBot="1">
      <c r="A34" s="144">
        <v>28</v>
      </c>
      <c r="B34" s="122">
        <f>'[1]февраль 20'!K33</f>
        <v>334.19900000000001</v>
      </c>
      <c r="C34" s="123">
        <f t="shared" si="16"/>
        <v>1.666760463077388</v>
      </c>
      <c r="D34" s="145">
        <f t="shared" si="17"/>
        <v>328.62870319999996</v>
      </c>
      <c r="E34" s="125">
        <f t="shared" si="18"/>
        <v>40.524001059249123</v>
      </c>
      <c r="F34" s="146">
        <f t="shared" si="19"/>
        <v>2.556824890686999</v>
      </c>
      <c r="G34" s="127"/>
      <c r="H34" s="126">
        <f t="shared" si="20"/>
        <v>1.8247000949194743</v>
      </c>
      <c r="I34" s="230">
        <f>'[1]июль 20'!AI33</f>
        <v>0</v>
      </c>
      <c r="J34" s="247">
        <f>'[1]февраль 20'!AA33</f>
        <v>7.1120000000000001</v>
      </c>
      <c r="K34" s="276">
        <f>'[1]сентябрь 20'!AM33</f>
        <v>0</v>
      </c>
      <c r="L34" s="122">
        <f>'[1]февраль 20'!AE33</f>
        <v>94.1</v>
      </c>
      <c r="M34" s="128">
        <f t="shared" si="21"/>
        <v>0.73212479576752509</v>
      </c>
      <c r="N34" s="400">
        <f>'[1]февраль 20'!W33</f>
        <v>0</v>
      </c>
      <c r="O34" s="403">
        <f>'[1]февраль 20'!AU33</f>
        <v>11.657999999999999</v>
      </c>
      <c r="P34" s="401">
        <f t="shared" si="0"/>
        <v>212.92599999999999</v>
      </c>
      <c r="Q34" s="122">
        <f>'[1]февраль 20'!S33</f>
        <v>212.92599999999999</v>
      </c>
      <c r="R34" s="123">
        <f t="shared" si="22"/>
        <v>3.66</v>
      </c>
      <c r="S34" s="170">
        <v>15.19</v>
      </c>
      <c r="T34" s="125">
        <f t="shared" si="1"/>
        <v>205.13290839999999</v>
      </c>
      <c r="U34" s="147">
        <f t="shared" si="2"/>
        <v>1.5959924406753285</v>
      </c>
      <c r="V34" s="169">
        <v>128.53</v>
      </c>
      <c r="W34" s="169">
        <v>99.53</v>
      </c>
      <c r="X34" s="170">
        <v>1.06</v>
      </c>
      <c r="Y34" s="166">
        <v>485</v>
      </c>
      <c r="Z34" s="166">
        <v>1195</v>
      </c>
      <c r="AA34" s="148" t="s">
        <v>192</v>
      </c>
      <c r="AB34" s="164">
        <v>76.22</v>
      </c>
      <c r="AC34" s="166">
        <v>134</v>
      </c>
      <c r="AD34" s="171">
        <v>4</v>
      </c>
      <c r="AE34" s="164">
        <v>7.35</v>
      </c>
      <c r="AF34" s="172">
        <f t="shared" si="3"/>
        <v>57.185092974402856</v>
      </c>
      <c r="AG34" s="173"/>
      <c r="AH34" s="170">
        <v>70.75</v>
      </c>
      <c r="AI34" s="134">
        <f t="shared" si="4"/>
        <v>550.45514665836765</v>
      </c>
      <c r="AJ34" s="174">
        <v>14.02</v>
      </c>
      <c r="AK34" s="175"/>
      <c r="AL34" s="176">
        <v>5.93</v>
      </c>
      <c r="AM34" s="177">
        <v>34.880000000000003</v>
      </c>
      <c r="AN34" s="126">
        <f t="shared" si="23"/>
        <v>0.20792846497764533</v>
      </c>
      <c r="AO34" s="178" t="s">
        <v>193</v>
      </c>
      <c r="AP34" s="177">
        <v>11.4</v>
      </c>
      <c r="AQ34" s="177">
        <v>6.38</v>
      </c>
      <c r="AR34" s="171"/>
      <c r="AS34" s="164">
        <v>7.56</v>
      </c>
      <c r="AT34" s="149">
        <v>167.75</v>
      </c>
      <c r="AU34" s="164">
        <v>1.59</v>
      </c>
      <c r="AV34" s="164"/>
      <c r="AW34" s="164"/>
      <c r="AX34" s="179">
        <f t="shared" si="5"/>
        <v>0</v>
      </c>
      <c r="AY34" s="125">
        <f t="shared" si="6"/>
        <v>128.53</v>
      </c>
      <c r="AZ34" s="125">
        <f t="shared" si="29"/>
        <v>153.98208548878577</v>
      </c>
      <c r="BA34" s="159">
        <f t="shared" si="7"/>
        <v>4.143359154929577</v>
      </c>
      <c r="BB34" s="159">
        <f t="shared" si="8"/>
        <v>5.1412000000000004</v>
      </c>
      <c r="BC34" s="180">
        <f t="shared" si="9"/>
        <v>0.73562357836719161</v>
      </c>
      <c r="BD34" s="159">
        <f t="shared" si="24"/>
        <v>9.2845591549295783</v>
      </c>
      <c r="BE34" s="167">
        <v>0.878</v>
      </c>
      <c r="BF34" s="25">
        <f t="shared" si="25"/>
        <v>3612.0100000000007</v>
      </c>
      <c r="BG34" s="25">
        <f t="shared" si="10"/>
        <v>124.55172413793103</v>
      </c>
      <c r="BH34" s="25">
        <f t="shared" si="26"/>
        <v>3487.4482758620697</v>
      </c>
      <c r="BI34" s="26">
        <f t="shared" si="11"/>
        <v>1</v>
      </c>
      <c r="BJ34" s="37">
        <f t="shared" si="27"/>
        <v>3487.4482758620697</v>
      </c>
      <c r="BK34" s="38"/>
      <c r="BL34" s="30">
        <v>240.09899999999999</v>
      </c>
      <c r="BM34" s="43"/>
      <c r="BN34" s="43">
        <v>94.1</v>
      </c>
      <c r="BO34" s="281"/>
      <c r="BP34" s="281"/>
      <c r="BQ34" s="44"/>
      <c r="BR34" s="45"/>
      <c r="BS34" s="46">
        <v>2.3199999999999998</v>
      </c>
      <c r="BT34" s="47"/>
      <c r="BU34" s="47"/>
      <c r="BV34" s="283"/>
      <c r="BW34" s="283"/>
      <c r="BX34" s="48"/>
      <c r="BY34" s="45"/>
      <c r="BZ34" s="46">
        <v>38.369999999999997</v>
      </c>
      <c r="CA34" s="47"/>
      <c r="CB34" s="47">
        <v>46.02</v>
      </c>
      <c r="CC34" s="283"/>
      <c r="CD34" s="283"/>
      <c r="CE34" s="48"/>
      <c r="CF34" s="49">
        <v>107.023</v>
      </c>
      <c r="CG34" s="49"/>
      <c r="CH34" s="43">
        <v>105.90300000000001</v>
      </c>
      <c r="CI34" s="32"/>
      <c r="CJ34" s="33">
        <v>3.66</v>
      </c>
      <c r="CK34" s="33"/>
      <c r="CL34" s="35">
        <v>3.66</v>
      </c>
      <c r="CM34" s="36"/>
      <c r="CN34" s="270"/>
      <c r="CO34" s="249">
        <f t="shared" si="30"/>
        <v>0</v>
      </c>
      <c r="CP34" s="12">
        <f t="shared" si="30"/>
        <v>234.52870320000002</v>
      </c>
      <c r="CQ34" s="12">
        <f t="shared" si="30"/>
        <v>0</v>
      </c>
      <c r="CR34" s="12">
        <f t="shared" si="30"/>
        <v>94.1</v>
      </c>
      <c r="CS34" s="11">
        <f t="shared" si="30"/>
        <v>0</v>
      </c>
      <c r="CT34" s="11">
        <f t="shared" si="30"/>
        <v>0</v>
      </c>
      <c r="CU34" s="272">
        <f t="shared" si="30"/>
        <v>0</v>
      </c>
      <c r="CV34" s="249">
        <f t="shared" si="13"/>
        <v>103.1059582</v>
      </c>
      <c r="CW34" s="12">
        <f t="shared" si="13"/>
        <v>0</v>
      </c>
      <c r="CX34" s="249">
        <f t="shared" si="13"/>
        <v>102.02695020000002</v>
      </c>
      <c r="CY34" s="272">
        <f t="shared" si="13"/>
        <v>0</v>
      </c>
      <c r="CZ34" s="13"/>
      <c r="DA34" s="240">
        <f>(D34+'[2]февраль 20'!D34)/(AY34+'[2]февраль 20'!AX34)</f>
        <v>2.579512788780908</v>
      </c>
      <c r="DB34" s="241">
        <f>(T34+'[2]февраль 20'!R34)/(AY34+'[2]февраль 20'!AX34)</f>
        <v>1.6429232021158815</v>
      </c>
      <c r="DD34" s="292">
        <f t="shared" si="14"/>
        <v>7.1120000000000001</v>
      </c>
      <c r="DE34" s="291">
        <v>0.24</v>
      </c>
      <c r="DF34" s="291">
        <v>15.57</v>
      </c>
      <c r="DG34" s="145">
        <f t="shared" si="15"/>
        <v>7.0949312000000004</v>
      </c>
      <c r="DH34" s="293">
        <f t="shared" si="28"/>
        <v>1.4493319179218054</v>
      </c>
      <c r="DJ34" s="322">
        <f t="shared" si="31"/>
        <v>328.62870320000002</v>
      </c>
    </row>
    <row r="35" spans="1:114" s="76" customFormat="1" ht="16.5" customHeight="1" thickBot="1">
      <c r="A35" s="144">
        <v>29</v>
      </c>
      <c r="B35" s="122">
        <f>'[1]февраль 20'!K34</f>
        <v>282.67200000000003</v>
      </c>
      <c r="C35" s="123">
        <f t="shared" si="16"/>
        <v>2.232465649233033</v>
      </c>
      <c r="D35" s="145">
        <f t="shared" si="17"/>
        <v>276.36144469999999</v>
      </c>
      <c r="E35" s="125">
        <f t="shared" si="18"/>
        <v>39.698297709005487</v>
      </c>
      <c r="F35" s="146">
        <f t="shared" si="19"/>
        <v>2.242829448953092</v>
      </c>
      <c r="G35" s="127"/>
      <c r="H35" s="126">
        <f t="shared" si="20"/>
        <v>1.6502389603960395</v>
      </c>
      <c r="I35" s="230">
        <f>'[1]июль 20'!AI34</f>
        <v>0</v>
      </c>
      <c r="J35" s="247">
        <f>'[1]февраль 20'!AA34</f>
        <v>6.4429999999999996</v>
      </c>
      <c r="K35" s="276">
        <f>'[1]сентябрь 20'!AM34</f>
        <v>0</v>
      </c>
      <c r="L35" s="122">
        <f>'[1]февраль 20'!AE34</f>
        <v>73.019000000000005</v>
      </c>
      <c r="M35" s="128">
        <f t="shared" si="21"/>
        <v>0.59259048855705243</v>
      </c>
      <c r="N35" s="400">
        <f>'[1]февраль 20'!W34</f>
        <v>0</v>
      </c>
      <c r="O35" s="403">
        <f>'[1]февраль 20'!AU34</f>
        <v>11.494</v>
      </c>
      <c r="P35" s="401">
        <f t="shared" si="0"/>
        <v>177.697</v>
      </c>
      <c r="Q35" s="122">
        <f>'[1]февраль 20'!S34</f>
        <v>177.697</v>
      </c>
      <c r="R35" s="123">
        <f t="shared" si="22"/>
        <v>3.39</v>
      </c>
      <c r="S35" s="129">
        <v>15.8</v>
      </c>
      <c r="T35" s="125">
        <f t="shared" si="1"/>
        <v>171.67307170000001</v>
      </c>
      <c r="U35" s="147">
        <f t="shared" si="2"/>
        <v>1.3932240845641941</v>
      </c>
      <c r="V35" s="130">
        <v>32.83</v>
      </c>
      <c r="W35" s="130">
        <v>63.71</v>
      </c>
      <c r="X35" s="129">
        <v>1.47</v>
      </c>
      <c r="Y35" s="150">
        <v>543</v>
      </c>
      <c r="Z35" s="150">
        <v>1193</v>
      </c>
      <c r="AA35" s="148" t="s">
        <v>195</v>
      </c>
      <c r="AB35" s="149">
        <v>74.91</v>
      </c>
      <c r="AC35" s="150">
        <v>113</v>
      </c>
      <c r="AD35" s="151">
        <v>4</v>
      </c>
      <c r="AE35" s="181">
        <v>4.8499999999999996</v>
      </c>
      <c r="AF35" s="134">
        <f t="shared" si="3"/>
        <v>39.360493426391812</v>
      </c>
      <c r="AG35" s="182"/>
      <c r="AH35" s="129">
        <v>74.7</v>
      </c>
      <c r="AI35" s="134">
        <f t="shared" si="4"/>
        <v>606.23275442298325</v>
      </c>
      <c r="AJ35" s="136">
        <v>16.59</v>
      </c>
      <c r="AK35" s="154"/>
      <c r="AL35" s="155">
        <v>6.76</v>
      </c>
      <c r="AM35" s="183">
        <v>35.369999999999997</v>
      </c>
      <c r="AN35" s="126">
        <f t="shared" si="23"/>
        <v>0.21390988811611733</v>
      </c>
      <c r="AO35" s="184" t="s">
        <v>196</v>
      </c>
      <c r="AP35" s="183">
        <v>9.6199999999999992</v>
      </c>
      <c r="AQ35" s="183">
        <v>6.57</v>
      </c>
      <c r="AR35" s="185"/>
      <c r="AS35" s="181">
        <v>6.64</v>
      </c>
      <c r="AT35" s="149">
        <v>165.35</v>
      </c>
      <c r="AU35" s="181"/>
      <c r="AV35" s="149"/>
      <c r="AW35" s="149"/>
      <c r="AX35" s="158">
        <f t="shared" si="5"/>
        <v>0</v>
      </c>
      <c r="AY35" s="125">
        <f t="shared" si="6"/>
        <v>123.22</v>
      </c>
      <c r="AZ35" s="125">
        <f t="shared" si="29"/>
        <v>129.32476108308023</v>
      </c>
      <c r="BA35" s="159">
        <f t="shared" si="7"/>
        <v>3.8423154929577459</v>
      </c>
      <c r="BB35" s="160">
        <f t="shared" si="8"/>
        <v>4.9287999999999998</v>
      </c>
      <c r="BC35" s="161">
        <f t="shared" si="9"/>
        <v>0.84134024358514148</v>
      </c>
      <c r="BD35" s="160">
        <f t="shared" si="24"/>
        <v>8.7711154929577457</v>
      </c>
      <c r="BE35" s="162">
        <v>0.877</v>
      </c>
      <c r="BF35" s="25">
        <f t="shared" si="25"/>
        <v>3735.2300000000005</v>
      </c>
      <c r="BG35" s="25">
        <f t="shared" si="10"/>
        <v>124.55172413793103</v>
      </c>
      <c r="BH35" s="25">
        <f t="shared" si="26"/>
        <v>3612.0000000000009</v>
      </c>
      <c r="BI35" s="26">
        <f t="shared" si="11"/>
        <v>1</v>
      </c>
      <c r="BJ35" s="37">
        <f t="shared" si="27"/>
        <v>3612.0000000000009</v>
      </c>
      <c r="BK35" s="38"/>
      <c r="BL35" s="31">
        <v>209.65299999999999</v>
      </c>
      <c r="BM35" s="31"/>
      <c r="BN35" s="31">
        <v>73.019000000000005</v>
      </c>
      <c r="BO35" s="40"/>
      <c r="BP35" s="40"/>
      <c r="BQ35" s="32"/>
      <c r="BR35" s="33"/>
      <c r="BS35" s="34">
        <v>3.01</v>
      </c>
      <c r="BT35" s="35"/>
      <c r="BU35" s="35"/>
      <c r="BV35" s="235"/>
      <c r="BW35" s="235"/>
      <c r="BX35" s="36"/>
      <c r="BY35" s="33"/>
      <c r="BZ35" s="34">
        <v>37.81</v>
      </c>
      <c r="CA35" s="35"/>
      <c r="CB35" s="35">
        <v>45.12</v>
      </c>
      <c r="CC35" s="235"/>
      <c r="CD35" s="235"/>
      <c r="CE35" s="36"/>
      <c r="CF35" s="30">
        <v>88.394999999999996</v>
      </c>
      <c r="CG35" s="30"/>
      <c r="CH35" s="31">
        <v>89.302000000000007</v>
      </c>
      <c r="CI35" s="50"/>
      <c r="CJ35" s="33">
        <v>3.39</v>
      </c>
      <c r="CK35" s="33"/>
      <c r="CL35" s="35">
        <v>3.39</v>
      </c>
      <c r="CM35" s="36"/>
      <c r="CN35" s="270"/>
      <c r="CO35" s="249">
        <f t="shared" si="30"/>
        <v>0</v>
      </c>
      <c r="CP35" s="12">
        <f t="shared" si="30"/>
        <v>203.34244469999999</v>
      </c>
      <c r="CQ35" s="12">
        <f t="shared" si="30"/>
        <v>0</v>
      </c>
      <c r="CR35" s="12">
        <f t="shared" si="30"/>
        <v>73.019000000000005</v>
      </c>
      <c r="CS35" s="11">
        <f t="shared" si="30"/>
        <v>0</v>
      </c>
      <c r="CT35" s="11">
        <f t="shared" si="30"/>
        <v>0</v>
      </c>
      <c r="CU35" s="272">
        <f t="shared" si="30"/>
        <v>0</v>
      </c>
      <c r="CV35" s="249">
        <f t="shared" si="13"/>
        <v>85.398409499999985</v>
      </c>
      <c r="CW35" s="12">
        <f t="shared" si="13"/>
        <v>0</v>
      </c>
      <c r="CX35" s="249">
        <f t="shared" si="13"/>
        <v>86.274662200000009</v>
      </c>
      <c r="CY35" s="272">
        <f t="shared" si="13"/>
        <v>0</v>
      </c>
      <c r="CZ35" s="13"/>
      <c r="DA35" s="240">
        <f>(D35+'[2]февраль 20'!D35)/(AY35+'[2]февраль 20'!AX35)</f>
        <v>2.0885010035351805</v>
      </c>
      <c r="DB35" s="241">
        <f>(T35+'[2]февраль 20'!R35)/(AY35+'[2]февраль 20'!AX35)</f>
        <v>1.3410681711141523</v>
      </c>
      <c r="DD35" s="292">
        <f t="shared" si="14"/>
        <v>6.4429999999999996</v>
      </c>
      <c r="DE35" s="291">
        <v>0.19</v>
      </c>
      <c r="DF35" s="291">
        <v>17.100000000000001</v>
      </c>
      <c r="DG35" s="145">
        <f t="shared" si="15"/>
        <v>6.4307582999999999</v>
      </c>
      <c r="DH35" s="293">
        <f t="shared" si="28"/>
        <v>1.4679744617541051</v>
      </c>
      <c r="DJ35" s="322">
        <f t="shared" si="31"/>
        <v>276.36144469999999</v>
      </c>
    </row>
    <row r="36" spans="1:114" s="76" customFormat="1" ht="16.5" customHeight="1" thickBot="1">
      <c r="A36" s="144">
        <v>30</v>
      </c>
      <c r="B36" s="122">
        <f>'[1]февраль 20'!K35</f>
        <v>0</v>
      </c>
      <c r="C36" s="123">
        <f t="shared" si="16"/>
        <v>0</v>
      </c>
      <c r="D36" s="145">
        <f t="shared" si="17"/>
        <v>0</v>
      </c>
      <c r="E36" s="125">
        <f t="shared" si="18"/>
        <v>0</v>
      </c>
      <c r="F36" s="146">
        <f t="shared" si="19"/>
        <v>0</v>
      </c>
      <c r="G36" s="127"/>
      <c r="H36" s="126">
        <f t="shared" si="20"/>
        <v>0</v>
      </c>
      <c r="I36" s="230">
        <f>'[1]июль 20'!AI35</f>
        <v>0</v>
      </c>
      <c r="J36" s="247">
        <f>'[1]февраль 20'!AA35</f>
        <v>0</v>
      </c>
      <c r="K36" s="276">
        <f>'[1]сентябрь 20'!AM35</f>
        <v>0</v>
      </c>
      <c r="L36" s="122">
        <f>'[1]февраль 20'!AE35</f>
        <v>0</v>
      </c>
      <c r="M36" s="128">
        <f t="shared" si="21"/>
        <v>0</v>
      </c>
      <c r="N36" s="400">
        <f>'[1]февраль 20'!W35</f>
        <v>0</v>
      </c>
      <c r="O36" s="403">
        <f>'[1]февраль 20'!AU35</f>
        <v>0</v>
      </c>
      <c r="P36" s="401">
        <f t="shared" si="0"/>
        <v>0</v>
      </c>
      <c r="Q36" s="122">
        <f>'[1]февраль 20'!S35</f>
        <v>0</v>
      </c>
      <c r="R36" s="123">
        <f t="shared" si="22"/>
        <v>0</v>
      </c>
      <c r="S36" s="129"/>
      <c r="T36" s="125">
        <f t="shared" si="1"/>
        <v>0</v>
      </c>
      <c r="U36" s="147">
        <f t="shared" si="2"/>
        <v>0</v>
      </c>
      <c r="V36" s="130"/>
      <c r="W36" s="130"/>
      <c r="X36" s="129"/>
      <c r="Y36" s="150"/>
      <c r="Z36" s="150"/>
      <c r="AA36" s="148"/>
      <c r="AB36" s="149"/>
      <c r="AC36" s="150"/>
      <c r="AD36" s="151"/>
      <c r="AE36" s="149"/>
      <c r="AF36" s="134">
        <f t="shared" si="3"/>
        <v>0</v>
      </c>
      <c r="AG36" s="152"/>
      <c r="AH36" s="129"/>
      <c r="AI36" s="134">
        <f t="shared" si="4"/>
        <v>0</v>
      </c>
      <c r="AJ36" s="153"/>
      <c r="AK36" s="154"/>
      <c r="AL36" s="155"/>
      <c r="AM36" s="156"/>
      <c r="AN36" s="126">
        <f t="shared" si="23"/>
        <v>0</v>
      </c>
      <c r="AO36" s="157"/>
      <c r="AP36" s="156"/>
      <c r="AQ36" s="156"/>
      <c r="AR36" s="151"/>
      <c r="AS36" s="149"/>
      <c r="AT36" s="149"/>
      <c r="AU36" s="149"/>
      <c r="AV36" s="149"/>
      <c r="AW36" s="149"/>
      <c r="AX36" s="158">
        <f t="shared" si="5"/>
        <v>0</v>
      </c>
      <c r="AY36" s="125">
        <f t="shared" si="6"/>
        <v>0</v>
      </c>
      <c r="AZ36" s="125">
        <f t="shared" si="29"/>
        <v>0</v>
      </c>
      <c r="BA36" s="159">
        <f t="shared" si="7"/>
        <v>0</v>
      </c>
      <c r="BB36" s="160">
        <f t="shared" si="8"/>
        <v>0</v>
      </c>
      <c r="BC36" s="161">
        <f t="shared" si="9"/>
        <v>0</v>
      </c>
      <c r="BD36" s="160">
        <f t="shared" si="24"/>
        <v>0</v>
      </c>
      <c r="BE36" s="162"/>
      <c r="BF36" s="25">
        <f t="shared" si="25"/>
        <v>3735.2300000000005</v>
      </c>
      <c r="BG36" s="25">
        <f t="shared" si="10"/>
        <v>0</v>
      </c>
      <c r="BH36" s="25">
        <f t="shared" si="26"/>
        <v>3612.0000000000009</v>
      </c>
      <c r="BI36" s="26">
        <f t="shared" si="11"/>
        <v>0</v>
      </c>
      <c r="BJ36" s="37">
        <f t="shared" si="27"/>
        <v>3612.0000000000009</v>
      </c>
      <c r="BK36" s="38"/>
      <c r="BL36" s="31"/>
      <c r="BM36" s="31"/>
      <c r="BN36" s="31"/>
      <c r="BO36" s="40"/>
      <c r="BP36" s="40"/>
      <c r="BQ36" s="32"/>
      <c r="BR36" s="33"/>
      <c r="BS36" s="34"/>
      <c r="BT36" s="35"/>
      <c r="BU36" s="35"/>
      <c r="BV36" s="235"/>
      <c r="BW36" s="235"/>
      <c r="BX36" s="36"/>
      <c r="BY36" s="33"/>
      <c r="BZ36" s="34"/>
      <c r="CA36" s="35"/>
      <c r="CB36" s="35"/>
      <c r="CC36" s="235"/>
      <c r="CD36" s="235"/>
      <c r="CE36" s="36"/>
      <c r="CF36" s="30"/>
      <c r="CG36" s="30"/>
      <c r="CH36" s="34"/>
      <c r="CI36" s="50"/>
      <c r="CJ36" s="33"/>
      <c r="CK36" s="33"/>
      <c r="CL36" s="35"/>
      <c r="CM36" s="36"/>
      <c r="CN36" s="270"/>
      <c r="CO36" s="249">
        <f t="shared" si="30"/>
        <v>0</v>
      </c>
      <c r="CP36" s="12">
        <f t="shared" si="30"/>
        <v>0</v>
      </c>
      <c r="CQ36" s="12">
        <f t="shared" si="30"/>
        <v>0</v>
      </c>
      <c r="CR36" s="12">
        <f t="shared" si="30"/>
        <v>0</v>
      </c>
      <c r="CS36" s="11">
        <f t="shared" si="30"/>
        <v>0</v>
      </c>
      <c r="CT36" s="11">
        <f t="shared" si="30"/>
        <v>0</v>
      </c>
      <c r="CU36" s="272">
        <f t="shared" si="30"/>
        <v>0</v>
      </c>
      <c r="CV36" s="249">
        <f t="shared" si="13"/>
        <v>0</v>
      </c>
      <c r="CW36" s="12">
        <f t="shared" si="13"/>
        <v>0</v>
      </c>
      <c r="CX36" s="249">
        <f t="shared" si="13"/>
        <v>0</v>
      </c>
      <c r="CY36" s="274">
        <f t="shared" si="13"/>
        <v>0</v>
      </c>
      <c r="CZ36" s="13"/>
      <c r="DA36" s="240" t="e">
        <f>(D36+'[2]февраль 20'!D36)/(AY36+'[2]февраль 20'!AX36)</f>
        <v>#DIV/0!</v>
      </c>
      <c r="DB36" s="241" t="e">
        <f>(T36+'[2]февраль 20'!R36)/(AY36+'[2]февраль 20'!AX36)</f>
        <v>#DIV/0!</v>
      </c>
      <c r="DD36" s="292">
        <f t="shared" si="14"/>
        <v>0</v>
      </c>
      <c r="DE36" s="291"/>
      <c r="DF36" s="291"/>
      <c r="DG36" s="145">
        <f t="shared" si="15"/>
        <v>0</v>
      </c>
      <c r="DH36" s="293">
        <f t="shared" si="28"/>
        <v>0</v>
      </c>
      <c r="DJ36" s="322">
        <f t="shared" si="31"/>
        <v>0</v>
      </c>
    </row>
    <row r="37" spans="1:114" s="76" customFormat="1" ht="16.5" customHeight="1" thickBot="1">
      <c r="A37" s="186">
        <v>31</v>
      </c>
      <c r="B37" s="122">
        <f>'[1]февраль 20'!K36</f>
        <v>0</v>
      </c>
      <c r="C37" s="123">
        <f t="shared" si="16"/>
        <v>0</v>
      </c>
      <c r="D37" s="187">
        <f t="shared" si="17"/>
        <v>0</v>
      </c>
      <c r="E37" s="285">
        <f t="shared" si="18"/>
        <v>0</v>
      </c>
      <c r="F37" s="189">
        <f t="shared" si="19"/>
        <v>0</v>
      </c>
      <c r="G37" s="127"/>
      <c r="H37" s="126">
        <f t="shared" si="20"/>
        <v>0</v>
      </c>
      <c r="I37" s="230">
        <f>'[1]июль 20'!AI36</f>
        <v>0</v>
      </c>
      <c r="J37" s="277">
        <f>'[1]февраль 20'!AA36</f>
        <v>0</v>
      </c>
      <c r="K37" s="276">
        <f>'[1]сентябрь 20'!AM36</f>
        <v>0</v>
      </c>
      <c r="L37" s="122">
        <f>'[1]февраль 20'!AE36</f>
        <v>0</v>
      </c>
      <c r="M37" s="128">
        <f t="shared" si="21"/>
        <v>0</v>
      </c>
      <c r="N37" s="128">
        <f>'[1]февраль 20'!W36</f>
        <v>0</v>
      </c>
      <c r="O37" s="399">
        <f>'[1]февраль 20'!AU36</f>
        <v>0</v>
      </c>
      <c r="P37" s="125">
        <f t="shared" si="0"/>
        <v>0</v>
      </c>
      <c r="Q37" s="122">
        <f>'[1]февраль 20'!S36</f>
        <v>0</v>
      </c>
      <c r="R37" s="123">
        <f t="shared" si="22"/>
        <v>0</v>
      </c>
      <c r="S37" s="190"/>
      <c r="T37" s="125">
        <f t="shared" si="1"/>
        <v>0</v>
      </c>
      <c r="U37" s="191">
        <f t="shared" si="2"/>
        <v>0</v>
      </c>
      <c r="V37" s="192"/>
      <c r="W37" s="192"/>
      <c r="X37" s="190"/>
      <c r="Y37" s="193"/>
      <c r="Z37" s="194"/>
      <c r="AA37" s="195"/>
      <c r="AB37" s="196"/>
      <c r="AC37" s="194"/>
      <c r="AD37" s="193"/>
      <c r="AE37" s="196"/>
      <c r="AF37" s="134">
        <f t="shared" si="3"/>
        <v>0</v>
      </c>
      <c r="AG37" s="197"/>
      <c r="AH37" s="190"/>
      <c r="AI37" s="134">
        <f t="shared" si="4"/>
        <v>0</v>
      </c>
      <c r="AJ37" s="196"/>
      <c r="AK37" s="198"/>
      <c r="AL37" s="199"/>
      <c r="AM37" s="200"/>
      <c r="AN37" s="126">
        <f t="shared" si="23"/>
        <v>0</v>
      </c>
      <c r="AO37" s="201"/>
      <c r="AP37" s="200"/>
      <c r="AQ37" s="201"/>
      <c r="AR37" s="193"/>
      <c r="AS37" s="196"/>
      <c r="AT37" s="242"/>
      <c r="AU37" s="196"/>
      <c r="AV37" s="196"/>
      <c r="AW37" s="196"/>
      <c r="AX37" s="202">
        <f t="shared" si="5"/>
        <v>0</v>
      </c>
      <c r="AY37" s="188">
        <f t="shared" si="6"/>
        <v>0</v>
      </c>
      <c r="AZ37" s="125">
        <f t="shared" si="29"/>
        <v>0</v>
      </c>
      <c r="BA37" s="203">
        <f t="shared" si="7"/>
        <v>0</v>
      </c>
      <c r="BB37" s="204">
        <f t="shared" si="8"/>
        <v>0</v>
      </c>
      <c r="BC37" s="205">
        <f t="shared" si="9"/>
        <v>0</v>
      </c>
      <c r="BD37" s="206">
        <f t="shared" si="24"/>
        <v>0</v>
      </c>
      <c r="BE37" s="207"/>
      <c r="BF37" s="25">
        <f t="shared" si="25"/>
        <v>3735.2300000000005</v>
      </c>
      <c r="BG37" s="25">
        <f t="shared" si="10"/>
        <v>0</v>
      </c>
      <c r="BH37" s="25">
        <f t="shared" si="26"/>
        <v>3612.0000000000009</v>
      </c>
      <c r="BI37" s="26">
        <f t="shared" si="11"/>
        <v>0</v>
      </c>
      <c r="BJ37" s="37">
        <f t="shared" si="27"/>
        <v>3612.0000000000009</v>
      </c>
      <c r="BK37" s="51"/>
      <c r="BL37" s="53"/>
      <c r="BM37" s="53"/>
      <c r="BN37" s="53"/>
      <c r="BO37" s="282"/>
      <c r="BP37" s="282"/>
      <c r="BQ37" s="54"/>
      <c r="BR37" s="55"/>
      <c r="BS37" s="52"/>
      <c r="BT37" s="56"/>
      <c r="BU37" s="56"/>
      <c r="BV37" s="284"/>
      <c r="BW37" s="284"/>
      <c r="BX37" s="57"/>
      <c r="BY37" s="55"/>
      <c r="BZ37" s="52"/>
      <c r="CA37" s="56"/>
      <c r="CB37" s="56"/>
      <c r="CC37" s="284"/>
      <c r="CD37" s="284"/>
      <c r="CE37" s="57"/>
      <c r="CF37" s="58"/>
      <c r="CG37" s="58"/>
      <c r="CH37" s="52"/>
      <c r="CI37" s="54"/>
      <c r="CJ37" s="33"/>
      <c r="CK37" s="265"/>
      <c r="CL37" s="59"/>
      <c r="CM37" s="60"/>
      <c r="CN37" s="270"/>
      <c r="CO37" s="269">
        <f t="shared" si="30"/>
        <v>0</v>
      </c>
      <c r="CP37" s="18">
        <f t="shared" si="30"/>
        <v>0</v>
      </c>
      <c r="CQ37" s="18">
        <f t="shared" si="30"/>
        <v>0</v>
      </c>
      <c r="CR37" s="18">
        <f t="shared" si="30"/>
        <v>0</v>
      </c>
      <c r="CS37" s="251">
        <f t="shared" si="30"/>
        <v>0</v>
      </c>
      <c r="CT37" s="11">
        <f t="shared" si="30"/>
        <v>0</v>
      </c>
      <c r="CU37" s="273">
        <f t="shared" si="30"/>
        <v>0</v>
      </c>
      <c r="CV37" s="269">
        <f t="shared" si="13"/>
        <v>0</v>
      </c>
      <c r="CW37" s="18">
        <f t="shared" si="13"/>
        <v>0</v>
      </c>
      <c r="CX37" s="261">
        <f t="shared" si="13"/>
        <v>0</v>
      </c>
      <c r="CY37" s="273">
        <f t="shared" si="13"/>
        <v>0</v>
      </c>
      <c r="CZ37" s="13"/>
      <c r="DA37" s="240" t="e">
        <f>(D37+'[2]февраль 20'!D37)/(AY37+'[2]февраль 20'!AX37)</f>
        <v>#DIV/0!</v>
      </c>
      <c r="DB37" s="241" t="e">
        <f>(T37+'[2]февраль 20'!R37)/(AY37+'[2]февраль 20'!AX37)</f>
        <v>#DIV/0!</v>
      </c>
      <c r="DD37" s="292">
        <f t="shared" si="14"/>
        <v>0</v>
      </c>
      <c r="DE37" s="294"/>
      <c r="DF37" s="294"/>
      <c r="DG37" s="323">
        <f t="shared" si="15"/>
        <v>0</v>
      </c>
      <c r="DH37" s="293">
        <f t="shared" si="28"/>
        <v>0</v>
      </c>
      <c r="DJ37" s="322">
        <f t="shared" si="31"/>
        <v>0</v>
      </c>
    </row>
    <row r="38" spans="1:114" s="214" customFormat="1" ht="16.5" customHeight="1" thickBot="1">
      <c r="A38" s="91" t="s">
        <v>56</v>
      </c>
      <c r="B38" s="396">
        <f>SUM(B7:B37)</f>
        <v>8246.4750000000004</v>
      </c>
      <c r="C38" s="330"/>
      <c r="D38" s="331">
        <f>SUM(D7:D37)</f>
        <v>8098.372649387491</v>
      </c>
      <c r="E38" s="332"/>
      <c r="F38" s="331"/>
      <c r="G38" s="333">
        <f>SUM(G7:G37)</f>
        <v>0</v>
      </c>
      <c r="H38" s="329"/>
      <c r="I38" s="334">
        <f>SUM(I7:I37)</f>
        <v>0</v>
      </c>
      <c r="J38" s="329">
        <f>SUM(J7:J37)</f>
        <v>48.571999999999996</v>
      </c>
      <c r="K38" s="329">
        <f>SUM(K7:K37)</f>
        <v>0</v>
      </c>
      <c r="L38" s="396">
        <f>SUM(L7:L37)</f>
        <v>2636.9040000000005</v>
      </c>
      <c r="M38" s="335"/>
      <c r="N38" s="329">
        <f>SUM(N7:N37)</f>
        <v>0</v>
      </c>
      <c r="O38" s="396">
        <f>SUM(O7:O37)</f>
        <v>254.69599999999994</v>
      </c>
      <c r="P38" s="330">
        <f>SUM(P7:P37)</f>
        <v>5157.4550030000019</v>
      </c>
      <c r="Q38" s="396">
        <f>SUM(Q7:Q37)</f>
        <v>5157.4550000000017</v>
      </c>
      <c r="R38" s="336">
        <f>IF(Q38=0,0,(CA38*CH38+CE38*CI38+CF38*CJ38)/Q38)</f>
        <v>0</v>
      </c>
      <c r="S38" s="398">
        <f>SUM(S7:S37)</f>
        <v>455.53000000000009</v>
      </c>
      <c r="T38" s="331">
        <f>SUM(T7:T37)</f>
        <v>5004.1535679999997</v>
      </c>
      <c r="U38" s="337"/>
      <c r="V38" s="229">
        <f>SUM(V7:V37)</f>
        <v>3410.89</v>
      </c>
      <c r="W38" s="229">
        <f>SUM(W7:W37)</f>
        <v>2355.7200000000003</v>
      </c>
      <c r="X38" s="338"/>
      <c r="Y38" s="337"/>
      <c r="Z38" s="339"/>
      <c r="AA38" s="340"/>
      <c r="AB38" s="338"/>
      <c r="AC38" s="339"/>
      <c r="AD38" s="339">
        <f>SUM(AD7:AD37)</f>
        <v>115</v>
      </c>
      <c r="AE38" s="229">
        <f>SUM(AE7:AE37)</f>
        <v>186.45</v>
      </c>
      <c r="AF38" s="341"/>
      <c r="AG38" s="342">
        <f>SUM(AG7:AG37)</f>
        <v>0</v>
      </c>
      <c r="AH38" s="90">
        <f>SUM(AH7:AH37)</f>
        <v>2394.8499999999995</v>
      </c>
      <c r="AI38" s="341"/>
      <c r="AJ38" s="332">
        <f>SUM(AJ7:AJ37)</f>
        <v>385.49999999999994</v>
      </c>
      <c r="AK38" s="343"/>
      <c r="AL38" s="397">
        <f>SUM(AL7:AL37)</f>
        <v>164.82999999999998</v>
      </c>
      <c r="AM38" s="417">
        <f>SUM(AM7:AM37)</f>
        <v>1019.83</v>
      </c>
      <c r="AN38" s="345"/>
      <c r="AO38" s="342"/>
      <c r="AP38" s="332"/>
      <c r="AQ38" s="342"/>
      <c r="AR38" s="342"/>
      <c r="AS38" s="346"/>
      <c r="AT38" s="332">
        <f>SUM(AT7:AT37)</f>
        <v>4877.9000000000005</v>
      </c>
      <c r="AU38" s="332">
        <f>SUM(AU7:AU37)</f>
        <v>41.99</v>
      </c>
      <c r="AV38" s="347">
        <f>SUM(AV7:AV37)</f>
        <v>0</v>
      </c>
      <c r="AW38" s="332">
        <f>SUM(AW7:AW37)</f>
        <v>0</v>
      </c>
      <c r="AX38" s="331"/>
      <c r="AY38" s="90">
        <f>SUM(AY7:AY37)</f>
        <v>3735.2300000000005</v>
      </c>
      <c r="AZ38" s="330">
        <f>SUM(AZ7:AZ37)</f>
        <v>3727.6007265449612</v>
      </c>
      <c r="BA38" s="342">
        <f>SUM(BA7:BA37)</f>
        <v>179.95616161971833</v>
      </c>
      <c r="BB38" s="342">
        <f>SUM(BB7:BB37)</f>
        <v>149.4092</v>
      </c>
      <c r="BC38" s="332"/>
      <c r="BD38" s="89">
        <f>SUM(BD7:BD37)</f>
        <v>329.36536161971833</v>
      </c>
      <c r="BE38" s="348"/>
      <c r="BF38" s="19"/>
      <c r="BG38" s="19">
        <f t="shared" si="10"/>
        <v>0</v>
      </c>
      <c r="BH38" s="19"/>
      <c r="BI38" s="208">
        <f>SUM(BI7:BI37)</f>
        <v>29</v>
      </c>
      <c r="BJ38" s="209"/>
      <c r="BK38" s="278">
        <f t="shared" ref="BK38:BQ38" si="32">SUM(BK7:BK37)</f>
        <v>9.9999999999999995E-7</v>
      </c>
      <c r="BL38" s="61">
        <f>SUM(BL7:BL37)</f>
        <v>5609.5710000000008</v>
      </c>
      <c r="BM38" s="61">
        <f t="shared" si="32"/>
        <v>9.9999999999999995E-7</v>
      </c>
      <c r="BN38" s="61">
        <f t="shared" si="32"/>
        <v>2636.9040000000005</v>
      </c>
      <c r="BO38" s="61">
        <f t="shared" si="32"/>
        <v>9.9999999999999995E-7</v>
      </c>
      <c r="BP38" s="61">
        <f t="shared" si="32"/>
        <v>9.9999999999999995E-7</v>
      </c>
      <c r="BQ38" s="64">
        <f t="shared" si="32"/>
        <v>9.9999999999999995E-7</v>
      </c>
      <c r="BR38" s="63"/>
      <c r="BS38" s="24"/>
      <c r="BT38" s="24"/>
      <c r="BU38" s="24"/>
      <c r="BV38" s="62"/>
      <c r="BW38" s="62"/>
      <c r="BX38" s="65"/>
      <c r="BY38" s="63"/>
      <c r="BZ38" s="24"/>
      <c r="CA38" s="24"/>
      <c r="CB38" s="24"/>
      <c r="CC38" s="62"/>
      <c r="CD38" s="62"/>
      <c r="CE38" s="62"/>
      <c r="CF38" s="66">
        <f>SUM(CF7:CF37)</f>
        <v>3254.5470000000009</v>
      </c>
      <c r="CG38" s="66">
        <f>SUM(CG7:CG37)</f>
        <v>9.9999999999999995E-7</v>
      </c>
      <c r="CH38" s="61">
        <f>SUM(CH7:CH37)</f>
        <v>1902.908001</v>
      </c>
      <c r="CI38" s="67">
        <f>SUM(CI7:CI37)</f>
        <v>9.9999999999999995E-7</v>
      </c>
      <c r="CJ38" s="210"/>
      <c r="CK38" s="266"/>
      <c r="CL38" s="211"/>
      <c r="CM38" s="212"/>
      <c r="CN38" s="213"/>
      <c r="CO38" s="68">
        <f t="shared" ref="CO38:CY38" si="33">SUM(CO7:CO37)</f>
        <v>9.9999998999999992E-7</v>
      </c>
      <c r="CP38" s="69">
        <f t="shared" si="33"/>
        <v>5461.4686503000003</v>
      </c>
      <c r="CQ38" s="70">
        <f t="shared" si="33"/>
        <v>9.9999998999999992E-7</v>
      </c>
      <c r="CR38" s="69">
        <f t="shared" si="33"/>
        <v>2636.9039990874908</v>
      </c>
      <c r="CS38" s="72">
        <f t="shared" si="33"/>
        <v>9.9999998999999992E-7</v>
      </c>
      <c r="CT38" s="72">
        <f t="shared" si="33"/>
        <v>9.9999998999999992E-7</v>
      </c>
      <c r="CU38" s="71">
        <f t="shared" si="33"/>
        <v>9.9999998999999992E-7</v>
      </c>
      <c r="CV38" s="72">
        <f t="shared" si="33"/>
        <v>3171.8541268000004</v>
      </c>
      <c r="CW38" s="72">
        <f t="shared" si="33"/>
        <v>9.9999998999999992E-7</v>
      </c>
      <c r="CX38" s="72">
        <f t="shared" si="33"/>
        <v>1832.2994422000002</v>
      </c>
      <c r="CY38" s="72">
        <f t="shared" si="33"/>
        <v>9.9999998999999992E-7</v>
      </c>
      <c r="CZ38" s="70"/>
      <c r="DA38" s="240">
        <f>(D38+'[2]февраль 20'!D38)/(AY38+'[2]февраль 20'!AX38)</f>
        <v>2.1246660083888238</v>
      </c>
      <c r="DB38" s="241">
        <f>(T38+'[2]февраль 20'!R38)/(AY38+'[2]февраль 20'!AX38)</f>
        <v>1.3238413332100767</v>
      </c>
      <c r="DD38" s="295">
        <f>SUM(DD7:DD37)</f>
        <v>48.571999999999996</v>
      </c>
      <c r="DE38" s="296">
        <f>(SUMPRODUCT(DD7:DD37,DE7:DE37))/DD38</f>
        <v>0.29353578193197727</v>
      </c>
      <c r="DF38" s="296">
        <f>(SUMPRODUCT(DD7:DD37,DF7:DF37))/DD38</f>
        <v>14.234472947377093</v>
      </c>
      <c r="DG38" s="296">
        <f>(SUMPRODUCT(DE7:DE37,DG7:DG37))/DE38</f>
        <v>48.405947985219413</v>
      </c>
      <c r="DH38" s="324">
        <f>IF(J38=0,0,(DG38*DF38%)/(AB39/100))</f>
        <v>9.0350768149882903</v>
      </c>
    </row>
    <row r="39" spans="1:114" s="214" customFormat="1" ht="16.5" customHeight="1" thickBot="1">
      <c r="A39" s="93" t="s">
        <v>57</v>
      </c>
      <c r="B39" s="349">
        <f>B38/AU2</f>
        <v>284.36120689655172</v>
      </c>
      <c r="C39" s="349">
        <f>(BK38*BR39+BM38*BT39+BQ38*BX39+BL38*BS39+BN38*BU39+BO38*BV39+BP38*BW39)/B38</f>
        <v>1.7959473667537957</v>
      </c>
      <c r="D39" s="350">
        <f>D38/AU2</f>
        <v>279.25422928922382</v>
      </c>
      <c r="E39" s="349">
        <f>(BK38*BY39+BM38*CA39+BQ38*CE39+BL38*BZ39+BN38*CB39+BO38*CC39+BP38*CD39)/B38</f>
        <v>40.098096874118937</v>
      </c>
      <c r="F39" s="351">
        <f>IF($AY$38=0,0,$D$38/$AY$38)</f>
        <v>2.1681054846388284</v>
      </c>
      <c r="G39" s="352">
        <f>G38/AU2</f>
        <v>0</v>
      </c>
      <c r="H39" s="353">
        <f>IF($AY$38=0,0,(CP38+CO38+CS38+CQ38+CT38)/AY38)</f>
        <v>1.4621505648380424</v>
      </c>
      <c r="I39" s="349">
        <f>I38/AU2</f>
        <v>0</v>
      </c>
      <c r="J39" s="349">
        <f>J38/AU2</f>
        <v>1.6748965517241379</v>
      </c>
      <c r="K39" s="349">
        <f>K38/AU2</f>
        <v>0</v>
      </c>
      <c r="L39" s="349">
        <f>L38/AU2</f>
        <v>90.927724137931051</v>
      </c>
      <c r="M39" s="354">
        <f>IF($AY$38=0,0,(CR38+CU38)/$AY$38)</f>
        <v>0.70595492113939173</v>
      </c>
      <c r="N39" s="349">
        <f>N38/AU2</f>
        <v>0</v>
      </c>
      <c r="O39" s="349">
        <f>O38/AU2</f>
        <v>8.78262068965517</v>
      </c>
      <c r="P39" s="349">
        <f>P38/AU2</f>
        <v>177.84327596551731</v>
      </c>
      <c r="Q39" s="349">
        <f>Q38/AU2</f>
        <v>177.84327586206902</v>
      </c>
      <c r="R39" s="349">
        <f>(SUMPRODUCT(R7:R37,Q7:Q37))/Q38</f>
        <v>2.9724240347225521</v>
      </c>
      <c r="S39" s="355">
        <f>S38/AU2</f>
        <v>15.707931034482762</v>
      </c>
      <c r="T39" s="356"/>
      <c r="U39" s="354">
        <f>IF($AY$38=0,0,$T$38/$AY$38)</f>
        <v>1.339717652728212</v>
      </c>
      <c r="V39" s="349">
        <f>V38/AU2</f>
        <v>117.61689655172414</v>
      </c>
      <c r="W39" s="349">
        <f>W38/AU2</f>
        <v>81.231724137931039</v>
      </c>
      <c r="X39" s="349">
        <f>(SUMPRODUCT(X7:X37,AY7:AY37))/AY38</f>
        <v>0.87744433408384492</v>
      </c>
      <c r="Y39" s="357">
        <f>AVERAGE(Y7:Y37)</f>
        <v>500.27586206896552</v>
      </c>
      <c r="Z39" s="357">
        <f>AVERAGE(Z7:Z37)</f>
        <v>1188.7241379310344</v>
      </c>
      <c r="AA39" s="357"/>
      <c r="AB39" s="349">
        <f>(SUMPRODUCT(AB7:AB37,AY7:AY37))/AY38</f>
        <v>76.262014280245097</v>
      </c>
      <c r="AC39" s="358">
        <f>AVERAGE(AC7:AC37)</f>
        <v>113.79310344827586</v>
      </c>
      <c r="AD39" s="358">
        <f>AVERAGE(AD7:AD37)</f>
        <v>3.9655172413793105</v>
      </c>
      <c r="AE39" s="349">
        <f>AE38/AU2</f>
        <v>6.4293103448275861</v>
      </c>
      <c r="AF39" s="355">
        <f>IF(AY38=0,0,AE38/AY38*1000)</f>
        <v>49.916604867705594</v>
      </c>
      <c r="AG39" s="356" t="e">
        <f>AG38/$AW$2</f>
        <v>#DIV/0!</v>
      </c>
      <c r="AH39" s="349">
        <f>AH38/AU2</f>
        <v>82.581034482758596</v>
      </c>
      <c r="AI39" s="355">
        <f>IF(AY38=0,0,AH38/AY38*1000)</f>
        <v>641.1519504822993</v>
      </c>
      <c r="AJ39" s="349">
        <f>AJ38/AU2</f>
        <v>13.293103448275859</v>
      </c>
      <c r="AK39" s="359"/>
      <c r="AL39" s="349">
        <f>AL38/AU2</f>
        <v>5.6837931034482754</v>
      </c>
      <c r="AM39" s="349">
        <f>AM38/AU2</f>
        <v>35.166551724137932</v>
      </c>
      <c r="AN39" s="360">
        <f>IF(AM39=0,0,AM39/AT39)</f>
        <v>0.20907152668156376</v>
      </c>
      <c r="AO39" s="356"/>
      <c r="AP39" s="349">
        <f>AVERAGE(AP7:AP37)</f>
        <v>10.951034482758619</v>
      </c>
      <c r="AQ39" s="349">
        <f>AVERAGE(AQ7:AQ37)</f>
        <v>6.452068965517241</v>
      </c>
      <c r="AR39" s="356"/>
      <c r="AS39" s="349">
        <f>AVERAGE(AS7:AS37)</f>
        <v>9.4365517241379298</v>
      </c>
      <c r="AT39" s="349">
        <f>AT38/AU2</f>
        <v>168.20344827586209</v>
      </c>
      <c r="AU39" s="349">
        <f>AU38/AU2</f>
        <v>1.4479310344827587</v>
      </c>
      <c r="AV39" s="349" t="e">
        <f>AV38/$AW$2</f>
        <v>#DIV/0!</v>
      </c>
      <c r="AW39" s="349" t="e">
        <f>AW38/$AW$2</f>
        <v>#DIV/0!</v>
      </c>
      <c r="AX39" s="349" t="e">
        <f>IF(AY39=0,0,AW39/AY39*100)</f>
        <v>#DIV/0!</v>
      </c>
      <c r="AY39" s="349">
        <f>AY38/AU2</f>
        <v>128.80103448275864</v>
      </c>
      <c r="AZ39" s="349">
        <f>AZ38/AU2</f>
        <v>128.53795608775729</v>
      </c>
      <c r="BA39" s="356"/>
      <c r="BB39" s="356"/>
      <c r="BC39" s="351">
        <f>(AY38*AB39)/(D38*E39)</f>
        <v>0.87721106900669044</v>
      </c>
      <c r="BD39" s="349">
        <f>BD38/AU2</f>
        <v>11.357426262748907</v>
      </c>
      <c r="BE39" s="361"/>
      <c r="BF39" s="19"/>
      <c r="BG39" s="19"/>
      <c r="BH39" s="19"/>
      <c r="BI39" s="19"/>
      <c r="BJ39" s="215"/>
      <c r="BK39" s="73"/>
      <c r="BL39" s="216"/>
      <c r="BM39" s="216"/>
      <c r="BN39" s="216"/>
      <c r="BO39" s="219"/>
      <c r="BP39" s="219"/>
      <c r="BQ39" s="217"/>
      <c r="BR39" s="73">
        <f t="shared" ref="BR39:BX39" si="34">(SUMPRODUCT(BK7:BK37,BR7:BR37))/BK38</f>
        <v>9.9999999999999995E-7</v>
      </c>
      <c r="BS39" s="29">
        <f>(SUMPRODUCT(BL7:BL37,BS7:BS37))/BL38</f>
        <v>2.6401724784301686</v>
      </c>
      <c r="BT39" s="29">
        <f t="shared" si="34"/>
        <v>9.9999999999999995E-7</v>
      </c>
      <c r="BU39" s="29">
        <f t="shared" si="34"/>
        <v>3.4605355371299065E-8</v>
      </c>
      <c r="BV39" s="29">
        <f t="shared" si="34"/>
        <v>9.9999999999999995E-7</v>
      </c>
      <c r="BW39" s="29">
        <f t="shared" si="34"/>
        <v>9.9999999999999995E-7</v>
      </c>
      <c r="BX39" s="74">
        <f t="shared" si="34"/>
        <v>9.9999999999999995E-7</v>
      </c>
      <c r="BY39" s="73">
        <f t="shared" ref="BY39:CE39" si="35">(SUMPRODUCT(BK7:BK37,BY7:BY37))/BK38</f>
        <v>9.9999999999999995E-7</v>
      </c>
      <c r="BZ39" s="29">
        <f t="shared" si="35"/>
        <v>37.395975572820092</v>
      </c>
      <c r="CA39" s="29">
        <f t="shared" si="35"/>
        <v>9.9999999999999995E-7</v>
      </c>
      <c r="CB39" s="29">
        <f t="shared" si="35"/>
        <v>45.846406744424513</v>
      </c>
      <c r="CC39" s="29">
        <f t="shared" si="35"/>
        <v>9.9999999999999995E-7</v>
      </c>
      <c r="CD39" s="29">
        <f t="shared" si="35"/>
        <v>9.9999999999999995E-7</v>
      </c>
      <c r="CE39" s="74">
        <f t="shared" si="35"/>
        <v>9.9999999999999995E-7</v>
      </c>
      <c r="CF39" s="218"/>
      <c r="CG39" s="218"/>
      <c r="CH39" s="216"/>
      <c r="CI39" s="219"/>
      <c r="CJ39" s="75">
        <f>(SUMPRODUCT(CF7:CF37,CJ7:CJ37))/CF38</f>
        <v>2.5408412660809621</v>
      </c>
      <c r="CK39" s="75">
        <f>(SUMPRODUCT(CG7:CG37,CK7:CK37))/CG38</f>
        <v>9.9999999999999995E-7</v>
      </c>
      <c r="CL39" s="29">
        <f>(SUMPRODUCT(CH7:CH37,CL7:CL37))/CH38</f>
        <v>3.7105608239018606</v>
      </c>
      <c r="CM39" s="74">
        <f>(SUMPRODUCT(CI7:CI37,CM7:CM37))/CI38</f>
        <v>9.9999999999999995E-7</v>
      </c>
      <c r="CN39" s="19"/>
      <c r="CO39" s="596">
        <f>CO38+CP38</f>
        <v>5461.4686513000006</v>
      </c>
      <c r="CP39" s="596"/>
      <c r="CQ39" s="597">
        <f>CQ38+CR38+CU38+CS38+CT38</f>
        <v>2636.9040030874903</v>
      </c>
      <c r="CR39" s="597"/>
      <c r="CS39" s="597"/>
      <c r="CT39" s="597"/>
      <c r="CU39" s="597"/>
      <c r="CV39" s="597">
        <f>CV38+CX38+CY38+CW38</f>
        <v>5004.1535710000007</v>
      </c>
      <c r="CW39" s="597"/>
      <c r="CX39" s="597"/>
      <c r="CY39" s="597"/>
      <c r="DA39" s="236"/>
      <c r="DB39" s="238"/>
      <c r="DD39" s="297"/>
      <c r="DE39" s="298"/>
      <c r="DF39" s="298"/>
      <c r="DG39" s="299"/>
      <c r="DH39" s="300"/>
    </row>
    <row r="40" spans="1:114" s="214" customFormat="1" ht="16.5" customHeight="1" thickBot="1">
      <c r="A40" s="94" t="s">
        <v>58</v>
      </c>
      <c r="B40" s="362"/>
      <c r="C40" s="362"/>
      <c r="D40" s="363"/>
      <c r="E40" s="364">
        <v>39</v>
      </c>
      <c r="F40" s="363">
        <v>2.08</v>
      </c>
      <c r="G40" s="365"/>
      <c r="H40" s="363">
        <v>1.456</v>
      </c>
      <c r="I40" s="363"/>
      <c r="J40" s="363">
        <v>10.586919999999999</v>
      </c>
      <c r="K40" s="363"/>
      <c r="L40" s="363"/>
      <c r="M40" s="363">
        <v>0.624</v>
      </c>
      <c r="N40" s="363"/>
      <c r="O40" s="363">
        <v>10.088711999999999</v>
      </c>
      <c r="P40" s="366"/>
      <c r="Q40" s="362"/>
      <c r="R40" s="367"/>
      <c r="S40" s="368">
        <v>14.572584000000001</v>
      </c>
      <c r="T40" s="362"/>
      <c r="U40" s="369">
        <v>1.2949999999999999</v>
      </c>
      <c r="V40" s="370">
        <v>3612</v>
      </c>
      <c r="W40" s="370">
        <v>3612</v>
      </c>
      <c r="X40" s="371"/>
      <c r="Y40" s="371"/>
      <c r="Z40" s="372">
        <v>1190</v>
      </c>
      <c r="AA40" s="372"/>
      <c r="AB40" s="362">
        <v>76</v>
      </c>
      <c r="AC40" s="362"/>
      <c r="AD40" s="362"/>
      <c r="AE40" s="362"/>
      <c r="AF40" s="362"/>
      <c r="AG40" s="362"/>
      <c r="AH40" s="362"/>
      <c r="AI40" s="362">
        <v>600</v>
      </c>
      <c r="AJ40" s="373"/>
      <c r="AK40" s="374"/>
      <c r="AL40" s="375"/>
      <c r="AM40" s="362"/>
      <c r="AN40" s="362"/>
      <c r="AO40" s="362"/>
      <c r="AP40" s="362"/>
      <c r="AQ40" s="362"/>
      <c r="AR40" s="362"/>
      <c r="AS40" s="362"/>
      <c r="AT40" s="376">
        <v>3612</v>
      </c>
      <c r="AU40" s="377">
        <v>25.3</v>
      </c>
      <c r="AV40" s="377"/>
      <c r="AW40" s="378"/>
      <c r="AX40" s="362"/>
      <c r="AY40" s="379">
        <v>124.55</v>
      </c>
      <c r="AZ40" s="362"/>
      <c r="BA40" s="362"/>
      <c r="BB40" s="362"/>
      <c r="BC40" s="363">
        <v>0.9</v>
      </c>
      <c r="BD40" s="362"/>
      <c r="BE40" s="380"/>
      <c r="BF40" s="19"/>
      <c r="BG40" s="19"/>
      <c r="BH40" s="19"/>
      <c r="BI40" s="19"/>
      <c r="BJ40" s="215"/>
      <c r="BK40" s="220"/>
      <c r="BL40" s="221"/>
      <c r="BM40" s="216"/>
      <c r="BN40" s="216"/>
      <c r="BO40" s="219"/>
      <c r="BP40" s="219"/>
      <c r="BQ40" s="217"/>
      <c r="BR40" s="218"/>
      <c r="BS40" s="216"/>
      <c r="BT40" s="216"/>
      <c r="BU40" s="216"/>
      <c r="BV40" s="219"/>
      <c r="BW40" s="219"/>
      <c r="BX40" s="217"/>
      <c r="BY40" s="218"/>
      <c r="BZ40" s="216"/>
      <c r="CA40" s="216"/>
      <c r="CB40" s="216"/>
      <c r="CC40" s="219"/>
      <c r="CD40" s="219"/>
      <c r="CE40" s="217"/>
      <c r="CF40" s="218"/>
      <c r="CG40" s="218"/>
      <c r="CH40" s="216"/>
      <c r="CI40" s="219"/>
      <c r="CJ40" s="220"/>
      <c r="CK40" s="218"/>
      <c r="CL40" s="216"/>
      <c r="CM40" s="217"/>
      <c r="CN40" s="213"/>
      <c r="CO40" s="604">
        <f>CO39+CQ39</f>
        <v>8098.3726543874909</v>
      </c>
      <c r="CP40" s="604"/>
      <c r="CQ40" s="604"/>
      <c r="CR40" s="604"/>
      <c r="CS40" s="604"/>
      <c r="CT40" s="604"/>
      <c r="CU40" s="604"/>
      <c r="DA40" s="237"/>
      <c r="DB40" s="239"/>
      <c r="DD40" s="301"/>
      <c r="DE40" s="302"/>
      <c r="DF40" s="302"/>
      <c r="DG40" s="303"/>
      <c r="DH40" s="304"/>
    </row>
    <row r="41" spans="1:114" s="214" customFormat="1" ht="16.5" customHeight="1" thickBot="1">
      <c r="A41" s="95" t="s">
        <v>59</v>
      </c>
      <c r="B41" s="381"/>
      <c r="C41" s="381"/>
      <c r="D41" s="382"/>
      <c r="E41" s="381"/>
      <c r="F41" s="383">
        <f>F39-F40</f>
        <v>8.810548463882828E-2</v>
      </c>
      <c r="G41" s="384">
        <f>G39-G40</f>
        <v>0</v>
      </c>
      <c r="H41" s="383"/>
      <c r="I41" s="385">
        <f>I39-I40</f>
        <v>0</v>
      </c>
      <c r="J41" s="385"/>
      <c r="K41" s="385"/>
      <c r="L41" s="385"/>
      <c r="M41" s="385"/>
      <c r="N41" s="385"/>
      <c r="O41" s="385"/>
      <c r="P41" s="383"/>
      <c r="Q41" s="386"/>
      <c r="R41" s="385">
        <f>R39-R40</f>
        <v>2.9724240347225521</v>
      </c>
      <c r="S41" s="386"/>
      <c r="T41" s="386"/>
      <c r="U41" s="383">
        <f>U39-U40</f>
        <v>4.4717652728212043E-2</v>
      </c>
      <c r="V41" s="383"/>
      <c r="W41" s="383"/>
      <c r="X41" s="383"/>
      <c r="Y41" s="383"/>
      <c r="Z41" s="387">
        <f>Z39-Z40</f>
        <v>-1.27586206896558</v>
      </c>
      <c r="AA41" s="388"/>
      <c r="AB41" s="381"/>
      <c r="AC41" s="381"/>
      <c r="AD41" s="381"/>
      <c r="AE41" s="381"/>
      <c r="AF41" s="381"/>
      <c r="AG41" s="381"/>
      <c r="AH41" s="381"/>
      <c r="AI41" s="381"/>
      <c r="AJ41" s="381"/>
      <c r="AK41" s="389"/>
      <c r="AL41" s="390"/>
      <c r="AM41" s="381"/>
      <c r="AN41" s="381"/>
      <c r="AO41" s="381"/>
      <c r="AP41" s="381"/>
      <c r="AQ41" s="381"/>
      <c r="AR41" s="381"/>
      <c r="AS41" s="381"/>
      <c r="AT41" s="391">
        <f>AT38+AV38-AT40</f>
        <v>1265.9000000000005</v>
      </c>
      <c r="AU41" s="392"/>
      <c r="AV41" s="393"/>
      <c r="AW41" s="390"/>
      <c r="AX41" s="381"/>
      <c r="AY41" s="385"/>
      <c r="AZ41" s="381"/>
      <c r="BA41" s="381"/>
      <c r="BB41" s="381"/>
      <c r="BC41" s="394"/>
      <c r="BD41" s="381"/>
      <c r="BE41" s="395"/>
      <c r="BF41" s="222"/>
      <c r="BG41" s="222"/>
      <c r="BH41" s="222"/>
      <c r="BI41" s="222"/>
      <c r="BJ41" s="222"/>
      <c r="BK41" s="223"/>
      <c r="BL41" s="224"/>
      <c r="BM41" s="225"/>
      <c r="BN41" s="225"/>
      <c r="BO41" s="224"/>
      <c r="BP41" s="224"/>
      <c r="BQ41" s="226"/>
      <c r="BR41" s="227"/>
      <c r="BS41" s="225"/>
      <c r="BT41" s="225"/>
      <c r="BU41" s="225"/>
      <c r="BV41" s="224"/>
      <c r="BW41" s="224"/>
      <c r="BX41" s="224"/>
      <c r="BY41" s="228"/>
      <c r="BZ41" s="225"/>
      <c r="CA41" s="225"/>
      <c r="CB41" s="225"/>
      <c r="CC41" s="224"/>
      <c r="CD41" s="224"/>
      <c r="CE41" s="226"/>
      <c r="CF41" s="227"/>
      <c r="CG41" s="227"/>
      <c r="CH41" s="225"/>
      <c r="CI41" s="224"/>
      <c r="CJ41" s="228"/>
      <c r="CK41" s="227"/>
      <c r="CL41" s="225"/>
      <c r="CM41" s="226"/>
      <c r="CN41" s="213"/>
      <c r="CO41" s="213"/>
      <c r="CP41" s="213"/>
      <c r="CQ41" s="213"/>
      <c r="DA41" s="21"/>
      <c r="DH41" s="309"/>
    </row>
    <row r="42" spans="1:114" ht="15" hidden="1" customHeight="1">
      <c r="A42" s="96"/>
      <c r="B42" s="96"/>
      <c r="C42" s="96"/>
      <c r="D42" s="97"/>
      <c r="E42" s="96"/>
      <c r="F42" s="98"/>
      <c r="G42" s="99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1"/>
      <c r="AF42" s="101"/>
      <c r="AG42" s="100"/>
      <c r="AH42" s="100"/>
      <c r="AI42" s="100"/>
      <c r="AJ42" s="100"/>
      <c r="AK42" s="100"/>
      <c r="AL42" s="100"/>
      <c r="AM42" s="100"/>
      <c r="AN42" s="100"/>
      <c r="AO42" s="100"/>
      <c r="AP42" s="100"/>
      <c r="AQ42" s="100"/>
      <c r="AR42" s="100"/>
      <c r="AS42" s="96"/>
      <c r="AT42" s="612"/>
      <c r="AU42" s="612"/>
      <c r="AV42" s="612"/>
      <c r="AW42" s="96"/>
      <c r="AX42" s="96"/>
      <c r="AY42" s="100"/>
      <c r="AZ42" s="100"/>
      <c r="BA42" s="100"/>
      <c r="BB42" s="100"/>
      <c r="BC42" s="100"/>
      <c r="BD42" s="100"/>
      <c r="BE42" s="100"/>
      <c r="BK42" s="20"/>
      <c r="BL42" s="20"/>
      <c r="BM42" s="20"/>
    </row>
    <row r="43" spans="1:114">
      <c r="A43" s="100"/>
      <c r="B43" s="100"/>
      <c r="C43" s="100"/>
      <c r="D43" s="102"/>
      <c r="E43" s="100"/>
      <c r="F43" s="100"/>
      <c r="G43" s="96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1"/>
      <c r="AF43" s="101"/>
      <c r="AG43" s="100"/>
      <c r="AH43" s="100"/>
      <c r="AI43" s="100"/>
      <c r="AJ43" s="100"/>
      <c r="AK43" s="100"/>
      <c r="AL43" s="100"/>
      <c r="AM43" s="100"/>
      <c r="AN43" s="100"/>
      <c r="AO43" s="100"/>
      <c r="AP43" s="100"/>
      <c r="AQ43" s="100"/>
      <c r="AR43" s="100"/>
      <c r="AS43" s="96" t="s">
        <v>60</v>
      </c>
      <c r="AT43" s="103">
        <f>AT40/BE43</f>
        <v>124.55172413793103</v>
      </c>
      <c r="AU43" s="104"/>
      <c r="AV43" s="96"/>
      <c r="AW43" s="96" t="s">
        <v>61</v>
      </c>
      <c r="AX43" s="96"/>
      <c r="AY43" s="100"/>
      <c r="AZ43" s="100"/>
      <c r="BA43" s="100"/>
      <c r="BB43" s="100"/>
      <c r="BC43" s="100"/>
      <c r="BD43" s="105" t="s">
        <v>62</v>
      </c>
      <c r="BE43" s="100">
        <v>29</v>
      </c>
    </row>
    <row r="44" spans="1:114" ht="12" customHeight="1">
      <c r="A44" s="100"/>
      <c r="B44" s="100"/>
      <c r="C44" s="100"/>
      <c r="D44" s="102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100"/>
      <c r="AG44" s="100"/>
      <c r="AH44" s="100"/>
      <c r="AI44" s="100"/>
      <c r="AJ44" s="100"/>
      <c r="AK44" s="100"/>
      <c r="AL44" s="100"/>
      <c r="AM44" s="100"/>
      <c r="AN44" s="100"/>
      <c r="AO44" s="100"/>
      <c r="AP44" s="100"/>
      <c r="AQ44" s="100"/>
      <c r="AR44" s="100"/>
      <c r="AS44" s="100"/>
      <c r="AT44" s="100"/>
      <c r="AU44" s="100"/>
      <c r="AV44" s="100"/>
      <c r="AW44" s="100"/>
      <c r="AX44" s="100"/>
      <c r="AY44" s="100"/>
      <c r="AZ44" s="100"/>
      <c r="BA44" s="100"/>
      <c r="BB44" s="100"/>
      <c r="BC44" s="100"/>
      <c r="BD44" s="96"/>
      <c r="BE44" s="96"/>
    </row>
    <row r="45" spans="1:114" ht="13.5" thickBot="1">
      <c r="A45" s="100"/>
      <c r="B45" s="100"/>
      <c r="C45" s="100"/>
      <c r="D45" s="102"/>
      <c r="E45" s="100"/>
      <c r="F45" s="100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101"/>
      <c r="AE45" s="101"/>
      <c r="AF45" s="101"/>
      <c r="AG45" s="100"/>
      <c r="AH45" s="100"/>
      <c r="AI45" s="100"/>
      <c r="AJ45" s="100"/>
      <c r="AK45" s="100"/>
      <c r="AL45" s="100"/>
      <c r="AM45" s="106" t="s">
        <v>63</v>
      </c>
      <c r="AN45" s="106"/>
      <c r="AO45" s="106"/>
      <c r="AP45" s="106"/>
      <c r="AQ45" s="106"/>
      <c r="AR45" s="106"/>
      <c r="AS45" s="107" t="s">
        <v>64</v>
      </c>
      <c r="AT45" s="108">
        <v>28</v>
      </c>
      <c r="AU45" s="108"/>
      <c r="AV45" s="100"/>
      <c r="AW45" s="100"/>
      <c r="AX45" s="100"/>
      <c r="AY45" s="100"/>
      <c r="AZ45" s="100"/>
      <c r="BA45" s="100"/>
      <c r="BB45" s="100"/>
      <c r="BC45" s="100"/>
      <c r="BD45" s="96"/>
      <c r="BE45" s="96"/>
      <c r="BS45" s="1"/>
      <c r="CF45" s="1"/>
      <c r="CR45">
        <v>8098.3729999999996</v>
      </c>
    </row>
    <row r="46" spans="1:114" ht="12.75" customHeight="1" thickBot="1">
      <c r="A46" s="100"/>
      <c r="B46" s="100"/>
      <c r="C46" s="109" t="s">
        <v>65</v>
      </c>
      <c r="D46" s="102"/>
      <c r="E46" s="100"/>
      <c r="F46" s="100"/>
      <c r="G46" s="100"/>
      <c r="H46" s="100"/>
      <c r="I46" s="100"/>
      <c r="J46" s="100"/>
      <c r="K46" s="100"/>
      <c r="L46" s="110">
        <f>AT38/AD38</f>
        <v>42.416521739130438</v>
      </c>
      <c r="M46" s="109" t="s">
        <v>88</v>
      </c>
      <c r="N46" s="606"/>
      <c r="O46" s="606"/>
      <c r="P46" s="111"/>
      <c r="Q46" s="100"/>
      <c r="R46" s="100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101"/>
      <c r="AE46" s="101"/>
      <c r="AF46" s="101"/>
      <c r="AG46" s="100"/>
      <c r="AH46" s="100"/>
      <c r="AI46" s="100"/>
      <c r="AJ46" s="100"/>
      <c r="AK46" s="100"/>
      <c r="AL46" s="100"/>
      <c r="AM46" s="100"/>
      <c r="AN46" s="100"/>
      <c r="AO46" s="106"/>
      <c r="AP46" s="106"/>
      <c r="AQ46" s="106"/>
      <c r="AR46" s="106"/>
      <c r="AS46" s="107" t="s">
        <v>66</v>
      </c>
      <c r="AT46" s="112">
        <f>AT40/AT45</f>
        <v>129</v>
      </c>
      <c r="AU46" s="112"/>
      <c r="AV46" s="100"/>
      <c r="AW46" s="100"/>
      <c r="AX46" s="100">
        <v>0</v>
      </c>
      <c r="AY46" s="100"/>
      <c r="AZ46" s="607" t="s">
        <v>67</v>
      </c>
      <c r="BA46" s="607"/>
      <c r="BB46" s="607"/>
      <c r="BC46" s="607"/>
      <c r="BD46" s="607"/>
      <c r="BE46" s="607"/>
    </row>
    <row r="47" spans="1:114">
      <c r="A47" s="100"/>
      <c r="B47" s="100"/>
      <c r="C47" s="100"/>
      <c r="D47" s="102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100"/>
      <c r="AI47" s="100"/>
      <c r="AJ47" s="100"/>
      <c r="AK47" s="100"/>
      <c r="AL47" s="100"/>
      <c r="AM47" s="100"/>
      <c r="AN47" s="100"/>
      <c r="AO47" s="100"/>
      <c r="AP47" s="100"/>
      <c r="AQ47" s="100"/>
      <c r="AR47" s="100"/>
      <c r="AS47" s="100"/>
      <c r="AT47" s="100"/>
      <c r="AU47" s="100"/>
      <c r="AV47" s="100"/>
      <c r="AW47" s="100"/>
      <c r="AX47" s="100"/>
      <c r="AY47" s="100"/>
      <c r="AZ47" s="607"/>
      <c r="BA47" s="607"/>
      <c r="BB47" s="607"/>
      <c r="BC47" s="607"/>
      <c r="BD47" s="607"/>
      <c r="BE47" s="607"/>
    </row>
    <row r="48" spans="1:114">
      <c r="A48" s="100"/>
      <c r="B48" s="100"/>
      <c r="C48" s="100"/>
      <c r="D48" s="102"/>
      <c r="E48" s="100"/>
      <c r="F48" s="100"/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13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  <c r="AE48" s="100"/>
      <c r="AF48" s="100"/>
      <c r="AG48" s="100"/>
      <c r="AH48" s="100"/>
      <c r="AI48" s="100"/>
      <c r="AJ48" s="100"/>
      <c r="AK48" s="100"/>
      <c r="AL48" s="100"/>
      <c r="AM48" s="100"/>
      <c r="AN48" s="100"/>
      <c r="AO48" s="100"/>
      <c r="AP48" s="100"/>
      <c r="AQ48" s="100"/>
      <c r="AR48" s="100"/>
      <c r="AS48" s="100"/>
      <c r="AT48" s="100"/>
      <c r="AU48" s="100"/>
      <c r="AV48" s="100"/>
      <c r="AW48" s="100"/>
      <c r="AX48" s="100"/>
      <c r="AY48" s="100"/>
      <c r="AZ48" s="608">
        <f>BF37-BJ37</f>
        <v>123.22999999999956</v>
      </c>
      <c r="BA48" s="608"/>
      <c r="BB48" s="608"/>
      <c r="BC48" s="608"/>
      <c r="BD48" s="609" t="s">
        <v>68</v>
      </c>
      <c r="BE48" s="114"/>
    </row>
    <row r="49" spans="1:57" ht="12" customHeight="1">
      <c r="A49" s="100"/>
      <c r="B49" s="100"/>
      <c r="C49" s="100"/>
      <c r="D49" s="102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15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100"/>
      <c r="AI49" s="100"/>
      <c r="AJ49" s="100"/>
      <c r="AK49" s="100"/>
      <c r="AL49" s="100"/>
      <c r="AM49" s="100"/>
      <c r="AN49" s="100"/>
      <c r="AO49" s="100"/>
      <c r="AP49" s="100"/>
      <c r="AQ49" s="100"/>
      <c r="AR49" s="100"/>
      <c r="AS49" s="100"/>
      <c r="AT49" s="100"/>
      <c r="AU49" s="100"/>
      <c r="AV49" s="100"/>
      <c r="AW49" s="100"/>
      <c r="AX49" s="100"/>
      <c r="AY49" s="100"/>
      <c r="AZ49" s="608"/>
      <c r="BA49" s="608"/>
      <c r="BB49" s="608"/>
      <c r="BC49" s="608"/>
      <c r="BD49" s="609"/>
      <c r="BE49" s="114"/>
    </row>
    <row r="50" spans="1:57" ht="13.5" customHeight="1">
      <c r="A50" s="100"/>
      <c r="B50" s="100"/>
      <c r="C50" s="100"/>
      <c r="D50" s="102"/>
      <c r="E50" s="100"/>
      <c r="F50" s="100"/>
      <c r="G50" s="100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100"/>
      <c r="AC50" s="100"/>
      <c r="AD50" s="100"/>
      <c r="AE50" s="100"/>
      <c r="AF50" s="100"/>
      <c r="AG50" s="100"/>
      <c r="AH50" s="100"/>
      <c r="AI50" s="100"/>
      <c r="AJ50" s="100"/>
      <c r="AK50" s="100"/>
      <c r="AL50" s="100"/>
      <c r="AM50" s="100"/>
      <c r="AN50" s="100"/>
      <c r="AO50" s="100"/>
      <c r="AP50" s="100"/>
      <c r="AQ50" s="100"/>
      <c r="AR50" s="100"/>
      <c r="AS50" s="100"/>
      <c r="AT50" s="100"/>
      <c r="AU50" s="100"/>
      <c r="AV50" s="100"/>
      <c r="AW50" s="100"/>
      <c r="AX50" s="100"/>
      <c r="AY50" s="100"/>
      <c r="AZ50" s="116"/>
      <c r="BA50" s="96"/>
      <c r="BB50" s="96"/>
      <c r="BC50" s="96"/>
      <c r="BD50" s="96"/>
      <c r="BE50" s="114"/>
    </row>
    <row r="51" spans="1:57" ht="13.5" customHeight="1" thickBot="1">
      <c r="A51" s="100"/>
      <c r="B51" s="100"/>
      <c r="C51" s="100"/>
      <c r="D51" s="102"/>
      <c r="E51" s="100"/>
      <c r="F51" s="100"/>
      <c r="G51" s="100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0"/>
      <c r="AC51" s="100"/>
      <c r="AD51" s="100"/>
      <c r="AE51" s="100"/>
      <c r="AF51" s="100"/>
      <c r="AG51" s="100"/>
      <c r="AH51" s="100"/>
      <c r="AI51" s="100"/>
      <c r="AJ51" s="100"/>
      <c r="AK51" s="100"/>
      <c r="AL51" s="100"/>
      <c r="AM51" s="100"/>
      <c r="AN51" s="100"/>
      <c r="AO51" s="100"/>
      <c r="AP51" s="100"/>
      <c r="AQ51" s="100"/>
      <c r="AR51" s="100"/>
      <c r="AS51" s="100"/>
      <c r="AT51" s="100"/>
      <c r="AU51" s="100"/>
      <c r="AV51" s="100"/>
      <c r="AW51" s="100"/>
      <c r="AX51" s="100"/>
      <c r="AY51" s="100"/>
      <c r="AZ51" s="610">
        <f>AZ48/AT40*100</f>
        <v>3.4116832779623358</v>
      </c>
      <c r="BA51" s="610"/>
      <c r="BB51" s="610"/>
      <c r="BC51" s="610"/>
      <c r="BD51" s="611" t="s">
        <v>69</v>
      </c>
      <c r="BE51" s="114"/>
    </row>
    <row r="52" spans="1:57" ht="13.5" thickBot="1">
      <c r="A52" s="100"/>
      <c r="B52" s="100"/>
      <c r="C52" s="100"/>
      <c r="D52" s="102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  <c r="AF52" s="100"/>
      <c r="AG52" s="100"/>
      <c r="AH52" s="100"/>
      <c r="AI52" s="100"/>
      <c r="AJ52" s="100"/>
      <c r="AK52" s="100"/>
      <c r="AL52" s="100"/>
      <c r="AM52" s="100"/>
      <c r="AN52" s="100"/>
      <c r="AO52" s="100"/>
      <c r="AP52" s="100"/>
      <c r="AQ52" s="100"/>
      <c r="AR52" s="100"/>
      <c r="AS52" s="100"/>
      <c r="AT52" s="100"/>
      <c r="AU52" s="100"/>
      <c r="AV52" s="100"/>
      <c r="AW52" s="100"/>
      <c r="AX52" s="100"/>
      <c r="AY52" s="100"/>
      <c r="AZ52" s="610"/>
      <c r="BA52" s="610"/>
      <c r="BB52" s="610"/>
      <c r="BC52" s="610"/>
      <c r="BD52" s="611"/>
      <c r="BE52" s="117"/>
    </row>
    <row r="53" spans="1:57">
      <c r="A53" s="100"/>
      <c r="B53" s="100"/>
      <c r="C53" s="100"/>
      <c r="D53" s="102"/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100"/>
      <c r="AI53" s="100"/>
      <c r="AJ53" s="100"/>
      <c r="AK53" s="100"/>
      <c r="AL53" s="100"/>
      <c r="AM53" s="100"/>
      <c r="AN53" s="100"/>
      <c r="AO53" s="100"/>
      <c r="AP53" s="100"/>
      <c r="AQ53" s="100"/>
      <c r="AR53" s="100"/>
      <c r="AS53" s="100"/>
      <c r="AT53" s="100"/>
      <c r="AU53" s="100"/>
      <c r="AV53" s="100"/>
      <c r="AW53" s="100"/>
      <c r="AX53" s="100"/>
      <c r="AY53" s="100"/>
      <c r="AZ53" s="100"/>
      <c r="BA53" s="100"/>
      <c r="BB53" s="100"/>
      <c r="BC53" s="100"/>
      <c r="BD53" s="100"/>
      <c r="BE53" s="100"/>
    </row>
    <row r="54" spans="1:57">
      <c r="A54" s="100"/>
      <c r="B54" s="100"/>
      <c r="C54" s="100"/>
      <c r="D54" s="102"/>
      <c r="E54" s="100"/>
      <c r="F54" s="100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100"/>
      <c r="AI54" s="100"/>
      <c r="AJ54" s="100"/>
      <c r="AK54" s="100"/>
      <c r="AL54" s="100"/>
      <c r="AM54" s="100"/>
      <c r="AN54" s="100"/>
      <c r="AO54" s="100"/>
      <c r="AP54" s="100"/>
      <c r="AQ54" s="100"/>
      <c r="AR54" s="100"/>
      <c r="AS54" s="100"/>
      <c r="AT54" s="100"/>
      <c r="AU54" s="100"/>
      <c r="AV54" s="100"/>
      <c r="AW54" s="100"/>
      <c r="AX54" s="100"/>
      <c r="AY54" s="100"/>
      <c r="AZ54" s="100"/>
      <c r="BA54" s="100"/>
      <c r="BB54" s="100"/>
      <c r="BC54" s="100"/>
      <c r="BD54" s="100"/>
      <c r="BE54" s="100"/>
    </row>
    <row r="55" spans="1:57">
      <c r="A55" s="100"/>
      <c r="B55" s="100"/>
      <c r="C55" s="100"/>
      <c r="D55" s="102"/>
      <c r="E55" s="100"/>
      <c r="F55" s="100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  <c r="AH55" s="100"/>
      <c r="AI55" s="100"/>
      <c r="AJ55" s="100"/>
      <c r="AK55" s="100"/>
      <c r="AL55" s="100"/>
      <c r="AM55" s="100"/>
      <c r="AN55" s="100"/>
      <c r="AO55" s="100"/>
      <c r="AP55" s="100"/>
      <c r="AQ55" s="100"/>
      <c r="AR55" s="100"/>
      <c r="AS55" s="100"/>
      <c r="AT55" s="100"/>
      <c r="AU55" s="100"/>
      <c r="AV55" s="100"/>
      <c r="AW55" s="100"/>
      <c r="AX55" s="100"/>
      <c r="AY55" s="100"/>
      <c r="AZ55" s="100"/>
      <c r="BA55" s="100"/>
      <c r="BB55" s="100"/>
      <c r="BC55" s="100"/>
      <c r="BD55" s="100"/>
      <c r="BE55" s="100"/>
    </row>
    <row r="56" spans="1:57">
      <c r="A56" s="100"/>
      <c r="B56" s="100"/>
      <c r="C56" s="100"/>
      <c r="D56" s="102"/>
      <c r="E56" s="100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/>
      <c r="AE56" s="100"/>
      <c r="AF56" s="100"/>
      <c r="AG56" s="100"/>
      <c r="AH56" s="100"/>
      <c r="AI56" s="100"/>
      <c r="AJ56" s="100"/>
      <c r="AK56" s="100"/>
      <c r="AL56" s="100"/>
      <c r="AM56" s="100"/>
      <c r="AN56" s="100"/>
      <c r="AO56" s="100"/>
      <c r="AP56" s="100"/>
      <c r="AQ56" s="100"/>
      <c r="AR56" s="100"/>
      <c r="AS56" s="100"/>
      <c r="AT56" s="100"/>
      <c r="AU56" s="100"/>
      <c r="AV56" s="100"/>
      <c r="AW56" s="100"/>
      <c r="AX56" s="100"/>
      <c r="AY56" s="100"/>
      <c r="AZ56" s="100"/>
      <c r="BA56" s="100"/>
      <c r="BB56" s="100"/>
      <c r="BC56" s="100"/>
      <c r="BD56" s="100"/>
      <c r="BE56" s="100"/>
    </row>
    <row r="57" spans="1:57">
      <c r="A57" s="100"/>
      <c r="B57" s="100"/>
      <c r="C57" s="100"/>
      <c r="D57" s="102"/>
      <c r="E57" s="100"/>
      <c r="F57" s="100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100"/>
      <c r="AI57" s="100"/>
      <c r="AJ57" s="100"/>
      <c r="AK57" s="100"/>
      <c r="AL57" s="100"/>
      <c r="AM57" s="100"/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X57" s="100"/>
      <c r="AY57" s="100"/>
      <c r="AZ57" s="100"/>
      <c r="BA57" s="100"/>
      <c r="BB57" s="100"/>
      <c r="BC57" s="100"/>
      <c r="BD57" s="100"/>
      <c r="BE57" s="100"/>
    </row>
    <row r="58" spans="1:57">
      <c r="A58" s="100"/>
      <c r="B58" s="100"/>
      <c r="C58" s="100"/>
      <c r="D58" s="102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  <c r="AA58" s="100"/>
      <c r="AB58" s="100"/>
      <c r="AC58" s="100"/>
      <c r="AD58" s="100"/>
      <c r="AE58" s="100"/>
      <c r="AF58" s="100"/>
      <c r="AG58" s="100"/>
      <c r="AH58" s="100"/>
      <c r="AI58" s="100"/>
      <c r="AJ58" s="100"/>
      <c r="AK58" s="100"/>
      <c r="AL58" s="100"/>
      <c r="AM58" s="100"/>
      <c r="AN58" s="100"/>
      <c r="AO58" s="100"/>
      <c r="AP58" s="100"/>
      <c r="AQ58" s="100"/>
      <c r="AR58" s="100"/>
      <c r="AS58" s="100"/>
      <c r="AT58" s="100"/>
      <c r="AU58" s="100"/>
      <c r="AV58" s="100"/>
      <c r="AW58" s="100"/>
      <c r="AX58" s="100"/>
      <c r="AY58" s="100"/>
      <c r="AZ58" s="100"/>
      <c r="BA58" s="100"/>
      <c r="BB58" s="100"/>
      <c r="BC58" s="100"/>
      <c r="BD58" s="100"/>
      <c r="BE58" s="100"/>
    </row>
    <row r="59" spans="1:57">
      <c r="A59" s="100"/>
      <c r="B59" s="100"/>
      <c r="C59" s="100"/>
      <c r="D59" s="102"/>
      <c r="E59" s="100"/>
      <c r="F59" s="100"/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  <c r="AE59" s="100"/>
      <c r="AF59" s="100"/>
      <c r="AG59" s="100"/>
      <c r="AH59" s="100"/>
      <c r="AI59" s="100"/>
      <c r="AJ59" s="100"/>
      <c r="AK59" s="100"/>
      <c r="AL59" s="100"/>
      <c r="AM59" s="100"/>
      <c r="AN59" s="100"/>
      <c r="AO59" s="100"/>
      <c r="AP59" s="100"/>
      <c r="AQ59" s="100"/>
      <c r="AR59" s="100"/>
      <c r="AS59" s="100"/>
      <c r="AT59" s="100"/>
      <c r="AU59" s="100"/>
      <c r="AV59" s="100"/>
      <c r="AW59" s="100"/>
      <c r="AX59" s="100"/>
      <c r="AY59" s="100"/>
      <c r="AZ59" s="100"/>
      <c r="BA59" s="100"/>
      <c r="BB59" s="100"/>
      <c r="BC59" s="100"/>
      <c r="BD59" s="100"/>
      <c r="BE59" s="100"/>
    </row>
    <row r="60" spans="1:57">
      <c r="A60" s="100"/>
      <c r="B60" s="100"/>
      <c r="C60" s="100"/>
      <c r="D60" s="102"/>
      <c r="E60" s="100"/>
      <c r="F60" s="100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  <c r="AE60" s="100"/>
      <c r="AF60" s="100"/>
      <c r="AG60" s="100"/>
      <c r="AH60" s="100"/>
      <c r="AI60" s="100"/>
      <c r="AJ60" s="100"/>
      <c r="AK60" s="100"/>
      <c r="AL60" s="100"/>
      <c r="AM60" s="100"/>
      <c r="AN60" s="100"/>
      <c r="AO60" s="100"/>
      <c r="AP60" s="100"/>
      <c r="AQ60" s="100"/>
      <c r="AR60" s="100"/>
      <c r="AS60" s="100"/>
      <c r="AT60" s="100"/>
      <c r="AU60" s="100"/>
      <c r="AV60" s="100"/>
      <c r="AW60" s="100"/>
      <c r="AX60" s="100"/>
      <c r="AY60" s="100"/>
      <c r="AZ60" s="100"/>
      <c r="BA60" s="100"/>
      <c r="BB60" s="100"/>
      <c r="BC60" s="100"/>
      <c r="BD60" s="100"/>
      <c r="BE60" s="100"/>
    </row>
    <row r="61" spans="1:57">
      <c r="A61" s="100"/>
      <c r="B61" s="100"/>
      <c r="C61" s="100"/>
      <c r="D61" s="102"/>
      <c r="E61" s="100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/>
      <c r="AE61" s="100"/>
      <c r="AF61" s="100"/>
      <c r="AG61" s="100"/>
      <c r="AH61" s="100"/>
      <c r="AI61" s="100"/>
      <c r="AJ61" s="100"/>
      <c r="AK61" s="100"/>
      <c r="AL61" s="100"/>
      <c r="AM61" s="100"/>
      <c r="AN61" s="100"/>
      <c r="AO61" s="100"/>
      <c r="AP61" s="100"/>
      <c r="AQ61" s="100"/>
      <c r="AR61" s="100"/>
      <c r="AS61" s="100"/>
      <c r="AT61" s="100"/>
      <c r="AU61" s="100"/>
      <c r="AV61" s="100"/>
      <c r="AW61" s="100"/>
      <c r="AX61" s="100"/>
      <c r="AY61" s="100"/>
      <c r="AZ61" s="100"/>
      <c r="BA61" s="100"/>
      <c r="BB61" s="100"/>
      <c r="BC61" s="100"/>
      <c r="BD61" s="100"/>
      <c r="BE61" s="100"/>
    </row>
    <row r="62" spans="1:57">
      <c r="A62" s="100"/>
      <c r="B62" s="100"/>
      <c r="C62" s="100"/>
      <c r="D62" s="102"/>
      <c r="E62" s="100"/>
      <c r="F62" s="100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100"/>
      <c r="AC62" s="100"/>
      <c r="AD62" s="100"/>
      <c r="AE62" s="100"/>
      <c r="AF62" s="100"/>
      <c r="AG62" s="100"/>
      <c r="AH62" s="100"/>
      <c r="AI62" s="100"/>
      <c r="AJ62" s="100"/>
      <c r="AK62" s="100"/>
      <c r="AL62" s="100"/>
      <c r="AM62" s="100"/>
      <c r="AN62" s="100"/>
      <c r="AO62" s="100"/>
      <c r="AP62" s="100"/>
      <c r="AQ62" s="100"/>
      <c r="AR62" s="100"/>
      <c r="AS62" s="100"/>
      <c r="AT62" s="100"/>
      <c r="AU62" s="100"/>
      <c r="AV62" s="100"/>
      <c r="AW62" s="100"/>
      <c r="AX62" s="100"/>
      <c r="AY62" s="100"/>
      <c r="AZ62" s="100"/>
      <c r="BA62" s="100"/>
      <c r="BB62" s="100"/>
      <c r="BC62" s="100"/>
      <c r="BD62" s="100"/>
      <c r="BE62" s="100"/>
    </row>
    <row r="63" spans="1:57">
      <c r="A63" s="100"/>
      <c r="B63" s="100"/>
      <c r="C63" s="100"/>
      <c r="D63" s="102"/>
      <c r="E63" s="100"/>
      <c r="F63" s="100"/>
      <c r="G63" s="100"/>
      <c r="H63" s="100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  <c r="AA63" s="100"/>
      <c r="AB63" s="100"/>
      <c r="AC63" s="100"/>
      <c r="AD63" s="100"/>
      <c r="AE63" s="100"/>
      <c r="AF63" s="100"/>
      <c r="AG63" s="100"/>
      <c r="AH63" s="100"/>
      <c r="AI63" s="100"/>
      <c r="AJ63" s="100"/>
      <c r="AK63" s="100"/>
      <c r="AL63" s="100"/>
      <c r="AM63" s="100"/>
      <c r="AN63" s="100"/>
      <c r="AO63" s="100"/>
      <c r="AP63" s="100"/>
      <c r="AQ63" s="100"/>
      <c r="AR63" s="100"/>
      <c r="AS63" s="100"/>
      <c r="AT63" s="100"/>
      <c r="AU63" s="100"/>
      <c r="AV63" s="100"/>
      <c r="AW63" s="100"/>
      <c r="AX63" s="100"/>
      <c r="AY63" s="100"/>
      <c r="AZ63" s="100"/>
      <c r="BA63" s="100"/>
      <c r="BB63" s="100"/>
      <c r="BC63" s="100"/>
      <c r="BD63" s="100"/>
      <c r="BE63" s="100"/>
    </row>
    <row r="64" spans="1:57">
      <c r="A64" s="100"/>
      <c r="B64" s="100"/>
      <c r="C64" s="100"/>
      <c r="D64" s="102"/>
      <c r="E64" s="100"/>
      <c r="F64" s="100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  <c r="AE64" s="100"/>
      <c r="AF64" s="100"/>
      <c r="AG64" s="100"/>
      <c r="AH64" s="100"/>
      <c r="AI64" s="100"/>
      <c r="AJ64" s="100"/>
      <c r="AK64" s="100"/>
      <c r="AL64" s="100"/>
      <c r="AM64" s="100"/>
      <c r="AN64" s="100"/>
      <c r="AO64" s="100"/>
      <c r="AP64" s="100"/>
      <c r="AQ64" s="100"/>
      <c r="AR64" s="100"/>
      <c r="AS64" s="100"/>
      <c r="AT64" s="100"/>
      <c r="AU64" s="100"/>
      <c r="AV64" s="100"/>
      <c r="AW64" s="100"/>
      <c r="AX64" s="100"/>
      <c r="AY64" s="100"/>
      <c r="AZ64" s="100"/>
      <c r="BA64" s="100"/>
      <c r="BB64" s="100"/>
      <c r="BC64" s="100"/>
      <c r="BD64" s="100"/>
      <c r="BE64" s="100"/>
    </row>
    <row r="65" spans="1:57">
      <c r="A65" s="100"/>
      <c r="B65" s="100"/>
      <c r="C65" s="100"/>
      <c r="D65" s="102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/>
      <c r="AE65" s="100"/>
      <c r="AF65" s="100"/>
      <c r="AG65" s="100"/>
      <c r="AH65" s="100"/>
      <c r="AI65" s="100"/>
      <c r="AJ65" s="100"/>
      <c r="AK65" s="100"/>
      <c r="AL65" s="100"/>
      <c r="AM65" s="100"/>
      <c r="AN65" s="100"/>
      <c r="AO65" s="100"/>
      <c r="AP65" s="100"/>
      <c r="AQ65" s="100"/>
      <c r="AR65" s="100"/>
      <c r="AS65" s="100"/>
      <c r="AT65" s="100"/>
      <c r="AU65" s="100"/>
      <c r="AV65" s="100"/>
      <c r="AW65" s="100"/>
      <c r="AX65" s="100"/>
      <c r="AY65" s="100"/>
      <c r="AZ65" s="100"/>
      <c r="BA65" s="100"/>
      <c r="BB65" s="100"/>
      <c r="BC65" s="100"/>
      <c r="BD65" s="100"/>
      <c r="BE65" s="100"/>
    </row>
    <row r="66" spans="1:57">
      <c r="A66" s="100"/>
      <c r="B66" s="100"/>
      <c r="C66" s="100"/>
      <c r="D66" s="102"/>
      <c r="E66" s="100"/>
      <c r="F66" s="100"/>
      <c r="G66" s="100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/>
      <c r="AE66" s="100"/>
      <c r="AF66" s="100"/>
      <c r="AG66" s="100"/>
      <c r="AH66" s="100"/>
      <c r="AI66" s="100"/>
      <c r="AJ66" s="100"/>
      <c r="AK66" s="100"/>
      <c r="AL66" s="100"/>
      <c r="AM66" s="100"/>
      <c r="AN66" s="100"/>
      <c r="AO66" s="100"/>
      <c r="AP66" s="100"/>
      <c r="AQ66" s="100"/>
      <c r="AR66" s="100"/>
      <c r="AS66" s="100"/>
      <c r="AT66" s="100"/>
      <c r="AU66" s="100"/>
      <c r="AV66" s="100"/>
      <c r="AW66" s="100"/>
      <c r="AX66" s="100"/>
      <c r="AY66" s="100"/>
      <c r="AZ66" s="100"/>
      <c r="BA66" s="100"/>
      <c r="BB66" s="100"/>
      <c r="BC66" s="100"/>
      <c r="BD66" s="100"/>
      <c r="BE66" s="100"/>
    </row>
    <row r="67" spans="1:57">
      <c r="A67" s="100"/>
      <c r="B67" s="100"/>
      <c r="C67" s="100"/>
      <c r="D67" s="102"/>
      <c r="E67" s="100"/>
      <c r="F67" s="100"/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  <c r="AD67" s="100"/>
      <c r="AE67" s="100"/>
      <c r="AF67" s="100"/>
      <c r="AG67" s="100"/>
      <c r="AH67" s="100"/>
      <c r="AI67" s="100"/>
      <c r="AJ67" s="100"/>
      <c r="AK67" s="100"/>
      <c r="AL67" s="100"/>
      <c r="AM67" s="100"/>
      <c r="AN67" s="100"/>
      <c r="AO67" s="100"/>
      <c r="AP67" s="100"/>
      <c r="AQ67" s="100"/>
      <c r="AR67" s="100"/>
      <c r="AS67" s="100"/>
      <c r="AT67" s="100"/>
      <c r="AU67" s="100"/>
      <c r="AV67" s="100"/>
      <c r="AW67" s="100"/>
      <c r="AX67" s="100"/>
      <c r="AY67" s="100"/>
      <c r="AZ67" s="100"/>
      <c r="BA67" s="100"/>
      <c r="BB67" s="100"/>
      <c r="BC67" s="100"/>
      <c r="BD67" s="100"/>
      <c r="BE67" s="100"/>
    </row>
    <row r="68" spans="1:57">
      <c r="A68" s="100"/>
      <c r="B68" s="100"/>
      <c r="C68" s="100"/>
      <c r="D68" s="102"/>
      <c r="E68" s="100"/>
      <c r="F68" s="100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  <c r="AI68" s="100"/>
      <c r="AJ68" s="100"/>
      <c r="AK68" s="100"/>
      <c r="AL68" s="100"/>
      <c r="AM68" s="100"/>
      <c r="AN68" s="100"/>
      <c r="AO68" s="100"/>
      <c r="AP68" s="100"/>
      <c r="AQ68" s="100"/>
      <c r="AR68" s="100"/>
      <c r="AS68" s="100"/>
      <c r="AT68" s="100"/>
      <c r="AU68" s="100"/>
      <c r="AV68" s="100"/>
      <c r="AW68" s="100"/>
      <c r="AX68" s="100"/>
      <c r="AY68" s="100"/>
      <c r="AZ68" s="100"/>
      <c r="BA68" s="100"/>
      <c r="BB68" s="100"/>
      <c r="BC68" s="100"/>
      <c r="BD68" s="100"/>
      <c r="BE68" s="100"/>
    </row>
    <row r="69" spans="1:57">
      <c r="A69" s="100"/>
      <c r="B69" s="100"/>
      <c r="C69" s="100"/>
      <c r="D69" s="102"/>
      <c r="E69" s="100"/>
      <c r="F69" s="100"/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100"/>
      <c r="AC69" s="100"/>
      <c r="AD69" s="100"/>
      <c r="AE69" s="100"/>
      <c r="AF69" s="100"/>
      <c r="AG69" s="100"/>
      <c r="AH69" s="100"/>
      <c r="AI69" s="100"/>
      <c r="AJ69" s="100"/>
      <c r="AK69" s="100"/>
      <c r="AL69" s="100"/>
      <c r="AM69" s="100"/>
      <c r="AN69" s="100"/>
      <c r="AO69" s="100"/>
      <c r="AP69" s="100"/>
      <c r="AQ69" s="100"/>
      <c r="AR69" s="100"/>
      <c r="AS69" s="100"/>
      <c r="AT69" s="100"/>
      <c r="AU69" s="100"/>
      <c r="AV69" s="100"/>
      <c r="AW69" s="100"/>
      <c r="AX69" s="100"/>
      <c r="AY69" s="100"/>
      <c r="AZ69" s="100"/>
      <c r="BA69" s="100"/>
      <c r="BB69" s="100"/>
      <c r="BC69" s="100"/>
      <c r="BD69" s="100"/>
      <c r="BE69" s="100"/>
    </row>
    <row r="70" spans="1:57">
      <c r="A70" s="100"/>
      <c r="B70" s="100"/>
      <c r="C70" s="100"/>
      <c r="D70" s="102"/>
      <c r="E70" s="100"/>
      <c r="F70" s="100"/>
      <c r="G70" s="100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  <c r="AE70" s="100"/>
      <c r="AF70" s="100"/>
      <c r="AG70" s="100"/>
      <c r="AH70" s="100"/>
      <c r="AI70" s="100"/>
      <c r="AJ70" s="100"/>
      <c r="AK70" s="100"/>
      <c r="AL70" s="100"/>
      <c r="AM70" s="100"/>
      <c r="AN70" s="100"/>
      <c r="AO70" s="100"/>
      <c r="AP70" s="100"/>
      <c r="AQ70" s="100"/>
      <c r="AR70" s="100"/>
      <c r="AS70" s="100"/>
      <c r="AT70" s="100"/>
      <c r="AU70" s="100"/>
      <c r="AV70" s="100"/>
      <c r="AW70" s="100"/>
      <c r="AX70" s="100"/>
      <c r="AY70" s="100"/>
      <c r="AZ70" s="100"/>
      <c r="BA70" s="100"/>
      <c r="BB70" s="100"/>
      <c r="BC70" s="100"/>
      <c r="BD70" s="100"/>
      <c r="BE70" s="100"/>
    </row>
    <row r="71" spans="1:57" ht="18" customHeight="1">
      <c r="A71" s="318" t="s">
        <v>70</v>
      </c>
      <c r="B71" s="319"/>
      <c r="C71" s="318"/>
      <c r="D71" s="318"/>
      <c r="E71" s="318"/>
      <c r="F71" s="318"/>
      <c r="G71" s="318"/>
      <c r="H71" s="318"/>
      <c r="I71" s="318"/>
      <c r="J71" s="320"/>
      <c r="K71" s="320"/>
      <c r="L71" s="605" t="s">
        <v>194</v>
      </c>
      <c r="M71" s="605"/>
      <c r="N71" s="605"/>
      <c r="O71" s="605"/>
      <c r="P71" s="605"/>
      <c r="Q71" s="605"/>
      <c r="R71" s="109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/>
      <c r="AE71" s="100"/>
      <c r="AF71" s="100"/>
      <c r="AG71" s="100"/>
      <c r="AH71" s="100"/>
      <c r="AI71" s="100"/>
      <c r="AJ71" s="100"/>
      <c r="AK71" s="100"/>
      <c r="AL71" s="100"/>
      <c r="AM71" s="100"/>
      <c r="AN71" s="100"/>
      <c r="AO71" s="100"/>
      <c r="AP71" s="100"/>
      <c r="AQ71" s="100"/>
      <c r="AR71" s="100"/>
      <c r="AS71" s="100"/>
      <c r="AT71" s="100"/>
      <c r="AU71" s="100"/>
      <c r="AV71" s="100"/>
      <c r="AW71" s="100"/>
      <c r="AX71" s="100"/>
      <c r="AY71" s="100"/>
      <c r="AZ71" s="100"/>
      <c r="BA71" s="100"/>
      <c r="BB71" s="100"/>
      <c r="BC71" s="100"/>
      <c r="BD71" s="100"/>
      <c r="BE71" s="100"/>
    </row>
    <row r="72" spans="1:57" ht="15">
      <c r="A72" s="118"/>
      <c r="B72" s="118"/>
      <c r="C72" s="119"/>
      <c r="D72" s="120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  <c r="AE72" s="100"/>
      <c r="AF72" s="100"/>
      <c r="AG72" s="100"/>
      <c r="AH72" s="100"/>
      <c r="AI72" s="100"/>
      <c r="AJ72" s="100"/>
      <c r="AK72" s="100"/>
      <c r="AL72" s="100"/>
      <c r="AM72" s="100"/>
      <c r="AN72" s="100"/>
      <c r="AO72" s="100"/>
      <c r="AP72" s="100"/>
      <c r="AQ72" s="100"/>
      <c r="AR72" s="100"/>
      <c r="AS72" s="100"/>
      <c r="AT72" s="100"/>
      <c r="AU72" s="100"/>
      <c r="AV72" s="100"/>
      <c r="AW72" s="100"/>
      <c r="AX72" s="100"/>
      <c r="AY72" s="100"/>
      <c r="AZ72" s="100"/>
      <c r="BA72" s="100"/>
      <c r="BB72" s="100"/>
      <c r="BC72" s="100"/>
      <c r="BD72" s="100"/>
      <c r="BE72" s="100"/>
    </row>
    <row r="73" spans="1:57" ht="15.75">
      <c r="A73" s="100"/>
      <c r="B73" s="100"/>
      <c r="C73" s="100"/>
      <c r="D73" s="102"/>
      <c r="E73" s="100"/>
      <c r="F73" s="100"/>
      <c r="G73" s="100"/>
      <c r="H73" s="100"/>
      <c r="I73" s="100"/>
      <c r="J73" s="100"/>
      <c r="K73" s="100"/>
      <c r="L73" s="111"/>
      <c r="M73" s="111"/>
      <c r="N73" s="111"/>
      <c r="O73" s="111"/>
      <c r="P73" s="111"/>
      <c r="Q73" s="111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00"/>
      <c r="AK73" s="100"/>
      <c r="AL73" s="100"/>
      <c r="AM73" s="100"/>
      <c r="AN73" s="100"/>
      <c r="AO73" s="100"/>
      <c r="AP73" s="100"/>
      <c r="AQ73" s="100"/>
      <c r="AR73" s="100"/>
      <c r="AS73" s="100"/>
      <c r="AT73" s="100"/>
      <c r="AU73" s="100"/>
      <c r="AV73" s="100"/>
      <c r="AW73" s="100"/>
      <c r="AX73" s="100"/>
      <c r="AY73" s="100"/>
      <c r="AZ73" s="100"/>
      <c r="BA73" s="100"/>
      <c r="BB73" s="100"/>
      <c r="BC73" s="100"/>
      <c r="BD73" s="100"/>
      <c r="BE73" s="100"/>
    </row>
    <row r="74" spans="1:57">
      <c r="A74" s="100"/>
      <c r="B74" s="100"/>
      <c r="C74" s="100"/>
      <c r="D74" s="102"/>
      <c r="E74" s="100"/>
      <c r="F74" s="100"/>
      <c r="G74" s="100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00"/>
      <c r="AK74" s="100"/>
      <c r="AL74" s="100"/>
      <c r="AM74" s="100"/>
      <c r="AN74" s="100"/>
      <c r="AO74" s="100"/>
      <c r="AP74" s="100"/>
      <c r="AQ74" s="100"/>
      <c r="AR74" s="100"/>
      <c r="AS74" s="100"/>
      <c r="AT74" s="100"/>
      <c r="AU74" s="100"/>
      <c r="AV74" s="100"/>
      <c r="AW74" s="100"/>
      <c r="AX74" s="100"/>
      <c r="AY74" s="100"/>
      <c r="AZ74" s="100"/>
      <c r="BA74" s="100"/>
      <c r="BB74" s="100"/>
      <c r="BC74" s="100"/>
      <c r="BD74" s="100"/>
      <c r="BE74" s="100"/>
    </row>
    <row r="75" spans="1:57">
      <c r="A75" s="100"/>
      <c r="B75" s="100"/>
      <c r="C75" s="100"/>
      <c r="D75" s="102"/>
      <c r="E75" s="100"/>
      <c r="F75" s="100"/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  <c r="AD75" s="100"/>
      <c r="AE75" s="100"/>
      <c r="AF75" s="100"/>
      <c r="AG75" s="100"/>
      <c r="AH75" s="100"/>
      <c r="AI75" s="100"/>
      <c r="AJ75" s="100"/>
      <c r="AK75" s="100"/>
      <c r="AL75" s="100"/>
      <c r="AM75" s="100"/>
      <c r="AN75" s="100"/>
      <c r="AO75" s="100"/>
      <c r="AP75" s="100"/>
      <c r="AQ75" s="100"/>
      <c r="AR75" s="100"/>
      <c r="AS75" s="100"/>
      <c r="AT75" s="100"/>
      <c r="AU75" s="100"/>
      <c r="AV75" s="100"/>
      <c r="AW75" s="100"/>
      <c r="AX75" s="100"/>
      <c r="AY75" s="100"/>
      <c r="AZ75" s="100"/>
      <c r="BA75" s="100"/>
      <c r="BB75" s="100"/>
      <c r="BC75" s="100"/>
      <c r="BD75" s="100"/>
      <c r="BE75" s="100"/>
    </row>
  </sheetData>
  <sheetProtection selectLockedCells="1" selectUnlockedCells="1"/>
  <mergeCells count="78">
    <mergeCell ref="CO40:CU40"/>
    <mergeCell ref="L71:Q71"/>
    <mergeCell ref="N46:O46"/>
    <mergeCell ref="AZ46:BE47"/>
    <mergeCell ref="AZ48:BC49"/>
    <mergeCell ref="BD48:BD49"/>
    <mergeCell ref="AZ51:BC52"/>
    <mergeCell ref="BD51:BD52"/>
    <mergeCell ref="AT42:AV42"/>
    <mergeCell ref="AC3:AC6"/>
    <mergeCell ref="AD3:AD6"/>
    <mergeCell ref="DA5:DB5"/>
    <mergeCell ref="CO39:CP39"/>
    <mergeCell ref="CQ39:CU39"/>
    <mergeCell ref="CV39:CY39"/>
    <mergeCell ref="AX5:AX6"/>
    <mergeCell ref="AY5:AY6"/>
    <mergeCell ref="AJ3:AK6"/>
    <mergeCell ref="AL3:AL6"/>
    <mergeCell ref="AM3:AM6"/>
    <mergeCell ref="AN3:AN6"/>
    <mergeCell ref="AO3:AO6"/>
    <mergeCell ref="AP3:AP6"/>
    <mergeCell ref="AT5:AT6"/>
    <mergeCell ref="AW5:AW6"/>
    <mergeCell ref="Q4:Q6"/>
    <mergeCell ref="R4:R6"/>
    <mergeCell ref="S4:S6"/>
    <mergeCell ref="T4:T6"/>
    <mergeCell ref="U4:U6"/>
    <mergeCell ref="AA3:AA6"/>
    <mergeCell ref="AB3:AB6"/>
    <mergeCell ref="N4:N6"/>
    <mergeCell ref="O4:O6"/>
    <mergeCell ref="DD4:DH4"/>
    <mergeCell ref="AE5:AE6"/>
    <mergeCell ref="AF5:AF6"/>
    <mergeCell ref="AG5:AG6"/>
    <mergeCell ref="AH5:AH6"/>
    <mergeCell ref="CF3:CI5"/>
    <mergeCell ref="AQ3:AQ6"/>
    <mergeCell ref="AS3:AS6"/>
    <mergeCell ref="AT3:AY4"/>
    <mergeCell ref="AZ3:AZ6"/>
    <mergeCell ref="BA3:BB4"/>
    <mergeCell ref="BC3:BC6"/>
    <mergeCell ref="CJ3:CM5"/>
    <mergeCell ref="B4:B6"/>
    <mergeCell ref="C4:C6"/>
    <mergeCell ref="D4:D6"/>
    <mergeCell ref="E4:E6"/>
    <mergeCell ref="F4:F6"/>
    <mergeCell ref="G4:G6"/>
    <mergeCell ref="H4:H6"/>
    <mergeCell ref="I4:I6"/>
    <mergeCell ref="J4:J6"/>
    <mergeCell ref="BD3:BD6"/>
    <mergeCell ref="BE3:BE6"/>
    <mergeCell ref="BK3:BQ5"/>
    <mergeCell ref="BR3:BX5"/>
    <mergeCell ref="BY3:CE5"/>
    <mergeCell ref="K4:K6"/>
    <mergeCell ref="AE3:AF4"/>
    <mergeCell ref="AG3:AI4"/>
    <mergeCell ref="AI5:AI6"/>
    <mergeCell ref="AY2:BC2"/>
    <mergeCell ref="A3:A6"/>
    <mergeCell ref="B3:G3"/>
    <mergeCell ref="H3:P3"/>
    <mergeCell ref="Q3:U3"/>
    <mergeCell ref="V3:V6"/>
    <mergeCell ref="W3:W6"/>
    <mergeCell ref="X3:X6"/>
    <mergeCell ref="Y3:Y6"/>
    <mergeCell ref="Z3:Z6"/>
    <mergeCell ref="P4:P6"/>
    <mergeCell ref="L4:L6"/>
    <mergeCell ref="M4:M6"/>
  </mergeCells>
  <printOptions horizontalCentered="1" verticalCentered="1"/>
  <pageMargins left="0" right="0" top="0" bottom="0" header="0" footer="0"/>
  <pageSetup paperSize="9" scale="46" firstPageNumber="0" orientation="landscape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DJ75"/>
  <sheetViews>
    <sheetView showZeros="0" zoomScale="88" zoomScaleNormal="88" workbookViewId="0">
      <pane xSplit="1" ySplit="6" topLeftCell="B16" activePane="bottomRight" state="frozen"/>
      <selection pane="topRight" activeCell="B1" sqref="B1"/>
      <selection pane="bottomLeft" activeCell="A7" sqref="A7"/>
      <selection pane="bottomRight" activeCell="N34" sqref="N34"/>
    </sheetView>
  </sheetViews>
  <sheetFormatPr defaultColWidth="8.7109375" defaultRowHeight="12.75"/>
  <cols>
    <col min="1" max="1" width="3.5703125" customWidth="1"/>
    <col min="2" max="2" width="9" customWidth="1"/>
    <col min="3" max="3" width="6" customWidth="1"/>
    <col min="4" max="4" width="12" style="1" hidden="1" customWidth="1"/>
    <col min="5" max="5" width="7.140625" customWidth="1"/>
    <col min="6" max="6" width="7.5703125" customWidth="1"/>
    <col min="7" max="7" width="8" customWidth="1"/>
    <col min="8" max="8" width="7.28515625" customWidth="1"/>
    <col min="9" max="9" width="7.42578125" hidden="1" customWidth="1"/>
    <col min="10" max="10" width="9.140625" customWidth="1"/>
    <col min="11" max="11" width="5.5703125" hidden="1" customWidth="1"/>
    <col min="12" max="12" width="8.42578125" customWidth="1"/>
    <col min="13" max="13" width="7" customWidth="1"/>
    <col min="14" max="14" width="8.42578125" customWidth="1"/>
    <col min="15" max="15" width="7.28515625" customWidth="1"/>
    <col min="16" max="16" width="9.85546875" hidden="1" customWidth="1"/>
    <col min="17" max="17" width="9.28515625" customWidth="1"/>
    <col min="18" max="18" width="6" customWidth="1"/>
    <col min="19" max="19" width="6.7109375" customWidth="1"/>
    <col min="20" max="20" width="9.140625" hidden="1" customWidth="1"/>
    <col min="21" max="21" width="7.140625" customWidth="1"/>
    <col min="22" max="22" width="7.85546875" customWidth="1"/>
    <col min="23" max="23" width="8.28515625" customWidth="1"/>
    <col min="24" max="24" width="6" customWidth="1"/>
    <col min="25" max="25" width="5.42578125" customWidth="1"/>
    <col min="26" max="26" width="6.85546875" customWidth="1"/>
    <col min="27" max="27" width="6.5703125" customWidth="1"/>
    <col min="28" max="28" width="7.5703125" customWidth="1"/>
    <col min="29" max="29" width="6.5703125" customWidth="1"/>
    <col min="30" max="30" width="4.28515625" customWidth="1"/>
    <col min="31" max="32" width="6.85546875" customWidth="1"/>
    <col min="33" max="33" width="0" hidden="1" customWidth="1"/>
    <col min="34" max="34" width="8.42578125" customWidth="1"/>
    <col min="35" max="35" width="7" customWidth="1"/>
    <col min="36" max="36" width="7.85546875" customWidth="1"/>
    <col min="37" max="37" width="0" hidden="1" customWidth="1"/>
    <col min="38" max="38" width="6.7109375" customWidth="1"/>
    <col min="39" max="39" width="7.7109375" customWidth="1"/>
    <col min="40" max="40" width="7" customWidth="1"/>
    <col min="41" max="41" width="9.42578125" customWidth="1"/>
    <col min="42" max="42" width="6.28515625" customWidth="1"/>
    <col min="43" max="43" width="6.85546875" customWidth="1"/>
    <col min="44" max="44" width="0" hidden="1" customWidth="1"/>
    <col min="45" max="45" width="6.7109375" customWidth="1"/>
    <col min="46" max="46" width="9.7109375" customWidth="1"/>
    <col min="47" max="47" width="7" customWidth="1"/>
    <col min="48" max="48" width="0" hidden="1" customWidth="1"/>
    <col min="49" max="49" width="6.140625" hidden="1" customWidth="1"/>
    <col min="50" max="50" width="5.140625" hidden="1" customWidth="1"/>
    <col min="51" max="51" width="8.42578125" customWidth="1"/>
    <col min="52" max="52" width="10" customWidth="1"/>
    <col min="53" max="53" width="8.7109375" hidden="1" customWidth="1"/>
    <col min="54" max="54" width="3.85546875" hidden="1" customWidth="1"/>
    <col min="55" max="55" width="6.5703125" customWidth="1"/>
    <col min="56" max="56" width="6.140625" customWidth="1"/>
    <col min="57" max="57" width="6.7109375" customWidth="1"/>
    <col min="58" max="58" width="8.85546875" customWidth="1"/>
    <col min="59" max="59" width="7.85546875" customWidth="1"/>
    <col min="60" max="60" width="9.85546875" customWidth="1"/>
    <col min="61" max="62" width="8.7109375" customWidth="1"/>
    <col min="63" max="63" width="10.28515625" customWidth="1"/>
    <col min="64" max="64" width="10.85546875" customWidth="1"/>
    <col min="65" max="65" width="10.7109375" customWidth="1"/>
    <col min="66" max="66" width="11.28515625" customWidth="1"/>
    <col min="67" max="68" width="8.85546875" customWidth="1"/>
    <col min="69" max="69" width="11.28515625" customWidth="1"/>
    <col min="70" max="70" width="7.7109375" customWidth="1"/>
    <col min="71" max="71" width="10" customWidth="1"/>
    <col min="72" max="72" width="8.85546875" customWidth="1"/>
    <col min="73" max="73" width="10.140625" customWidth="1"/>
    <col min="74" max="75" width="8.85546875" customWidth="1"/>
    <col min="76" max="76" width="10.85546875" customWidth="1"/>
    <col min="77" max="78" width="8.7109375" customWidth="1"/>
    <col min="79" max="79" width="10" customWidth="1"/>
    <col min="80" max="80" width="10.42578125" customWidth="1"/>
    <col min="81" max="82" width="8.42578125" customWidth="1"/>
    <col min="83" max="83" width="9.85546875" customWidth="1"/>
    <col min="84" max="85" width="11.42578125" customWidth="1"/>
    <col min="86" max="86" width="11.140625" customWidth="1"/>
    <col min="87" max="87" width="11.28515625" customWidth="1"/>
    <col min="88" max="89" width="10" customWidth="1"/>
    <col min="90" max="90" width="8.7109375" customWidth="1"/>
    <col min="91" max="91" width="11.85546875" customWidth="1"/>
    <col min="92" max="92" width="8.7109375" customWidth="1"/>
    <col min="93" max="93" width="12.140625" customWidth="1"/>
    <col min="94" max="94" width="12.5703125" customWidth="1"/>
    <col min="95" max="95" width="11.7109375" customWidth="1"/>
    <col min="96" max="98" width="12.28515625" customWidth="1"/>
    <col min="99" max="99" width="13.28515625" customWidth="1"/>
    <col min="100" max="100" width="12.85546875" customWidth="1"/>
    <col min="101" max="101" width="13.42578125" customWidth="1"/>
    <col min="102" max="102" width="13.28515625" customWidth="1"/>
    <col min="103" max="103" width="12.5703125" customWidth="1"/>
    <col min="104" max="104" width="9.5703125" customWidth="1"/>
    <col min="105" max="105" width="19.140625" customWidth="1"/>
    <col min="106" max="106" width="19.42578125" customWidth="1"/>
    <col min="111" max="111" width="8.7109375" hidden="1" customWidth="1"/>
    <col min="112" max="112" width="9" bestFit="1" customWidth="1"/>
    <col min="114" max="114" width="9.5703125" bestFit="1" customWidth="1"/>
  </cols>
  <sheetData>
    <row r="1" spans="1:114" ht="17.25" customHeight="1">
      <c r="A1" s="310" t="s">
        <v>0</v>
      </c>
      <c r="B1" s="310"/>
      <c r="C1" s="310"/>
      <c r="D1" s="311"/>
      <c r="E1" s="310"/>
      <c r="F1" s="310"/>
      <c r="G1" s="310"/>
      <c r="H1" s="310"/>
      <c r="I1" s="310"/>
      <c r="J1" s="310"/>
      <c r="K1" s="310"/>
      <c r="L1" s="310"/>
      <c r="M1" s="310"/>
      <c r="N1" s="310"/>
      <c r="O1" s="310"/>
      <c r="P1" s="77"/>
      <c r="Q1" s="77"/>
      <c r="R1" s="77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</row>
    <row r="2" spans="1:114" ht="19.5" customHeight="1" thickBot="1">
      <c r="A2" s="22"/>
      <c r="B2" s="78"/>
      <c r="C2" s="78"/>
      <c r="D2" s="79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80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80"/>
      <c r="AT2" s="312" t="s">
        <v>1</v>
      </c>
      <c r="AU2" s="313">
        <v>29</v>
      </c>
      <c r="AV2" s="314"/>
      <c r="AW2" s="314"/>
      <c r="AX2" s="315" t="s">
        <v>81</v>
      </c>
      <c r="AY2" s="556" t="s">
        <v>149</v>
      </c>
      <c r="AZ2" s="556"/>
      <c r="BA2" s="556"/>
      <c r="BB2" s="556"/>
      <c r="BC2" s="556"/>
      <c r="BD2" s="316" t="s">
        <v>107</v>
      </c>
      <c r="BE2" s="317"/>
    </row>
    <row r="3" spans="1:114" ht="39.75" customHeight="1" thickBot="1">
      <c r="A3" s="557" t="s">
        <v>3</v>
      </c>
      <c r="B3" s="558" t="s">
        <v>71</v>
      </c>
      <c r="C3" s="558"/>
      <c r="D3" s="558"/>
      <c r="E3" s="558"/>
      <c r="F3" s="558"/>
      <c r="G3" s="558"/>
      <c r="H3" s="554" t="s">
        <v>4</v>
      </c>
      <c r="I3" s="554"/>
      <c r="J3" s="554"/>
      <c r="K3" s="554"/>
      <c r="L3" s="554"/>
      <c r="M3" s="554"/>
      <c r="N3" s="554"/>
      <c r="O3" s="554"/>
      <c r="P3" s="559"/>
      <c r="Q3" s="560" t="s">
        <v>5</v>
      </c>
      <c r="R3" s="561"/>
      <c r="S3" s="561"/>
      <c r="T3" s="561"/>
      <c r="U3" s="562"/>
      <c r="V3" s="563" t="s">
        <v>6</v>
      </c>
      <c r="W3" s="563" t="s">
        <v>7</v>
      </c>
      <c r="X3" s="564" t="s">
        <v>8</v>
      </c>
      <c r="Y3" s="564" t="s">
        <v>9</v>
      </c>
      <c r="Z3" s="564" t="s">
        <v>10</v>
      </c>
      <c r="AA3" s="564" t="s">
        <v>11</v>
      </c>
      <c r="AB3" s="564" t="s">
        <v>12</v>
      </c>
      <c r="AC3" s="564" t="s">
        <v>13</v>
      </c>
      <c r="AD3" s="564" t="s">
        <v>14</v>
      </c>
      <c r="AE3" s="554" t="s">
        <v>15</v>
      </c>
      <c r="AF3" s="554"/>
      <c r="AG3" s="554" t="s">
        <v>16</v>
      </c>
      <c r="AH3" s="554"/>
      <c r="AI3" s="554"/>
      <c r="AJ3" s="593" t="s">
        <v>17</v>
      </c>
      <c r="AK3" s="593"/>
      <c r="AL3" s="564" t="s">
        <v>18</v>
      </c>
      <c r="AM3" s="599" t="s">
        <v>19</v>
      </c>
      <c r="AN3" s="600" t="s">
        <v>95</v>
      </c>
      <c r="AO3" s="603" t="s">
        <v>20</v>
      </c>
      <c r="AP3" s="564" t="s">
        <v>105</v>
      </c>
      <c r="AQ3" s="564" t="s">
        <v>21</v>
      </c>
      <c r="AR3" s="81"/>
      <c r="AS3" s="593" t="s">
        <v>22</v>
      </c>
      <c r="AT3" s="554" t="s">
        <v>23</v>
      </c>
      <c r="AU3" s="554"/>
      <c r="AV3" s="554"/>
      <c r="AW3" s="554"/>
      <c r="AX3" s="554"/>
      <c r="AY3" s="554"/>
      <c r="AZ3" s="564" t="s">
        <v>24</v>
      </c>
      <c r="BA3" s="594" t="s">
        <v>25</v>
      </c>
      <c r="BB3" s="594"/>
      <c r="BC3" s="564" t="s">
        <v>26</v>
      </c>
      <c r="BD3" s="564" t="s">
        <v>27</v>
      </c>
      <c r="BE3" s="572" t="s">
        <v>28</v>
      </c>
      <c r="BF3" s="3"/>
      <c r="BG3" s="3"/>
      <c r="BH3" s="3"/>
      <c r="BI3" s="3"/>
      <c r="BJ3" s="3"/>
      <c r="BK3" s="573" t="s">
        <v>29</v>
      </c>
      <c r="BL3" s="574"/>
      <c r="BM3" s="574"/>
      <c r="BN3" s="574"/>
      <c r="BO3" s="575"/>
      <c r="BP3" s="575"/>
      <c r="BQ3" s="576"/>
      <c r="BR3" s="573" t="s">
        <v>30</v>
      </c>
      <c r="BS3" s="585"/>
      <c r="BT3" s="585"/>
      <c r="BU3" s="585"/>
      <c r="BV3" s="585"/>
      <c r="BW3" s="585"/>
      <c r="BX3" s="586"/>
      <c r="BY3" s="566" t="s">
        <v>31</v>
      </c>
      <c r="BZ3" s="566"/>
      <c r="CA3" s="566"/>
      <c r="CB3" s="566"/>
      <c r="CC3" s="566"/>
      <c r="CD3" s="566"/>
      <c r="CE3" s="566"/>
      <c r="CF3" s="566" t="s">
        <v>87</v>
      </c>
      <c r="CG3" s="566"/>
      <c r="CH3" s="566"/>
      <c r="CI3" s="566"/>
      <c r="CJ3" s="566" t="s">
        <v>32</v>
      </c>
      <c r="CK3" s="566"/>
      <c r="CL3" s="566"/>
      <c r="CM3" s="566"/>
      <c r="CN3" s="4"/>
      <c r="CO3" s="5"/>
      <c r="CP3" s="6"/>
      <c r="CQ3" s="6"/>
    </row>
    <row r="4" spans="1:114" s="7" customFormat="1" ht="30.75" customHeight="1" thickBot="1">
      <c r="A4" s="557"/>
      <c r="B4" s="565" t="s">
        <v>72</v>
      </c>
      <c r="C4" s="565" t="s">
        <v>73</v>
      </c>
      <c r="D4" s="568" t="s">
        <v>33</v>
      </c>
      <c r="E4" s="565" t="s">
        <v>74</v>
      </c>
      <c r="F4" s="569" t="s">
        <v>75</v>
      </c>
      <c r="G4" s="569" t="s">
        <v>34</v>
      </c>
      <c r="H4" s="555" t="s">
        <v>76</v>
      </c>
      <c r="I4" s="570" t="s">
        <v>101</v>
      </c>
      <c r="J4" s="555" t="s">
        <v>89</v>
      </c>
      <c r="K4" s="565" t="s">
        <v>35</v>
      </c>
      <c r="L4" s="565" t="s">
        <v>77</v>
      </c>
      <c r="M4" s="565" t="s">
        <v>78</v>
      </c>
      <c r="N4" s="565" t="s">
        <v>101</v>
      </c>
      <c r="O4" s="565" t="s">
        <v>96</v>
      </c>
      <c r="P4" s="555" t="s">
        <v>79</v>
      </c>
      <c r="Q4" s="555" t="s">
        <v>36</v>
      </c>
      <c r="R4" s="555" t="s">
        <v>32</v>
      </c>
      <c r="S4" s="555" t="s">
        <v>37</v>
      </c>
      <c r="T4" s="555" t="s">
        <v>38</v>
      </c>
      <c r="U4" s="555" t="s">
        <v>39</v>
      </c>
      <c r="V4" s="563"/>
      <c r="W4" s="563"/>
      <c r="X4" s="564"/>
      <c r="Y4" s="564"/>
      <c r="Z4" s="564"/>
      <c r="AA4" s="564"/>
      <c r="AB4" s="564"/>
      <c r="AC4" s="564"/>
      <c r="AD4" s="564"/>
      <c r="AE4" s="554"/>
      <c r="AF4" s="554"/>
      <c r="AG4" s="554"/>
      <c r="AH4" s="554"/>
      <c r="AI4" s="554"/>
      <c r="AJ4" s="593"/>
      <c r="AK4" s="593"/>
      <c r="AL4" s="564"/>
      <c r="AM4" s="599"/>
      <c r="AN4" s="601"/>
      <c r="AO4" s="603"/>
      <c r="AP4" s="564"/>
      <c r="AQ4" s="564"/>
      <c r="AR4" s="82"/>
      <c r="AS4" s="593"/>
      <c r="AT4" s="554"/>
      <c r="AU4" s="554"/>
      <c r="AV4" s="554"/>
      <c r="AW4" s="554"/>
      <c r="AX4" s="554"/>
      <c r="AY4" s="554"/>
      <c r="AZ4" s="564"/>
      <c r="BA4" s="594"/>
      <c r="BB4" s="594"/>
      <c r="BC4" s="564"/>
      <c r="BD4" s="564"/>
      <c r="BE4" s="572"/>
      <c r="BF4" s="3"/>
      <c r="BG4" s="3"/>
      <c r="BH4" s="3"/>
      <c r="BI4" s="3"/>
      <c r="BJ4" s="3"/>
      <c r="BK4" s="577"/>
      <c r="BL4" s="578"/>
      <c r="BM4" s="578"/>
      <c r="BN4" s="578"/>
      <c r="BO4" s="579"/>
      <c r="BP4" s="579"/>
      <c r="BQ4" s="580"/>
      <c r="BR4" s="577"/>
      <c r="BS4" s="566"/>
      <c r="BT4" s="566"/>
      <c r="BU4" s="566"/>
      <c r="BV4" s="566"/>
      <c r="BW4" s="566"/>
      <c r="BX4" s="587"/>
      <c r="BY4" s="566"/>
      <c r="BZ4" s="566"/>
      <c r="CA4" s="566"/>
      <c r="CB4" s="566"/>
      <c r="CC4" s="566"/>
      <c r="CD4" s="566"/>
      <c r="CE4" s="566"/>
      <c r="CF4" s="566"/>
      <c r="CG4" s="566"/>
      <c r="CH4" s="566"/>
      <c r="CI4" s="566"/>
      <c r="CJ4" s="566"/>
      <c r="CK4" s="566"/>
      <c r="CL4" s="566"/>
      <c r="CM4" s="566"/>
      <c r="CN4" s="4"/>
      <c r="CO4" s="6"/>
      <c r="CP4" s="6"/>
      <c r="CQ4" s="262"/>
      <c r="CR4" s="231"/>
      <c r="CS4" s="231"/>
      <c r="CT4" s="231"/>
      <c r="CU4" s="231"/>
      <c r="CV4" s="231"/>
      <c r="CW4" s="231"/>
      <c r="CX4" s="231"/>
      <c r="CY4" s="231"/>
      <c r="DD4" s="590" t="s">
        <v>90</v>
      </c>
      <c r="DE4" s="591"/>
      <c r="DF4" s="591"/>
      <c r="DG4" s="591"/>
      <c r="DH4" s="592"/>
    </row>
    <row r="5" spans="1:114" s="7" customFormat="1" ht="8.25" hidden="1" customHeight="1">
      <c r="A5" s="557"/>
      <c r="B5" s="565"/>
      <c r="C5" s="565"/>
      <c r="D5" s="568"/>
      <c r="E5" s="565"/>
      <c r="F5" s="569"/>
      <c r="G5" s="569"/>
      <c r="H5" s="555"/>
      <c r="I5" s="570"/>
      <c r="J5" s="565"/>
      <c r="K5" s="565"/>
      <c r="L5" s="565"/>
      <c r="M5" s="565"/>
      <c r="N5" s="565"/>
      <c r="O5" s="565"/>
      <c r="P5" s="555"/>
      <c r="Q5" s="555"/>
      <c r="R5" s="555"/>
      <c r="S5" s="555"/>
      <c r="T5" s="555"/>
      <c r="U5" s="555"/>
      <c r="V5" s="563"/>
      <c r="W5" s="563"/>
      <c r="X5" s="564"/>
      <c r="Y5" s="564"/>
      <c r="Z5" s="564"/>
      <c r="AA5" s="564"/>
      <c r="AB5" s="564"/>
      <c r="AC5" s="564"/>
      <c r="AD5" s="564"/>
      <c r="AE5" s="555" t="s">
        <v>40</v>
      </c>
      <c r="AF5" s="555" t="s">
        <v>41</v>
      </c>
      <c r="AG5" s="555" t="s">
        <v>42</v>
      </c>
      <c r="AH5" s="555" t="s">
        <v>40</v>
      </c>
      <c r="AI5" s="555" t="s">
        <v>41</v>
      </c>
      <c r="AJ5" s="593"/>
      <c r="AK5" s="593"/>
      <c r="AL5" s="564"/>
      <c r="AM5" s="599"/>
      <c r="AN5" s="601"/>
      <c r="AO5" s="603"/>
      <c r="AP5" s="564"/>
      <c r="AQ5" s="564"/>
      <c r="AR5" s="83"/>
      <c r="AS5" s="593"/>
      <c r="AT5" s="555" t="s">
        <v>43</v>
      </c>
      <c r="AU5" s="84"/>
      <c r="AV5" s="85"/>
      <c r="AW5" s="598" t="s">
        <v>44</v>
      </c>
      <c r="AX5" s="598" t="s">
        <v>45</v>
      </c>
      <c r="AY5" s="555" t="s">
        <v>46</v>
      </c>
      <c r="AZ5" s="564"/>
      <c r="BA5" s="86" t="s">
        <v>47</v>
      </c>
      <c r="BB5" s="86" t="s">
        <v>48</v>
      </c>
      <c r="BC5" s="564"/>
      <c r="BD5" s="564"/>
      <c r="BE5" s="572"/>
      <c r="BF5" s="3"/>
      <c r="BG5" s="3"/>
      <c r="BH5" s="3"/>
      <c r="BI5" s="3"/>
      <c r="BJ5" s="3"/>
      <c r="BK5" s="581"/>
      <c r="BL5" s="582"/>
      <c r="BM5" s="582"/>
      <c r="BN5" s="582"/>
      <c r="BO5" s="583"/>
      <c r="BP5" s="583"/>
      <c r="BQ5" s="584"/>
      <c r="BR5" s="581"/>
      <c r="BS5" s="588"/>
      <c r="BT5" s="588"/>
      <c r="BU5" s="588"/>
      <c r="BV5" s="588"/>
      <c r="BW5" s="588"/>
      <c r="BX5" s="589"/>
      <c r="BY5" s="567"/>
      <c r="BZ5" s="566"/>
      <c r="CA5" s="566"/>
      <c r="CB5" s="566"/>
      <c r="CC5" s="566"/>
      <c r="CD5" s="566"/>
      <c r="CE5" s="566"/>
      <c r="CF5" s="567"/>
      <c r="CG5" s="567"/>
      <c r="CH5" s="567"/>
      <c r="CI5" s="567"/>
      <c r="CJ5" s="567"/>
      <c r="CK5" s="567"/>
      <c r="CL5" s="567"/>
      <c r="CM5" s="567"/>
      <c r="CN5" s="4"/>
      <c r="CO5"/>
      <c r="CP5"/>
      <c r="CQ5" s="255"/>
      <c r="CR5" s="256"/>
      <c r="CS5" s="256"/>
      <c r="CT5" s="256"/>
      <c r="CU5" s="256"/>
      <c r="CV5" s="257"/>
      <c r="CW5" s="257"/>
      <c r="CX5" s="257"/>
      <c r="CY5" s="258"/>
      <c r="DA5" s="595" t="s">
        <v>49</v>
      </c>
      <c r="DB5" s="595"/>
    </row>
    <row r="6" spans="1:114" s="7" customFormat="1" ht="106.5" customHeight="1" thickBot="1">
      <c r="A6" s="557"/>
      <c r="B6" s="565"/>
      <c r="C6" s="565"/>
      <c r="D6" s="568"/>
      <c r="E6" s="565"/>
      <c r="F6" s="569"/>
      <c r="G6" s="569"/>
      <c r="H6" s="555"/>
      <c r="I6" s="570"/>
      <c r="J6" s="571"/>
      <c r="K6" s="565"/>
      <c r="L6" s="565"/>
      <c r="M6" s="565"/>
      <c r="N6" s="565"/>
      <c r="O6" s="565"/>
      <c r="P6" s="565"/>
      <c r="Q6" s="565"/>
      <c r="R6" s="565"/>
      <c r="S6" s="565"/>
      <c r="T6" s="555"/>
      <c r="U6" s="555"/>
      <c r="V6" s="563"/>
      <c r="W6" s="563"/>
      <c r="X6" s="564"/>
      <c r="Y6" s="564"/>
      <c r="Z6" s="564"/>
      <c r="AA6" s="564"/>
      <c r="AB6" s="564"/>
      <c r="AC6" s="564"/>
      <c r="AD6" s="564"/>
      <c r="AE6" s="555"/>
      <c r="AF6" s="555"/>
      <c r="AG6" s="555"/>
      <c r="AH6" s="555"/>
      <c r="AI6" s="555"/>
      <c r="AJ6" s="593"/>
      <c r="AK6" s="593"/>
      <c r="AL6" s="564"/>
      <c r="AM6" s="599"/>
      <c r="AN6" s="602"/>
      <c r="AO6" s="603"/>
      <c r="AP6" s="564"/>
      <c r="AQ6" s="564"/>
      <c r="AR6" s="425"/>
      <c r="AS6" s="593"/>
      <c r="AT6" s="555"/>
      <c r="AU6" s="424" t="s">
        <v>50</v>
      </c>
      <c r="AV6" s="424" t="s">
        <v>51</v>
      </c>
      <c r="AW6" s="598"/>
      <c r="AX6" s="598"/>
      <c r="AY6" s="555"/>
      <c r="AZ6" s="555"/>
      <c r="BA6" s="87"/>
      <c r="BB6" s="88">
        <v>0.04</v>
      </c>
      <c r="BC6" s="564"/>
      <c r="BD6" s="564"/>
      <c r="BE6" s="572"/>
      <c r="BF6" s="8" t="s">
        <v>52</v>
      </c>
      <c r="BG6" s="8" t="s">
        <v>53</v>
      </c>
      <c r="BH6" s="8" t="s">
        <v>54</v>
      </c>
      <c r="BI6" s="3"/>
      <c r="BJ6" s="3"/>
      <c r="BK6" s="308" t="s">
        <v>104</v>
      </c>
      <c r="BL6" s="280" t="s">
        <v>82</v>
      </c>
      <c r="BM6" s="279" t="s">
        <v>100</v>
      </c>
      <c r="BN6" s="307" t="s">
        <v>102</v>
      </c>
      <c r="BO6" s="308" t="s">
        <v>97</v>
      </c>
      <c r="BP6" s="326" t="s">
        <v>99</v>
      </c>
      <c r="BQ6" s="306" t="s">
        <v>86</v>
      </c>
      <c r="BR6" s="308" t="s">
        <v>104</v>
      </c>
      <c r="BS6" s="280" t="s">
        <v>82</v>
      </c>
      <c r="BT6" s="279" t="s">
        <v>100</v>
      </c>
      <c r="BU6" s="327"/>
      <c r="BV6" s="308" t="s">
        <v>97</v>
      </c>
      <c r="BW6" s="326" t="s">
        <v>99</v>
      </c>
      <c r="BX6" s="306"/>
      <c r="BY6" s="308" t="s">
        <v>104</v>
      </c>
      <c r="BZ6" s="280" t="s">
        <v>82</v>
      </c>
      <c r="CA6" s="279" t="s">
        <v>100</v>
      </c>
      <c r="CB6" s="307" t="s">
        <v>102</v>
      </c>
      <c r="CC6" s="308" t="s">
        <v>97</v>
      </c>
      <c r="CD6" s="326" t="s">
        <v>99</v>
      </c>
      <c r="CE6" s="306" t="s">
        <v>86</v>
      </c>
      <c r="CF6" s="267" t="s">
        <v>106</v>
      </c>
      <c r="CG6" s="268" t="s">
        <v>85</v>
      </c>
      <c r="CH6" s="244" t="s">
        <v>109</v>
      </c>
      <c r="CI6" s="245" t="s">
        <v>103</v>
      </c>
      <c r="CJ6" s="267" t="s">
        <v>106</v>
      </c>
      <c r="CK6" s="268" t="s">
        <v>85</v>
      </c>
      <c r="CL6" s="244" t="s">
        <v>109</v>
      </c>
      <c r="CM6" s="245" t="s">
        <v>103</v>
      </c>
      <c r="CN6" s="243"/>
      <c r="CO6" s="248" t="s">
        <v>104</v>
      </c>
      <c r="CP6" s="10" t="s">
        <v>82</v>
      </c>
      <c r="CQ6" s="264" t="s">
        <v>100</v>
      </c>
      <c r="CR6" s="23" t="s">
        <v>102</v>
      </c>
      <c r="CS6" s="248" t="s">
        <v>98</v>
      </c>
      <c r="CT6" s="248" t="s">
        <v>99</v>
      </c>
      <c r="CU6" s="9" t="s">
        <v>83</v>
      </c>
      <c r="CV6" s="259" t="s">
        <v>106</v>
      </c>
      <c r="CW6" s="248" t="s">
        <v>84</v>
      </c>
      <c r="CX6" s="232" t="s">
        <v>108</v>
      </c>
      <c r="CY6" s="263" t="s">
        <v>103</v>
      </c>
      <c r="CZ6" s="253"/>
      <c r="DA6" s="321" t="s">
        <v>80</v>
      </c>
      <c r="DB6" s="321" t="s">
        <v>55</v>
      </c>
      <c r="DD6" s="288" t="s">
        <v>91</v>
      </c>
      <c r="DE6" s="289" t="s">
        <v>92</v>
      </c>
      <c r="DF6" s="290" t="s">
        <v>93</v>
      </c>
      <c r="DG6" s="290"/>
      <c r="DH6" s="289" t="s">
        <v>94</v>
      </c>
    </row>
    <row r="7" spans="1:114" s="76" customFormat="1" ht="16.5" customHeight="1" thickBot="1">
      <c r="A7" s="121">
        <v>1</v>
      </c>
      <c r="B7" s="122">
        <f>BL7+BN7</f>
        <v>284.43099999999998</v>
      </c>
      <c r="C7" s="123">
        <f>IF(B7=0,0,(BK7*BR7+BL7*BS7+BM7*BT7+BN7*BU7+BQ7*BX7+BO7*BV7+BP7*BW7)/B7)</f>
        <v>0.59274880456421752</v>
      </c>
      <c r="D7" s="124">
        <f>B7*((100-C7)/100)</f>
        <v>282.74503864768991</v>
      </c>
      <c r="E7" s="125">
        <f>IF(B7=0,0,(BK7*BY7+BL7*BZ7+BM7*CA7+BQ7*CE7+BN7*CB7+BO7*CC7+BP7*CD7)/B7)</f>
        <v>41.37254859702356</v>
      </c>
      <c r="F7" s="126">
        <f>IF(AY7=0,0,D7/AY7)</f>
        <v>1.9764087700803152</v>
      </c>
      <c r="G7" s="127"/>
      <c r="H7" s="126">
        <f>IF(AY7=0,0,(CP7+CO7+CS7+CQ7+CT7)/AY7)</f>
        <v>1.0311340975814343</v>
      </c>
      <c r="I7" s="230">
        <f>'[1]июль 20'!AI6</f>
        <v>0</v>
      </c>
      <c r="J7" s="246">
        <f>'[1]февраль 20'!AA6</f>
        <v>11.382</v>
      </c>
      <c r="K7" s="276">
        <f>'[1]сентябрь 20'!AM6</f>
        <v>0</v>
      </c>
      <c r="L7" s="122">
        <f>BN7</f>
        <v>135.23099999999999</v>
      </c>
      <c r="M7" s="128">
        <f>IF(AY7=0,0,(CR7+CU7)/AY7)</f>
        <v>0.94527470744925202</v>
      </c>
      <c r="N7" s="128">
        <f>'[1]февраль 20'!W6</f>
        <v>0</v>
      </c>
      <c r="O7" s="402">
        <f>'[1]февраль 20'!AU6</f>
        <v>4.7060000000000004</v>
      </c>
      <c r="P7" s="125">
        <f t="shared" ref="P7:P37" si="0">CF7+CH7+CI7+CG7</f>
        <v>180.865003</v>
      </c>
      <c r="Q7" s="122">
        <f>'[1]февраль 20'!S6</f>
        <v>180.86500000000001</v>
      </c>
      <c r="R7" s="123">
        <f>IF(Q7=0,0,(CI7*CM7+CG7*CK7+CH7*CL7+CF7*CJ7)/Q7)</f>
        <v>1.8500000000000167</v>
      </c>
      <c r="S7" s="129">
        <v>19.21</v>
      </c>
      <c r="T7" s="125">
        <f t="shared" ref="T7:T37" si="1">Q7*((100-R7)/100)</f>
        <v>177.51899749999998</v>
      </c>
      <c r="U7" s="128">
        <f t="shared" ref="U7:U37" si="2">IF(AY7=0,0,T7/AY7)</f>
        <v>1.2408709457570248</v>
      </c>
      <c r="V7" s="130">
        <v>143.06</v>
      </c>
      <c r="W7" s="130">
        <v>143.06</v>
      </c>
      <c r="X7" s="129">
        <v>0.23</v>
      </c>
      <c r="Y7" s="131">
        <v>509</v>
      </c>
      <c r="Z7" s="131">
        <v>1168</v>
      </c>
      <c r="AA7" s="132" t="s">
        <v>161</v>
      </c>
      <c r="AB7" s="129">
        <v>77.55</v>
      </c>
      <c r="AC7" s="131">
        <v>115</v>
      </c>
      <c r="AD7" s="133">
        <v>4</v>
      </c>
      <c r="AE7" s="129"/>
      <c r="AF7" s="134">
        <f t="shared" ref="AF7:AF37" si="3">IF(AY7=0,0,AE7/AY7*1000)</f>
        <v>0</v>
      </c>
      <c r="AG7" s="135"/>
      <c r="AH7" s="129">
        <v>86.45</v>
      </c>
      <c r="AI7" s="134">
        <f t="shared" ref="AI7:AI37" si="4">IF(AY7=0,0,AH7/AY7*1000)</f>
        <v>604.2919054941982</v>
      </c>
      <c r="AJ7" s="136">
        <v>15.71</v>
      </c>
      <c r="AK7" s="127"/>
      <c r="AL7" s="137">
        <v>6.11</v>
      </c>
      <c r="AM7" s="138">
        <v>36.200000000000003</v>
      </c>
      <c r="AN7" s="126">
        <f>IF(AM7=0,0,AM7/AT7)</f>
        <v>0.19754433833560711</v>
      </c>
      <c r="AO7" s="139" t="s">
        <v>162</v>
      </c>
      <c r="AP7" s="138">
        <v>10.55</v>
      </c>
      <c r="AQ7" s="138">
        <v>6.58</v>
      </c>
      <c r="AR7" s="129"/>
      <c r="AS7" s="129">
        <v>10.92</v>
      </c>
      <c r="AT7" s="129">
        <v>183.25</v>
      </c>
      <c r="AU7" s="129">
        <v>2.12</v>
      </c>
      <c r="AV7" s="129"/>
      <c r="AW7" s="129"/>
      <c r="AX7" s="140">
        <f t="shared" ref="AX7:AX37" si="5">IF(AY7=0,0,AW7/AY7*100)</f>
        <v>0</v>
      </c>
      <c r="AY7" s="125">
        <f t="shared" ref="AY7:AY37" si="6">AT7-AL7-AM7+AV7+AW7+AU7</f>
        <v>143.06</v>
      </c>
      <c r="AZ7" s="125">
        <f>IF(AB7=0,0,((D7*0.97)*(E7/100)*0.9)/(AB7/100))+DH7</f>
        <v>133.30476175982542</v>
      </c>
      <c r="BA7" s="141">
        <f t="shared" ref="BA7:BA37" si="7">(AH7*AS7)/100*(55/71)</f>
        <v>7.3129394366197173</v>
      </c>
      <c r="BB7" s="142">
        <f t="shared" ref="BB7:BB37" si="8">AY7*$BB$6</f>
        <v>5.7224000000000004</v>
      </c>
      <c r="BC7" s="122">
        <f t="shared" ref="BC7:BC37" si="9">IF((D7*E7)=0,0,(AY7*AB7)/(D7*E7))</f>
        <v>0.94840264177250788</v>
      </c>
      <c r="BD7" s="142">
        <f>BA7+BB7</f>
        <v>13.035339436619719</v>
      </c>
      <c r="BE7" s="143">
        <v>0.94799999999999995</v>
      </c>
      <c r="BF7" s="25">
        <f>AY7</f>
        <v>143.06</v>
      </c>
      <c r="BG7" s="25">
        <f t="shared" ref="BG7:BG38" si="10">IF(A7&lt;=$BE$43,$AT$43,0)</f>
        <v>124.55172413793103</v>
      </c>
      <c r="BH7" s="25">
        <f>BG7</f>
        <v>124.55172413793103</v>
      </c>
      <c r="BI7" s="26">
        <f t="shared" ref="BI7:BI37" si="11">IF(AY7&lt;&gt;0,1,0)</f>
        <v>1</v>
      </c>
      <c r="BJ7" s="27">
        <f>BG7*BI7</f>
        <v>124.55172413793103</v>
      </c>
      <c r="BK7" s="28">
        <v>9.9999999999999995E-7</v>
      </c>
      <c r="BL7" s="28">
        <v>149.19999999999999</v>
      </c>
      <c r="BM7" s="28">
        <v>9.9999999999999995E-7</v>
      </c>
      <c r="BN7" s="28">
        <v>135.23099999999999</v>
      </c>
      <c r="BO7" s="28">
        <v>9.9999999999999995E-7</v>
      </c>
      <c r="BP7" s="28">
        <v>9.9999999999999995E-7</v>
      </c>
      <c r="BQ7" s="28">
        <v>9.9999999999999995E-7</v>
      </c>
      <c r="BR7" s="28">
        <v>9.9999999999999995E-7</v>
      </c>
      <c r="BS7" s="28">
        <v>1.1299999999999999</v>
      </c>
      <c r="BT7" s="28">
        <v>9.9999999999999995E-7</v>
      </c>
      <c r="BU7" s="28">
        <v>9.9999999999999995E-7</v>
      </c>
      <c r="BV7" s="28">
        <v>9.9999999999999995E-7</v>
      </c>
      <c r="BW7" s="28">
        <v>9.9999999999999995E-7</v>
      </c>
      <c r="BX7" s="28">
        <v>9.9999999999999995E-7</v>
      </c>
      <c r="BY7" s="28">
        <v>9.9999999999999995E-7</v>
      </c>
      <c r="BZ7" s="28">
        <v>37.840000000000003</v>
      </c>
      <c r="CA7" s="28">
        <v>9.9999999999999995E-7</v>
      </c>
      <c r="CB7" s="28">
        <v>45.27</v>
      </c>
      <c r="CC7" s="28">
        <v>9.9999999999999995E-7</v>
      </c>
      <c r="CD7" s="28">
        <v>9.9999999999999995E-7</v>
      </c>
      <c r="CE7" s="28">
        <v>9.9999999999999995E-7</v>
      </c>
      <c r="CF7" s="28">
        <v>180.86500000000001</v>
      </c>
      <c r="CG7" s="28">
        <v>9.9999999999999995E-7</v>
      </c>
      <c r="CH7" s="28">
        <v>9.9999999999999995E-7</v>
      </c>
      <c r="CI7" s="28">
        <v>9.9999999999999995E-7</v>
      </c>
      <c r="CJ7" s="28">
        <v>1.85</v>
      </c>
      <c r="CK7" s="28">
        <v>9.9999999999999995E-7</v>
      </c>
      <c r="CL7" s="28">
        <v>9.9999999999999995E-7</v>
      </c>
      <c r="CM7" s="28">
        <v>9.9999999999999995E-7</v>
      </c>
      <c r="CN7" s="286"/>
      <c r="CO7" s="252">
        <f t="shared" ref="CO7:CU22" si="12">BK7*((100-BR7)/100)</f>
        <v>9.9999998999999992E-7</v>
      </c>
      <c r="CP7" s="11">
        <f t="shared" si="12"/>
        <v>147.51403999999999</v>
      </c>
      <c r="CQ7" s="11">
        <f t="shared" si="12"/>
        <v>9.9999998999999992E-7</v>
      </c>
      <c r="CR7" s="11">
        <f t="shared" si="12"/>
        <v>135.23099864769</v>
      </c>
      <c r="CS7" s="11">
        <f t="shared" si="12"/>
        <v>9.9999998999999992E-7</v>
      </c>
      <c r="CT7" s="11">
        <f t="shared" si="12"/>
        <v>9.9999998999999992E-7</v>
      </c>
      <c r="CU7" s="271">
        <f t="shared" si="12"/>
        <v>9.9999998999999992E-7</v>
      </c>
      <c r="CV7" s="260">
        <f t="shared" ref="CV7:CY37" si="13">CF7*((100-CJ7)/100)</f>
        <v>177.51899750000001</v>
      </c>
      <c r="CW7" s="250">
        <f t="shared" si="13"/>
        <v>9.9999998999999992E-7</v>
      </c>
      <c r="CX7" s="260">
        <f t="shared" si="13"/>
        <v>9.9999998999999992E-7</v>
      </c>
      <c r="CY7" s="271">
        <f t="shared" si="13"/>
        <v>9.9999998999999992E-7</v>
      </c>
      <c r="CZ7" s="13"/>
      <c r="DA7" s="240">
        <f>(D7+'[2]февраль 20'!D7)/(AY7+'[2]февраль 20'!AX7)</f>
        <v>1.9938591153122458</v>
      </c>
      <c r="DB7" s="241">
        <f>(T7+'[2]февраль 20'!R7)/(AY7+'[2]февраль 20'!AX7)</f>
        <v>1.2309833517645146</v>
      </c>
      <c r="DD7" s="292">
        <f t="shared" ref="DD7:DD37" si="14">J7</f>
        <v>11.382</v>
      </c>
      <c r="DE7" s="291">
        <v>0.37</v>
      </c>
      <c r="DF7" s="291">
        <v>11.07</v>
      </c>
      <c r="DG7" s="145">
        <f t="shared" ref="DG7:DG37" si="15">DD7*((100-DE7)/100)</f>
        <v>11.3398866</v>
      </c>
      <c r="DH7" s="293">
        <f>IF(AB7=0,0,(DG7*DF7%)/(AB7/100))</f>
        <v>1.61873042762089</v>
      </c>
      <c r="DJ7" s="322"/>
    </row>
    <row r="8" spans="1:114" s="76" customFormat="1" ht="16.5" customHeight="1" thickBot="1">
      <c r="A8" s="144">
        <v>2</v>
      </c>
      <c r="B8" s="122">
        <f t="shared" ref="B8:B35" si="16">BL8+BN8</f>
        <v>282.17</v>
      </c>
      <c r="C8" s="123">
        <f t="shared" ref="C8:C37" si="17">IF(B8=0,0,(BK8*BR8+BL8*BS8+BM8*BT8+BN8*BU8+BQ8*BX8+BO8*BV8+BP8*BW8)/B8)</f>
        <v>0.67046106956799101</v>
      </c>
      <c r="D8" s="145">
        <f t="shared" ref="D8:D37" si="18">B8*((100-C8)/100)</f>
        <v>280.27816000000001</v>
      </c>
      <c r="E8" s="125">
        <f t="shared" ref="E8:E37" si="19">IF(B8=0,0,(BK8*BY8+BL8*BZ8+BM8*CA8+BQ8*CE8+BN8*CB8+BO8*CC8+BP8*CD8)/B8)</f>
        <v>41.026770032250063</v>
      </c>
      <c r="F8" s="146">
        <f t="shared" ref="F8:F37" si="20">IF(AY8=0,0,D8/AY8)</f>
        <v>2.0084425653887497</v>
      </c>
      <c r="G8" s="127"/>
      <c r="H8" s="126">
        <f t="shared" ref="H8:H37" si="21">IF(AY8=0,0,(CP8+CO8+CS8+CQ8+CT8)/AY8)</f>
        <v>1.0455618774632749</v>
      </c>
      <c r="I8" s="230">
        <f>'[1]июль 20'!AI7</f>
        <v>0</v>
      </c>
      <c r="J8" s="247">
        <f>'[1]февраль 20'!AA7</f>
        <v>11.089</v>
      </c>
      <c r="K8" s="276">
        <f>'[1]сентябрь 20'!AM7</f>
        <v>0</v>
      </c>
      <c r="L8" s="122">
        <f t="shared" ref="L8:L35" si="22">BN8</f>
        <v>134.37</v>
      </c>
      <c r="M8" s="128">
        <f t="shared" ref="M8:M37" si="23">IF(AY8=0,0,(CR8+CU8)/AY8)</f>
        <v>0.96288068792547465</v>
      </c>
      <c r="N8" s="400">
        <f>'[1]февраль 20'!W7</f>
        <v>0</v>
      </c>
      <c r="O8" s="403">
        <f>'[1]февраль 20'!AU7</f>
        <v>5.46</v>
      </c>
      <c r="P8" s="401">
        <f t="shared" si="0"/>
        <v>174.38399999999999</v>
      </c>
      <c r="Q8" s="122">
        <f>'[1]февраль 20'!S7</f>
        <v>174.38399999999999</v>
      </c>
      <c r="R8" s="123">
        <f t="shared" ref="R8:R37" si="24">IF(Q8=0,0,(CI8*CM8+CG8*CK8+CH8*CL8+CF8*CJ8)/Q8)</f>
        <v>2</v>
      </c>
      <c r="S8" s="129">
        <v>8.5500000000000007</v>
      </c>
      <c r="T8" s="125">
        <f t="shared" si="1"/>
        <v>170.89631999999997</v>
      </c>
      <c r="U8" s="147">
        <f t="shared" si="2"/>
        <v>1.2246242923683264</v>
      </c>
      <c r="V8" s="130">
        <v>139.55000000000001</v>
      </c>
      <c r="W8" s="130">
        <v>139.55000000000001</v>
      </c>
      <c r="X8" s="129">
        <v>0.49</v>
      </c>
      <c r="Y8" s="131">
        <v>518</v>
      </c>
      <c r="Z8" s="131">
        <v>1180</v>
      </c>
      <c r="AA8" s="148" t="s">
        <v>130</v>
      </c>
      <c r="AB8" s="149">
        <v>76.88</v>
      </c>
      <c r="AC8" s="150">
        <v>113</v>
      </c>
      <c r="AD8" s="151">
        <v>4</v>
      </c>
      <c r="AE8" s="149"/>
      <c r="AF8" s="134">
        <f t="shared" si="3"/>
        <v>0</v>
      </c>
      <c r="AG8" s="152"/>
      <c r="AH8" s="129">
        <v>83.2</v>
      </c>
      <c r="AI8" s="134">
        <f t="shared" si="4"/>
        <v>596.20207810820489</v>
      </c>
      <c r="AJ8" s="153">
        <v>13.65</v>
      </c>
      <c r="AK8" s="154"/>
      <c r="AL8" s="155">
        <v>5.01</v>
      </c>
      <c r="AM8" s="156">
        <v>35.869999999999997</v>
      </c>
      <c r="AN8" s="126">
        <f t="shared" ref="AN8:AN37" si="25">IF(AM8=0,0,AM8/AT8)</f>
        <v>0.20083986562150055</v>
      </c>
      <c r="AO8" s="157" t="s">
        <v>133</v>
      </c>
      <c r="AP8" s="156">
        <v>11.61</v>
      </c>
      <c r="AQ8" s="156">
        <v>6.69</v>
      </c>
      <c r="AR8" s="149"/>
      <c r="AS8" s="149">
        <v>7.46</v>
      </c>
      <c r="AT8" s="149">
        <v>178.6</v>
      </c>
      <c r="AU8" s="149">
        <v>1.83</v>
      </c>
      <c r="AV8" s="149"/>
      <c r="AW8" s="149"/>
      <c r="AX8" s="158">
        <f t="shared" si="5"/>
        <v>0</v>
      </c>
      <c r="AY8" s="125">
        <f t="shared" si="6"/>
        <v>139.55000000000001</v>
      </c>
      <c r="AZ8" s="125">
        <f>IF(AB8=0,0,((D8*0.97)*(E8/100)*0.9)/(AB8/100))+DH8</f>
        <v>132.577830422381</v>
      </c>
      <c r="BA8" s="159">
        <f t="shared" si="7"/>
        <v>4.8080225352112675</v>
      </c>
      <c r="BB8" s="160">
        <f t="shared" si="8"/>
        <v>5.5820000000000007</v>
      </c>
      <c r="BC8" s="161">
        <f t="shared" si="9"/>
        <v>0.9330107136132002</v>
      </c>
      <c r="BD8" s="160">
        <f t="shared" ref="BD8:BD37" si="26">BA8+BB8</f>
        <v>10.390022535211269</v>
      </c>
      <c r="BE8" s="162">
        <v>0.94099999999999995</v>
      </c>
      <c r="BF8" s="25">
        <f t="shared" ref="BF8:BF37" si="27">BF7+AY8</f>
        <v>282.61</v>
      </c>
      <c r="BG8" s="25">
        <f t="shared" si="10"/>
        <v>124.55172413793103</v>
      </c>
      <c r="BH8" s="25">
        <f t="shared" ref="BH8:BH37" si="28">BG8+BH7</f>
        <v>249.10344827586206</v>
      </c>
      <c r="BI8" s="26">
        <f t="shared" si="11"/>
        <v>1</v>
      </c>
      <c r="BJ8" s="27">
        <f t="shared" ref="BJ8:BJ37" si="29">BG8*BI8+BJ7</f>
        <v>249.10344827586206</v>
      </c>
      <c r="BK8" s="30"/>
      <c r="BL8" s="31">
        <v>147.80000000000001</v>
      </c>
      <c r="BM8" s="31"/>
      <c r="BN8" s="31">
        <v>134.37</v>
      </c>
      <c r="BO8" s="40"/>
      <c r="BP8" s="40"/>
      <c r="BQ8" s="32"/>
      <c r="BR8" s="33"/>
      <c r="BS8" s="34">
        <v>1.28</v>
      </c>
      <c r="BT8" s="35"/>
      <c r="BU8" s="28"/>
      <c r="BV8" s="287"/>
      <c r="BW8" s="28"/>
      <c r="BX8" s="36"/>
      <c r="BY8" s="33"/>
      <c r="BZ8" s="34">
        <v>36.86</v>
      </c>
      <c r="CA8" s="35"/>
      <c r="CB8" s="35">
        <v>45.61</v>
      </c>
      <c r="CC8" s="235"/>
      <c r="CD8" s="235"/>
      <c r="CE8" s="36"/>
      <c r="CF8" s="30">
        <v>174.38399999999999</v>
      </c>
      <c r="CG8" s="30"/>
      <c r="CH8" s="31"/>
      <c r="CI8" s="32"/>
      <c r="CJ8" s="33">
        <v>2</v>
      </c>
      <c r="CK8" s="33"/>
      <c r="CL8" s="35"/>
      <c r="CM8" s="28"/>
      <c r="CN8" s="286"/>
      <c r="CO8" s="249">
        <f t="shared" si="12"/>
        <v>0</v>
      </c>
      <c r="CP8" s="12">
        <f t="shared" si="12"/>
        <v>145.90816000000001</v>
      </c>
      <c r="CQ8" s="12">
        <f t="shared" si="12"/>
        <v>0</v>
      </c>
      <c r="CR8" s="12">
        <f t="shared" si="12"/>
        <v>134.37</v>
      </c>
      <c r="CS8" s="11">
        <f t="shared" si="12"/>
        <v>0</v>
      </c>
      <c r="CT8" s="11">
        <f t="shared" si="12"/>
        <v>0</v>
      </c>
      <c r="CU8" s="272">
        <f t="shared" si="12"/>
        <v>0</v>
      </c>
      <c r="CV8" s="249">
        <f t="shared" si="13"/>
        <v>170.89631999999997</v>
      </c>
      <c r="CW8" s="12">
        <f t="shared" si="13"/>
        <v>0</v>
      </c>
      <c r="CX8" s="254">
        <f t="shared" si="13"/>
        <v>0</v>
      </c>
      <c r="CY8" s="272">
        <f t="shared" si="13"/>
        <v>0</v>
      </c>
      <c r="CZ8" s="13"/>
      <c r="DA8" s="240">
        <f>(D8+'[2]февраль 20'!D8)/(AY8+'[2]февраль 20'!AX8)</f>
        <v>2.0338054572842696</v>
      </c>
      <c r="DB8" s="241">
        <f>(T8+'[2]февраль 20'!R8)/(AY8+'[2]февраль 20'!AX8)</f>
        <v>1.239714654615881</v>
      </c>
      <c r="DD8" s="292">
        <f t="shared" si="14"/>
        <v>11.089</v>
      </c>
      <c r="DE8" s="291">
        <v>0.28000000000000003</v>
      </c>
      <c r="DF8" s="291">
        <v>13.93</v>
      </c>
      <c r="DG8" s="145">
        <f t="shared" si="15"/>
        <v>11.0579508</v>
      </c>
      <c r="DH8" s="293">
        <f t="shared" ref="DH8:DH37" si="30">IF(AB8=0,0,(DG8*DF8%)/(AB8/100))</f>
        <v>2.0036063299167539</v>
      </c>
      <c r="DJ8" s="322"/>
    </row>
    <row r="9" spans="1:114" s="76" customFormat="1" ht="16.5" customHeight="1" thickBot="1">
      <c r="A9" s="144">
        <v>3</v>
      </c>
      <c r="B9" s="122">
        <f t="shared" si="16"/>
        <v>278.34300000000002</v>
      </c>
      <c r="C9" s="123">
        <f t="shared" si="17"/>
        <v>2.0808858135465953</v>
      </c>
      <c r="D9" s="145">
        <f>B9*((100-C9)/100)</f>
        <v>272.55100000000004</v>
      </c>
      <c r="E9" s="125">
        <f t="shared" si="19"/>
        <v>41.29747487811801</v>
      </c>
      <c r="F9" s="146">
        <f t="shared" si="20"/>
        <v>2.2329264296247753</v>
      </c>
      <c r="G9" s="127"/>
      <c r="H9" s="126">
        <f t="shared" si="21"/>
        <v>1.1388497460265445</v>
      </c>
      <c r="I9" s="230">
        <f>'[1]июль 20'!AI8</f>
        <v>0</v>
      </c>
      <c r="J9" s="247">
        <f>'[1]февраль 20'!AA8</f>
        <v>3.2949999999999999</v>
      </c>
      <c r="K9" s="276">
        <f>'[1]сентябрь 20'!AM8</f>
        <v>0</v>
      </c>
      <c r="L9" s="122">
        <f t="shared" si="22"/>
        <v>133.54300000000001</v>
      </c>
      <c r="M9" s="128">
        <f t="shared" si="23"/>
        <v>1.0940766835982305</v>
      </c>
      <c r="N9" s="400">
        <f>'[1]февраль 20'!W8</f>
        <v>0</v>
      </c>
      <c r="O9" s="403">
        <f>'[1]февраль 20'!AU8</f>
        <v>6.3579999999999997</v>
      </c>
      <c r="P9" s="401">
        <f t="shared" si="0"/>
        <v>173.20699999999999</v>
      </c>
      <c r="Q9" s="122">
        <f>'[1]февраль 20'!S8</f>
        <v>173.20699999999999</v>
      </c>
      <c r="R9" s="123">
        <f t="shared" si="24"/>
        <v>2.2999999999999998</v>
      </c>
      <c r="S9" s="129">
        <v>20.79</v>
      </c>
      <c r="T9" s="125">
        <f t="shared" si="1"/>
        <v>169.22323899999998</v>
      </c>
      <c r="U9" s="147">
        <f>IF(AY9=0,0,T9/AY9)</f>
        <v>1.3863938964443716</v>
      </c>
      <c r="V9" s="130">
        <v>122.06</v>
      </c>
      <c r="W9" s="130">
        <v>31.9</v>
      </c>
      <c r="X9" s="129">
        <v>1.38</v>
      </c>
      <c r="Y9" s="131">
        <v>505</v>
      </c>
      <c r="Z9" s="131">
        <v>1181</v>
      </c>
      <c r="AA9" s="148" t="s">
        <v>155</v>
      </c>
      <c r="AB9" s="149">
        <v>76.61</v>
      </c>
      <c r="AC9" s="150">
        <v>112</v>
      </c>
      <c r="AD9" s="151">
        <v>4</v>
      </c>
      <c r="AE9" s="149"/>
      <c r="AF9" s="134">
        <f t="shared" si="3"/>
        <v>0</v>
      </c>
      <c r="AG9" s="152"/>
      <c r="AH9" s="129">
        <v>67.599999999999994</v>
      </c>
      <c r="AI9" s="134">
        <f t="shared" si="4"/>
        <v>553.8259872194003</v>
      </c>
      <c r="AJ9" s="153">
        <v>13.37</v>
      </c>
      <c r="AK9" s="154"/>
      <c r="AL9" s="155">
        <v>5.54</v>
      </c>
      <c r="AM9" s="156">
        <v>35.869999999999997</v>
      </c>
      <c r="AN9" s="126">
        <f t="shared" si="25"/>
        <v>0.22114673242909988</v>
      </c>
      <c r="AO9" s="157" t="s">
        <v>147</v>
      </c>
      <c r="AP9" s="156">
        <v>12.36</v>
      </c>
      <c r="AQ9" s="156">
        <v>6.73</v>
      </c>
      <c r="AR9" s="149"/>
      <c r="AS9" s="149">
        <v>6.47</v>
      </c>
      <c r="AT9" s="149">
        <v>162.19999999999999</v>
      </c>
      <c r="AU9" s="149">
        <v>1.27</v>
      </c>
      <c r="AV9" s="149"/>
      <c r="AW9" s="149"/>
      <c r="AX9" s="158">
        <f t="shared" si="5"/>
        <v>0</v>
      </c>
      <c r="AY9" s="125">
        <f t="shared" si="6"/>
        <v>122.05999999999999</v>
      </c>
      <c r="AZ9" s="125">
        <f t="shared" ref="AZ9:AZ37" si="31">IF(AB9=0,0,((D9*0.97)*(E9/100)*0.9)/(AB9/100))+DH9</f>
        <v>128.62125891021651</v>
      </c>
      <c r="BA9" s="159">
        <f t="shared" si="7"/>
        <v>3.3880929577464785</v>
      </c>
      <c r="BB9" s="160">
        <f t="shared" si="8"/>
        <v>4.8823999999999996</v>
      </c>
      <c r="BC9" s="161">
        <f t="shared" si="9"/>
        <v>0.83078290309122049</v>
      </c>
      <c r="BD9" s="160">
        <f t="shared" si="26"/>
        <v>8.2704929577464785</v>
      </c>
      <c r="BE9" s="162">
        <v>0.90500000000000003</v>
      </c>
      <c r="BF9" s="25">
        <f t="shared" si="27"/>
        <v>404.67</v>
      </c>
      <c r="BG9" s="25">
        <f t="shared" si="10"/>
        <v>124.55172413793103</v>
      </c>
      <c r="BH9" s="25">
        <f t="shared" si="28"/>
        <v>373.65517241379308</v>
      </c>
      <c r="BI9" s="26">
        <f t="shared" si="11"/>
        <v>1</v>
      </c>
      <c r="BJ9" s="37">
        <f t="shared" si="29"/>
        <v>373.65517241379308</v>
      </c>
      <c r="BK9" s="38"/>
      <c r="BL9" s="31">
        <v>144.80000000000001</v>
      </c>
      <c r="BM9" s="31"/>
      <c r="BN9" s="31">
        <v>133.54300000000001</v>
      </c>
      <c r="BO9" s="40"/>
      <c r="BP9" s="40"/>
      <c r="BQ9" s="32"/>
      <c r="BR9" s="33"/>
      <c r="BS9" s="34">
        <v>4</v>
      </c>
      <c r="BT9" s="35"/>
      <c r="BU9" s="28"/>
      <c r="BV9" s="287"/>
      <c r="BW9" s="287"/>
      <c r="BX9" s="36"/>
      <c r="BY9" s="33"/>
      <c r="BZ9" s="34">
        <v>37.56</v>
      </c>
      <c r="CA9" s="35"/>
      <c r="CB9" s="35">
        <v>45.35</v>
      </c>
      <c r="CC9" s="235"/>
      <c r="CD9" s="235"/>
      <c r="CE9" s="36"/>
      <c r="CF9" s="30">
        <v>173.20699999999999</v>
      </c>
      <c r="CG9" s="30"/>
      <c r="CH9" s="31"/>
      <c r="CI9" s="32"/>
      <c r="CJ9" s="33">
        <v>2.2999999999999998</v>
      </c>
      <c r="CK9" s="33"/>
      <c r="CL9" s="35"/>
      <c r="CM9" s="36"/>
      <c r="CN9" s="286"/>
      <c r="CO9" s="249">
        <f t="shared" si="12"/>
        <v>0</v>
      </c>
      <c r="CP9" s="12">
        <f t="shared" si="12"/>
        <v>139.00800000000001</v>
      </c>
      <c r="CQ9" s="12">
        <f t="shared" si="12"/>
        <v>0</v>
      </c>
      <c r="CR9" s="12">
        <f t="shared" si="12"/>
        <v>133.54300000000001</v>
      </c>
      <c r="CS9" s="11">
        <f t="shared" si="12"/>
        <v>0</v>
      </c>
      <c r="CT9" s="11">
        <f t="shared" si="12"/>
        <v>0</v>
      </c>
      <c r="CU9" s="272">
        <f t="shared" si="12"/>
        <v>0</v>
      </c>
      <c r="CV9" s="249">
        <f t="shared" si="13"/>
        <v>169.22323899999998</v>
      </c>
      <c r="CW9" s="251">
        <f t="shared" si="13"/>
        <v>0</v>
      </c>
      <c r="CX9" s="249">
        <f t="shared" si="13"/>
        <v>0</v>
      </c>
      <c r="CY9" s="272">
        <f t="shared" si="13"/>
        <v>0</v>
      </c>
      <c r="CZ9" s="13"/>
      <c r="DA9" s="240">
        <f>(D9+'[2]февраль 20'!D9)/(AY9+'[2]февраль 20'!AX9)</f>
        <v>2.1044056220234642</v>
      </c>
      <c r="DB9" s="241">
        <f>(T9+'[2]февраль 20'!R9)/(AY9+'[2]февраль 20'!AX9)</f>
        <v>1.299056914275758</v>
      </c>
      <c r="DD9" s="292">
        <f t="shared" si="14"/>
        <v>3.2949999999999999</v>
      </c>
      <c r="DE9" s="291">
        <v>0.61</v>
      </c>
      <c r="DF9" s="291">
        <v>8.39</v>
      </c>
      <c r="DG9" s="145">
        <f t="shared" si="15"/>
        <v>3.2749004999999998</v>
      </c>
      <c r="DH9" s="293">
        <f t="shared" si="30"/>
        <v>0.35865311571596392</v>
      </c>
      <c r="DJ9" s="322"/>
    </row>
    <row r="10" spans="1:114" s="76" customFormat="1" ht="16.5" customHeight="1" thickBot="1">
      <c r="A10" s="144">
        <v>4</v>
      </c>
      <c r="B10" s="122">
        <f t="shared" si="16"/>
        <v>272.65300000000002</v>
      </c>
      <c r="C10" s="123">
        <f t="shared" si="17"/>
        <v>2.0655191763890364</v>
      </c>
      <c r="D10" s="145">
        <f t="shared" si="18"/>
        <v>267.02130000000005</v>
      </c>
      <c r="E10" s="125">
        <f>IF(B10=0,0,(BK10*BY10+BL10*BZ10+BM10*CA10+BQ10*CE10+BN10*CB10+BO10*CC10+BP10*CD10)/B10)</f>
        <v>41.264787220386346</v>
      </c>
      <c r="F10" s="146">
        <f t="shared" si="20"/>
        <v>1.9970181736594124</v>
      </c>
      <c r="G10" s="127"/>
      <c r="H10" s="126">
        <f t="shared" si="21"/>
        <v>1.0161416498392042</v>
      </c>
      <c r="I10" s="230">
        <f>'[1]июль 20'!AI9</f>
        <v>0</v>
      </c>
      <c r="J10" s="247">
        <f>'[1]февраль 20'!AA9</f>
        <v>0</v>
      </c>
      <c r="K10" s="276">
        <f>'[1]сентябрь 20'!AM9</f>
        <v>0</v>
      </c>
      <c r="L10" s="122">
        <f t="shared" si="22"/>
        <v>131.15299999999999</v>
      </c>
      <c r="M10" s="128">
        <f t="shared" si="23"/>
        <v>0.98087652382020785</v>
      </c>
      <c r="N10" s="400">
        <f>'[1]февраль 20'!W9</f>
        <v>0</v>
      </c>
      <c r="O10" s="403">
        <f>'[1]февраль 20'!AU9</f>
        <v>7.5720000000000001</v>
      </c>
      <c r="P10" s="401">
        <f t="shared" si="0"/>
        <v>168.22300000000001</v>
      </c>
      <c r="Q10" s="122">
        <f>'[1]февраль 20'!S9</f>
        <v>168.22300000000001</v>
      </c>
      <c r="R10" s="123">
        <f t="shared" si="24"/>
        <v>1.72</v>
      </c>
      <c r="S10" s="129">
        <v>3.36</v>
      </c>
      <c r="T10" s="125">
        <f t="shared" si="1"/>
        <v>165.32956440000001</v>
      </c>
      <c r="U10" s="147">
        <f t="shared" si="2"/>
        <v>1.2364786807269463</v>
      </c>
      <c r="V10" s="130">
        <v>133.71</v>
      </c>
      <c r="W10" s="130">
        <v>34.58</v>
      </c>
      <c r="X10" s="129">
        <v>0.9</v>
      </c>
      <c r="Y10" s="131">
        <v>485</v>
      </c>
      <c r="Z10" s="131">
        <v>1192</v>
      </c>
      <c r="AA10" s="148" t="s">
        <v>114</v>
      </c>
      <c r="AB10" s="149">
        <v>76.81</v>
      </c>
      <c r="AC10" s="150">
        <v>109</v>
      </c>
      <c r="AD10" s="151">
        <v>4</v>
      </c>
      <c r="AE10" s="149">
        <v>4.1500000000000004</v>
      </c>
      <c r="AF10" s="134">
        <f t="shared" si="3"/>
        <v>31.03731957220851</v>
      </c>
      <c r="AG10" s="152"/>
      <c r="AH10" s="129">
        <v>78.75</v>
      </c>
      <c r="AI10" s="134">
        <f t="shared" si="4"/>
        <v>588.96118465335428</v>
      </c>
      <c r="AJ10" s="153">
        <v>15.69</v>
      </c>
      <c r="AK10" s="154"/>
      <c r="AL10" s="155">
        <v>5.38</v>
      </c>
      <c r="AM10" s="156">
        <v>34.85</v>
      </c>
      <c r="AN10" s="126">
        <f t="shared" si="25"/>
        <v>0.20202898550724638</v>
      </c>
      <c r="AO10" s="157" t="s">
        <v>163</v>
      </c>
      <c r="AP10" s="156">
        <v>11.34</v>
      </c>
      <c r="AQ10" s="156">
        <v>6.67</v>
      </c>
      <c r="AR10" s="149"/>
      <c r="AS10" s="149">
        <v>8.2899999999999991</v>
      </c>
      <c r="AT10" s="149">
        <v>172.5</v>
      </c>
      <c r="AU10" s="149">
        <v>1.44</v>
      </c>
      <c r="AV10" s="149"/>
      <c r="AW10" s="149"/>
      <c r="AX10" s="158">
        <f t="shared" si="5"/>
        <v>0</v>
      </c>
      <c r="AY10" s="125">
        <f>AT10-AL10-AM10+AV10+AW10+AU10</f>
        <v>133.71</v>
      </c>
      <c r="AZ10" s="125">
        <f>IF(AB10=0,0,((D10*0.97)*(E10/100)*0.9)/(AB10/100))+DH10</f>
        <v>125.23392569429707</v>
      </c>
      <c r="BA10" s="159">
        <f t="shared" si="7"/>
        <v>5.0571919014084505</v>
      </c>
      <c r="BB10" s="160">
        <f t="shared" si="8"/>
        <v>5.3484000000000007</v>
      </c>
      <c r="BC10" s="161">
        <f t="shared" si="9"/>
        <v>0.93208632846774675</v>
      </c>
      <c r="BD10" s="160">
        <f t="shared" si="26"/>
        <v>10.405591901408451</v>
      </c>
      <c r="BE10" s="162">
        <v>0.91100000000000003</v>
      </c>
      <c r="BF10" s="25">
        <f t="shared" si="27"/>
        <v>538.38</v>
      </c>
      <c r="BG10" s="25">
        <f t="shared" si="10"/>
        <v>124.55172413793103</v>
      </c>
      <c r="BH10" s="25">
        <f t="shared" si="28"/>
        <v>498.20689655172413</v>
      </c>
      <c r="BI10" s="26">
        <f t="shared" si="11"/>
        <v>1</v>
      </c>
      <c r="BJ10" s="37">
        <f t="shared" si="29"/>
        <v>498.20689655172413</v>
      </c>
      <c r="BK10" s="38"/>
      <c r="BL10" s="31">
        <v>141.5</v>
      </c>
      <c r="BM10" s="31"/>
      <c r="BN10" s="31">
        <v>131.15299999999999</v>
      </c>
      <c r="BO10" s="40"/>
      <c r="BP10" s="40"/>
      <c r="BQ10" s="32"/>
      <c r="BR10" s="33"/>
      <c r="BS10" s="34">
        <v>3.98</v>
      </c>
      <c r="BT10" s="35"/>
      <c r="BU10" s="28"/>
      <c r="BV10" s="287"/>
      <c r="BW10" s="287"/>
      <c r="BX10" s="36"/>
      <c r="BY10" s="33"/>
      <c r="BZ10" s="34">
        <v>37.33</v>
      </c>
      <c r="CA10" s="35"/>
      <c r="CB10" s="35">
        <v>45.51</v>
      </c>
      <c r="CC10" s="235"/>
      <c r="CD10" s="235"/>
      <c r="CE10" s="36"/>
      <c r="CF10" s="30">
        <v>168.22300000000001</v>
      </c>
      <c r="CG10" s="30"/>
      <c r="CH10" s="31"/>
      <c r="CI10" s="32"/>
      <c r="CJ10" s="33">
        <v>1.72</v>
      </c>
      <c r="CK10" s="33"/>
      <c r="CL10" s="35"/>
      <c r="CM10" s="36"/>
      <c r="CN10" s="286"/>
      <c r="CO10" s="249">
        <f t="shared" si="12"/>
        <v>0</v>
      </c>
      <c r="CP10" s="12">
        <f t="shared" si="12"/>
        <v>135.8683</v>
      </c>
      <c r="CQ10" s="12">
        <f t="shared" si="12"/>
        <v>0</v>
      </c>
      <c r="CR10" s="14">
        <f t="shared" si="12"/>
        <v>131.15299999999999</v>
      </c>
      <c r="CS10" s="11">
        <f t="shared" si="12"/>
        <v>0</v>
      </c>
      <c r="CT10" s="11">
        <f t="shared" si="12"/>
        <v>0</v>
      </c>
      <c r="CU10" s="272">
        <f t="shared" si="12"/>
        <v>0</v>
      </c>
      <c r="CV10" s="249">
        <f t="shared" si="13"/>
        <v>165.32956440000001</v>
      </c>
      <c r="CW10" s="12">
        <f t="shared" si="13"/>
        <v>0</v>
      </c>
      <c r="CX10" s="249">
        <f t="shared" si="13"/>
        <v>0</v>
      </c>
      <c r="CY10" s="272">
        <f t="shared" si="13"/>
        <v>0</v>
      </c>
      <c r="CZ10" s="13"/>
      <c r="DA10" s="240">
        <f>(D10+'[2]февраль 20'!D10)/(AY10+'[2]февраль 20'!AX10)</f>
        <v>2.0035947879914988</v>
      </c>
      <c r="DB10" s="241">
        <f>(T10+'[2]февраль 20'!R10)/(AY10+'[2]февраль 20'!AX10)</f>
        <v>1.2289839649309249</v>
      </c>
      <c r="DD10" s="292">
        <f t="shared" si="14"/>
        <v>0</v>
      </c>
      <c r="DE10" s="291">
        <v>0.71</v>
      </c>
      <c r="DF10" s="291">
        <v>11.5</v>
      </c>
      <c r="DG10" s="145">
        <f t="shared" si="15"/>
        <v>0</v>
      </c>
      <c r="DH10" s="293">
        <f t="shared" si="30"/>
        <v>0</v>
      </c>
      <c r="DJ10" s="322"/>
    </row>
    <row r="11" spans="1:114" s="76" customFormat="1" ht="16.5" customHeight="1" thickBot="1">
      <c r="A11" s="144">
        <v>5</v>
      </c>
      <c r="B11" s="122">
        <f t="shared" si="16"/>
        <v>296.60000000000002</v>
      </c>
      <c r="C11" s="123">
        <f t="shared" si="17"/>
        <v>2.2037761294672964</v>
      </c>
      <c r="D11" s="145">
        <f t="shared" si="18"/>
        <v>290.06360000000001</v>
      </c>
      <c r="E11" s="125">
        <f t="shared" si="19"/>
        <v>41.21055293324342</v>
      </c>
      <c r="F11" s="146">
        <f t="shared" si="20"/>
        <v>2.2431644884386364</v>
      </c>
      <c r="G11" s="127"/>
      <c r="H11" s="126">
        <f t="shared" si="21"/>
        <v>1.1558549222797931</v>
      </c>
      <c r="I11" s="230">
        <f>'[1]июль 20'!AI10</f>
        <v>0</v>
      </c>
      <c r="J11" s="247">
        <f>'[1]февраль 20'!AA10</f>
        <v>0</v>
      </c>
      <c r="K11" s="276">
        <f>'[1]сентябрь 20'!AM10</f>
        <v>0</v>
      </c>
      <c r="L11" s="122">
        <f t="shared" si="22"/>
        <v>140.6</v>
      </c>
      <c r="M11" s="128">
        <f t="shared" si="23"/>
        <v>1.0873095661588432</v>
      </c>
      <c r="N11" s="400">
        <f>'[1]февраль 20'!W10</f>
        <v>0</v>
      </c>
      <c r="O11" s="403">
        <f>'[1]февраль 20'!AU10</f>
        <v>8.0350000000000001</v>
      </c>
      <c r="P11" s="401">
        <f t="shared" si="0"/>
        <v>186.209</v>
      </c>
      <c r="Q11" s="122">
        <f>'[1]февраль 20'!S10</f>
        <v>186.209</v>
      </c>
      <c r="R11" s="123">
        <f t="shared" si="24"/>
        <v>1.86</v>
      </c>
      <c r="S11" s="129">
        <v>27.32</v>
      </c>
      <c r="T11" s="125">
        <f t="shared" si="1"/>
        <v>182.74551260000001</v>
      </c>
      <c r="U11" s="147">
        <f t="shared" si="2"/>
        <v>1.4132357327352876</v>
      </c>
      <c r="V11" s="130">
        <v>129.31</v>
      </c>
      <c r="W11" s="130">
        <v>63.92</v>
      </c>
      <c r="X11" s="129">
        <v>0.94</v>
      </c>
      <c r="Y11" s="131">
        <v>508</v>
      </c>
      <c r="Z11" s="131">
        <v>1178</v>
      </c>
      <c r="AA11" s="148" t="s">
        <v>114</v>
      </c>
      <c r="AB11" s="149">
        <v>76.63</v>
      </c>
      <c r="AC11" s="150">
        <v>117</v>
      </c>
      <c r="AD11" s="151">
        <v>4</v>
      </c>
      <c r="AE11" s="149"/>
      <c r="AF11" s="134">
        <f t="shared" si="3"/>
        <v>0</v>
      </c>
      <c r="AG11" s="152"/>
      <c r="AH11" s="129">
        <v>82.65</v>
      </c>
      <c r="AI11" s="134">
        <f t="shared" si="4"/>
        <v>639.161704431212</v>
      </c>
      <c r="AJ11" s="163">
        <v>14.71</v>
      </c>
      <c r="AK11" s="154"/>
      <c r="AL11" s="155">
        <v>5.4</v>
      </c>
      <c r="AM11" s="156">
        <v>34.61</v>
      </c>
      <c r="AN11" s="126">
        <f t="shared" si="25"/>
        <v>0.20588935157644259</v>
      </c>
      <c r="AO11" s="157" t="s">
        <v>162</v>
      </c>
      <c r="AP11" s="156">
        <v>11.17</v>
      </c>
      <c r="AQ11" s="156">
        <v>6.8</v>
      </c>
      <c r="AR11" s="149"/>
      <c r="AS11" s="149">
        <v>8.01</v>
      </c>
      <c r="AT11" s="149">
        <v>168.1</v>
      </c>
      <c r="AU11" s="149">
        <v>1.22</v>
      </c>
      <c r="AV11" s="149"/>
      <c r="AW11" s="149"/>
      <c r="AX11" s="158">
        <f t="shared" si="5"/>
        <v>0</v>
      </c>
      <c r="AY11" s="125">
        <f t="shared" si="6"/>
        <v>129.30999999999997</v>
      </c>
      <c r="AZ11" s="125">
        <f t="shared" si="31"/>
        <v>136.18117984337258</v>
      </c>
      <c r="BA11" s="159">
        <f t="shared" si="7"/>
        <v>5.1283742957746483</v>
      </c>
      <c r="BB11" s="160">
        <f t="shared" si="8"/>
        <v>5.1723999999999988</v>
      </c>
      <c r="BC11" s="161">
        <f t="shared" si="9"/>
        <v>0.82895176947237914</v>
      </c>
      <c r="BD11" s="160">
        <f t="shared" si="26"/>
        <v>10.300774295774648</v>
      </c>
      <c r="BE11" s="162">
        <v>0.89400000000000002</v>
      </c>
      <c r="BF11" s="25">
        <f t="shared" si="27"/>
        <v>667.68999999999994</v>
      </c>
      <c r="BG11" s="25">
        <f t="shared" si="10"/>
        <v>124.55172413793103</v>
      </c>
      <c r="BH11" s="25">
        <f t="shared" si="28"/>
        <v>622.75862068965512</v>
      </c>
      <c r="BI11" s="26">
        <f t="shared" si="11"/>
        <v>1</v>
      </c>
      <c r="BJ11" s="37">
        <f t="shared" si="29"/>
        <v>622.75862068965512</v>
      </c>
      <c r="BK11" s="38"/>
      <c r="BL11" s="31">
        <v>156</v>
      </c>
      <c r="BM11" s="31"/>
      <c r="BN11" s="31">
        <v>140.6</v>
      </c>
      <c r="BO11" s="40"/>
      <c r="BP11" s="40"/>
      <c r="BQ11" s="32"/>
      <c r="BR11" s="33"/>
      <c r="BS11" s="34">
        <v>4.1900000000000004</v>
      </c>
      <c r="BT11" s="35"/>
      <c r="BU11" s="28"/>
      <c r="BV11" s="287"/>
      <c r="BW11" s="287"/>
      <c r="BX11" s="36"/>
      <c r="BY11" s="33"/>
      <c r="BZ11" s="34">
        <v>37.659999999999997</v>
      </c>
      <c r="CA11" s="35"/>
      <c r="CB11" s="35">
        <v>45.15</v>
      </c>
      <c r="CC11" s="235"/>
      <c r="CD11" s="235"/>
      <c r="CE11" s="36"/>
      <c r="CF11" s="30">
        <v>186.209</v>
      </c>
      <c r="CG11" s="30"/>
      <c r="CH11" s="31"/>
      <c r="CI11" s="32"/>
      <c r="CJ11" s="33">
        <v>1.86</v>
      </c>
      <c r="CK11" s="33"/>
      <c r="CL11" s="35"/>
      <c r="CM11" s="36"/>
      <c r="CN11" s="286"/>
      <c r="CO11" s="249">
        <f t="shared" si="12"/>
        <v>0</v>
      </c>
      <c r="CP11" s="12">
        <f t="shared" si="12"/>
        <v>149.46360000000001</v>
      </c>
      <c r="CQ11" s="15">
        <f t="shared" si="12"/>
        <v>0</v>
      </c>
      <c r="CR11" s="16">
        <f t="shared" si="12"/>
        <v>140.6</v>
      </c>
      <c r="CS11" s="11">
        <f t="shared" si="12"/>
        <v>0</v>
      </c>
      <c r="CT11" s="11">
        <f t="shared" si="12"/>
        <v>0</v>
      </c>
      <c r="CU11" s="272">
        <f t="shared" si="12"/>
        <v>0</v>
      </c>
      <c r="CV11" s="249">
        <f t="shared" si="13"/>
        <v>182.74551260000001</v>
      </c>
      <c r="CW11" s="12">
        <f t="shared" si="13"/>
        <v>0</v>
      </c>
      <c r="CX11" s="249">
        <f t="shared" si="13"/>
        <v>0</v>
      </c>
      <c r="CY11" s="272">
        <f t="shared" si="13"/>
        <v>0</v>
      </c>
      <c r="CZ11" s="13"/>
      <c r="DA11" s="240">
        <f>(D11+'[2]февраль 20'!D11)/(AY11+'[2]февраль 20'!AX11)</f>
        <v>2.1844415101772823</v>
      </c>
      <c r="DB11" s="241">
        <f>(T11+'[2]февраль 20'!R11)/(AY11+'[2]февраль 20'!AX11)</f>
        <v>1.3463287921436526</v>
      </c>
      <c r="DD11" s="292">
        <f t="shared" si="14"/>
        <v>0</v>
      </c>
      <c r="DE11" s="291">
        <v>1.32</v>
      </c>
      <c r="DF11" s="407">
        <v>9.92</v>
      </c>
      <c r="DG11" s="145">
        <f t="shared" si="15"/>
        <v>0</v>
      </c>
      <c r="DH11" s="293">
        <f t="shared" si="30"/>
        <v>0</v>
      </c>
      <c r="DJ11" s="322"/>
    </row>
    <row r="12" spans="1:114" s="76" customFormat="1" ht="16.5" customHeight="1" thickBot="1">
      <c r="A12" s="144">
        <v>6</v>
      </c>
      <c r="B12" s="122">
        <f t="shared" si="16"/>
        <v>148.4</v>
      </c>
      <c r="C12" s="123">
        <f t="shared" si="17"/>
        <v>1.0317722371967655</v>
      </c>
      <c r="D12" s="145">
        <f t="shared" si="18"/>
        <v>146.86885000000001</v>
      </c>
      <c r="E12" s="125">
        <f t="shared" si="19"/>
        <v>42.281745283018871</v>
      </c>
      <c r="F12" s="146">
        <f t="shared" si="20"/>
        <v>1.8145397825549792</v>
      </c>
      <c r="G12" s="127"/>
      <c r="H12" s="126">
        <f t="shared" si="21"/>
        <v>0.67913083765752413</v>
      </c>
      <c r="I12" s="230">
        <f>'[1]июль 20'!AI11</f>
        <v>0</v>
      </c>
      <c r="J12" s="247">
        <f>'[1]февраль 20'!AA11</f>
        <v>0</v>
      </c>
      <c r="K12" s="276">
        <f>'[1]сентябрь 20'!AM11</f>
        <v>0</v>
      </c>
      <c r="L12" s="122">
        <f t="shared" si="22"/>
        <v>91.9</v>
      </c>
      <c r="M12" s="128">
        <f t="shared" si="23"/>
        <v>1.1354089448974549</v>
      </c>
      <c r="N12" s="400">
        <f>'[1]февраль 20'!W11</f>
        <v>0</v>
      </c>
      <c r="O12" s="403">
        <f>'[1]февраль 20'!AU11</f>
        <v>3.9769999999999999</v>
      </c>
      <c r="P12" s="401">
        <f t="shared" si="0"/>
        <v>99.064999999999998</v>
      </c>
      <c r="Q12" s="122">
        <f>'[1]февраль 20'!S11</f>
        <v>99.064999999999998</v>
      </c>
      <c r="R12" s="123">
        <f t="shared" si="24"/>
        <v>1.93</v>
      </c>
      <c r="S12" s="129">
        <v>7.59</v>
      </c>
      <c r="T12" s="125">
        <f t="shared" si="1"/>
        <v>97.15304549999999</v>
      </c>
      <c r="U12" s="147">
        <f t="shared" si="2"/>
        <v>1.2003094329132691</v>
      </c>
      <c r="V12" s="130">
        <v>80.94</v>
      </c>
      <c r="W12" s="130">
        <v>21.63</v>
      </c>
      <c r="X12" s="129">
        <v>1.19</v>
      </c>
      <c r="Y12" s="131">
        <v>490</v>
      </c>
      <c r="Z12" s="150">
        <v>1142</v>
      </c>
      <c r="AA12" s="148" t="s">
        <v>155</v>
      </c>
      <c r="AB12" s="149">
        <v>77.02</v>
      </c>
      <c r="AC12" s="150">
        <v>62</v>
      </c>
      <c r="AD12" s="151">
        <v>3</v>
      </c>
      <c r="AE12" s="149">
        <v>10.35</v>
      </c>
      <c r="AF12" s="134">
        <f t="shared" si="3"/>
        <v>127.8724981467754</v>
      </c>
      <c r="AG12" s="152"/>
      <c r="AH12" s="129">
        <v>45.8</v>
      </c>
      <c r="AI12" s="134">
        <f t="shared" si="4"/>
        <v>565.85124783790468</v>
      </c>
      <c r="AJ12" s="153">
        <v>11.19</v>
      </c>
      <c r="AK12" s="154"/>
      <c r="AL12" s="155">
        <v>3.22</v>
      </c>
      <c r="AM12" s="156">
        <v>16.91</v>
      </c>
      <c r="AN12" s="126">
        <f t="shared" si="25"/>
        <v>0.16893106893106893</v>
      </c>
      <c r="AO12" s="157" t="s">
        <v>164</v>
      </c>
      <c r="AP12" s="156">
        <v>11.16</v>
      </c>
      <c r="AQ12" s="156">
        <v>6.89</v>
      </c>
      <c r="AR12" s="149"/>
      <c r="AS12" s="149">
        <v>7.72</v>
      </c>
      <c r="AT12" s="149">
        <v>100.1</v>
      </c>
      <c r="AU12" s="149">
        <v>0.97</v>
      </c>
      <c r="AV12" s="164"/>
      <c r="AW12" s="164"/>
      <c r="AX12" s="158">
        <f t="shared" si="5"/>
        <v>0</v>
      </c>
      <c r="AY12" s="125">
        <f t="shared" si="6"/>
        <v>80.94</v>
      </c>
      <c r="AZ12" s="125">
        <f t="shared" si="31"/>
        <v>70.387141650022699</v>
      </c>
      <c r="BA12" s="159">
        <f t="shared" si="7"/>
        <v>2.7389690140845069</v>
      </c>
      <c r="BB12" s="160">
        <f t="shared" si="8"/>
        <v>3.2376</v>
      </c>
      <c r="BC12" s="161">
        <f t="shared" si="9"/>
        <v>1.0038853452998144</v>
      </c>
      <c r="BD12" s="160">
        <f t="shared" si="26"/>
        <v>5.9765690140845074</v>
      </c>
      <c r="BE12" s="162">
        <v>0.90500000000000003</v>
      </c>
      <c r="BF12" s="25">
        <f t="shared" si="27"/>
        <v>748.62999999999988</v>
      </c>
      <c r="BG12" s="25">
        <f t="shared" si="10"/>
        <v>124.55172413793103</v>
      </c>
      <c r="BH12" s="25">
        <f t="shared" si="28"/>
        <v>747.31034482758616</v>
      </c>
      <c r="BI12" s="26">
        <f t="shared" si="11"/>
        <v>1</v>
      </c>
      <c r="BJ12" s="37">
        <f t="shared" si="29"/>
        <v>747.31034482758616</v>
      </c>
      <c r="BK12" s="38"/>
      <c r="BL12" s="31">
        <v>56.5</v>
      </c>
      <c r="BM12" s="31"/>
      <c r="BN12" s="31">
        <v>91.9</v>
      </c>
      <c r="BO12" s="40"/>
      <c r="BP12" s="40"/>
      <c r="BQ12" s="32"/>
      <c r="BR12" s="33"/>
      <c r="BS12" s="34">
        <v>2.71</v>
      </c>
      <c r="BT12" s="33"/>
      <c r="BU12" s="28"/>
      <c r="BV12" s="287"/>
      <c r="BW12" s="287"/>
      <c r="BX12" s="36"/>
      <c r="BY12" s="33"/>
      <c r="BZ12" s="34">
        <v>37.47</v>
      </c>
      <c r="CA12" s="33"/>
      <c r="CB12" s="35">
        <v>45.24</v>
      </c>
      <c r="CC12" s="235"/>
      <c r="CD12" s="235"/>
      <c r="CE12" s="36"/>
      <c r="CF12" s="30">
        <v>99.064999999999998</v>
      </c>
      <c r="CG12" s="30"/>
      <c r="CH12" s="31"/>
      <c r="CI12" s="32"/>
      <c r="CJ12" s="33">
        <v>1.93</v>
      </c>
      <c r="CK12" s="33"/>
      <c r="CL12" s="35"/>
      <c r="CM12" s="36"/>
      <c r="CN12" s="286"/>
      <c r="CO12" s="249">
        <f t="shared" si="12"/>
        <v>0</v>
      </c>
      <c r="CP12" s="12">
        <f t="shared" si="12"/>
        <v>54.968850000000003</v>
      </c>
      <c r="CQ12" s="12">
        <f t="shared" si="12"/>
        <v>0</v>
      </c>
      <c r="CR12" s="12">
        <f t="shared" si="12"/>
        <v>91.9</v>
      </c>
      <c r="CS12" s="11">
        <f t="shared" si="12"/>
        <v>0</v>
      </c>
      <c r="CT12" s="11">
        <f t="shared" si="12"/>
        <v>0</v>
      </c>
      <c r="CU12" s="272">
        <f t="shared" si="12"/>
        <v>0</v>
      </c>
      <c r="CV12" s="249">
        <f t="shared" si="13"/>
        <v>97.15304549999999</v>
      </c>
      <c r="CW12" s="12">
        <f t="shared" si="13"/>
        <v>0</v>
      </c>
      <c r="CX12" s="252">
        <f t="shared" si="13"/>
        <v>0</v>
      </c>
      <c r="CY12" s="272">
        <f t="shared" si="13"/>
        <v>0</v>
      </c>
      <c r="CZ12" s="13"/>
      <c r="DA12" s="240">
        <f>(D12+'[2]февраль 20'!D12)/(AY12+'[2]февраль 20'!AX12)</f>
        <v>1.9860325098582221</v>
      </c>
      <c r="DB12" s="241">
        <f>(T12+'[2]февраль 20'!R12)/(AY12+'[2]февраль 20'!AX12)</f>
        <v>1.2247465323138982</v>
      </c>
      <c r="DD12" s="292">
        <f t="shared" si="14"/>
        <v>0</v>
      </c>
      <c r="DE12" s="291">
        <v>0.27</v>
      </c>
      <c r="DF12" s="291">
        <v>9.26</v>
      </c>
      <c r="DG12" s="145">
        <f t="shared" si="15"/>
        <v>0</v>
      </c>
      <c r="DH12" s="293">
        <f t="shared" si="30"/>
        <v>0</v>
      </c>
      <c r="DJ12" s="322"/>
    </row>
    <row r="13" spans="1:114" s="76" customFormat="1" ht="16.5" customHeight="1" thickBot="1">
      <c r="A13" s="144">
        <v>7</v>
      </c>
      <c r="B13" s="122">
        <f t="shared" si="16"/>
        <v>288.69</v>
      </c>
      <c r="C13" s="123">
        <f t="shared" si="17"/>
        <v>1.5479580172503378</v>
      </c>
      <c r="D13" s="145">
        <f t="shared" si="18"/>
        <v>284.22120000000001</v>
      </c>
      <c r="E13" s="125">
        <f t="shared" si="19"/>
        <v>41.057300911011815</v>
      </c>
      <c r="F13" s="146">
        <f t="shared" si="20"/>
        <v>2.1439330165195742</v>
      </c>
      <c r="G13" s="127"/>
      <c r="H13" s="126">
        <f t="shared" si="21"/>
        <v>1.1128550954212868</v>
      </c>
      <c r="I13" s="230">
        <f>'[1]июль 20'!AI12</f>
        <v>0</v>
      </c>
      <c r="J13" s="247">
        <f>'[1]февраль 20'!AA12</f>
        <v>0</v>
      </c>
      <c r="K13" s="276">
        <f>'[1]сентябрь 20'!AM12</f>
        <v>0</v>
      </c>
      <c r="L13" s="122">
        <f t="shared" si="22"/>
        <v>136.69</v>
      </c>
      <c r="M13" s="128">
        <f t="shared" si="23"/>
        <v>1.0310779210982874</v>
      </c>
      <c r="N13" s="400">
        <f>'[1]февраль 20'!W12</f>
        <v>0</v>
      </c>
      <c r="O13" s="403">
        <f>'[1]февраль 20'!AU12</f>
        <v>8.15</v>
      </c>
      <c r="P13" s="401">
        <f t="shared" si="0"/>
        <v>179.655</v>
      </c>
      <c r="Q13" s="122">
        <f>'[1]февраль 20'!S12</f>
        <v>179.655</v>
      </c>
      <c r="R13" s="123">
        <f t="shared" si="24"/>
        <v>1.79</v>
      </c>
      <c r="S13" s="129">
        <v>11.66</v>
      </c>
      <c r="T13" s="125">
        <f t="shared" si="1"/>
        <v>176.4391755</v>
      </c>
      <c r="U13" s="147">
        <f t="shared" si="2"/>
        <v>1.3309132948630911</v>
      </c>
      <c r="V13" s="130">
        <v>132.57</v>
      </c>
      <c r="W13" s="130">
        <v>65.03</v>
      </c>
      <c r="X13" s="129">
        <v>1.1100000000000001</v>
      </c>
      <c r="Y13" s="165">
        <v>528</v>
      </c>
      <c r="Z13" s="166">
        <v>1178</v>
      </c>
      <c r="AA13" s="148" t="s">
        <v>165</v>
      </c>
      <c r="AB13" s="149">
        <v>76.53</v>
      </c>
      <c r="AC13" s="150">
        <v>116</v>
      </c>
      <c r="AD13" s="151">
        <v>4</v>
      </c>
      <c r="AE13" s="149">
        <v>10.85</v>
      </c>
      <c r="AF13" s="134">
        <f t="shared" si="3"/>
        <v>81.843554348645981</v>
      </c>
      <c r="AG13" s="152"/>
      <c r="AH13" s="129">
        <v>84.15</v>
      </c>
      <c r="AI13" s="134">
        <f t="shared" si="4"/>
        <v>634.75899524779356</v>
      </c>
      <c r="AJ13" s="136">
        <v>14.55</v>
      </c>
      <c r="AK13" s="154"/>
      <c r="AL13" s="155">
        <v>6.26</v>
      </c>
      <c r="AM13" s="156">
        <v>36.43</v>
      </c>
      <c r="AN13" s="126">
        <f t="shared" si="25"/>
        <v>0.20948821161587119</v>
      </c>
      <c r="AO13" s="157" t="s">
        <v>166</v>
      </c>
      <c r="AP13" s="156">
        <v>11.95</v>
      </c>
      <c r="AQ13" s="156">
        <v>6.7</v>
      </c>
      <c r="AR13" s="149"/>
      <c r="AS13" s="149">
        <v>8.01</v>
      </c>
      <c r="AT13" s="149">
        <v>173.9</v>
      </c>
      <c r="AU13" s="149">
        <v>1.36</v>
      </c>
      <c r="AV13" s="149"/>
      <c r="AW13" s="149"/>
      <c r="AX13" s="158">
        <f t="shared" si="5"/>
        <v>0</v>
      </c>
      <c r="AY13" s="125">
        <f t="shared" si="6"/>
        <v>132.57000000000002</v>
      </c>
      <c r="AZ13" s="125">
        <f t="shared" si="31"/>
        <v>133.11573508833641</v>
      </c>
      <c r="BA13" s="159">
        <f t="shared" si="7"/>
        <v>5.2214482394366195</v>
      </c>
      <c r="BB13" s="160">
        <f t="shared" si="8"/>
        <v>5.3028000000000013</v>
      </c>
      <c r="BC13" s="161">
        <f t="shared" si="9"/>
        <v>0.86942095856059765</v>
      </c>
      <c r="BD13" s="160">
        <f t="shared" si="26"/>
        <v>10.52424823943662</v>
      </c>
      <c r="BE13" s="162">
        <v>0.89900000000000002</v>
      </c>
      <c r="BF13" s="25">
        <f t="shared" si="27"/>
        <v>881.19999999999993</v>
      </c>
      <c r="BG13" s="25">
        <f t="shared" si="10"/>
        <v>124.55172413793103</v>
      </c>
      <c r="BH13" s="25">
        <f t="shared" si="28"/>
        <v>871.86206896551721</v>
      </c>
      <c r="BI13" s="26">
        <f t="shared" si="11"/>
        <v>1</v>
      </c>
      <c r="BJ13" s="37">
        <f t="shared" si="29"/>
        <v>871.86206896551721</v>
      </c>
      <c r="BK13" s="39"/>
      <c r="BL13" s="40">
        <v>152</v>
      </c>
      <c r="BM13" s="325"/>
      <c r="BN13" s="31">
        <v>136.69</v>
      </c>
      <c r="BO13" s="40"/>
      <c r="BP13" s="40"/>
      <c r="BQ13" s="32"/>
      <c r="BR13" s="33"/>
      <c r="BS13" s="34">
        <v>2.94</v>
      </c>
      <c r="BT13" s="33"/>
      <c r="BU13" s="28"/>
      <c r="BV13" s="287"/>
      <c r="BW13" s="287"/>
      <c r="BX13" s="36"/>
      <c r="BY13" s="33"/>
      <c r="BZ13" s="34">
        <v>37.17</v>
      </c>
      <c r="CA13" s="33"/>
      <c r="CB13" s="35">
        <v>45.38</v>
      </c>
      <c r="CC13" s="235"/>
      <c r="CD13" s="235"/>
      <c r="CE13" s="36"/>
      <c r="CF13" s="30">
        <v>179.655</v>
      </c>
      <c r="CG13" s="30"/>
      <c r="CH13" s="30"/>
      <c r="CI13" s="32"/>
      <c r="CJ13" s="33">
        <v>1.79</v>
      </c>
      <c r="CK13" s="33"/>
      <c r="CL13" s="33"/>
      <c r="CM13" s="36"/>
      <c r="CN13" s="286"/>
      <c r="CO13" s="249">
        <f t="shared" si="12"/>
        <v>0</v>
      </c>
      <c r="CP13" s="12">
        <f t="shared" si="12"/>
        <v>147.53120000000001</v>
      </c>
      <c r="CQ13" s="12">
        <f t="shared" si="12"/>
        <v>0</v>
      </c>
      <c r="CR13" s="12">
        <f t="shared" si="12"/>
        <v>136.69</v>
      </c>
      <c r="CS13" s="11">
        <f t="shared" si="12"/>
        <v>0</v>
      </c>
      <c r="CT13" s="11">
        <f t="shared" si="12"/>
        <v>0</v>
      </c>
      <c r="CU13" s="272">
        <f t="shared" si="12"/>
        <v>0</v>
      </c>
      <c r="CV13" s="249">
        <f t="shared" si="13"/>
        <v>176.4391755</v>
      </c>
      <c r="CW13" s="251">
        <f t="shared" si="13"/>
        <v>0</v>
      </c>
      <c r="CX13" s="249">
        <f t="shared" si="13"/>
        <v>0</v>
      </c>
      <c r="CY13" s="272">
        <f t="shared" si="13"/>
        <v>0</v>
      </c>
      <c r="CZ13" s="13"/>
      <c r="DA13" s="240">
        <f>(D13+'[2]февраль 20'!D13)/(AY13+'[2]февраль 20'!AX13)</f>
        <v>2.0800962302203732</v>
      </c>
      <c r="DB13" s="241">
        <f>(T13+'[2]февраль 20'!R13)/(AY13+'[2]февраль 20'!AX13)</f>
        <v>1.2706331468365761</v>
      </c>
      <c r="DD13" s="292">
        <f t="shared" si="14"/>
        <v>0</v>
      </c>
      <c r="DE13" s="291">
        <v>0.33</v>
      </c>
      <c r="DF13" s="291">
        <v>8.8000000000000007</v>
      </c>
      <c r="DG13" s="145">
        <f t="shared" si="15"/>
        <v>0</v>
      </c>
      <c r="DH13" s="293">
        <f t="shared" si="30"/>
        <v>0</v>
      </c>
      <c r="DJ13" s="322"/>
    </row>
    <row r="14" spans="1:114" s="76" customFormat="1" ht="16.5" customHeight="1" thickBot="1">
      <c r="A14" s="144">
        <v>8</v>
      </c>
      <c r="B14" s="122">
        <f t="shared" si="16"/>
        <v>256.041</v>
      </c>
      <c r="C14" s="123">
        <f t="shared" si="17"/>
        <v>1.8880101233786775</v>
      </c>
      <c r="D14" s="145">
        <f t="shared" si="18"/>
        <v>251.20692</v>
      </c>
      <c r="E14" s="125">
        <f t="shared" si="19"/>
        <v>41.274723188864286</v>
      </c>
      <c r="F14" s="146">
        <f t="shared" si="20"/>
        <v>1.8204719182549463</v>
      </c>
      <c r="G14" s="127"/>
      <c r="H14" s="126">
        <f t="shared" si="21"/>
        <v>0.90416638886875866</v>
      </c>
      <c r="I14" s="230">
        <f>'[1]июль 20'!AI13</f>
        <v>0</v>
      </c>
      <c r="J14" s="247">
        <f>'[1]февраль 20'!AA13</f>
        <v>0</v>
      </c>
      <c r="K14" s="276">
        <f>'[1]сентябрь 20'!AM13</f>
        <v>0</v>
      </c>
      <c r="L14" s="122">
        <f t="shared" si="22"/>
        <v>126.441</v>
      </c>
      <c r="M14" s="128">
        <f t="shared" si="23"/>
        <v>0.91630552938618759</v>
      </c>
      <c r="N14" s="400">
        <f>'[1]февраль 20'!W13</f>
        <v>0</v>
      </c>
      <c r="O14" s="403">
        <f>'[1]февраль 20'!AU13</f>
        <v>7.7839999999999998</v>
      </c>
      <c r="P14" s="401">
        <f t="shared" si="0"/>
        <v>157.881</v>
      </c>
      <c r="Q14" s="122">
        <f>'[1]февраль 20'!S13</f>
        <v>157.881</v>
      </c>
      <c r="R14" s="123">
        <f t="shared" si="24"/>
        <v>1.78</v>
      </c>
      <c r="S14" s="129">
        <v>7.17</v>
      </c>
      <c r="T14" s="125">
        <f t="shared" si="1"/>
        <v>155.07071819999999</v>
      </c>
      <c r="U14" s="147">
        <f t="shared" si="2"/>
        <v>1.1237822900210162</v>
      </c>
      <c r="V14" s="130">
        <v>137.99</v>
      </c>
      <c r="W14" s="130"/>
      <c r="X14" s="129">
        <v>1.41</v>
      </c>
      <c r="Y14" s="131">
        <v>498</v>
      </c>
      <c r="Z14" s="150">
        <v>1184</v>
      </c>
      <c r="AA14" s="148" t="s">
        <v>167</v>
      </c>
      <c r="AB14" s="149">
        <v>76.930000000000007</v>
      </c>
      <c r="AC14" s="150">
        <v>103</v>
      </c>
      <c r="AD14" s="151">
        <v>4</v>
      </c>
      <c r="AE14" s="149">
        <v>7.2</v>
      </c>
      <c r="AF14" s="134">
        <f t="shared" si="3"/>
        <v>52.177694035799711</v>
      </c>
      <c r="AG14" s="152"/>
      <c r="AH14" s="129">
        <v>88</v>
      </c>
      <c r="AI14" s="134">
        <f t="shared" si="4"/>
        <v>637.72737154866297</v>
      </c>
      <c r="AJ14" s="153">
        <v>19.8</v>
      </c>
      <c r="AK14" s="154"/>
      <c r="AL14" s="155">
        <v>6.21</v>
      </c>
      <c r="AM14" s="156">
        <v>35.5</v>
      </c>
      <c r="AN14" s="126">
        <f t="shared" si="25"/>
        <v>0.20033860045146729</v>
      </c>
      <c r="AO14" s="157" t="s">
        <v>168</v>
      </c>
      <c r="AP14" s="156">
        <v>11.56</v>
      </c>
      <c r="AQ14" s="156">
        <v>6.69</v>
      </c>
      <c r="AR14" s="149"/>
      <c r="AS14" s="149">
        <v>7.91</v>
      </c>
      <c r="AT14" s="149">
        <v>177.2</v>
      </c>
      <c r="AU14" s="149">
        <v>2.5</v>
      </c>
      <c r="AV14" s="149"/>
      <c r="AW14" s="149"/>
      <c r="AX14" s="158">
        <f t="shared" si="5"/>
        <v>0</v>
      </c>
      <c r="AY14" s="125">
        <f t="shared" si="6"/>
        <v>137.98999999999998</v>
      </c>
      <c r="AZ14" s="125">
        <f t="shared" si="31"/>
        <v>117.66147254892789</v>
      </c>
      <c r="BA14" s="159">
        <f t="shared" si="7"/>
        <v>5.3921690140845078</v>
      </c>
      <c r="BB14" s="160">
        <f t="shared" si="8"/>
        <v>5.5195999999999996</v>
      </c>
      <c r="BC14" s="161">
        <f t="shared" si="9"/>
        <v>1.0238293588405174</v>
      </c>
      <c r="BD14" s="159">
        <f t="shared" si="26"/>
        <v>10.911769014084507</v>
      </c>
      <c r="BE14" s="167">
        <v>0.91500000000000004</v>
      </c>
      <c r="BF14" s="25">
        <f t="shared" si="27"/>
        <v>1019.1899999999999</v>
      </c>
      <c r="BG14" s="25">
        <f t="shared" si="10"/>
        <v>124.55172413793103</v>
      </c>
      <c r="BH14" s="25">
        <f t="shared" si="28"/>
        <v>996.41379310344826</v>
      </c>
      <c r="BI14" s="26">
        <f t="shared" si="11"/>
        <v>1</v>
      </c>
      <c r="BJ14" s="37">
        <f t="shared" si="29"/>
        <v>996.41379310344826</v>
      </c>
      <c r="BK14" s="39"/>
      <c r="BL14" s="40">
        <v>129.6</v>
      </c>
      <c r="BM14" s="325"/>
      <c r="BN14" s="31">
        <v>126.441</v>
      </c>
      <c r="BO14" s="40"/>
      <c r="BP14" s="40"/>
      <c r="BQ14" s="32"/>
      <c r="BR14" s="33"/>
      <c r="BS14" s="34">
        <v>3.73</v>
      </c>
      <c r="BT14" s="33"/>
      <c r="BU14" s="28"/>
      <c r="BV14" s="287"/>
      <c r="BW14" s="287"/>
      <c r="BX14" s="36"/>
      <c r="BY14" s="33"/>
      <c r="BZ14" s="34">
        <v>37.25</v>
      </c>
      <c r="CA14" s="33"/>
      <c r="CB14" s="35">
        <v>45.4</v>
      </c>
      <c r="CC14" s="235"/>
      <c r="CD14" s="235"/>
      <c r="CE14" s="36"/>
      <c r="CF14" s="30">
        <v>157.881</v>
      </c>
      <c r="CG14" s="30"/>
      <c r="CH14" s="30"/>
      <c r="CI14" s="32"/>
      <c r="CJ14" s="33">
        <v>1.78</v>
      </c>
      <c r="CK14" s="33"/>
      <c r="CL14" s="33"/>
      <c r="CM14" s="36"/>
      <c r="CN14" s="286"/>
      <c r="CO14" s="249">
        <f t="shared" si="12"/>
        <v>0</v>
      </c>
      <c r="CP14" s="12">
        <f t="shared" si="12"/>
        <v>124.76591999999999</v>
      </c>
      <c r="CQ14" s="12">
        <f t="shared" si="12"/>
        <v>0</v>
      </c>
      <c r="CR14" s="12">
        <f t="shared" si="12"/>
        <v>126.441</v>
      </c>
      <c r="CS14" s="11">
        <f t="shared" si="12"/>
        <v>0</v>
      </c>
      <c r="CT14" s="11">
        <f t="shared" si="12"/>
        <v>0</v>
      </c>
      <c r="CU14" s="272">
        <f t="shared" si="12"/>
        <v>0</v>
      </c>
      <c r="CV14" s="249">
        <f t="shared" si="13"/>
        <v>155.07071819999999</v>
      </c>
      <c r="CW14" s="12">
        <f t="shared" si="13"/>
        <v>0</v>
      </c>
      <c r="CX14" s="252">
        <f t="shared" si="13"/>
        <v>0</v>
      </c>
      <c r="CY14" s="272">
        <f t="shared" si="13"/>
        <v>0</v>
      </c>
      <c r="CZ14" s="13"/>
      <c r="DA14" s="240">
        <f>(D14+'[2]февраль 20'!D14)/(AY14+'[2]февраль 20'!AX14)</f>
        <v>2.0526371720953112</v>
      </c>
      <c r="DB14" s="241">
        <f>(T14+'[2]февраль 20'!R14)/(AY14+'[2]февраль 20'!AX14)</f>
        <v>1.2554670406601816</v>
      </c>
      <c r="DD14" s="292">
        <f t="shared" si="14"/>
        <v>0</v>
      </c>
      <c r="DE14" s="291">
        <v>0.41</v>
      </c>
      <c r="DF14" s="291">
        <v>10.6</v>
      </c>
      <c r="DG14" s="145">
        <f t="shared" si="15"/>
        <v>0</v>
      </c>
      <c r="DH14" s="293">
        <f t="shared" si="30"/>
        <v>0</v>
      </c>
      <c r="DJ14" s="322"/>
    </row>
    <row r="15" spans="1:114" s="76" customFormat="1" ht="16.5" customHeight="1" thickBot="1">
      <c r="A15" s="144">
        <v>9</v>
      </c>
      <c r="B15" s="122">
        <f t="shared" si="16"/>
        <v>304.06899999999996</v>
      </c>
      <c r="C15" s="123">
        <f t="shared" si="17"/>
        <v>1.5498127069842702</v>
      </c>
      <c r="D15" s="145">
        <f t="shared" si="18"/>
        <v>299.35649999999998</v>
      </c>
      <c r="E15" s="125">
        <f t="shared" si="19"/>
        <v>40.9224642433132</v>
      </c>
      <c r="F15" s="146">
        <f t="shared" si="20"/>
        <v>2.2951506555240355</v>
      </c>
      <c r="G15" s="127"/>
      <c r="H15" s="126">
        <f t="shared" si="21"/>
        <v>1.2097485241125507</v>
      </c>
      <c r="I15" s="230">
        <f>'[1]июль 20'!AI14</f>
        <v>0</v>
      </c>
      <c r="J15" s="247">
        <f>'[1]февраль 20'!AA14</f>
        <v>0</v>
      </c>
      <c r="K15" s="276">
        <f>'[1]сентябрь 20'!AM14</f>
        <v>0</v>
      </c>
      <c r="L15" s="122">
        <f t="shared" si="22"/>
        <v>141.56899999999999</v>
      </c>
      <c r="M15" s="128">
        <f t="shared" si="23"/>
        <v>1.085402131411485</v>
      </c>
      <c r="N15" s="400">
        <f>'[1]февраль 20'!W14</f>
        <v>0</v>
      </c>
      <c r="O15" s="403">
        <f>'[1]февраль 20'!AU14</f>
        <v>8.7899999999999991</v>
      </c>
      <c r="P15" s="401">
        <f t="shared" si="0"/>
        <v>187.137</v>
      </c>
      <c r="Q15" s="122">
        <f>'[1]февраль 20'!S14</f>
        <v>187.137</v>
      </c>
      <c r="R15" s="123">
        <f t="shared" si="24"/>
        <v>1.8600000000000003</v>
      </c>
      <c r="S15" s="129">
        <v>10.31</v>
      </c>
      <c r="T15" s="125">
        <f t="shared" si="1"/>
        <v>183.65625180000001</v>
      </c>
      <c r="U15" s="147">
        <f t="shared" si="2"/>
        <v>1.4080828935060952</v>
      </c>
      <c r="V15" s="130">
        <v>130.43</v>
      </c>
      <c r="W15" s="130">
        <v>130.43</v>
      </c>
      <c r="X15" s="129">
        <v>0.5</v>
      </c>
      <c r="Y15" s="131">
        <v>527</v>
      </c>
      <c r="Z15" s="150">
        <v>1182</v>
      </c>
      <c r="AA15" s="148" t="s">
        <v>169</v>
      </c>
      <c r="AB15" s="149">
        <v>76.69</v>
      </c>
      <c r="AC15" s="150">
        <v>122</v>
      </c>
      <c r="AD15" s="151">
        <v>4</v>
      </c>
      <c r="AE15" s="149">
        <v>10.45</v>
      </c>
      <c r="AF15" s="134">
        <f t="shared" si="3"/>
        <v>80.119604385494114</v>
      </c>
      <c r="AG15" s="152"/>
      <c r="AH15" s="129">
        <v>85.8</v>
      </c>
      <c r="AI15" s="134">
        <f t="shared" si="4"/>
        <v>657.82412021774132</v>
      </c>
      <c r="AJ15" s="136">
        <v>14.13</v>
      </c>
      <c r="AK15" s="154"/>
      <c r="AL15" s="155">
        <v>4.7699999999999996</v>
      </c>
      <c r="AM15" s="156">
        <v>37.409999999999997</v>
      </c>
      <c r="AN15" s="126">
        <f t="shared" si="25"/>
        <v>0.21838879159369523</v>
      </c>
      <c r="AO15" s="157" t="s">
        <v>170</v>
      </c>
      <c r="AP15" s="156">
        <v>10.17</v>
      </c>
      <c r="AQ15" s="156">
        <v>6.47</v>
      </c>
      <c r="AR15" s="149"/>
      <c r="AS15" s="149">
        <v>10.5</v>
      </c>
      <c r="AT15" s="149">
        <v>171.3</v>
      </c>
      <c r="AU15" s="149">
        <v>1.31</v>
      </c>
      <c r="AV15" s="149"/>
      <c r="AW15" s="149"/>
      <c r="AX15" s="158">
        <f t="shared" si="5"/>
        <v>0</v>
      </c>
      <c r="AY15" s="125">
        <f t="shared" si="6"/>
        <v>130.43</v>
      </c>
      <c r="AZ15" s="125">
        <f t="shared" si="31"/>
        <v>139.45239467351942</v>
      </c>
      <c r="BA15" s="159">
        <f t="shared" si="7"/>
        <v>6.9788028169014087</v>
      </c>
      <c r="BB15" s="160">
        <f t="shared" si="8"/>
        <v>5.2172000000000001</v>
      </c>
      <c r="BC15" s="161">
        <f t="shared" si="9"/>
        <v>0.81651799717442808</v>
      </c>
      <c r="BD15" s="159">
        <f t="shared" si="26"/>
        <v>12.196002816901409</v>
      </c>
      <c r="BE15" s="167">
        <v>0.90200000000000002</v>
      </c>
      <c r="BF15" s="25">
        <f t="shared" si="27"/>
        <v>1149.6199999999999</v>
      </c>
      <c r="BG15" s="25">
        <f t="shared" si="10"/>
        <v>124.55172413793103</v>
      </c>
      <c r="BH15" s="25">
        <f t="shared" si="28"/>
        <v>1120.9655172413793</v>
      </c>
      <c r="BI15" s="26">
        <f t="shared" si="11"/>
        <v>1</v>
      </c>
      <c r="BJ15" s="37">
        <f t="shared" si="29"/>
        <v>1120.9655172413793</v>
      </c>
      <c r="BK15" s="38"/>
      <c r="BL15" s="42">
        <v>162.5</v>
      </c>
      <c r="BM15" s="31"/>
      <c r="BN15" s="31">
        <v>141.56899999999999</v>
      </c>
      <c r="BO15" s="40"/>
      <c r="BP15" s="40"/>
      <c r="BQ15" s="32"/>
      <c r="BR15" s="33"/>
      <c r="BS15" s="35">
        <v>2.9</v>
      </c>
      <c r="BT15" s="35"/>
      <c r="BU15" s="28"/>
      <c r="BV15" s="287"/>
      <c r="BW15" s="287"/>
      <c r="BX15" s="36"/>
      <c r="BY15" s="33"/>
      <c r="BZ15" s="34">
        <v>36.83</v>
      </c>
      <c r="CA15" s="35"/>
      <c r="CB15" s="35">
        <v>45.62</v>
      </c>
      <c r="CC15" s="35"/>
      <c r="CD15" s="35"/>
      <c r="CE15" s="35"/>
      <c r="CF15" s="38">
        <v>187.137</v>
      </c>
      <c r="CG15" s="30"/>
      <c r="CH15" s="30"/>
      <c r="CI15" s="32"/>
      <c r="CJ15" s="33">
        <v>1.86</v>
      </c>
      <c r="CK15" s="33"/>
      <c r="CL15" s="33"/>
      <c r="CM15" s="36"/>
      <c r="CN15" s="286"/>
      <c r="CO15" s="249">
        <f t="shared" si="12"/>
        <v>0</v>
      </c>
      <c r="CP15" s="12">
        <f t="shared" si="12"/>
        <v>157.78749999999999</v>
      </c>
      <c r="CQ15" s="12">
        <f t="shared" si="12"/>
        <v>0</v>
      </c>
      <c r="CR15" s="17">
        <f t="shared" si="12"/>
        <v>141.56899999999999</v>
      </c>
      <c r="CS15" s="11">
        <f t="shared" si="12"/>
        <v>0</v>
      </c>
      <c r="CT15" s="11">
        <f t="shared" si="12"/>
        <v>0</v>
      </c>
      <c r="CU15" s="272">
        <f t="shared" si="12"/>
        <v>0</v>
      </c>
      <c r="CV15" s="249">
        <f t="shared" si="13"/>
        <v>183.65625180000001</v>
      </c>
      <c r="CW15" s="12">
        <f t="shared" si="13"/>
        <v>0</v>
      </c>
      <c r="CX15" s="249">
        <f t="shared" si="13"/>
        <v>0</v>
      </c>
      <c r="CY15" s="274">
        <f t="shared" si="13"/>
        <v>0</v>
      </c>
      <c r="CZ15" s="13"/>
      <c r="DA15" s="240">
        <f>(D15+'[2]февраль 20'!D15)/(AY15+'[2]февраль 20'!AX15)</f>
        <v>2.1680143325981938</v>
      </c>
      <c r="DB15" s="241">
        <f>(T15+'[2]февраль 20'!R15)/(AY15+'[2]февраль 20'!AX15)</f>
        <v>1.3233728518168453</v>
      </c>
      <c r="DD15" s="292">
        <f t="shared" si="14"/>
        <v>0</v>
      </c>
      <c r="DE15" s="291">
        <v>0.04</v>
      </c>
      <c r="DF15" s="291">
        <v>13.92</v>
      </c>
      <c r="DG15" s="145">
        <f t="shared" si="15"/>
        <v>0</v>
      </c>
      <c r="DH15" s="293">
        <f t="shared" si="30"/>
        <v>0</v>
      </c>
      <c r="DJ15" s="322"/>
    </row>
    <row r="16" spans="1:114" s="76" customFormat="1" ht="16.5" customHeight="1" thickBot="1">
      <c r="A16" s="144">
        <v>10</v>
      </c>
      <c r="B16" s="122">
        <f t="shared" si="16"/>
        <v>287.14400000000001</v>
      </c>
      <c r="C16" s="123">
        <f t="shared" si="17"/>
        <v>1.1281726241885606</v>
      </c>
      <c r="D16" s="145">
        <f t="shared" si="18"/>
        <v>283.90451999999999</v>
      </c>
      <c r="E16" s="125">
        <f t="shared" si="19"/>
        <v>40.9456364750787</v>
      </c>
      <c r="F16" s="146">
        <f t="shared" si="20"/>
        <v>2.123285618128786</v>
      </c>
      <c r="G16" s="127"/>
      <c r="H16" s="126">
        <f t="shared" si="21"/>
        <v>1.0871327499813026</v>
      </c>
      <c r="I16" s="230">
        <f>'[1]июль 20'!AI15</f>
        <v>0</v>
      </c>
      <c r="J16" s="247">
        <f>'[1]февраль 20'!AA15</f>
        <v>0</v>
      </c>
      <c r="K16" s="276">
        <f>'[1]сентябрь 20'!AM15</f>
        <v>0</v>
      </c>
      <c r="L16" s="122">
        <f t="shared" si="22"/>
        <v>138.54400000000001</v>
      </c>
      <c r="M16" s="128">
        <f t="shared" si="23"/>
        <v>1.0361528681474834</v>
      </c>
      <c r="N16" s="400">
        <f>'[1]февраль 20'!W15</f>
        <v>0</v>
      </c>
      <c r="O16" s="403">
        <f>'[1]февраль 20'!AU15</f>
        <v>7.48</v>
      </c>
      <c r="P16" s="401">
        <f t="shared" si="0"/>
        <v>176.416</v>
      </c>
      <c r="Q16" s="122">
        <f>'[1]февраль 20'!S15</f>
        <v>176.416</v>
      </c>
      <c r="R16" s="123">
        <f t="shared" si="24"/>
        <v>1.77</v>
      </c>
      <c r="S16" s="129">
        <v>23.86</v>
      </c>
      <c r="T16" s="125">
        <f t="shared" si="1"/>
        <v>173.29343679999999</v>
      </c>
      <c r="U16" s="147">
        <f t="shared" si="2"/>
        <v>1.2960394645127513</v>
      </c>
      <c r="V16" s="130">
        <v>133.71</v>
      </c>
      <c r="W16" s="130">
        <v>133.71</v>
      </c>
      <c r="X16" s="129">
        <v>0.52</v>
      </c>
      <c r="Y16" s="131">
        <v>493</v>
      </c>
      <c r="Z16" s="150">
        <v>1196</v>
      </c>
      <c r="AA16" s="148" t="s">
        <v>130</v>
      </c>
      <c r="AB16" s="149">
        <v>76.819999999999993</v>
      </c>
      <c r="AC16" s="150">
        <v>115</v>
      </c>
      <c r="AD16" s="151">
        <v>4</v>
      </c>
      <c r="AE16" s="149">
        <v>10.75</v>
      </c>
      <c r="AF16" s="134">
        <f t="shared" si="3"/>
        <v>80.397876000299163</v>
      </c>
      <c r="AG16" s="152"/>
      <c r="AH16" s="129">
        <v>82.3</v>
      </c>
      <c r="AI16" s="134">
        <f t="shared" si="4"/>
        <v>615.51118091391811</v>
      </c>
      <c r="AJ16" s="153">
        <v>14.44</v>
      </c>
      <c r="AK16" s="154"/>
      <c r="AL16" s="155">
        <v>5.44</v>
      </c>
      <c r="AM16" s="156">
        <v>34.47</v>
      </c>
      <c r="AN16" s="126">
        <f t="shared" si="25"/>
        <v>0.2</v>
      </c>
      <c r="AO16" s="157" t="s">
        <v>162</v>
      </c>
      <c r="AP16" s="156">
        <v>10.8</v>
      </c>
      <c r="AQ16" s="156">
        <v>6.44</v>
      </c>
      <c r="AR16" s="149"/>
      <c r="AS16" s="149">
        <v>8.24</v>
      </c>
      <c r="AT16" s="149">
        <v>172.35</v>
      </c>
      <c r="AU16" s="149">
        <v>1.27</v>
      </c>
      <c r="AV16" s="149"/>
      <c r="AW16" s="149"/>
      <c r="AX16" s="158">
        <f t="shared" si="5"/>
        <v>0</v>
      </c>
      <c r="AY16" s="125">
        <f t="shared" si="6"/>
        <v>133.71</v>
      </c>
      <c r="AZ16" s="125">
        <f t="shared" si="31"/>
        <v>132.10518821034424</v>
      </c>
      <c r="BA16" s="159">
        <f t="shared" si="7"/>
        <v>5.2532901408450705</v>
      </c>
      <c r="BB16" s="160">
        <f t="shared" si="8"/>
        <v>5.3484000000000007</v>
      </c>
      <c r="BC16" s="161">
        <f t="shared" si="9"/>
        <v>0.88360519054057696</v>
      </c>
      <c r="BD16" s="160">
        <f t="shared" si="26"/>
        <v>10.601690140845072</v>
      </c>
      <c r="BE16" s="162">
        <v>0.9</v>
      </c>
      <c r="BF16" s="25">
        <f t="shared" si="27"/>
        <v>1283.33</v>
      </c>
      <c r="BG16" s="25">
        <f t="shared" si="10"/>
        <v>124.55172413793103</v>
      </c>
      <c r="BH16" s="25">
        <f t="shared" si="28"/>
        <v>1245.5172413793102</v>
      </c>
      <c r="BI16" s="26">
        <f t="shared" si="11"/>
        <v>1</v>
      </c>
      <c r="BJ16" s="37">
        <f t="shared" si="29"/>
        <v>1245.5172413793102</v>
      </c>
      <c r="BK16" s="38"/>
      <c r="BL16" s="31">
        <v>148.6</v>
      </c>
      <c r="BM16" s="31"/>
      <c r="BN16" s="234">
        <v>138.54400000000001</v>
      </c>
      <c r="BO16" s="42"/>
      <c r="BP16" s="40"/>
      <c r="BQ16" s="32"/>
      <c r="BR16" s="33"/>
      <c r="BS16" s="34">
        <v>2.1800000000000002</v>
      </c>
      <c r="BT16" s="35"/>
      <c r="BU16" s="28"/>
      <c r="BV16" s="287"/>
      <c r="BW16" s="287"/>
      <c r="BX16" s="36"/>
      <c r="BY16" s="33"/>
      <c r="BZ16" s="34">
        <v>36.83</v>
      </c>
      <c r="CA16" s="35"/>
      <c r="CB16" s="405">
        <v>45.36</v>
      </c>
      <c r="CC16" s="404"/>
      <c r="CD16" s="235"/>
      <c r="CE16" s="36"/>
      <c r="CF16" s="38">
        <v>176.416</v>
      </c>
      <c r="CG16" s="30"/>
      <c r="CH16" s="30"/>
      <c r="CI16" s="32"/>
      <c r="CJ16" s="33">
        <v>1.77</v>
      </c>
      <c r="CK16" s="33"/>
      <c r="CL16" s="33"/>
      <c r="CM16" s="36"/>
      <c r="CN16" s="286"/>
      <c r="CO16" s="249">
        <f t="shared" si="12"/>
        <v>0</v>
      </c>
      <c r="CP16" s="12">
        <f t="shared" si="12"/>
        <v>145.36051999999998</v>
      </c>
      <c r="CQ16" s="12">
        <f t="shared" si="12"/>
        <v>0</v>
      </c>
      <c r="CR16" s="11">
        <f t="shared" si="12"/>
        <v>138.54400000000001</v>
      </c>
      <c r="CS16" s="11">
        <f t="shared" si="12"/>
        <v>0</v>
      </c>
      <c r="CT16" s="11">
        <f t="shared" si="12"/>
        <v>0</v>
      </c>
      <c r="CU16" s="272">
        <f t="shared" si="12"/>
        <v>0</v>
      </c>
      <c r="CV16" s="249">
        <f t="shared" si="13"/>
        <v>173.29343679999999</v>
      </c>
      <c r="CW16" s="12">
        <f t="shared" si="13"/>
        <v>0</v>
      </c>
      <c r="CX16" s="249">
        <f t="shared" si="13"/>
        <v>0</v>
      </c>
      <c r="CY16" s="272">
        <f t="shared" si="13"/>
        <v>0</v>
      </c>
      <c r="CZ16" s="13"/>
      <c r="DA16" s="240">
        <f>(D16+'[2]февраль 20'!D16)/(AY16+'[2]февраль 20'!AX16)</f>
        <v>2.1389497482788293</v>
      </c>
      <c r="DB16" s="241">
        <f>(T16+'[2]февраль 20'!R16)/(AY16+'[2]февраль 20'!AX16)</f>
        <v>1.3038764974182444</v>
      </c>
      <c r="DD16" s="292">
        <f t="shared" si="14"/>
        <v>0</v>
      </c>
      <c r="DE16" s="291">
        <v>0.06</v>
      </c>
      <c r="DF16" s="291">
        <v>10.26</v>
      </c>
      <c r="DG16" s="145">
        <f t="shared" si="15"/>
        <v>0</v>
      </c>
      <c r="DH16" s="293">
        <f t="shared" si="30"/>
        <v>0</v>
      </c>
      <c r="DJ16" s="322"/>
    </row>
    <row r="17" spans="1:114" s="76" customFormat="1" ht="16.5" customHeight="1" thickBot="1">
      <c r="A17" s="144">
        <v>11</v>
      </c>
      <c r="B17" s="122">
        <f t="shared" si="16"/>
        <v>271.30700000000002</v>
      </c>
      <c r="C17" s="123">
        <f t="shared" si="17"/>
        <v>1.9710475586696989</v>
      </c>
      <c r="D17" s="145">
        <f t="shared" si="18"/>
        <v>265.95941000000005</v>
      </c>
      <c r="E17" s="125">
        <f t="shared" si="19"/>
        <v>41.493361763610963</v>
      </c>
      <c r="F17" s="146">
        <f t="shared" si="20"/>
        <v>2.0426990015360986</v>
      </c>
      <c r="G17" s="127"/>
      <c r="H17" s="126">
        <f t="shared" si="21"/>
        <v>0.99349009216589845</v>
      </c>
      <c r="I17" s="230">
        <f>'[1]июль 20'!AI16</f>
        <v>0</v>
      </c>
      <c r="J17" s="247">
        <f>'[1]февраль 20'!AA16</f>
        <v>0</v>
      </c>
      <c r="K17" s="276">
        <f>'[1]сентябрь 20'!AM16</f>
        <v>0</v>
      </c>
      <c r="L17" s="122">
        <f t="shared" si="22"/>
        <v>136.607</v>
      </c>
      <c r="M17" s="128">
        <f t="shared" si="23"/>
        <v>1.0492089093701995</v>
      </c>
      <c r="N17" s="400">
        <f>'[1]февраль 20'!W16</f>
        <v>0</v>
      </c>
      <c r="O17" s="403">
        <f>'[1]февраль 20'!AU16</f>
        <v>7.516</v>
      </c>
      <c r="P17" s="401">
        <f t="shared" si="0"/>
        <v>167.392</v>
      </c>
      <c r="Q17" s="122">
        <f>'[1]февраль 20'!S16</f>
        <v>167.392</v>
      </c>
      <c r="R17" s="123">
        <f t="shared" si="24"/>
        <v>1.84</v>
      </c>
      <c r="S17" s="129">
        <v>3.57</v>
      </c>
      <c r="T17" s="125">
        <f t="shared" si="1"/>
        <v>164.31198719999998</v>
      </c>
      <c r="U17" s="147">
        <f t="shared" si="2"/>
        <v>1.2619968294930872</v>
      </c>
      <c r="V17" s="130">
        <v>130.19999999999999</v>
      </c>
      <c r="W17" s="130">
        <v>63.39</v>
      </c>
      <c r="X17" s="129">
        <v>1.03</v>
      </c>
      <c r="Y17" s="131">
        <v>516</v>
      </c>
      <c r="Z17" s="150">
        <v>1189</v>
      </c>
      <c r="AA17" s="148" t="s">
        <v>171</v>
      </c>
      <c r="AB17" s="149">
        <v>76.48</v>
      </c>
      <c r="AC17" s="150">
        <v>109</v>
      </c>
      <c r="AD17" s="151">
        <v>4</v>
      </c>
      <c r="AE17" s="149">
        <v>10</v>
      </c>
      <c r="AF17" s="134">
        <f t="shared" si="3"/>
        <v>76.804915514592921</v>
      </c>
      <c r="AG17" s="152"/>
      <c r="AH17" s="129">
        <v>78.25</v>
      </c>
      <c r="AI17" s="134">
        <f t="shared" si="4"/>
        <v>600.99846390168966</v>
      </c>
      <c r="AJ17" s="136">
        <v>11.93</v>
      </c>
      <c r="AK17" s="154"/>
      <c r="AL17" s="155">
        <v>6.07</v>
      </c>
      <c r="AM17" s="156">
        <v>36.33</v>
      </c>
      <c r="AN17" s="126">
        <f t="shared" si="25"/>
        <v>0.21220794392523365</v>
      </c>
      <c r="AO17" s="157" t="s">
        <v>172</v>
      </c>
      <c r="AP17" s="156">
        <v>12.25</v>
      </c>
      <c r="AQ17" s="156">
        <v>6.63</v>
      </c>
      <c r="AR17" s="149"/>
      <c r="AS17" s="149">
        <v>8.07</v>
      </c>
      <c r="AT17" s="149">
        <v>171.2</v>
      </c>
      <c r="AU17" s="149">
        <v>1.4</v>
      </c>
      <c r="AV17" s="149"/>
      <c r="AW17" s="149"/>
      <c r="AX17" s="158">
        <f t="shared" si="5"/>
        <v>0</v>
      </c>
      <c r="AY17" s="125">
        <f t="shared" si="6"/>
        <v>130.20000000000002</v>
      </c>
      <c r="AZ17" s="125">
        <f t="shared" si="31"/>
        <v>125.96803297389621</v>
      </c>
      <c r="BA17" s="159">
        <f t="shared" si="7"/>
        <v>4.8917271126760564</v>
      </c>
      <c r="BB17" s="160">
        <f t="shared" si="8"/>
        <v>5.2080000000000011</v>
      </c>
      <c r="BC17" s="161">
        <f t="shared" si="9"/>
        <v>0.90232892676473087</v>
      </c>
      <c r="BD17" s="160">
        <f t="shared" si="26"/>
        <v>10.099727112676057</v>
      </c>
      <c r="BE17" s="162">
        <v>0.9</v>
      </c>
      <c r="BF17" s="25">
        <f t="shared" si="27"/>
        <v>1413.53</v>
      </c>
      <c r="BG17" s="25">
        <f t="shared" si="10"/>
        <v>124.55172413793103</v>
      </c>
      <c r="BH17" s="25">
        <f t="shared" si="28"/>
        <v>1370.0689655172412</v>
      </c>
      <c r="BI17" s="26">
        <f t="shared" si="11"/>
        <v>1</v>
      </c>
      <c r="BJ17" s="37">
        <f t="shared" si="29"/>
        <v>1370.0689655172412</v>
      </c>
      <c r="BK17" s="39"/>
      <c r="BL17" s="31">
        <v>134.69999999999999</v>
      </c>
      <c r="BM17" s="31"/>
      <c r="BN17" s="234">
        <v>136.607</v>
      </c>
      <c r="BO17" s="42"/>
      <c r="BP17" s="40"/>
      <c r="BQ17" s="32"/>
      <c r="BR17" s="33"/>
      <c r="BS17" s="34">
        <v>3.97</v>
      </c>
      <c r="BT17" s="35"/>
      <c r="BU17" s="28"/>
      <c r="BV17" s="287"/>
      <c r="BW17" s="287"/>
      <c r="BX17" s="36"/>
      <c r="BY17" s="33"/>
      <c r="BZ17" s="34">
        <v>37.43</v>
      </c>
      <c r="CA17" s="35"/>
      <c r="CB17" s="405">
        <v>45.5</v>
      </c>
      <c r="CC17" s="404"/>
      <c r="CD17" s="235"/>
      <c r="CE17" s="36"/>
      <c r="CF17" s="38">
        <v>167.392</v>
      </c>
      <c r="CG17" s="42"/>
      <c r="CH17" s="234"/>
      <c r="CI17" s="233"/>
      <c r="CJ17" s="33">
        <v>1.84</v>
      </c>
      <c r="CK17" s="33"/>
      <c r="CL17" s="33"/>
      <c r="CM17" s="36"/>
      <c r="CN17" s="286"/>
      <c r="CO17" s="249">
        <f t="shared" si="12"/>
        <v>0</v>
      </c>
      <c r="CP17" s="12">
        <f t="shared" si="12"/>
        <v>129.35240999999999</v>
      </c>
      <c r="CQ17" s="12">
        <f t="shared" si="12"/>
        <v>0</v>
      </c>
      <c r="CR17" s="12">
        <f t="shared" si="12"/>
        <v>136.607</v>
      </c>
      <c r="CS17" s="11">
        <f t="shared" si="12"/>
        <v>0</v>
      </c>
      <c r="CT17" s="11">
        <f t="shared" si="12"/>
        <v>0</v>
      </c>
      <c r="CU17" s="272">
        <f t="shared" si="12"/>
        <v>0</v>
      </c>
      <c r="CV17" s="249">
        <f t="shared" si="13"/>
        <v>164.31198719999998</v>
      </c>
      <c r="CW17" s="12">
        <f t="shared" si="13"/>
        <v>0</v>
      </c>
      <c r="CX17" s="254">
        <f t="shared" si="13"/>
        <v>0</v>
      </c>
      <c r="CY17" s="272">
        <f t="shared" si="13"/>
        <v>0</v>
      </c>
      <c r="CZ17" s="13"/>
      <c r="DA17" s="240">
        <f>(D17+'[2]февраль 20'!D17)/(AY17+'[2]февраль 20'!AX17)</f>
        <v>2.089515296278639</v>
      </c>
      <c r="DB17" s="241">
        <f>(T17+'[2]февраль 20'!R17)/(AY17+'[2]февраль 20'!AX17)</f>
        <v>1.2918253097394765</v>
      </c>
      <c r="DD17" s="292">
        <f t="shared" si="14"/>
        <v>0</v>
      </c>
      <c r="DE17" s="291">
        <v>0.18</v>
      </c>
      <c r="DF17" s="291">
        <v>9.33</v>
      </c>
      <c r="DG17" s="145">
        <f t="shared" si="15"/>
        <v>0</v>
      </c>
      <c r="DH17" s="293">
        <f t="shared" si="30"/>
        <v>0</v>
      </c>
      <c r="DJ17" s="322"/>
    </row>
    <row r="18" spans="1:114" s="76" customFormat="1" ht="16.5" customHeight="1" thickBot="1">
      <c r="A18" s="144">
        <v>12</v>
      </c>
      <c r="B18" s="122">
        <f t="shared" si="16"/>
        <v>283.57299999999998</v>
      </c>
      <c r="C18" s="123">
        <f t="shared" si="17"/>
        <v>1.8820480088019664</v>
      </c>
      <c r="D18" s="145">
        <f t="shared" si="18"/>
        <v>278.23601999999994</v>
      </c>
      <c r="E18" s="125">
        <f t="shared" si="19"/>
        <v>41.777328236468207</v>
      </c>
      <c r="F18" s="146">
        <f t="shared" si="20"/>
        <v>2.1046597579425113</v>
      </c>
      <c r="G18" s="127"/>
      <c r="H18" s="126">
        <f t="shared" si="21"/>
        <v>1.0390546142208774</v>
      </c>
      <c r="I18" s="230">
        <f>'[1]июль 20'!AI17</f>
        <v>0</v>
      </c>
      <c r="J18" s="247">
        <f>'[1]февраль 20'!AA17</f>
        <v>0</v>
      </c>
      <c r="K18" s="276">
        <f>'[1]сентябрь 20'!AM17</f>
        <v>0</v>
      </c>
      <c r="L18" s="122">
        <f t="shared" si="22"/>
        <v>140.87299999999999</v>
      </c>
      <c r="M18" s="128">
        <f t="shared" si="23"/>
        <v>1.0656051437216338</v>
      </c>
      <c r="N18" s="400">
        <f>'[1]февраль 20'!W17</f>
        <v>0</v>
      </c>
      <c r="O18" s="403">
        <f>'[1]февраль 20'!AU17</f>
        <v>8.8179999999999996</v>
      </c>
      <c r="P18" s="401">
        <f t="shared" si="0"/>
        <v>173.126</v>
      </c>
      <c r="Q18" s="122">
        <f>'[1]февраль 20'!S17</f>
        <v>173.126</v>
      </c>
      <c r="R18" s="123">
        <f t="shared" si="24"/>
        <v>1.7900000000000003</v>
      </c>
      <c r="S18" s="129">
        <v>16.11</v>
      </c>
      <c r="T18" s="125">
        <f t="shared" si="1"/>
        <v>170.02704460000001</v>
      </c>
      <c r="U18" s="147">
        <f t="shared" si="2"/>
        <v>1.2861349818456886</v>
      </c>
      <c r="V18" s="130">
        <v>132.19999999999999</v>
      </c>
      <c r="W18" s="130">
        <v>35.28</v>
      </c>
      <c r="X18" s="129">
        <v>1.69</v>
      </c>
      <c r="Y18" s="131">
        <v>539</v>
      </c>
      <c r="Z18" s="150">
        <v>1195</v>
      </c>
      <c r="AA18" s="148" t="s">
        <v>128</v>
      </c>
      <c r="AB18" s="149">
        <v>76.11</v>
      </c>
      <c r="AC18" s="150">
        <v>114</v>
      </c>
      <c r="AD18" s="151">
        <v>4</v>
      </c>
      <c r="AE18" s="149">
        <v>7.9</v>
      </c>
      <c r="AF18" s="134">
        <f t="shared" si="3"/>
        <v>59.75794251134645</v>
      </c>
      <c r="AG18" s="152"/>
      <c r="AH18" s="129">
        <v>73.7</v>
      </c>
      <c r="AI18" s="134">
        <f t="shared" si="4"/>
        <v>557.48865355521946</v>
      </c>
      <c r="AJ18" s="153">
        <v>14.26</v>
      </c>
      <c r="AK18" s="154"/>
      <c r="AL18" s="155">
        <v>5.24</v>
      </c>
      <c r="AM18" s="156">
        <v>35.26</v>
      </c>
      <c r="AN18" s="126">
        <f t="shared" si="25"/>
        <v>0.2058978102189781</v>
      </c>
      <c r="AO18" s="157" t="s">
        <v>173</v>
      </c>
      <c r="AP18" s="156">
        <v>13.6</v>
      </c>
      <c r="AQ18" s="156">
        <v>6.4</v>
      </c>
      <c r="AR18" s="151"/>
      <c r="AS18" s="149">
        <v>6.54</v>
      </c>
      <c r="AT18" s="149">
        <v>171.25</v>
      </c>
      <c r="AU18" s="149">
        <v>1.45</v>
      </c>
      <c r="AV18" s="149"/>
      <c r="AW18" s="149"/>
      <c r="AX18" s="158">
        <f t="shared" si="5"/>
        <v>0</v>
      </c>
      <c r="AY18" s="125">
        <f t="shared" si="6"/>
        <v>132.19999999999999</v>
      </c>
      <c r="AZ18" s="125">
        <f t="shared" si="31"/>
        <v>133.32958780495949</v>
      </c>
      <c r="BA18" s="159">
        <f t="shared" si="7"/>
        <v>3.7337873239436621</v>
      </c>
      <c r="BB18" s="160">
        <f t="shared" si="8"/>
        <v>5.2879999999999994</v>
      </c>
      <c r="BC18" s="161">
        <f t="shared" si="9"/>
        <v>0.86560381607740211</v>
      </c>
      <c r="BD18" s="160">
        <f t="shared" si="26"/>
        <v>9.021787323943661</v>
      </c>
      <c r="BE18" s="162">
        <v>0.89700000000000002</v>
      </c>
      <c r="BF18" s="25">
        <f t="shared" si="27"/>
        <v>1545.73</v>
      </c>
      <c r="BG18" s="25">
        <f t="shared" si="10"/>
        <v>124.55172413793103</v>
      </c>
      <c r="BH18" s="25">
        <f t="shared" si="28"/>
        <v>1494.6206896551721</v>
      </c>
      <c r="BI18" s="26">
        <f t="shared" si="11"/>
        <v>1</v>
      </c>
      <c r="BJ18" s="37">
        <f t="shared" si="29"/>
        <v>1494.6206896551721</v>
      </c>
      <c r="BK18" s="38"/>
      <c r="BL18" s="31">
        <v>142.69999999999999</v>
      </c>
      <c r="BM18" s="31"/>
      <c r="BN18" s="234">
        <v>140.87299999999999</v>
      </c>
      <c r="BO18" s="42"/>
      <c r="BP18" s="40"/>
      <c r="BQ18" s="411"/>
      <c r="BR18" s="41"/>
      <c r="BS18" s="34">
        <v>3.74</v>
      </c>
      <c r="BT18" s="35"/>
      <c r="BU18" s="28"/>
      <c r="BV18" s="287"/>
      <c r="BW18" s="287"/>
      <c r="BX18" s="36"/>
      <c r="BY18" s="34"/>
      <c r="BZ18" s="34">
        <v>37.51</v>
      </c>
      <c r="CA18" s="35"/>
      <c r="CB18" s="405">
        <v>46.1</v>
      </c>
      <c r="CC18" s="404"/>
      <c r="CD18" s="235"/>
      <c r="CE18" s="405"/>
      <c r="CF18" s="38">
        <v>173.126</v>
      </c>
      <c r="CG18" s="42"/>
      <c r="CH18" s="234"/>
      <c r="CI18" s="233"/>
      <c r="CJ18" s="33">
        <v>1.79</v>
      </c>
      <c r="CK18" s="33"/>
      <c r="CL18" s="33"/>
      <c r="CM18" s="36"/>
      <c r="CN18" s="286"/>
      <c r="CO18" s="249">
        <f t="shared" si="12"/>
        <v>0</v>
      </c>
      <c r="CP18" s="12">
        <f t="shared" si="12"/>
        <v>137.36301999999998</v>
      </c>
      <c r="CQ18" s="12">
        <f t="shared" si="12"/>
        <v>0</v>
      </c>
      <c r="CR18" s="12">
        <f t="shared" si="12"/>
        <v>140.87299999999999</v>
      </c>
      <c r="CS18" s="11">
        <f t="shared" si="12"/>
        <v>0</v>
      </c>
      <c r="CT18" s="11">
        <f t="shared" si="12"/>
        <v>0</v>
      </c>
      <c r="CU18" s="272">
        <f t="shared" si="12"/>
        <v>0</v>
      </c>
      <c r="CV18" s="249">
        <f t="shared" si="13"/>
        <v>170.02704460000001</v>
      </c>
      <c r="CW18" s="11">
        <f t="shared" si="13"/>
        <v>0</v>
      </c>
      <c r="CX18" s="249">
        <f t="shared" si="13"/>
        <v>0</v>
      </c>
      <c r="CY18" s="272">
        <f t="shared" si="13"/>
        <v>0</v>
      </c>
      <c r="CZ18" s="13"/>
      <c r="DA18" s="240">
        <f>(D18+'[2]февраль 20'!D18)/(AY18+'[2]февраль 20'!AX18)</f>
        <v>2.0192576574254297</v>
      </c>
      <c r="DB18" s="241">
        <f>(T18+'[2]февраль 20'!R18)/(AY18+'[2]февраль 20'!AX18)</f>
        <v>1.2406939991582935</v>
      </c>
      <c r="DD18" s="292">
        <f t="shared" si="14"/>
        <v>0</v>
      </c>
      <c r="DE18" s="291">
        <v>0.25</v>
      </c>
      <c r="DF18" s="291">
        <v>13.78</v>
      </c>
      <c r="DG18" s="145">
        <f t="shared" si="15"/>
        <v>0</v>
      </c>
      <c r="DH18" s="293">
        <f t="shared" si="30"/>
        <v>0</v>
      </c>
      <c r="DJ18" s="322"/>
    </row>
    <row r="19" spans="1:114" s="76" customFormat="1" ht="16.5" customHeight="1" thickBot="1">
      <c r="A19" s="144">
        <v>13</v>
      </c>
      <c r="B19" s="122">
        <f t="shared" si="16"/>
        <v>294.00199999999995</v>
      </c>
      <c r="C19" s="123">
        <f t="shared" si="17"/>
        <v>1.0845538465724722</v>
      </c>
      <c r="D19" s="145">
        <f t="shared" si="18"/>
        <v>290.81338999999991</v>
      </c>
      <c r="E19" s="125">
        <f t="shared" si="19"/>
        <v>41.584489561295506</v>
      </c>
      <c r="F19" s="146">
        <f t="shared" si="20"/>
        <v>2.069846192170818</v>
      </c>
      <c r="G19" s="127"/>
      <c r="H19" s="126">
        <f t="shared" si="21"/>
        <v>1.0427856939501778</v>
      </c>
      <c r="I19" s="230">
        <f>'[1]июль 20'!AI18</f>
        <v>0</v>
      </c>
      <c r="J19" s="247">
        <f>'[1]февраль 20'!AA18</f>
        <v>0</v>
      </c>
      <c r="K19" s="276">
        <f>'[1]сентябрь 20'!AM18</f>
        <v>0</v>
      </c>
      <c r="L19" s="122">
        <f t="shared" si="22"/>
        <v>144.30199999999999</v>
      </c>
      <c r="M19" s="128">
        <f t="shared" si="23"/>
        <v>1.0270604982206406</v>
      </c>
      <c r="N19" s="400">
        <f>'[1]февраль 20'!W18</f>
        <v>0</v>
      </c>
      <c r="O19" s="403">
        <f>'[1]февраль 20'!AU18</f>
        <v>10.329000000000001</v>
      </c>
      <c r="P19" s="401">
        <f t="shared" si="0"/>
        <v>177.14500000000001</v>
      </c>
      <c r="Q19" s="122">
        <f>'[1]февраль 20'!S18</f>
        <v>177.14500000000001</v>
      </c>
      <c r="R19" s="123">
        <f t="shared" si="24"/>
        <v>1.7600000000000002</v>
      </c>
      <c r="S19" s="129">
        <v>49.4</v>
      </c>
      <c r="T19" s="125">
        <f t="shared" si="1"/>
        <v>174.02724799999999</v>
      </c>
      <c r="U19" s="147">
        <f t="shared" si="2"/>
        <v>1.2386280996441281</v>
      </c>
      <c r="V19" s="130">
        <v>106.24</v>
      </c>
      <c r="W19" s="130">
        <v>73.069999999999993</v>
      </c>
      <c r="X19" s="129">
        <v>1.2</v>
      </c>
      <c r="Y19" s="131">
        <v>519</v>
      </c>
      <c r="Z19" s="150">
        <v>1197</v>
      </c>
      <c r="AA19" s="148" t="s">
        <v>174</v>
      </c>
      <c r="AB19" s="149">
        <v>75.92</v>
      </c>
      <c r="AC19" s="150">
        <v>118</v>
      </c>
      <c r="AD19" s="151">
        <v>4</v>
      </c>
      <c r="AE19" s="149">
        <v>8.4499999999999993</v>
      </c>
      <c r="AF19" s="134">
        <f t="shared" si="3"/>
        <v>60.142348754448392</v>
      </c>
      <c r="AG19" s="152"/>
      <c r="AH19" s="129">
        <v>80.099999999999994</v>
      </c>
      <c r="AI19" s="134">
        <f t="shared" si="4"/>
        <v>570.10676156583634</v>
      </c>
      <c r="AJ19" s="136">
        <v>13.61</v>
      </c>
      <c r="AK19" s="154"/>
      <c r="AL19" s="155">
        <v>4.47</v>
      </c>
      <c r="AM19" s="156">
        <v>35.93</v>
      </c>
      <c r="AN19" s="126">
        <f t="shared" si="25"/>
        <v>0.19999999999999998</v>
      </c>
      <c r="AO19" s="157" t="s">
        <v>175</v>
      </c>
      <c r="AP19" s="156">
        <v>13.11</v>
      </c>
      <c r="AQ19" s="156">
        <v>6.45</v>
      </c>
      <c r="AR19" s="151"/>
      <c r="AS19" s="149">
        <v>7.77</v>
      </c>
      <c r="AT19" s="149">
        <v>179.65</v>
      </c>
      <c r="AU19" s="149">
        <v>1.25</v>
      </c>
      <c r="AV19" s="164"/>
      <c r="AW19" s="149"/>
      <c r="AX19" s="158">
        <f t="shared" si="5"/>
        <v>0</v>
      </c>
      <c r="AY19" s="125">
        <f t="shared" si="6"/>
        <v>140.5</v>
      </c>
      <c r="AZ19" s="125">
        <f t="shared" si="31"/>
        <v>139.06051014733907</v>
      </c>
      <c r="BA19" s="159">
        <f t="shared" si="7"/>
        <v>4.8212302816901396</v>
      </c>
      <c r="BB19" s="160">
        <f t="shared" si="8"/>
        <v>5.62</v>
      </c>
      <c r="BC19" s="161">
        <f t="shared" si="9"/>
        <v>0.88203689077540082</v>
      </c>
      <c r="BD19" s="160">
        <f t="shared" si="26"/>
        <v>10.441230281690139</v>
      </c>
      <c r="BE19" s="162">
        <v>0.89600000000000002</v>
      </c>
      <c r="BF19" s="25">
        <f t="shared" si="27"/>
        <v>1686.23</v>
      </c>
      <c r="BG19" s="25">
        <f t="shared" si="10"/>
        <v>124.55172413793103</v>
      </c>
      <c r="BH19" s="25">
        <f t="shared" si="28"/>
        <v>1619.172413793103</v>
      </c>
      <c r="BI19" s="26">
        <f t="shared" si="11"/>
        <v>1</v>
      </c>
      <c r="BJ19" s="37">
        <f t="shared" si="29"/>
        <v>1619.172413793103</v>
      </c>
      <c r="BK19" s="38"/>
      <c r="BL19" s="31">
        <v>149.69999999999999</v>
      </c>
      <c r="BM19" s="31"/>
      <c r="BN19" s="234">
        <v>144.30199999999999</v>
      </c>
      <c r="BO19" s="42"/>
      <c r="BP19" s="40"/>
      <c r="BQ19" s="411"/>
      <c r="BR19" s="33"/>
      <c r="BS19" s="34">
        <v>2.13</v>
      </c>
      <c r="BT19" s="35"/>
      <c r="BU19" s="28"/>
      <c r="BV19" s="287"/>
      <c r="BW19" s="287"/>
      <c r="BX19" s="36"/>
      <c r="BY19" s="33"/>
      <c r="BZ19" s="34">
        <v>37.28</v>
      </c>
      <c r="CA19" s="35"/>
      <c r="CB19" s="405">
        <v>46.05</v>
      </c>
      <c r="CC19" s="404"/>
      <c r="CD19" s="235"/>
      <c r="CE19" s="413"/>
      <c r="CF19" s="41">
        <v>177.14500000000001</v>
      </c>
      <c r="CG19" s="41"/>
      <c r="CH19" s="30"/>
      <c r="CI19" s="32"/>
      <c r="CJ19" s="33">
        <v>1.76</v>
      </c>
      <c r="CK19" s="33"/>
      <c r="CL19" s="33"/>
      <c r="CM19" s="36"/>
      <c r="CN19" s="286"/>
      <c r="CO19" s="249">
        <f t="shared" si="12"/>
        <v>0</v>
      </c>
      <c r="CP19" s="12">
        <f t="shared" si="12"/>
        <v>146.51138999999998</v>
      </c>
      <c r="CQ19" s="12">
        <f t="shared" si="12"/>
        <v>0</v>
      </c>
      <c r="CR19" s="12">
        <f t="shared" si="12"/>
        <v>144.30199999999999</v>
      </c>
      <c r="CS19" s="11">
        <f t="shared" si="12"/>
        <v>0</v>
      </c>
      <c r="CT19" s="11">
        <f t="shared" si="12"/>
        <v>0</v>
      </c>
      <c r="CU19" s="272">
        <f t="shared" si="12"/>
        <v>0</v>
      </c>
      <c r="CV19" s="249">
        <f t="shared" si="13"/>
        <v>174.02724799999999</v>
      </c>
      <c r="CW19" s="251">
        <f t="shared" si="13"/>
        <v>0</v>
      </c>
      <c r="CX19" s="249">
        <f t="shared" si="13"/>
        <v>0</v>
      </c>
      <c r="CY19" s="272">
        <f t="shared" si="13"/>
        <v>0</v>
      </c>
      <c r="CZ19" s="13"/>
      <c r="DA19" s="240">
        <f>(D19+'[2]февраль 20'!D19)/(AY19+'[2]февраль 20'!AX19)</f>
        <v>2.1008180107874859</v>
      </c>
      <c r="DB19" s="241">
        <f>(T19+'[2]февраль 20'!R19)/(AY19+'[2]февраль 20'!AX19)</f>
        <v>1.275531952535059</v>
      </c>
      <c r="DD19" s="292">
        <f t="shared" si="14"/>
        <v>0</v>
      </c>
      <c r="DE19" s="291">
        <v>0.08</v>
      </c>
      <c r="DF19" s="291">
        <v>14.17</v>
      </c>
      <c r="DG19" s="145">
        <f t="shared" si="15"/>
        <v>0</v>
      </c>
      <c r="DH19" s="293">
        <f t="shared" si="30"/>
        <v>0</v>
      </c>
      <c r="DJ19" s="322"/>
    </row>
    <row r="20" spans="1:114" s="76" customFormat="1" ht="16.5" customHeight="1" thickBot="1">
      <c r="A20" s="144">
        <v>14</v>
      </c>
      <c r="B20" s="122">
        <f t="shared" si="16"/>
        <v>286.74400000000003</v>
      </c>
      <c r="C20" s="123">
        <f t="shared" si="17"/>
        <v>1.1074338085539714</v>
      </c>
      <c r="D20" s="145">
        <f t="shared" si="18"/>
        <v>283.56849999999997</v>
      </c>
      <c r="E20" s="125">
        <f t="shared" si="19"/>
        <v>41.900378316547155</v>
      </c>
      <c r="F20" s="146">
        <f t="shared" si="20"/>
        <v>2.0627664217647483</v>
      </c>
      <c r="G20" s="127"/>
      <c r="H20" s="126">
        <f t="shared" si="21"/>
        <v>1.0316760020368081</v>
      </c>
      <c r="I20" s="230">
        <f>'[1]июль 20'!AI19</f>
        <v>0</v>
      </c>
      <c r="J20" s="247">
        <f>'[1]февраль 20'!AA19</f>
        <v>0</v>
      </c>
      <c r="K20" s="276">
        <f>'[1]сентябрь 20'!AM19</f>
        <v>0</v>
      </c>
      <c r="L20" s="122">
        <f t="shared" si="22"/>
        <v>141.744</v>
      </c>
      <c r="M20" s="128">
        <f t="shared" si="23"/>
        <v>1.0310904197279407</v>
      </c>
      <c r="N20" s="400">
        <f>'[1]февраль 20'!W19</f>
        <v>0</v>
      </c>
      <c r="O20" s="403">
        <f>'[1]февраль 20'!AU19</f>
        <v>11.641</v>
      </c>
      <c r="P20" s="401">
        <f t="shared" si="0"/>
        <v>171.97200000000001</v>
      </c>
      <c r="Q20" s="122">
        <f>'[1]февраль 20'!S19</f>
        <v>171.97200000000001</v>
      </c>
      <c r="R20" s="123">
        <f t="shared" si="24"/>
        <v>2.06</v>
      </c>
      <c r="S20" s="129">
        <v>35.47</v>
      </c>
      <c r="T20" s="125">
        <f t="shared" si="1"/>
        <v>168.4293768</v>
      </c>
      <c r="U20" s="147">
        <f t="shared" si="2"/>
        <v>1.2252082403433477</v>
      </c>
      <c r="V20" s="130">
        <v>137.47</v>
      </c>
      <c r="W20" s="130">
        <v>35.18</v>
      </c>
      <c r="X20" s="129">
        <v>1.45</v>
      </c>
      <c r="Y20" s="131">
        <v>517</v>
      </c>
      <c r="Z20" s="150">
        <v>1196</v>
      </c>
      <c r="AA20" s="168" t="s">
        <v>128</v>
      </c>
      <c r="AB20" s="149">
        <v>76.33</v>
      </c>
      <c r="AC20" s="150">
        <v>115</v>
      </c>
      <c r="AD20" s="151">
        <v>4</v>
      </c>
      <c r="AE20" s="149">
        <v>7.35</v>
      </c>
      <c r="AF20" s="134">
        <f t="shared" si="3"/>
        <v>53.466210809631185</v>
      </c>
      <c r="AG20" s="152"/>
      <c r="AH20" s="129">
        <v>87.7</v>
      </c>
      <c r="AI20" s="134">
        <f t="shared" si="4"/>
        <v>637.95737251764024</v>
      </c>
      <c r="AJ20" s="153">
        <v>14.31</v>
      </c>
      <c r="AK20" s="154"/>
      <c r="AL20" s="155">
        <v>6.19</v>
      </c>
      <c r="AM20" s="156">
        <v>35.659999999999997</v>
      </c>
      <c r="AN20" s="126">
        <f t="shared" si="25"/>
        <v>0.19988789237668159</v>
      </c>
      <c r="AO20" s="157" t="s">
        <v>176</v>
      </c>
      <c r="AP20" s="156">
        <v>11.42</v>
      </c>
      <c r="AQ20" s="156">
        <v>6.57</v>
      </c>
      <c r="AR20" s="149"/>
      <c r="AS20" s="149">
        <v>8.58</v>
      </c>
      <c r="AT20" s="149">
        <v>178.4</v>
      </c>
      <c r="AU20" s="149">
        <v>0.92</v>
      </c>
      <c r="AV20" s="149"/>
      <c r="AW20" s="149"/>
      <c r="AX20" s="158">
        <f t="shared" si="5"/>
        <v>0</v>
      </c>
      <c r="AY20" s="125">
        <f t="shared" si="6"/>
        <v>137.47</v>
      </c>
      <c r="AZ20" s="125">
        <f t="shared" si="31"/>
        <v>135.8923194709356</v>
      </c>
      <c r="BA20" s="159">
        <f t="shared" si="7"/>
        <v>5.828961971830986</v>
      </c>
      <c r="BB20" s="160">
        <f t="shared" si="8"/>
        <v>5.4988000000000001</v>
      </c>
      <c r="BC20" s="161">
        <f t="shared" si="9"/>
        <v>0.88313534177086306</v>
      </c>
      <c r="BD20" s="160">
        <f t="shared" si="26"/>
        <v>11.327761971830986</v>
      </c>
      <c r="BE20" s="162">
        <v>0.89500000000000002</v>
      </c>
      <c r="BF20" s="25">
        <f t="shared" si="27"/>
        <v>1823.7</v>
      </c>
      <c r="BG20" s="25">
        <f t="shared" si="10"/>
        <v>124.55172413793103</v>
      </c>
      <c r="BH20" s="25">
        <f t="shared" si="28"/>
        <v>1743.724137931034</v>
      </c>
      <c r="BI20" s="26">
        <f t="shared" si="11"/>
        <v>1</v>
      </c>
      <c r="BJ20" s="37">
        <f t="shared" si="29"/>
        <v>1743.724137931034</v>
      </c>
      <c r="BK20" s="38"/>
      <c r="BL20" s="31">
        <v>145</v>
      </c>
      <c r="BM20" s="31"/>
      <c r="BN20" s="234">
        <v>141.744</v>
      </c>
      <c r="BO20" s="42"/>
      <c r="BP20" s="40"/>
      <c r="BQ20" s="411"/>
      <c r="BR20" s="33"/>
      <c r="BS20" s="34">
        <v>2.19</v>
      </c>
      <c r="BT20" s="35"/>
      <c r="BU20" s="28"/>
      <c r="BV20" s="287"/>
      <c r="BW20" s="287"/>
      <c r="BX20" s="36"/>
      <c r="BY20" s="33"/>
      <c r="BZ20" s="34">
        <v>37.58</v>
      </c>
      <c r="CA20" s="35"/>
      <c r="CB20" s="405">
        <v>46.32</v>
      </c>
      <c r="CC20" s="404"/>
      <c r="CD20" s="235"/>
      <c r="CE20" s="413"/>
      <c r="CF20" s="30">
        <v>139.13200000000001</v>
      </c>
      <c r="CG20" s="30"/>
      <c r="CH20" s="31">
        <v>32.840000000000003</v>
      </c>
      <c r="CI20" s="32"/>
      <c r="CJ20" s="33">
        <v>2.06</v>
      </c>
      <c r="CK20" s="33"/>
      <c r="CL20" s="35">
        <v>2.06</v>
      </c>
      <c r="CM20" s="36"/>
      <c r="CN20" s="286"/>
      <c r="CO20" s="249">
        <f t="shared" si="12"/>
        <v>0</v>
      </c>
      <c r="CP20" s="12">
        <f t="shared" si="12"/>
        <v>141.8245</v>
      </c>
      <c r="CQ20" s="12">
        <f t="shared" si="12"/>
        <v>0</v>
      </c>
      <c r="CR20" s="12">
        <f t="shared" si="12"/>
        <v>141.744</v>
      </c>
      <c r="CS20" s="11">
        <f t="shared" si="12"/>
        <v>0</v>
      </c>
      <c r="CT20" s="11">
        <f t="shared" si="12"/>
        <v>0</v>
      </c>
      <c r="CU20" s="272">
        <f t="shared" si="12"/>
        <v>0</v>
      </c>
      <c r="CV20" s="249">
        <f t="shared" si="13"/>
        <v>136.26588079999999</v>
      </c>
      <c r="CW20" s="12">
        <f t="shared" si="13"/>
        <v>0</v>
      </c>
      <c r="CX20" s="249">
        <f t="shared" si="13"/>
        <v>32.163496000000002</v>
      </c>
      <c r="CY20" s="272">
        <f t="shared" si="13"/>
        <v>0</v>
      </c>
      <c r="CZ20" s="13"/>
      <c r="DA20" s="240">
        <f>(D20+'[2]февраль 20'!D20)/(AY20+'[2]февраль 20'!AX20)</f>
        <v>2.0076092675176387</v>
      </c>
      <c r="DB20" s="241">
        <f>(T20+'[2]февраль 20'!R20)/(AY20+'[2]февраль 20'!AX20)</f>
        <v>1.2109370840738944</v>
      </c>
      <c r="DD20" s="292">
        <f t="shared" si="14"/>
        <v>0</v>
      </c>
      <c r="DE20" s="291">
        <v>0.09</v>
      </c>
      <c r="DF20" s="291">
        <v>12.41</v>
      </c>
      <c r="DG20" s="145">
        <f t="shared" si="15"/>
        <v>0</v>
      </c>
      <c r="DH20" s="293">
        <f t="shared" si="30"/>
        <v>0</v>
      </c>
      <c r="DJ20" s="322"/>
    </row>
    <row r="21" spans="1:114" s="76" customFormat="1" ht="16.5" customHeight="1" thickBot="1">
      <c r="A21" s="144">
        <v>15</v>
      </c>
      <c r="B21" s="122">
        <f t="shared" si="16"/>
        <v>286.42399999999998</v>
      </c>
      <c r="C21" s="123">
        <f t="shared" si="17"/>
        <v>1.3475337262240596</v>
      </c>
      <c r="D21" s="145">
        <f t="shared" si="18"/>
        <v>282.56433999999996</v>
      </c>
      <c r="E21" s="125">
        <f t="shared" si="19"/>
        <v>41.78009175208782</v>
      </c>
      <c r="F21" s="146">
        <f t="shared" si="20"/>
        <v>2.0650759336402831</v>
      </c>
      <c r="G21" s="127"/>
      <c r="H21" s="126">
        <f t="shared" si="21"/>
        <v>1.0322322590075275</v>
      </c>
      <c r="I21" s="230">
        <f>'[1]июль 20'!AI20</f>
        <v>0</v>
      </c>
      <c r="J21" s="247">
        <f>'[1]февраль 20'!AA20</f>
        <v>0</v>
      </c>
      <c r="K21" s="276">
        <f>'[1]сентябрь 20'!AM20</f>
        <v>0</v>
      </c>
      <c r="L21" s="122">
        <f t="shared" si="22"/>
        <v>141.32400000000001</v>
      </c>
      <c r="M21" s="128">
        <f t="shared" si="23"/>
        <v>1.0328436746327561</v>
      </c>
      <c r="N21" s="400">
        <f>'[1]февраль 20'!W20</f>
        <v>0</v>
      </c>
      <c r="O21" s="403">
        <f>'[1]февраль 20'!AU20</f>
        <v>11.596</v>
      </c>
      <c r="P21" s="401">
        <f t="shared" si="0"/>
        <v>171.13800000000001</v>
      </c>
      <c r="Q21" s="122">
        <f>'[1]февраль 20'!S20</f>
        <v>171.13800000000001</v>
      </c>
      <c r="R21" s="123">
        <f t="shared" si="24"/>
        <v>3.1100000000000003</v>
      </c>
      <c r="S21" s="129">
        <v>18.04</v>
      </c>
      <c r="T21" s="125">
        <f t="shared" si="1"/>
        <v>165.81560820000001</v>
      </c>
      <c r="U21" s="147">
        <f t="shared" si="2"/>
        <v>1.211836645472484</v>
      </c>
      <c r="V21" s="130">
        <v>103.16</v>
      </c>
      <c r="W21" s="130">
        <v>102.47</v>
      </c>
      <c r="X21" s="129">
        <v>0.78</v>
      </c>
      <c r="Y21" s="131">
        <v>500</v>
      </c>
      <c r="Z21" s="150">
        <v>1198</v>
      </c>
      <c r="AA21" s="168" t="s">
        <v>122</v>
      </c>
      <c r="AB21" s="149">
        <v>75.25</v>
      </c>
      <c r="AC21" s="150">
        <v>115</v>
      </c>
      <c r="AD21" s="151">
        <v>4</v>
      </c>
      <c r="AE21" s="149">
        <v>9.5</v>
      </c>
      <c r="AF21" s="134">
        <f t="shared" si="3"/>
        <v>69.429218738580715</v>
      </c>
      <c r="AG21" s="152"/>
      <c r="AH21" s="129">
        <v>94.35</v>
      </c>
      <c r="AI21" s="134">
        <f t="shared" si="4"/>
        <v>689.54176715632536</v>
      </c>
      <c r="AJ21" s="136">
        <v>13.42</v>
      </c>
      <c r="AK21" s="154"/>
      <c r="AL21" s="155">
        <v>5.46</v>
      </c>
      <c r="AM21" s="156">
        <v>37.78</v>
      </c>
      <c r="AN21" s="126">
        <f t="shared" si="25"/>
        <v>0.21129753914988814</v>
      </c>
      <c r="AO21" s="157" t="s">
        <v>157</v>
      </c>
      <c r="AP21" s="156">
        <v>9.84</v>
      </c>
      <c r="AQ21" s="156">
        <v>6.61</v>
      </c>
      <c r="AR21" s="149"/>
      <c r="AS21" s="149">
        <v>14</v>
      </c>
      <c r="AT21" s="149">
        <v>178.8</v>
      </c>
      <c r="AU21" s="149">
        <v>1.27</v>
      </c>
      <c r="AV21" s="149"/>
      <c r="AW21" s="149"/>
      <c r="AX21" s="158">
        <f t="shared" si="5"/>
        <v>0</v>
      </c>
      <c r="AY21" s="125">
        <f t="shared" si="6"/>
        <v>136.83000000000001</v>
      </c>
      <c r="AZ21" s="125">
        <f t="shared" si="31"/>
        <v>136.96023144960111</v>
      </c>
      <c r="BA21" s="159">
        <f t="shared" si="7"/>
        <v>10.232323943661969</v>
      </c>
      <c r="BB21" s="160">
        <f t="shared" si="8"/>
        <v>5.4732000000000003</v>
      </c>
      <c r="BC21" s="161">
        <f t="shared" si="9"/>
        <v>0.87216989001625922</v>
      </c>
      <c r="BD21" s="160">
        <f t="shared" si="26"/>
        <v>15.705523943661969</v>
      </c>
      <c r="BE21" s="162">
        <v>0.89400000000000002</v>
      </c>
      <c r="BF21" s="25">
        <f t="shared" si="27"/>
        <v>1960.53</v>
      </c>
      <c r="BG21" s="25">
        <f t="shared" si="10"/>
        <v>124.55172413793103</v>
      </c>
      <c r="BH21" s="25">
        <f t="shared" si="28"/>
        <v>1868.2758620689649</v>
      </c>
      <c r="BI21" s="26">
        <f t="shared" si="11"/>
        <v>1</v>
      </c>
      <c r="BJ21" s="37">
        <f t="shared" si="29"/>
        <v>1868.2758620689649</v>
      </c>
      <c r="BK21" s="38"/>
      <c r="BL21" s="31">
        <v>145.1</v>
      </c>
      <c r="BM21" s="31"/>
      <c r="BN21" s="234">
        <v>141.32400000000001</v>
      </c>
      <c r="BO21" s="42"/>
      <c r="BP21" s="40"/>
      <c r="BQ21" s="411"/>
      <c r="BR21" s="33"/>
      <c r="BS21" s="34">
        <v>2.66</v>
      </c>
      <c r="BT21" s="35"/>
      <c r="BU21" s="35"/>
      <c r="BV21" s="235"/>
      <c r="BW21" s="235"/>
      <c r="BX21" s="36"/>
      <c r="BY21" s="33"/>
      <c r="BZ21" s="34">
        <v>37.67</v>
      </c>
      <c r="CA21" s="35"/>
      <c r="CB21" s="405">
        <v>46</v>
      </c>
      <c r="CC21" s="404"/>
      <c r="CD21" s="235"/>
      <c r="CE21" s="413"/>
      <c r="CF21" s="30"/>
      <c r="CG21" s="30"/>
      <c r="CH21" s="31">
        <v>171.13800000000001</v>
      </c>
      <c r="CI21" s="32"/>
      <c r="CJ21" s="33"/>
      <c r="CK21" s="33"/>
      <c r="CL21" s="35">
        <v>3.11</v>
      </c>
      <c r="CM21" s="36"/>
      <c r="CN21" s="286"/>
      <c r="CO21" s="249">
        <f t="shared" si="12"/>
        <v>0</v>
      </c>
      <c r="CP21" s="12">
        <f t="shared" si="12"/>
        <v>141.24034</v>
      </c>
      <c r="CQ21" s="12">
        <f t="shared" si="12"/>
        <v>0</v>
      </c>
      <c r="CR21" s="12">
        <f t="shared" si="12"/>
        <v>141.32400000000001</v>
      </c>
      <c r="CS21" s="11">
        <f t="shared" si="12"/>
        <v>0</v>
      </c>
      <c r="CT21" s="11">
        <f t="shared" si="12"/>
        <v>0</v>
      </c>
      <c r="CU21" s="272">
        <f t="shared" si="12"/>
        <v>0</v>
      </c>
      <c r="CV21" s="249">
        <f t="shared" si="13"/>
        <v>0</v>
      </c>
      <c r="CW21" s="12">
        <f t="shared" si="13"/>
        <v>0</v>
      </c>
      <c r="CX21" s="249">
        <f t="shared" si="13"/>
        <v>165.81560820000001</v>
      </c>
      <c r="CY21" s="272">
        <f t="shared" si="13"/>
        <v>0</v>
      </c>
      <c r="CZ21" s="13"/>
      <c r="DA21" s="240">
        <f>(D21+'[2]февраль 20'!D21)/(AY21+'[2]февраль 20'!AX21)</f>
        <v>2.1908794195927528</v>
      </c>
      <c r="DB21" s="241">
        <f>(T21+'[2]февраль 20'!R21)/(AY21+'[2]февраль 20'!AX21)</f>
        <v>1.3323863187429854</v>
      </c>
      <c r="DD21" s="292">
        <f t="shared" si="14"/>
        <v>0</v>
      </c>
      <c r="DE21" s="291">
        <v>0.15</v>
      </c>
      <c r="DF21" s="291">
        <v>8.98</v>
      </c>
      <c r="DG21" s="145">
        <f t="shared" si="15"/>
        <v>0</v>
      </c>
      <c r="DH21" s="293">
        <f t="shared" si="30"/>
        <v>0</v>
      </c>
      <c r="DJ21" s="322"/>
    </row>
    <row r="22" spans="1:114" s="76" customFormat="1" ht="16.5" customHeight="1" thickBot="1">
      <c r="A22" s="144">
        <v>16</v>
      </c>
      <c r="B22" s="122">
        <f t="shared" si="16"/>
        <v>301.86699999999996</v>
      </c>
      <c r="C22" s="123">
        <f t="shared" si="17"/>
        <v>1.3181864861014954</v>
      </c>
      <c r="D22" s="145">
        <f t="shared" si="18"/>
        <v>297.88782999999995</v>
      </c>
      <c r="E22" s="125">
        <f t="shared" si="19"/>
        <v>41.365388763925836</v>
      </c>
      <c r="F22" s="146">
        <f t="shared" si="20"/>
        <v>2.1937390824066569</v>
      </c>
      <c r="G22" s="127"/>
      <c r="H22" s="126">
        <f t="shared" si="21"/>
        <v>1.157086898887989</v>
      </c>
      <c r="I22" s="230">
        <f>'[1]июль 20'!AI21</f>
        <v>0</v>
      </c>
      <c r="J22" s="247">
        <f>'[1]февраль 20'!AA21</f>
        <v>0</v>
      </c>
      <c r="K22" s="276">
        <f>'[1]сентябрь 20'!AM21</f>
        <v>0</v>
      </c>
      <c r="L22" s="122">
        <f t="shared" si="22"/>
        <v>140.767</v>
      </c>
      <c r="M22" s="128">
        <f t="shared" si="23"/>
        <v>1.0366521835186686</v>
      </c>
      <c r="N22" s="400">
        <f>'[1]февраль 20'!W21</f>
        <v>0</v>
      </c>
      <c r="O22" s="403">
        <f>'[1]февраль 20'!AU21</f>
        <v>11.722</v>
      </c>
      <c r="P22" s="401">
        <f t="shared" si="0"/>
        <v>189.821</v>
      </c>
      <c r="Q22" s="122">
        <f>'[1]февраль 20'!S21</f>
        <v>189.821</v>
      </c>
      <c r="R22" s="123">
        <f t="shared" si="24"/>
        <v>3.1800000000000006</v>
      </c>
      <c r="S22" s="129">
        <v>12.72</v>
      </c>
      <c r="T22" s="125">
        <f t="shared" si="1"/>
        <v>183.78469219999999</v>
      </c>
      <c r="U22" s="147">
        <f t="shared" si="2"/>
        <v>1.3534479136902571</v>
      </c>
      <c r="V22" s="130">
        <v>62.75</v>
      </c>
      <c r="W22" s="130">
        <v>135.79</v>
      </c>
      <c r="X22" s="129">
        <v>0.12</v>
      </c>
      <c r="Y22" s="131">
        <v>463</v>
      </c>
      <c r="Z22" s="150">
        <v>1192</v>
      </c>
      <c r="AA22" s="148" t="s">
        <v>159</v>
      </c>
      <c r="AB22" s="149">
        <v>75.260000000000005</v>
      </c>
      <c r="AC22" s="150">
        <v>122</v>
      </c>
      <c r="AD22" s="151">
        <v>4</v>
      </c>
      <c r="AE22" s="149">
        <v>9.0500000000000007</v>
      </c>
      <c r="AF22" s="134">
        <f t="shared" si="3"/>
        <v>66.647028499889544</v>
      </c>
      <c r="AG22" s="152"/>
      <c r="AH22" s="129">
        <v>110.8</v>
      </c>
      <c r="AI22" s="134">
        <f t="shared" si="4"/>
        <v>815.96582958980775</v>
      </c>
      <c r="AJ22" s="153">
        <v>12.62</v>
      </c>
      <c r="AK22" s="154"/>
      <c r="AL22" s="155">
        <v>6.67</v>
      </c>
      <c r="AM22" s="156">
        <v>38.56</v>
      </c>
      <c r="AN22" s="126">
        <f t="shared" si="25"/>
        <v>0.21457985531441293</v>
      </c>
      <c r="AO22" s="157" t="s">
        <v>177</v>
      </c>
      <c r="AP22" s="156">
        <v>8.51</v>
      </c>
      <c r="AQ22" s="156">
        <v>5.59</v>
      </c>
      <c r="AR22" s="151"/>
      <c r="AS22" s="149">
        <v>17.14</v>
      </c>
      <c r="AT22" s="149">
        <v>179.7</v>
      </c>
      <c r="AU22" s="149">
        <v>1.32</v>
      </c>
      <c r="AV22" s="149"/>
      <c r="AW22" s="149"/>
      <c r="AX22" s="158">
        <f t="shared" si="5"/>
        <v>0</v>
      </c>
      <c r="AY22" s="125">
        <f t="shared" si="6"/>
        <v>135.79</v>
      </c>
      <c r="AZ22" s="125">
        <f t="shared" si="31"/>
        <v>142.93543272922179</v>
      </c>
      <c r="BA22" s="159">
        <f t="shared" si="7"/>
        <v>14.711430985915493</v>
      </c>
      <c r="BB22" s="160">
        <f t="shared" si="8"/>
        <v>5.4315999999999995</v>
      </c>
      <c r="BC22" s="161">
        <f t="shared" si="9"/>
        <v>0.82935817758058705</v>
      </c>
      <c r="BD22" s="160">
        <f t="shared" si="26"/>
        <v>20.143030985915495</v>
      </c>
      <c r="BE22" s="162">
        <v>0.88900000000000001</v>
      </c>
      <c r="BF22" s="25">
        <f t="shared" si="27"/>
        <v>2096.3200000000002</v>
      </c>
      <c r="BG22" s="25">
        <f t="shared" si="10"/>
        <v>124.55172413793103</v>
      </c>
      <c r="BH22" s="25">
        <f t="shared" si="28"/>
        <v>1992.8275862068958</v>
      </c>
      <c r="BI22" s="26">
        <f t="shared" si="11"/>
        <v>1</v>
      </c>
      <c r="BJ22" s="37">
        <f t="shared" si="29"/>
        <v>1992.8275862068958</v>
      </c>
      <c r="BK22" s="38"/>
      <c r="BL22" s="31">
        <v>161.1</v>
      </c>
      <c r="BM22" s="31"/>
      <c r="BN22" s="234">
        <v>140.767</v>
      </c>
      <c r="BO22" s="42"/>
      <c r="BP22" s="40"/>
      <c r="BQ22" s="411"/>
      <c r="BR22" s="33"/>
      <c r="BS22" s="34">
        <v>2.4700000000000002</v>
      </c>
      <c r="BT22" s="35"/>
      <c r="BU22" s="35"/>
      <c r="BV22" s="235"/>
      <c r="BW22" s="235"/>
      <c r="BX22" s="36"/>
      <c r="BY22" s="33"/>
      <c r="BZ22" s="34">
        <v>36.94</v>
      </c>
      <c r="CA22" s="35"/>
      <c r="CB22" s="405">
        <v>46.43</v>
      </c>
      <c r="CC22" s="404"/>
      <c r="CD22" s="235"/>
      <c r="CE22" s="413"/>
      <c r="CF22" s="30"/>
      <c r="CG22" s="30"/>
      <c r="CH22" s="31">
        <v>189.821</v>
      </c>
      <c r="CI22" s="32"/>
      <c r="CJ22" s="33"/>
      <c r="CK22" s="33"/>
      <c r="CL22" s="35">
        <v>3.18</v>
      </c>
      <c r="CM22" s="36"/>
      <c r="CN22" s="286"/>
      <c r="CO22" s="249">
        <f t="shared" si="12"/>
        <v>0</v>
      </c>
      <c r="CP22" s="12">
        <f t="shared" si="12"/>
        <v>157.12083000000001</v>
      </c>
      <c r="CQ22" s="12">
        <f t="shared" si="12"/>
        <v>0</v>
      </c>
      <c r="CR22" s="12">
        <f t="shared" si="12"/>
        <v>140.767</v>
      </c>
      <c r="CS22" s="11">
        <f t="shared" si="12"/>
        <v>0</v>
      </c>
      <c r="CT22" s="11">
        <f t="shared" si="12"/>
        <v>0</v>
      </c>
      <c r="CU22" s="272">
        <f t="shared" si="12"/>
        <v>0</v>
      </c>
      <c r="CV22" s="249">
        <f t="shared" si="13"/>
        <v>0</v>
      </c>
      <c r="CW22" s="12">
        <f t="shared" si="13"/>
        <v>0</v>
      </c>
      <c r="CX22" s="249">
        <f t="shared" si="13"/>
        <v>183.78469219999999</v>
      </c>
      <c r="CY22" s="272">
        <f t="shared" si="13"/>
        <v>0</v>
      </c>
      <c r="CZ22" s="13"/>
      <c r="DA22" s="240">
        <f>(D22+'[2]февраль 20'!D22)/(AY22+'[2]февраль 20'!AX22)</f>
        <v>2.4574866136548992</v>
      </c>
      <c r="DB22" s="241">
        <f>(T22+'[2]февраль 20'!R22)/(AY22+'[2]февраль 20'!AX22)</f>
        <v>1.5423648264010252</v>
      </c>
      <c r="DD22" s="292">
        <f t="shared" si="14"/>
        <v>0</v>
      </c>
      <c r="DE22" s="291">
        <v>0.21</v>
      </c>
      <c r="DF22" s="291">
        <v>17.14</v>
      </c>
      <c r="DG22" s="145">
        <f t="shared" si="15"/>
        <v>0</v>
      </c>
      <c r="DH22" s="293">
        <f t="shared" si="30"/>
        <v>0</v>
      </c>
      <c r="DJ22" s="322"/>
    </row>
    <row r="23" spans="1:114" s="76" customFormat="1" ht="16.5" customHeight="1" thickBot="1">
      <c r="A23" s="144">
        <v>17</v>
      </c>
      <c r="B23" s="122">
        <f t="shared" si="16"/>
        <v>324.12900000000002</v>
      </c>
      <c r="C23" s="123">
        <f t="shared" si="17"/>
        <v>1.1133715280027396</v>
      </c>
      <c r="D23" s="145">
        <f t="shared" si="18"/>
        <v>320.52024</v>
      </c>
      <c r="E23" s="125">
        <f t="shared" si="19"/>
        <v>41.0834202740267</v>
      </c>
      <c r="F23" s="146">
        <f t="shared" si="20"/>
        <v>2.493350758459743</v>
      </c>
      <c r="G23" s="127"/>
      <c r="H23" s="126">
        <f t="shared" si="21"/>
        <v>1.3480454297938542</v>
      </c>
      <c r="I23" s="230">
        <f>'[1]июль 20'!AI22</f>
        <v>0</v>
      </c>
      <c r="J23" s="247">
        <f>'[1]февраль 20'!AA22</f>
        <v>0</v>
      </c>
      <c r="K23" s="276">
        <f>'[1]сентябрь 20'!AM22</f>
        <v>0</v>
      </c>
      <c r="L23" s="122">
        <f t="shared" si="22"/>
        <v>147.22900000000001</v>
      </c>
      <c r="M23" s="128">
        <f t="shared" si="23"/>
        <v>1.1453053286658887</v>
      </c>
      <c r="N23" s="400">
        <f>'[1]февраль 20'!W22</f>
        <v>0</v>
      </c>
      <c r="O23" s="403">
        <f>'[1]февраль 20'!AU22</f>
        <v>11.534000000000001</v>
      </c>
      <c r="P23" s="401">
        <f t="shared" si="0"/>
        <v>206.875</v>
      </c>
      <c r="Q23" s="122">
        <f>'[1]февраль 20'!S22</f>
        <v>206.875</v>
      </c>
      <c r="R23" s="123">
        <f t="shared" si="24"/>
        <v>3.59</v>
      </c>
      <c r="S23" s="129">
        <v>32.159999999999997</v>
      </c>
      <c r="T23" s="125">
        <f t="shared" si="1"/>
        <v>199.44818749999999</v>
      </c>
      <c r="U23" s="147">
        <f t="shared" si="2"/>
        <v>1.5515222676001554</v>
      </c>
      <c r="V23" s="130">
        <v>96.58</v>
      </c>
      <c r="W23" s="130">
        <v>128.55000000000001</v>
      </c>
      <c r="X23" s="129">
        <v>0.15</v>
      </c>
      <c r="Y23" s="131">
        <v>490</v>
      </c>
      <c r="Z23" s="150">
        <v>1204</v>
      </c>
      <c r="AA23" s="148" t="s">
        <v>178</v>
      </c>
      <c r="AB23" s="149">
        <v>75.680000000000007</v>
      </c>
      <c r="AC23" s="150">
        <v>131</v>
      </c>
      <c r="AD23" s="151">
        <v>4</v>
      </c>
      <c r="AE23" s="149">
        <v>10.75</v>
      </c>
      <c r="AF23" s="134">
        <f t="shared" si="3"/>
        <v>83.625048619214311</v>
      </c>
      <c r="AG23" s="152"/>
      <c r="AH23" s="129">
        <v>102.2</v>
      </c>
      <c r="AI23" s="134">
        <f t="shared" si="4"/>
        <v>795.02139245429794</v>
      </c>
      <c r="AJ23" s="136">
        <v>12.1</v>
      </c>
      <c r="AK23" s="154"/>
      <c r="AL23" s="155">
        <v>6.71</v>
      </c>
      <c r="AM23" s="156">
        <v>37.880000000000003</v>
      </c>
      <c r="AN23" s="126">
        <f t="shared" si="25"/>
        <v>0.22081025939959195</v>
      </c>
      <c r="AO23" s="157" t="s">
        <v>179</v>
      </c>
      <c r="AP23" s="156">
        <v>9.6199999999999992</v>
      </c>
      <c r="AQ23" s="156">
        <v>5.86</v>
      </c>
      <c r="AR23" s="151"/>
      <c r="AS23" s="149">
        <v>12.22</v>
      </c>
      <c r="AT23" s="149">
        <v>171.55</v>
      </c>
      <c r="AU23" s="149">
        <v>1.59</v>
      </c>
      <c r="AV23" s="149"/>
      <c r="AW23" s="149"/>
      <c r="AX23" s="158">
        <f t="shared" si="5"/>
        <v>0</v>
      </c>
      <c r="AY23" s="125">
        <f t="shared" si="6"/>
        <v>128.55000000000001</v>
      </c>
      <c r="AZ23" s="125">
        <f t="shared" si="31"/>
        <v>151.8990899183128</v>
      </c>
      <c r="BA23" s="159">
        <f t="shared" si="7"/>
        <v>9.6744535211267593</v>
      </c>
      <c r="BB23" s="160">
        <f t="shared" si="8"/>
        <v>5.1420000000000003</v>
      </c>
      <c r="BC23" s="161">
        <f>IF((D23*E23)=0,0,(AY23*AB23)/(D23*E23))</f>
        <v>0.73880725724131158</v>
      </c>
      <c r="BD23" s="160">
        <f t="shared" si="26"/>
        <v>14.816453521126761</v>
      </c>
      <c r="BE23" s="162">
        <v>0.879</v>
      </c>
      <c r="BF23" s="25">
        <f t="shared" si="27"/>
        <v>2224.8700000000003</v>
      </c>
      <c r="BG23" s="25">
        <f t="shared" si="10"/>
        <v>124.55172413793103</v>
      </c>
      <c r="BH23" s="25">
        <f t="shared" si="28"/>
        <v>2117.379310344827</v>
      </c>
      <c r="BI23" s="26">
        <f t="shared" si="11"/>
        <v>1</v>
      </c>
      <c r="BJ23" s="37">
        <f t="shared" si="29"/>
        <v>2117.379310344827</v>
      </c>
      <c r="BK23" s="38"/>
      <c r="BL23" s="31">
        <v>176.9</v>
      </c>
      <c r="BM23" s="31"/>
      <c r="BN23" s="234">
        <v>147.22900000000001</v>
      </c>
      <c r="BO23" s="42"/>
      <c r="BP23" s="40"/>
      <c r="BQ23" s="411"/>
      <c r="BR23" s="33"/>
      <c r="BS23" s="34">
        <v>2.04</v>
      </c>
      <c r="BT23" s="35"/>
      <c r="BU23" s="35"/>
      <c r="BV23" s="235"/>
      <c r="BW23" s="235"/>
      <c r="BX23" s="36"/>
      <c r="BY23" s="33"/>
      <c r="BZ23" s="34">
        <v>36.85</v>
      </c>
      <c r="CA23" s="35"/>
      <c r="CB23" s="405">
        <v>46.17</v>
      </c>
      <c r="CC23" s="404"/>
      <c r="CD23" s="235"/>
      <c r="CE23" s="413"/>
      <c r="CF23" s="30"/>
      <c r="CG23" s="30"/>
      <c r="CH23" s="31">
        <v>206.875</v>
      </c>
      <c r="CI23" s="32"/>
      <c r="CJ23" s="33"/>
      <c r="CK23" s="33"/>
      <c r="CL23" s="35">
        <v>3.59</v>
      </c>
      <c r="CM23" s="36"/>
      <c r="CN23" s="286"/>
      <c r="CO23" s="249">
        <f t="shared" ref="CO23:CU37" si="32">BK23*((100-BR23)/100)</f>
        <v>0</v>
      </c>
      <c r="CP23" s="12">
        <f t="shared" si="32"/>
        <v>173.29123999999999</v>
      </c>
      <c r="CQ23" s="12">
        <f t="shared" si="32"/>
        <v>0</v>
      </c>
      <c r="CR23" s="12">
        <f t="shared" si="32"/>
        <v>147.22900000000001</v>
      </c>
      <c r="CS23" s="11">
        <f t="shared" si="32"/>
        <v>0</v>
      </c>
      <c r="CT23" s="11">
        <f t="shared" si="32"/>
        <v>0</v>
      </c>
      <c r="CU23" s="272">
        <f t="shared" si="32"/>
        <v>0</v>
      </c>
      <c r="CV23" s="249">
        <f t="shared" si="13"/>
        <v>0</v>
      </c>
      <c r="CW23" s="11">
        <f t="shared" si="13"/>
        <v>0</v>
      </c>
      <c r="CX23" s="249">
        <f t="shared" si="13"/>
        <v>199.44818749999999</v>
      </c>
      <c r="CY23" s="272">
        <f t="shared" si="13"/>
        <v>0</v>
      </c>
      <c r="CZ23" s="13"/>
      <c r="DA23" s="240">
        <f>(D23+'[2]февраль 20'!D23)/(AY23+'[2]февраль 20'!AX23)</f>
        <v>2.3029148154957317</v>
      </c>
      <c r="DB23" s="241">
        <f>(T23+'[2]февраль 20'!R23)/(AY23+'[2]февраль 20'!AX23)</f>
        <v>1.4645520354563362</v>
      </c>
      <c r="DD23" s="292">
        <f t="shared" si="14"/>
        <v>0</v>
      </c>
      <c r="DE23" s="291">
        <v>0.2</v>
      </c>
      <c r="DF23" s="291">
        <v>13.96</v>
      </c>
      <c r="DG23" s="145">
        <f t="shared" si="15"/>
        <v>0</v>
      </c>
      <c r="DH23" s="293">
        <f t="shared" si="30"/>
        <v>0</v>
      </c>
      <c r="DJ23" s="322"/>
    </row>
    <row r="24" spans="1:114" s="76" customFormat="1" ht="16.5" customHeight="1" thickBot="1">
      <c r="A24" s="144">
        <v>18</v>
      </c>
      <c r="B24" s="122">
        <f t="shared" si="16"/>
        <v>335.15600000000001</v>
      </c>
      <c r="C24" s="123">
        <f t="shared" si="17"/>
        <v>1.1961653677690389</v>
      </c>
      <c r="D24" s="145">
        <f t="shared" si="18"/>
        <v>331.14697999999999</v>
      </c>
      <c r="E24" s="125">
        <f t="shared" si="19"/>
        <v>41.564007566625691</v>
      </c>
      <c r="F24" s="146">
        <f t="shared" si="20"/>
        <v>2.5054625104032686</v>
      </c>
      <c r="G24" s="127"/>
      <c r="H24" s="126">
        <f t="shared" si="21"/>
        <v>1.3610575773624878</v>
      </c>
      <c r="I24" s="230">
        <f>'[1]июль 20'!AI23</f>
        <v>0</v>
      </c>
      <c r="J24" s="247">
        <f>'[1]февраль 20'!AA23</f>
        <v>0</v>
      </c>
      <c r="K24" s="276">
        <f>'[1]сентябрь 20'!AM23</f>
        <v>0</v>
      </c>
      <c r="L24" s="122">
        <f t="shared" si="22"/>
        <v>151.256</v>
      </c>
      <c r="M24" s="128">
        <f t="shared" si="23"/>
        <v>1.1444049330407808</v>
      </c>
      <c r="N24" s="400">
        <f>'[1]февраль 20'!W23</f>
        <v>0</v>
      </c>
      <c r="O24" s="403">
        <f>'[1]февраль 20'!AU23</f>
        <v>11.923999999999999</v>
      </c>
      <c r="P24" s="401">
        <f t="shared" si="0"/>
        <v>219.10900000000001</v>
      </c>
      <c r="Q24" s="122">
        <f>'[1]февраль 20'!S23</f>
        <v>219.10900000000001</v>
      </c>
      <c r="R24" s="123">
        <f t="shared" si="24"/>
        <v>2.8899999999999997</v>
      </c>
      <c r="S24" s="129">
        <v>27.07</v>
      </c>
      <c r="T24" s="125">
        <f t="shared" si="1"/>
        <v>212.7767499</v>
      </c>
      <c r="U24" s="147">
        <f t="shared" si="2"/>
        <v>1.6098717553151245</v>
      </c>
      <c r="V24" s="130">
        <v>132.16999999999999</v>
      </c>
      <c r="W24" s="130">
        <v>132.16999999999999</v>
      </c>
      <c r="X24" s="129">
        <v>0.23</v>
      </c>
      <c r="Y24" s="150">
        <v>383</v>
      </c>
      <c r="Z24" s="150">
        <v>1194</v>
      </c>
      <c r="AA24" s="148" t="s">
        <v>114</v>
      </c>
      <c r="AB24" s="149">
        <v>75.95</v>
      </c>
      <c r="AC24" s="150">
        <v>135</v>
      </c>
      <c r="AD24" s="151">
        <v>4</v>
      </c>
      <c r="AE24" s="149">
        <v>9.8000000000000007</v>
      </c>
      <c r="AF24" s="134">
        <f t="shared" si="3"/>
        <v>74.146931981538927</v>
      </c>
      <c r="AG24" s="152"/>
      <c r="AH24" s="129">
        <v>100.45</v>
      </c>
      <c r="AI24" s="134">
        <f t="shared" si="4"/>
        <v>760.00605281077401</v>
      </c>
      <c r="AJ24" s="153">
        <v>10.39</v>
      </c>
      <c r="AK24" s="154"/>
      <c r="AL24" s="155">
        <v>8.74</v>
      </c>
      <c r="AM24" s="156">
        <v>34.36</v>
      </c>
      <c r="AN24" s="126">
        <f t="shared" si="25"/>
        <v>0.20005822416302765</v>
      </c>
      <c r="AO24" s="157" t="s">
        <v>180</v>
      </c>
      <c r="AP24" s="156">
        <v>8.92</v>
      </c>
      <c r="AQ24" s="156">
        <v>5.92</v>
      </c>
      <c r="AR24" s="151"/>
      <c r="AS24" s="149">
        <v>13.31</v>
      </c>
      <c r="AT24" s="149">
        <v>171.75</v>
      </c>
      <c r="AU24" s="149">
        <v>3.52</v>
      </c>
      <c r="AV24" s="164"/>
      <c r="AW24" s="149"/>
      <c r="AX24" s="158">
        <f t="shared" si="5"/>
        <v>0</v>
      </c>
      <c r="AY24" s="125">
        <f t="shared" si="6"/>
        <v>132.16999999999999</v>
      </c>
      <c r="AZ24" s="125">
        <f t="shared" si="31"/>
        <v>158.20662993314443</v>
      </c>
      <c r="BA24" s="159">
        <f t="shared" si="7"/>
        <v>10.356960915492959</v>
      </c>
      <c r="BB24" s="160">
        <f t="shared" si="8"/>
        <v>5.2867999999999995</v>
      </c>
      <c r="BC24" s="161">
        <f t="shared" si="9"/>
        <v>0.72932727312856349</v>
      </c>
      <c r="BD24" s="160">
        <f t="shared" si="26"/>
        <v>15.643760915492958</v>
      </c>
      <c r="BE24" s="162">
        <v>0.86899999999999999</v>
      </c>
      <c r="BF24" s="25">
        <f t="shared" si="27"/>
        <v>2357.0400000000004</v>
      </c>
      <c r="BG24" s="25">
        <f t="shared" si="10"/>
        <v>124.55172413793103</v>
      </c>
      <c r="BH24" s="25">
        <f t="shared" si="28"/>
        <v>2241.9310344827582</v>
      </c>
      <c r="BI24" s="26">
        <f t="shared" si="11"/>
        <v>1</v>
      </c>
      <c r="BJ24" s="37">
        <f t="shared" si="29"/>
        <v>2241.9310344827582</v>
      </c>
      <c r="BK24" s="38"/>
      <c r="BL24" s="31">
        <v>183.9</v>
      </c>
      <c r="BM24" s="31"/>
      <c r="BN24" s="234">
        <v>151.256</v>
      </c>
      <c r="BO24" s="42"/>
      <c r="BP24" s="40"/>
      <c r="BQ24" s="411"/>
      <c r="BR24" s="33"/>
      <c r="BS24" s="34">
        <v>2.1800000000000002</v>
      </c>
      <c r="BT24" s="35"/>
      <c r="BU24" s="35"/>
      <c r="BV24" s="235"/>
      <c r="BW24" s="235"/>
      <c r="BX24" s="36"/>
      <c r="BY24" s="33"/>
      <c r="BZ24" s="34">
        <v>37.57</v>
      </c>
      <c r="CA24" s="35"/>
      <c r="CB24" s="405">
        <v>46.42</v>
      </c>
      <c r="CC24" s="404"/>
      <c r="CD24" s="235"/>
      <c r="CE24" s="413"/>
      <c r="CF24" s="30"/>
      <c r="CG24" s="30"/>
      <c r="CH24" s="31">
        <v>219.10900000000001</v>
      </c>
      <c r="CI24" s="32"/>
      <c r="CJ24" s="33"/>
      <c r="CK24" s="33"/>
      <c r="CL24" s="35">
        <v>2.89</v>
      </c>
      <c r="CM24" s="36"/>
      <c r="CN24" s="286"/>
      <c r="CO24" s="249">
        <f t="shared" si="32"/>
        <v>0</v>
      </c>
      <c r="CP24" s="12">
        <f t="shared" si="32"/>
        <v>179.89097999999998</v>
      </c>
      <c r="CQ24" s="12">
        <f t="shared" si="32"/>
        <v>0</v>
      </c>
      <c r="CR24" s="12">
        <f t="shared" si="32"/>
        <v>151.256</v>
      </c>
      <c r="CS24" s="11">
        <f t="shared" si="32"/>
        <v>0</v>
      </c>
      <c r="CT24" s="11">
        <f t="shared" si="32"/>
        <v>0</v>
      </c>
      <c r="CU24" s="272">
        <f t="shared" si="32"/>
        <v>0</v>
      </c>
      <c r="CV24" s="249">
        <f t="shared" si="13"/>
        <v>0</v>
      </c>
      <c r="CW24" s="12">
        <f t="shared" si="13"/>
        <v>0</v>
      </c>
      <c r="CX24" s="249">
        <f t="shared" si="13"/>
        <v>212.7767499</v>
      </c>
      <c r="CY24" s="272">
        <f t="shared" si="13"/>
        <v>0</v>
      </c>
      <c r="CZ24" s="13"/>
      <c r="DA24" s="240">
        <f>(D24+'[2]февраль 20'!D24)/(AY24+'[2]февраль 20'!AX24)</f>
        <v>2.5182828553764627</v>
      </c>
      <c r="DB24" s="241">
        <f>(T24+'[2]февраль 20'!R24)/(AY24+'[2]февраль 20'!AX24)</f>
        <v>1.6713479792448662</v>
      </c>
      <c r="DD24" s="292">
        <f t="shared" si="14"/>
        <v>0</v>
      </c>
      <c r="DE24" s="291">
        <v>0.16</v>
      </c>
      <c r="DF24" s="291">
        <v>11.95</v>
      </c>
      <c r="DG24" s="145">
        <f t="shared" si="15"/>
        <v>0</v>
      </c>
      <c r="DH24" s="293">
        <f t="shared" si="30"/>
        <v>0</v>
      </c>
      <c r="DJ24" s="322"/>
    </row>
    <row r="25" spans="1:114" s="76" customFormat="1" ht="16.5" customHeight="1" thickBot="1">
      <c r="A25" s="144">
        <v>19</v>
      </c>
      <c r="B25" s="122">
        <f t="shared" si="16"/>
        <v>284.19900000000001</v>
      </c>
      <c r="C25" s="123">
        <f t="shared" si="17"/>
        <v>1.2268164208881802</v>
      </c>
      <c r="D25" s="145">
        <f t="shared" si="18"/>
        <v>280.7124</v>
      </c>
      <c r="E25" s="125">
        <f t="shared" si="19"/>
        <v>41.392248706012339</v>
      </c>
      <c r="F25" s="146">
        <f t="shared" si="20"/>
        <v>2.2464180537772087</v>
      </c>
      <c r="G25" s="127"/>
      <c r="H25" s="126">
        <f t="shared" si="21"/>
        <v>1.164479833546735</v>
      </c>
      <c r="I25" s="230">
        <f>'[1]июль 20'!AI24</f>
        <v>0</v>
      </c>
      <c r="J25" s="247">
        <f>'[1]февраль 20'!AA24</f>
        <v>0</v>
      </c>
      <c r="K25" s="276">
        <f>'[1]сентябрь 20'!AM24</f>
        <v>0</v>
      </c>
      <c r="L25" s="122">
        <f t="shared" si="22"/>
        <v>135.19900000000001</v>
      </c>
      <c r="M25" s="128">
        <f t="shared" si="23"/>
        <v>1.0819382202304739</v>
      </c>
      <c r="N25" s="400">
        <f>'[1]февраль 20'!W24</f>
        <v>0</v>
      </c>
      <c r="O25" s="403">
        <f>'[1]февраль 20'!AU24</f>
        <v>10.029</v>
      </c>
      <c r="P25" s="401">
        <f t="shared" si="0"/>
        <v>187.01900000000001</v>
      </c>
      <c r="Q25" s="122">
        <f>'[1]февраль 20'!S24</f>
        <v>187.01900000000001</v>
      </c>
      <c r="R25" s="123">
        <f>IF(Q25=0,0,(CI25*CM25+CG25*CK25+CH25*CL25+CF25*CJ25)/Q25)</f>
        <v>2.81</v>
      </c>
      <c r="S25" s="129">
        <v>8.7200000000000006</v>
      </c>
      <c r="T25" s="125">
        <f t="shared" si="1"/>
        <v>181.7637661</v>
      </c>
      <c r="U25" s="147">
        <f t="shared" si="2"/>
        <v>1.4545755929897568</v>
      </c>
      <c r="V25" s="130">
        <v>124.96</v>
      </c>
      <c r="W25" s="130">
        <v>31.69</v>
      </c>
      <c r="X25" s="129">
        <v>1.24</v>
      </c>
      <c r="Y25" s="150">
        <v>474</v>
      </c>
      <c r="Z25" s="150">
        <v>1196</v>
      </c>
      <c r="AA25" s="148" t="s">
        <v>128</v>
      </c>
      <c r="AB25" s="149">
        <v>76.06</v>
      </c>
      <c r="AC25" s="150">
        <v>114</v>
      </c>
      <c r="AD25" s="151">
        <v>4</v>
      </c>
      <c r="AE25" s="149">
        <v>9.1</v>
      </c>
      <c r="AF25" s="134">
        <f t="shared" si="3"/>
        <v>72.823303457106277</v>
      </c>
      <c r="AG25" s="152"/>
      <c r="AH25" s="129">
        <v>81.25</v>
      </c>
      <c r="AI25" s="134">
        <f t="shared" si="4"/>
        <v>650.20806658130607</v>
      </c>
      <c r="AJ25" s="136">
        <v>11.91</v>
      </c>
      <c r="AK25" s="154"/>
      <c r="AL25" s="155">
        <v>4.9400000000000004</v>
      </c>
      <c r="AM25" s="156">
        <v>34.71</v>
      </c>
      <c r="AN25" s="126">
        <f t="shared" si="25"/>
        <v>0.21261868300153139</v>
      </c>
      <c r="AO25" s="157" t="s">
        <v>181</v>
      </c>
      <c r="AP25" s="156">
        <v>10.31</v>
      </c>
      <c r="AQ25" s="156">
        <v>6.1</v>
      </c>
      <c r="AR25" s="152"/>
      <c r="AS25" s="149">
        <v>9.9499999999999993</v>
      </c>
      <c r="AT25" s="149">
        <v>163.25</v>
      </c>
      <c r="AU25" s="149">
        <v>1.36</v>
      </c>
      <c r="AV25" s="164"/>
      <c r="AW25" s="149"/>
      <c r="AX25" s="158">
        <f t="shared" si="5"/>
        <v>0</v>
      </c>
      <c r="AY25" s="125">
        <f t="shared" si="6"/>
        <v>124.96</v>
      </c>
      <c r="AZ25" s="125">
        <f t="shared" si="31"/>
        <v>133.3639778629055</v>
      </c>
      <c r="BA25" s="159">
        <f t="shared" si="7"/>
        <v>6.2625440140845061</v>
      </c>
      <c r="BB25" s="160">
        <f t="shared" si="8"/>
        <v>4.9984000000000002</v>
      </c>
      <c r="BC25" s="161">
        <f t="shared" si="9"/>
        <v>0.81798759866132353</v>
      </c>
      <c r="BD25" s="160">
        <f t="shared" si="26"/>
        <v>11.260944014084506</v>
      </c>
      <c r="BE25" s="162">
        <v>0.86599999999999999</v>
      </c>
      <c r="BF25" s="25">
        <f t="shared" si="27"/>
        <v>2482.0000000000005</v>
      </c>
      <c r="BG25" s="25">
        <f t="shared" si="10"/>
        <v>124.55172413793103</v>
      </c>
      <c r="BH25" s="25">
        <f t="shared" si="28"/>
        <v>2366.4827586206893</v>
      </c>
      <c r="BI25" s="26">
        <f t="shared" si="11"/>
        <v>1</v>
      </c>
      <c r="BJ25" s="37">
        <f t="shared" si="29"/>
        <v>2366.4827586206893</v>
      </c>
      <c r="BK25" s="38"/>
      <c r="BL25" s="31">
        <v>149</v>
      </c>
      <c r="BM25" s="31"/>
      <c r="BN25" s="234">
        <v>135.19900000000001</v>
      </c>
      <c r="BO25" s="42"/>
      <c r="BP25" s="40"/>
      <c r="BQ25" s="411"/>
      <c r="BR25" s="33"/>
      <c r="BS25" s="34">
        <v>2.34</v>
      </c>
      <c r="BT25" s="35"/>
      <c r="BU25" s="35"/>
      <c r="BV25" s="235"/>
      <c r="BW25" s="235"/>
      <c r="BX25" s="36"/>
      <c r="BY25" s="33"/>
      <c r="BZ25" s="34">
        <v>36.93</v>
      </c>
      <c r="CA25" s="35"/>
      <c r="CB25" s="405">
        <v>46.31</v>
      </c>
      <c r="CC25" s="404"/>
      <c r="CD25" s="235"/>
      <c r="CE25" s="413"/>
      <c r="CF25" s="30">
        <v>65.119</v>
      </c>
      <c r="CG25" s="30"/>
      <c r="CH25" s="31">
        <v>121.9</v>
      </c>
      <c r="CI25" s="32"/>
      <c r="CJ25" s="33">
        <v>2.81</v>
      </c>
      <c r="CK25" s="33"/>
      <c r="CL25" s="35">
        <v>2.81</v>
      </c>
      <c r="CM25" s="36"/>
      <c r="CN25" s="286"/>
      <c r="CO25" s="249">
        <f t="shared" si="32"/>
        <v>0</v>
      </c>
      <c r="CP25" s="12">
        <f t="shared" si="32"/>
        <v>145.51339999999999</v>
      </c>
      <c r="CQ25" s="12">
        <f t="shared" si="32"/>
        <v>0</v>
      </c>
      <c r="CR25" s="12">
        <f t="shared" si="32"/>
        <v>135.19900000000001</v>
      </c>
      <c r="CS25" s="11">
        <f t="shared" si="32"/>
        <v>0</v>
      </c>
      <c r="CT25" s="11">
        <f t="shared" si="32"/>
        <v>0</v>
      </c>
      <c r="CU25" s="272">
        <f t="shared" si="32"/>
        <v>0</v>
      </c>
      <c r="CV25" s="249">
        <f t="shared" si="13"/>
        <v>63.2891561</v>
      </c>
      <c r="CW25" s="251">
        <f t="shared" si="13"/>
        <v>0</v>
      </c>
      <c r="CX25" s="249">
        <f t="shared" si="13"/>
        <v>118.47461</v>
      </c>
      <c r="CY25" s="272">
        <f t="shared" si="13"/>
        <v>0</v>
      </c>
      <c r="CZ25" s="13"/>
      <c r="DA25" s="240">
        <f>(D25+'[2]февраль 20'!D25)/(AY25+'[2]февраль 20'!AX25)</f>
        <v>2.1244328919488549</v>
      </c>
      <c r="DB25" s="241">
        <f>(T25+'[2]февраль 20'!R25)/(AY25+'[2]февраль 20'!AX25)</f>
        <v>1.3859878209919911</v>
      </c>
      <c r="DD25" s="292">
        <f t="shared" si="14"/>
        <v>0</v>
      </c>
      <c r="DE25" s="291">
        <v>7.0000000000000007E-2</v>
      </c>
      <c r="DF25" s="291">
        <v>8.99</v>
      </c>
      <c r="DG25" s="145">
        <f t="shared" si="15"/>
        <v>0</v>
      </c>
      <c r="DH25" s="293">
        <f t="shared" si="30"/>
        <v>0</v>
      </c>
      <c r="DJ25" s="322"/>
    </row>
    <row r="26" spans="1:114" s="76" customFormat="1" ht="16.5" customHeight="1" thickBot="1">
      <c r="A26" s="144">
        <v>20</v>
      </c>
      <c r="B26" s="122">
        <f t="shared" si="16"/>
        <v>286.96299999999997</v>
      </c>
      <c r="C26" s="123">
        <f t="shared" si="17"/>
        <v>1.1839505441468066</v>
      </c>
      <c r="D26" s="145">
        <f t="shared" si="18"/>
        <v>283.56549999999999</v>
      </c>
      <c r="E26" s="125">
        <f t="shared" si="19"/>
        <v>41.644699874199816</v>
      </c>
      <c r="F26" s="146">
        <f t="shared" si="20"/>
        <v>2.4104513770826244</v>
      </c>
      <c r="G26" s="127"/>
      <c r="H26" s="126">
        <f t="shared" si="21"/>
        <v>1.2546965317919072</v>
      </c>
      <c r="I26" s="230">
        <f>'[1]июль 20'!AI25</f>
        <v>0</v>
      </c>
      <c r="J26" s="247">
        <f>'[1]февраль 20'!AA25</f>
        <v>0</v>
      </c>
      <c r="K26" s="276">
        <f>'[1]сентябрь 20'!AM25</f>
        <v>0</v>
      </c>
      <c r="L26" s="122">
        <f t="shared" si="22"/>
        <v>135.96299999999999</v>
      </c>
      <c r="M26" s="128">
        <f t="shared" si="23"/>
        <v>1.1557548452907171</v>
      </c>
      <c r="N26" s="400">
        <f>'[1]февраль 20'!W25</f>
        <v>0</v>
      </c>
      <c r="O26" s="403">
        <f>'[1]февраль 20'!AU25</f>
        <v>9.8789999999999996</v>
      </c>
      <c r="P26" s="401">
        <f t="shared" si="0"/>
        <v>185.078</v>
      </c>
      <c r="Q26" s="122">
        <f>'[1]февраль 20'!S25</f>
        <v>185.078</v>
      </c>
      <c r="R26" s="123">
        <f t="shared" si="24"/>
        <v>3.92</v>
      </c>
      <c r="S26" s="129">
        <v>15.11</v>
      </c>
      <c r="T26" s="125">
        <f t="shared" si="1"/>
        <v>177.82294239999999</v>
      </c>
      <c r="U26" s="147">
        <f t="shared" si="2"/>
        <v>1.5115857055423323</v>
      </c>
      <c r="V26" s="169">
        <v>117.64</v>
      </c>
      <c r="W26" s="169">
        <v>60.57</v>
      </c>
      <c r="X26" s="170">
        <v>1.33</v>
      </c>
      <c r="Y26" s="166">
        <v>468</v>
      </c>
      <c r="Z26" s="166">
        <v>1198</v>
      </c>
      <c r="AA26" s="148" t="s">
        <v>130</v>
      </c>
      <c r="AB26" s="164">
        <v>75.790000000000006</v>
      </c>
      <c r="AC26" s="166">
        <v>116</v>
      </c>
      <c r="AD26" s="171">
        <v>4</v>
      </c>
      <c r="AE26" s="164">
        <v>8.65</v>
      </c>
      <c r="AF26" s="172">
        <f t="shared" si="3"/>
        <v>73.52941176470587</v>
      </c>
      <c r="AG26" s="173"/>
      <c r="AH26" s="170">
        <v>75.599999999999994</v>
      </c>
      <c r="AI26" s="134">
        <f t="shared" si="4"/>
        <v>642.63855831349872</v>
      </c>
      <c r="AJ26" s="174">
        <v>11.86</v>
      </c>
      <c r="AK26" s="175"/>
      <c r="AL26" s="176">
        <v>5.81</v>
      </c>
      <c r="AM26" s="177">
        <v>35.19</v>
      </c>
      <c r="AN26" s="126">
        <f t="shared" si="25"/>
        <v>0.22371265098537824</v>
      </c>
      <c r="AO26" s="178" t="s">
        <v>181</v>
      </c>
      <c r="AP26" s="177">
        <v>10.88</v>
      </c>
      <c r="AQ26" s="177">
        <v>6.46</v>
      </c>
      <c r="AR26" s="171"/>
      <c r="AS26" s="164">
        <v>8.91</v>
      </c>
      <c r="AT26" s="149">
        <v>157.30000000000001</v>
      </c>
      <c r="AU26" s="164">
        <v>1.34</v>
      </c>
      <c r="AV26" s="164"/>
      <c r="AW26" s="164"/>
      <c r="AX26" s="179">
        <f t="shared" si="5"/>
        <v>0</v>
      </c>
      <c r="AY26" s="125">
        <f t="shared" si="6"/>
        <v>117.64000000000001</v>
      </c>
      <c r="AZ26" s="125">
        <f t="shared" si="31"/>
        <v>136.02397577676311</v>
      </c>
      <c r="BA26" s="159">
        <f t="shared" si="7"/>
        <v>5.2179971830985918</v>
      </c>
      <c r="BB26" s="159">
        <f t="shared" si="8"/>
        <v>4.7056000000000004</v>
      </c>
      <c r="BC26" s="180">
        <f t="shared" si="9"/>
        <v>0.75501189708310346</v>
      </c>
      <c r="BD26" s="159">
        <f t="shared" si="26"/>
        <v>9.9235971830985932</v>
      </c>
      <c r="BE26" s="167">
        <v>0.86099999999999999</v>
      </c>
      <c r="BF26" s="25">
        <f t="shared" si="27"/>
        <v>2599.6400000000003</v>
      </c>
      <c r="BG26" s="25">
        <f t="shared" si="10"/>
        <v>124.55172413793103</v>
      </c>
      <c r="BH26" s="25">
        <f t="shared" si="28"/>
        <v>2491.0344827586205</v>
      </c>
      <c r="BI26" s="26">
        <f t="shared" si="11"/>
        <v>1</v>
      </c>
      <c r="BJ26" s="37">
        <f t="shared" si="29"/>
        <v>2491.0344827586205</v>
      </c>
      <c r="BK26" s="38"/>
      <c r="BL26" s="43">
        <v>151</v>
      </c>
      <c r="BM26" s="31"/>
      <c r="BN26" s="406">
        <v>135.96299999999999</v>
      </c>
      <c r="BO26" s="42"/>
      <c r="BP26" s="40"/>
      <c r="BQ26" s="412"/>
      <c r="BR26" s="33"/>
      <c r="BS26" s="34">
        <v>2.25</v>
      </c>
      <c r="BT26" s="35"/>
      <c r="BU26" s="35"/>
      <c r="BV26" s="235"/>
      <c r="BW26" s="235"/>
      <c r="BX26" s="36"/>
      <c r="BY26" s="33"/>
      <c r="BZ26" s="34">
        <v>37.479999999999997</v>
      </c>
      <c r="CA26" s="35"/>
      <c r="CB26" s="405">
        <v>46.27</v>
      </c>
      <c r="CC26" s="404"/>
      <c r="CD26" s="235"/>
      <c r="CE26" s="413"/>
      <c r="CF26" s="30">
        <v>35.390999999999998</v>
      </c>
      <c r="CG26" s="30"/>
      <c r="CH26" s="43">
        <v>149.68700000000001</v>
      </c>
      <c r="CI26" s="32"/>
      <c r="CJ26" s="33">
        <v>3.92</v>
      </c>
      <c r="CK26" s="33"/>
      <c r="CL26" s="35">
        <v>3.92</v>
      </c>
      <c r="CM26" s="36"/>
      <c r="CN26" s="286"/>
      <c r="CO26" s="249">
        <f t="shared" si="32"/>
        <v>0</v>
      </c>
      <c r="CP26" s="12">
        <f t="shared" si="32"/>
        <v>147.60249999999999</v>
      </c>
      <c r="CQ26" s="12">
        <f t="shared" si="32"/>
        <v>0</v>
      </c>
      <c r="CR26" s="12">
        <f t="shared" si="32"/>
        <v>135.96299999999999</v>
      </c>
      <c r="CS26" s="11">
        <f t="shared" si="32"/>
        <v>0</v>
      </c>
      <c r="CT26" s="11">
        <f t="shared" si="32"/>
        <v>0</v>
      </c>
      <c r="CU26" s="272">
        <f t="shared" si="32"/>
        <v>0</v>
      </c>
      <c r="CV26" s="249">
        <f t="shared" si="13"/>
        <v>34.003672799999997</v>
      </c>
      <c r="CW26" s="12">
        <f t="shared" si="13"/>
        <v>0</v>
      </c>
      <c r="CX26" s="249">
        <f t="shared" si="13"/>
        <v>143.81926960000001</v>
      </c>
      <c r="CY26" s="274">
        <f t="shared" si="13"/>
        <v>0</v>
      </c>
      <c r="CZ26" s="13"/>
      <c r="DA26" s="240">
        <f>(D26+'[2]февраль 20'!D26)/(AY26+'[2]февраль 20'!AX26)</f>
        <v>2.4501466057563377</v>
      </c>
      <c r="DB26" s="241">
        <f>(T26+'[2]февраль 20'!R26)/(AY26+'[2]февраль 20'!AX26)</f>
        <v>1.5746451164676163</v>
      </c>
      <c r="DD26" s="292">
        <f t="shared" si="14"/>
        <v>0</v>
      </c>
      <c r="DE26" s="291">
        <v>0.3</v>
      </c>
      <c r="DF26" s="291">
        <v>8.43</v>
      </c>
      <c r="DG26" s="145">
        <f t="shared" si="15"/>
        <v>0</v>
      </c>
      <c r="DH26" s="293">
        <f t="shared" si="30"/>
        <v>0</v>
      </c>
      <c r="DJ26" s="322"/>
    </row>
    <row r="27" spans="1:114" s="76" customFormat="1" ht="16.5" customHeight="1" thickBot="1">
      <c r="A27" s="144">
        <v>21</v>
      </c>
      <c r="B27" s="122">
        <f t="shared" si="16"/>
        <v>281.92099999999999</v>
      </c>
      <c r="C27" s="123">
        <f t="shared" si="17"/>
        <v>1.208583255592879</v>
      </c>
      <c r="D27" s="145">
        <f t="shared" si="18"/>
        <v>278.51374999999996</v>
      </c>
      <c r="E27" s="125">
        <f t="shared" si="19"/>
        <v>41.585203053337636</v>
      </c>
      <c r="F27" s="146">
        <f t="shared" si="20"/>
        <v>2.103895981266052</v>
      </c>
      <c r="G27" s="127"/>
      <c r="H27" s="126">
        <f t="shared" si="21"/>
        <v>1.0884782444478018</v>
      </c>
      <c r="I27" s="230">
        <f>'[1]июль 20'!AI26</f>
        <v>0</v>
      </c>
      <c r="J27" s="247">
        <f>'[1]февраль 20'!AA26</f>
        <v>0</v>
      </c>
      <c r="K27" s="276">
        <f>'[1]сентябрь 20'!AM26</f>
        <v>0</v>
      </c>
      <c r="L27" s="122">
        <f t="shared" si="22"/>
        <v>134.42099999999999</v>
      </c>
      <c r="M27" s="128">
        <f t="shared" si="23"/>
        <v>1.0154177368182504</v>
      </c>
      <c r="N27" s="400">
        <f>'[1]февраль 20'!W26</f>
        <v>0</v>
      </c>
      <c r="O27" s="403">
        <f>'[1]февраль 20'!AU26</f>
        <v>9.0250000000000004</v>
      </c>
      <c r="P27" s="401">
        <f t="shared" si="0"/>
        <v>177.96199999999999</v>
      </c>
      <c r="Q27" s="122">
        <f>'[1]февраль 20'!S26</f>
        <v>177.96199999999999</v>
      </c>
      <c r="R27" s="123">
        <f t="shared" si="24"/>
        <v>4.5999999999999996</v>
      </c>
      <c r="S27" s="129">
        <v>1.84</v>
      </c>
      <c r="T27" s="125">
        <f t="shared" si="1"/>
        <v>169.77574799999999</v>
      </c>
      <c r="U27" s="147">
        <f t="shared" si="2"/>
        <v>1.2824878984740897</v>
      </c>
      <c r="V27" s="130">
        <v>132.38</v>
      </c>
      <c r="W27" s="130">
        <v>99.93</v>
      </c>
      <c r="X27" s="129">
        <v>0.51</v>
      </c>
      <c r="Y27" s="150">
        <v>495</v>
      </c>
      <c r="Z27" s="150">
        <v>1187</v>
      </c>
      <c r="AA27" s="148" t="s">
        <v>134</v>
      </c>
      <c r="AB27" s="149">
        <v>76.17</v>
      </c>
      <c r="AC27" s="150">
        <v>113</v>
      </c>
      <c r="AD27" s="151">
        <v>4</v>
      </c>
      <c r="AE27" s="149">
        <v>1.2</v>
      </c>
      <c r="AF27" s="134">
        <f t="shared" si="3"/>
        <v>9.0648134159238563</v>
      </c>
      <c r="AG27" s="152"/>
      <c r="AH27" s="129">
        <v>96.8</v>
      </c>
      <c r="AI27" s="134">
        <f t="shared" si="4"/>
        <v>731.22828221785778</v>
      </c>
      <c r="AJ27" s="136">
        <v>9.19</v>
      </c>
      <c r="AK27" s="154"/>
      <c r="AL27" s="155">
        <v>5.9</v>
      </c>
      <c r="AM27" s="156">
        <v>36.25</v>
      </c>
      <c r="AN27" s="126">
        <f t="shared" si="25"/>
        <v>0.20929561200923788</v>
      </c>
      <c r="AO27" s="157" t="s">
        <v>183</v>
      </c>
      <c r="AP27" s="156">
        <v>9.77</v>
      </c>
      <c r="AQ27" s="156">
        <v>6.24</v>
      </c>
      <c r="AR27" s="151"/>
      <c r="AS27" s="149">
        <v>11.6</v>
      </c>
      <c r="AT27" s="149">
        <v>173.2</v>
      </c>
      <c r="AU27" s="149">
        <v>1.33</v>
      </c>
      <c r="AV27" s="164"/>
      <c r="AW27" s="149"/>
      <c r="AX27" s="158">
        <f t="shared" si="5"/>
        <v>0</v>
      </c>
      <c r="AY27" s="125">
        <f t="shared" si="6"/>
        <v>132.38</v>
      </c>
      <c r="AZ27" s="125">
        <f t="shared" si="31"/>
        <v>132.74426138034207</v>
      </c>
      <c r="BA27" s="159">
        <f t="shared" si="7"/>
        <v>8.6983661971830983</v>
      </c>
      <c r="BB27" s="160">
        <f t="shared" si="8"/>
        <v>5.2952000000000004</v>
      </c>
      <c r="BC27" s="161">
        <f t="shared" si="9"/>
        <v>0.87060441482191464</v>
      </c>
      <c r="BD27" s="160">
        <f t="shared" si="26"/>
        <v>13.9935661971831</v>
      </c>
      <c r="BE27" s="162">
        <v>0.86099999999999999</v>
      </c>
      <c r="BF27" s="25">
        <f t="shared" si="27"/>
        <v>2732.0200000000004</v>
      </c>
      <c r="BG27" s="25">
        <f t="shared" si="10"/>
        <v>124.55172413793103</v>
      </c>
      <c r="BH27" s="25">
        <f t="shared" si="28"/>
        <v>2615.5862068965516</v>
      </c>
      <c r="BI27" s="26">
        <f t="shared" si="11"/>
        <v>1</v>
      </c>
      <c r="BJ27" s="37">
        <f t="shared" si="29"/>
        <v>2615.5862068965516</v>
      </c>
      <c r="BK27" s="38"/>
      <c r="BL27" s="31">
        <v>147.5</v>
      </c>
      <c r="BM27" s="31"/>
      <c r="BN27" s="234">
        <v>134.42099999999999</v>
      </c>
      <c r="BO27" s="42"/>
      <c r="BP27" s="40"/>
      <c r="BQ27" s="411"/>
      <c r="BR27" s="33"/>
      <c r="BS27" s="34">
        <v>2.31</v>
      </c>
      <c r="BT27" s="35"/>
      <c r="BU27" s="35"/>
      <c r="BV27" s="235"/>
      <c r="BW27" s="235"/>
      <c r="BX27" s="36"/>
      <c r="BY27" s="33"/>
      <c r="BZ27" s="34">
        <v>37.17</v>
      </c>
      <c r="CA27" s="35"/>
      <c r="CB27" s="405">
        <v>46.43</v>
      </c>
      <c r="CC27" s="404"/>
      <c r="CD27" s="235"/>
      <c r="CE27" s="413"/>
      <c r="CF27" s="30">
        <v>88.653999999999996</v>
      </c>
      <c r="CG27" s="30"/>
      <c r="CH27" s="31">
        <v>89.308000000000007</v>
      </c>
      <c r="CI27" s="32"/>
      <c r="CJ27" s="33">
        <v>4.5999999999999996</v>
      </c>
      <c r="CK27" s="33"/>
      <c r="CL27" s="35">
        <v>4.5999999999999996</v>
      </c>
      <c r="CM27" s="36"/>
      <c r="CN27" s="286"/>
      <c r="CO27" s="249">
        <f t="shared" si="32"/>
        <v>0</v>
      </c>
      <c r="CP27" s="12">
        <f t="shared" si="32"/>
        <v>144.09275</v>
      </c>
      <c r="CQ27" s="12">
        <f t="shared" si="32"/>
        <v>0</v>
      </c>
      <c r="CR27" s="12">
        <f t="shared" si="32"/>
        <v>134.42099999999999</v>
      </c>
      <c r="CS27" s="11">
        <f t="shared" si="32"/>
        <v>0</v>
      </c>
      <c r="CT27" s="11">
        <f t="shared" si="32"/>
        <v>0</v>
      </c>
      <c r="CU27" s="272">
        <f t="shared" si="32"/>
        <v>0</v>
      </c>
      <c r="CV27" s="249">
        <f t="shared" si="13"/>
        <v>84.575916000000007</v>
      </c>
      <c r="CW27" s="11">
        <f t="shared" si="13"/>
        <v>0</v>
      </c>
      <c r="CX27" s="249">
        <f t="shared" si="13"/>
        <v>85.199832000000015</v>
      </c>
      <c r="CY27" s="272">
        <f t="shared" si="13"/>
        <v>0</v>
      </c>
      <c r="CZ27" s="13"/>
      <c r="DA27" s="240">
        <f>(D27+'[2]февраль 20'!D27)/(AY27+'[2]февраль 20'!AX27)</f>
        <v>1.9231249279225369</v>
      </c>
      <c r="DB27" s="241">
        <f>(T27+'[2]февраль 20'!R27)/(AY27+'[2]февраль 20'!AX27)</f>
        <v>1.2056675950606541</v>
      </c>
      <c r="DD27" s="292">
        <f t="shared" si="14"/>
        <v>0</v>
      </c>
      <c r="DE27" s="291">
        <v>0.21</v>
      </c>
      <c r="DF27" s="291">
        <v>17</v>
      </c>
      <c r="DG27" s="145">
        <f t="shared" si="15"/>
        <v>0</v>
      </c>
      <c r="DH27" s="293">
        <f t="shared" si="30"/>
        <v>0</v>
      </c>
      <c r="DJ27" s="322"/>
    </row>
    <row r="28" spans="1:114" s="76" customFormat="1" ht="16.5" customHeight="1" thickBot="1">
      <c r="A28" s="144">
        <v>22</v>
      </c>
      <c r="B28" s="122">
        <f t="shared" si="16"/>
        <v>289.06600000000003</v>
      </c>
      <c r="C28" s="123">
        <f t="shared" si="17"/>
        <v>1.2434115392332545</v>
      </c>
      <c r="D28" s="145">
        <f t="shared" si="18"/>
        <v>285.47172000000006</v>
      </c>
      <c r="E28" s="125">
        <f t="shared" si="19"/>
        <v>41.63268575342655</v>
      </c>
      <c r="F28" s="146">
        <f t="shared" si="20"/>
        <v>2.2302478125000005</v>
      </c>
      <c r="G28" s="127"/>
      <c r="H28" s="126">
        <f t="shared" si="21"/>
        <v>1.1617634375000001</v>
      </c>
      <c r="I28" s="230">
        <f>'[1]июль 20'!AI27</f>
        <v>0</v>
      </c>
      <c r="J28" s="247">
        <f>'[1]февраль 20'!AA27</f>
        <v>0</v>
      </c>
      <c r="K28" s="276">
        <f>'[1]сентябрь 20'!AM27</f>
        <v>0</v>
      </c>
      <c r="L28" s="122">
        <f t="shared" si="22"/>
        <v>136.76599999999999</v>
      </c>
      <c r="M28" s="128">
        <f t="shared" si="23"/>
        <v>1.0684843749999999</v>
      </c>
      <c r="N28" s="400">
        <f>'[1]февраль 20'!W27</f>
        <v>0</v>
      </c>
      <c r="O28" s="403">
        <f>'[1]февраль 20'!AU27</f>
        <v>8.5169999999999995</v>
      </c>
      <c r="P28" s="401">
        <f t="shared" si="0"/>
        <v>184.37900000000002</v>
      </c>
      <c r="Q28" s="122">
        <f>'[1]февраль 20'!S27</f>
        <v>184.37899999999999</v>
      </c>
      <c r="R28" s="123">
        <f t="shared" si="24"/>
        <v>4.3499999999999996</v>
      </c>
      <c r="S28" s="129"/>
      <c r="T28" s="125">
        <f t="shared" si="1"/>
        <v>176.35851349999999</v>
      </c>
      <c r="U28" s="147">
        <f t="shared" si="2"/>
        <v>1.3778008867187499</v>
      </c>
      <c r="V28" s="130">
        <v>66.989999999999995</v>
      </c>
      <c r="W28" s="130">
        <v>65.7</v>
      </c>
      <c r="X28" s="129">
        <v>0.86</v>
      </c>
      <c r="Y28" s="150">
        <v>473</v>
      </c>
      <c r="Z28" s="150">
        <v>1199</v>
      </c>
      <c r="AA28" s="148" t="s">
        <v>122</v>
      </c>
      <c r="AB28" s="149">
        <v>75.62</v>
      </c>
      <c r="AC28" s="150">
        <v>116</v>
      </c>
      <c r="AD28" s="151">
        <v>4</v>
      </c>
      <c r="AE28" s="149">
        <v>2.5</v>
      </c>
      <c r="AF28" s="134">
        <f t="shared" si="3"/>
        <v>19.53125</v>
      </c>
      <c r="AG28" s="152"/>
      <c r="AH28" s="129">
        <v>75.5</v>
      </c>
      <c r="AI28" s="134">
        <f t="shared" si="4"/>
        <v>589.84375</v>
      </c>
      <c r="AJ28" s="153">
        <v>11.95</v>
      </c>
      <c r="AK28" s="154"/>
      <c r="AL28" s="155">
        <v>5.66</v>
      </c>
      <c r="AM28" s="156">
        <v>35.119999999999997</v>
      </c>
      <c r="AN28" s="126">
        <f t="shared" si="25"/>
        <v>0.20998505231689088</v>
      </c>
      <c r="AO28" s="157" t="s">
        <v>184</v>
      </c>
      <c r="AP28" s="156">
        <v>11.07</v>
      </c>
      <c r="AQ28" s="156">
        <v>6.29</v>
      </c>
      <c r="AR28" s="151"/>
      <c r="AS28" s="149">
        <v>8.9</v>
      </c>
      <c r="AT28" s="149">
        <v>167.25</v>
      </c>
      <c r="AU28" s="149">
        <v>1.53</v>
      </c>
      <c r="AV28" s="164"/>
      <c r="AW28" s="149"/>
      <c r="AX28" s="158">
        <f t="shared" si="5"/>
        <v>0</v>
      </c>
      <c r="AY28" s="125">
        <f t="shared" si="6"/>
        <v>128</v>
      </c>
      <c r="AZ28" s="125">
        <f t="shared" si="31"/>
        <v>137.20662787818569</v>
      </c>
      <c r="BA28" s="159">
        <f t="shared" si="7"/>
        <v>5.2052464788732395</v>
      </c>
      <c r="BB28" s="160">
        <f t="shared" si="8"/>
        <v>5.12</v>
      </c>
      <c r="BC28" s="161">
        <f t="shared" si="9"/>
        <v>0.81442129821314579</v>
      </c>
      <c r="BD28" s="160">
        <f t="shared" si="26"/>
        <v>10.32524647887324</v>
      </c>
      <c r="BE28" s="162">
        <v>0.85899999999999999</v>
      </c>
      <c r="BF28" s="25">
        <f t="shared" si="27"/>
        <v>2860.0200000000004</v>
      </c>
      <c r="BG28" s="25">
        <f t="shared" si="10"/>
        <v>124.55172413793103</v>
      </c>
      <c r="BH28" s="25">
        <f t="shared" si="28"/>
        <v>2740.1379310344828</v>
      </c>
      <c r="BI28" s="26">
        <f t="shared" si="11"/>
        <v>1</v>
      </c>
      <c r="BJ28" s="37">
        <f t="shared" si="29"/>
        <v>2740.1379310344828</v>
      </c>
      <c r="BK28" s="38"/>
      <c r="BL28" s="31">
        <v>152.30000000000001</v>
      </c>
      <c r="BM28" s="31"/>
      <c r="BN28" s="234">
        <v>136.76599999999999</v>
      </c>
      <c r="BO28" s="42"/>
      <c r="BP28" s="40"/>
      <c r="BQ28" s="411"/>
      <c r="BR28" s="33"/>
      <c r="BS28" s="34">
        <v>2.36</v>
      </c>
      <c r="BT28" s="35"/>
      <c r="BU28" s="35"/>
      <c r="BV28" s="235"/>
      <c r="BW28" s="235"/>
      <c r="BX28" s="36"/>
      <c r="BY28" s="33"/>
      <c r="BZ28" s="34">
        <v>37.630000000000003</v>
      </c>
      <c r="CA28" s="35"/>
      <c r="CB28" s="405">
        <v>46.09</v>
      </c>
      <c r="CC28" s="404"/>
      <c r="CD28" s="235"/>
      <c r="CE28" s="36"/>
      <c r="CF28" s="30">
        <v>92.674000000000007</v>
      </c>
      <c r="CG28" s="30"/>
      <c r="CH28" s="31">
        <v>91.704999999999998</v>
      </c>
      <c r="CI28" s="32"/>
      <c r="CJ28" s="33">
        <v>4.3499999999999996</v>
      </c>
      <c r="CK28" s="33"/>
      <c r="CL28" s="35">
        <v>4.3499999999999996</v>
      </c>
      <c r="CM28" s="36"/>
      <c r="CN28" s="286"/>
      <c r="CO28" s="249">
        <f t="shared" si="32"/>
        <v>0</v>
      </c>
      <c r="CP28" s="12">
        <f t="shared" si="32"/>
        <v>148.70572000000001</v>
      </c>
      <c r="CQ28" s="12">
        <f t="shared" si="32"/>
        <v>0</v>
      </c>
      <c r="CR28" s="12">
        <f t="shared" si="32"/>
        <v>136.76599999999999</v>
      </c>
      <c r="CS28" s="11">
        <f t="shared" si="32"/>
        <v>0</v>
      </c>
      <c r="CT28" s="11">
        <f t="shared" si="32"/>
        <v>0</v>
      </c>
      <c r="CU28" s="272">
        <f t="shared" si="32"/>
        <v>0</v>
      </c>
      <c r="CV28" s="249">
        <f t="shared" si="13"/>
        <v>88.64268100000001</v>
      </c>
      <c r="CW28" s="12">
        <f t="shared" si="13"/>
        <v>0</v>
      </c>
      <c r="CX28" s="249">
        <f t="shared" si="13"/>
        <v>87.715832500000005</v>
      </c>
      <c r="CY28" s="272">
        <f t="shared" si="13"/>
        <v>0</v>
      </c>
      <c r="CZ28" s="13"/>
      <c r="DA28" s="240">
        <f>(D28+'[2]февраль 20'!D28)/(AY28+'[2]февраль 20'!AX28)</f>
        <v>2.1370001272486698</v>
      </c>
      <c r="DB28" s="241">
        <f>(T28+'[2]февраль 20'!R28)/(AY28+'[2]февраль 20'!AX28)</f>
        <v>1.3433138523690211</v>
      </c>
      <c r="DD28" s="292">
        <f t="shared" si="14"/>
        <v>0</v>
      </c>
      <c r="DE28" s="305">
        <v>0.92</v>
      </c>
      <c r="DF28" s="291">
        <v>13.33</v>
      </c>
      <c r="DG28" s="145">
        <f t="shared" si="15"/>
        <v>0</v>
      </c>
      <c r="DH28" s="293">
        <f t="shared" si="30"/>
        <v>0</v>
      </c>
      <c r="DJ28" s="322"/>
    </row>
    <row r="29" spans="1:114" s="76" customFormat="1" ht="16.5" customHeight="1" thickBot="1">
      <c r="A29" s="144">
        <v>23</v>
      </c>
      <c r="B29" s="122">
        <f t="shared" si="16"/>
        <v>251.85899999999998</v>
      </c>
      <c r="C29" s="123">
        <f t="shared" si="17"/>
        <v>0.70145994385747579</v>
      </c>
      <c r="D29" s="145">
        <f t="shared" si="18"/>
        <v>250.09231</v>
      </c>
      <c r="E29" s="125">
        <f t="shared" si="19"/>
        <v>41.42637976010387</v>
      </c>
      <c r="F29" s="146">
        <f t="shared" si="20"/>
        <v>2.0809811116658348</v>
      </c>
      <c r="G29" s="127"/>
      <c r="H29" s="126">
        <f t="shared" si="21"/>
        <v>1.0428799301048428</v>
      </c>
      <c r="I29" s="230">
        <f>'[1]июль 20'!AI28</f>
        <v>0</v>
      </c>
      <c r="J29" s="247">
        <f>'[1]февраль 20'!AA28</f>
        <v>0</v>
      </c>
      <c r="K29" s="276">
        <f>'[1]сентябрь 20'!AM28</f>
        <v>0</v>
      </c>
      <c r="L29" s="122">
        <f t="shared" si="22"/>
        <v>124.759</v>
      </c>
      <c r="M29" s="128">
        <f t="shared" si="23"/>
        <v>1.038101181560992</v>
      </c>
      <c r="N29" s="400">
        <f>'[1]февраль 20'!W28</f>
        <v>0</v>
      </c>
      <c r="O29" s="403">
        <f>'[1]февраль 20'!AU28</f>
        <v>7.1310000000000002</v>
      </c>
      <c r="P29" s="401">
        <f t="shared" si="0"/>
        <v>159.90800000000002</v>
      </c>
      <c r="Q29" s="122">
        <f>'[1]февраль 20'!S28</f>
        <v>159.90799999999999</v>
      </c>
      <c r="R29" s="123">
        <f t="shared" si="24"/>
        <v>5.16</v>
      </c>
      <c r="S29" s="129">
        <v>10.31</v>
      </c>
      <c r="T29" s="125">
        <f t="shared" si="1"/>
        <v>151.65674719999998</v>
      </c>
      <c r="U29" s="147">
        <f t="shared" si="2"/>
        <v>1.2619133566317191</v>
      </c>
      <c r="V29" s="130">
        <v>120.18</v>
      </c>
      <c r="W29" s="130">
        <v>57.01</v>
      </c>
      <c r="X29" s="129">
        <v>1.02</v>
      </c>
      <c r="Y29" s="150">
        <v>526</v>
      </c>
      <c r="Z29" s="150">
        <v>1194</v>
      </c>
      <c r="AA29" s="148" t="s">
        <v>167</v>
      </c>
      <c r="AB29" s="149">
        <v>76.44</v>
      </c>
      <c r="AC29" s="150">
        <v>101</v>
      </c>
      <c r="AD29" s="151">
        <v>4</v>
      </c>
      <c r="AE29" s="149">
        <v>2.5</v>
      </c>
      <c r="AF29" s="134">
        <f t="shared" si="3"/>
        <v>20.802130138126145</v>
      </c>
      <c r="AG29" s="152"/>
      <c r="AH29" s="129">
        <v>86.05</v>
      </c>
      <c r="AI29" s="134">
        <f t="shared" si="4"/>
        <v>716.00931935430185</v>
      </c>
      <c r="AJ29" s="136">
        <v>11.4</v>
      </c>
      <c r="AK29" s="154"/>
      <c r="AL29" s="155">
        <v>4.82</v>
      </c>
      <c r="AM29" s="156">
        <v>36.340000000000003</v>
      </c>
      <c r="AN29" s="126">
        <f t="shared" si="25"/>
        <v>0.2271959987496093</v>
      </c>
      <c r="AO29" s="157" t="s">
        <v>185</v>
      </c>
      <c r="AP29" s="156">
        <v>10.34</v>
      </c>
      <c r="AQ29" s="156">
        <v>6.58</v>
      </c>
      <c r="AR29" s="149"/>
      <c r="AS29" s="149">
        <v>10.46</v>
      </c>
      <c r="AT29" s="149">
        <v>159.94999999999999</v>
      </c>
      <c r="AU29" s="149">
        <v>1.39</v>
      </c>
      <c r="AV29" s="164"/>
      <c r="AW29" s="149"/>
      <c r="AX29" s="158">
        <f t="shared" si="5"/>
        <v>0</v>
      </c>
      <c r="AY29" s="125">
        <f t="shared" si="6"/>
        <v>120.17999999999999</v>
      </c>
      <c r="AZ29" s="125">
        <f t="shared" si="31"/>
        <v>118.32346670565981</v>
      </c>
      <c r="BA29" s="159">
        <f t="shared" si="7"/>
        <v>6.9724739436619716</v>
      </c>
      <c r="BB29" s="160">
        <f t="shared" si="8"/>
        <v>4.8071999999999999</v>
      </c>
      <c r="BC29" s="161">
        <f t="shared" si="9"/>
        <v>0.88669765111759913</v>
      </c>
      <c r="BD29" s="160">
        <f t="shared" si="26"/>
        <v>11.779673943661972</v>
      </c>
      <c r="BE29" s="162">
        <v>0.86</v>
      </c>
      <c r="BF29" s="25">
        <f t="shared" si="27"/>
        <v>2980.2000000000003</v>
      </c>
      <c r="BG29" s="25">
        <f t="shared" si="10"/>
        <v>124.55172413793103</v>
      </c>
      <c r="BH29" s="25">
        <f t="shared" si="28"/>
        <v>2864.6896551724139</v>
      </c>
      <c r="BI29" s="26">
        <f t="shared" si="11"/>
        <v>1</v>
      </c>
      <c r="BJ29" s="37">
        <f t="shared" si="29"/>
        <v>2864.6896551724139</v>
      </c>
      <c r="BK29" s="328"/>
      <c r="BL29" s="31">
        <v>127.1</v>
      </c>
      <c r="BM29" s="31"/>
      <c r="BN29" s="31">
        <v>124.759</v>
      </c>
      <c r="BO29" s="40"/>
      <c r="BP29" s="40"/>
      <c r="BQ29" s="32"/>
      <c r="BR29" s="33"/>
      <c r="BS29" s="34">
        <v>1.39</v>
      </c>
      <c r="BT29" s="35"/>
      <c r="BU29" s="35"/>
      <c r="BV29" s="235"/>
      <c r="BW29" s="235"/>
      <c r="BX29" s="36"/>
      <c r="BY29" s="33"/>
      <c r="BZ29" s="34">
        <v>37.31</v>
      </c>
      <c r="CA29" s="35"/>
      <c r="CB29" s="35">
        <v>45.62</v>
      </c>
      <c r="CC29" s="235"/>
      <c r="CD29" s="235"/>
      <c r="CE29" s="36"/>
      <c r="CF29" s="30">
        <v>80.031999999999996</v>
      </c>
      <c r="CG29" s="30"/>
      <c r="CH29" s="31">
        <v>79.876000000000005</v>
      </c>
      <c r="CI29" s="32"/>
      <c r="CJ29" s="33">
        <v>5.16</v>
      </c>
      <c r="CK29" s="33"/>
      <c r="CL29" s="35">
        <v>5.16</v>
      </c>
      <c r="CM29" s="36"/>
      <c r="CN29" s="286"/>
      <c r="CO29" s="249">
        <f t="shared" si="32"/>
        <v>0</v>
      </c>
      <c r="CP29" s="12">
        <f t="shared" si="32"/>
        <v>125.33331</v>
      </c>
      <c r="CQ29" s="12">
        <f t="shared" si="32"/>
        <v>0</v>
      </c>
      <c r="CR29" s="12">
        <f t="shared" si="32"/>
        <v>124.759</v>
      </c>
      <c r="CS29" s="11">
        <f t="shared" si="32"/>
        <v>0</v>
      </c>
      <c r="CT29" s="11">
        <f t="shared" si="32"/>
        <v>0</v>
      </c>
      <c r="CU29" s="272">
        <f t="shared" si="32"/>
        <v>0</v>
      </c>
      <c r="CV29" s="249">
        <f t="shared" si="13"/>
        <v>75.902348799999999</v>
      </c>
      <c r="CW29" s="12">
        <f t="shared" si="13"/>
        <v>0</v>
      </c>
      <c r="CX29" s="249">
        <f t="shared" si="13"/>
        <v>75.754398399999999</v>
      </c>
      <c r="CY29" s="272">
        <f t="shared" si="13"/>
        <v>0</v>
      </c>
      <c r="CZ29" s="13"/>
      <c r="DA29" s="240">
        <f>(D29+'[2]февраль 20'!D29)/(AY29+'[2]февраль 20'!AX29)</f>
        <v>2.0375519909719282</v>
      </c>
      <c r="DB29" s="241">
        <f>(T29+'[2]февраль 20'!R29)/(AY29+'[2]февраль 20'!AX29)</f>
        <v>1.2716229290449994</v>
      </c>
      <c r="DD29" s="292">
        <f t="shared" si="14"/>
        <v>0</v>
      </c>
      <c r="DE29" s="291">
        <v>0.15</v>
      </c>
      <c r="DF29" s="291">
        <v>9.1999999999999993</v>
      </c>
      <c r="DG29" s="145">
        <f t="shared" si="15"/>
        <v>0</v>
      </c>
      <c r="DH29" s="293">
        <f t="shared" si="30"/>
        <v>0</v>
      </c>
      <c r="DJ29" s="322"/>
    </row>
    <row r="30" spans="1:114" s="76" customFormat="1" ht="16.5" customHeight="1" thickBot="1">
      <c r="A30" s="144">
        <v>24</v>
      </c>
      <c r="B30" s="122">
        <f t="shared" si="16"/>
        <v>292.51900000000001</v>
      </c>
      <c r="C30" s="123">
        <f t="shared" si="17"/>
        <v>1.2444148927078242</v>
      </c>
      <c r="D30" s="145">
        <f t="shared" si="18"/>
        <v>288.87885</v>
      </c>
      <c r="E30" s="125">
        <f t="shared" si="19"/>
        <v>41.587195566783699</v>
      </c>
      <c r="F30" s="146">
        <f t="shared" si="20"/>
        <v>2.3449862001785862</v>
      </c>
      <c r="G30" s="127"/>
      <c r="H30" s="126">
        <f t="shared" si="21"/>
        <v>1.2278581865411156</v>
      </c>
      <c r="I30" s="230">
        <f>'[1]июль 20'!AI29</f>
        <v>0</v>
      </c>
      <c r="J30" s="247">
        <f>'[1]февраль 20'!AA29</f>
        <v>0</v>
      </c>
      <c r="K30" s="276">
        <f>'[1]сентябрь 20'!AM29</f>
        <v>0</v>
      </c>
      <c r="L30" s="122">
        <f t="shared" si="22"/>
        <v>137.619</v>
      </c>
      <c r="M30" s="128">
        <f t="shared" si="23"/>
        <v>1.1171280136374708</v>
      </c>
      <c r="N30" s="400">
        <f>'[1]февраль 20'!W29</f>
        <v>0</v>
      </c>
      <c r="O30" s="403">
        <f>'[1]февраль 20'!AU29</f>
        <v>8.5649999999999995</v>
      </c>
      <c r="P30" s="401">
        <f t="shared" si="0"/>
        <v>183.405</v>
      </c>
      <c r="Q30" s="122">
        <f>'[1]февраль 20'!S29</f>
        <v>183.405</v>
      </c>
      <c r="R30" s="123">
        <f t="shared" si="24"/>
        <v>5.57</v>
      </c>
      <c r="S30" s="170">
        <v>14.95</v>
      </c>
      <c r="T30" s="125">
        <f t="shared" si="1"/>
        <v>173.18934150000001</v>
      </c>
      <c r="U30" s="147">
        <f t="shared" si="2"/>
        <v>1.4058717550125825</v>
      </c>
      <c r="V30" s="169">
        <v>123.19</v>
      </c>
      <c r="W30" s="169">
        <v>95.47</v>
      </c>
      <c r="X30" s="170">
        <v>1.01</v>
      </c>
      <c r="Y30" s="166">
        <v>508</v>
      </c>
      <c r="Z30" s="166">
        <v>1197</v>
      </c>
      <c r="AA30" s="148" t="s">
        <v>159</v>
      </c>
      <c r="AB30" s="164">
        <v>76.3</v>
      </c>
      <c r="AC30" s="166">
        <v>117</v>
      </c>
      <c r="AD30" s="171">
        <v>4</v>
      </c>
      <c r="AE30" s="164">
        <v>2.4500000000000002</v>
      </c>
      <c r="AF30" s="172">
        <f t="shared" si="3"/>
        <v>19.887977920285742</v>
      </c>
      <c r="AG30" s="173"/>
      <c r="AH30" s="170">
        <v>71.650000000000006</v>
      </c>
      <c r="AI30" s="134">
        <f t="shared" si="4"/>
        <v>581.62188489325445</v>
      </c>
      <c r="AJ30" s="174">
        <v>12.1</v>
      </c>
      <c r="AK30" s="175"/>
      <c r="AL30" s="176">
        <v>5.43</v>
      </c>
      <c r="AM30" s="177">
        <v>36.96</v>
      </c>
      <c r="AN30" s="126">
        <f t="shared" si="25"/>
        <v>0.22468085106382979</v>
      </c>
      <c r="AO30" s="178" t="s">
        <v>186</v>
      </c>
      <c r="AP30" s="177">
        <v>11.75</v>
      </c>
      <c r="AQ30" s="177">
        <v>6.45</v>
      </c>
      <c r="AR30" s="171"/>
      <c r="AS30" s="164">
        <v>8.69</v>
      </c>
      <c r="AT30" s="149">
        <v>164.5</v>
      </c>
      <c r="AU30" s="164">
        <v>1.08</v>
      </c>
      <c r="AV30" s="164"/>
      <c r="AW30" s="164"/>
      <c r="AX30" s="179">
        <f t="shared" si="5"/>
        <v>0</v>
      </c>
      <c r="AY30" s="125">
        <f t="shared" si="6"/>
        <v>123.18999999999998</v>
      </c>
      <c r="AZ30" s="125">
        <f t="shared" si="31"/>
        <v>137.45643845137957</v>
      </c>
      <c r="BA30" s="159">
        <f t="shared" si="7"/>
        <v>4.8232559859154929</v>
      </c>
      <c r="BB30" s="159">
        <f t="shared" si="8"/>
        <v>4.9275999999999991</v>
      </c>
      <c r="BC30" s="180">
        <f t="shared" si="9"/>
        <v>0.78239237980867837</v>
      </c>
      <c r="BD30" s="159">
        <f t="shared" si="26"/>
        <v>9.7508559859154929</v>
      </c>
      <c r="BE30" s="167">
        <v>0.85699999999999998</v>
      </c>
      <c r="BF30" s="25">
        <f t="shared" si="27"/>
        <v>3103.3900000000003</v>
      </c>
      <c r="BG30" s="25">
        <f t="shared" si="10"/>
        <v>124.55172413793103</v>
      </c>
      <c r="BH30" s="25">
        <f t="shared" si="28"/>
        <v>2989.2413793103451</v>
      </c>
      <c r="BI30" s="26">
        <f t="shared" si="11"/>
        <v>1</v>
      </c>
      <c r="BJ30" s="37">
        <f t="shared" si="29"/>
        <v>2989.2413793103451</v>
      </c>
      <c r="BK30" s="38"/>
      <c r="BL30" s="31">
        <v>154.9</v>
      </c>
      <c r="BM30" s="31"/>
      <c r="BN30" s="31">
        <v>137.619</v>
      </c>
      <c r="BO30" s="40"/>
      <c r="BP30" s="40"/>
      <c r="BQ30" s="44"/>
      <c r="BR30" s="45"/>
      <c r="BS30" s="46">
        <v>2.35</v>
      </c>
      <c r="BT30" s="47"/>
      <c r="BU30" s="47"/>
      <c r="BV30" s="283"/>
      <c r="BW30" s="283"/>
      <c r="BX30" s="48"/>
      <c r="BY30" s="45"/>
      <c r="BZ30" s="46">
        <v>37.72</v>
      </c>
      <c r="CA30" s="47"/>
      <c r="CB30" s="47">
        <v>45.94</v>
      </c>
      <c r="CC30" s="283"/>
      <c r="CD30" s="283"/>
      <c r="CE30" s="48"/>
      <c r="CF30" s="49">
        <v>91.147000000000006</v>
      </c>
      <c r="CG30" s="49"/>
      <c r="CH30" s="43">
        <v>92.257999999999996</v>
      </c>
      <c r="CI30" s="32"/>
      <c r="CJ30" s="33">
        <v>5.57</v>
      </c>
      <c r="CK30" s="33"/>
      <c r="CL30" s="35">
        <v>5.57</v>
      </c>
      <c r="CM30" s="36"/>
      <c r="CN30" s="286"/>
      <c r="CO30" s="249">
        <f t="shared" si="32"/>
        <v>0</v>
      </c>
      <c r="CP30" s="12">
        <f t="shared" si="32"/>
        <v>151.25985</v>
      </c>
      <c r="CQ30" s="12">
        <f t="shared" si="32"/>
        <v>0</v>
      </c>
      <c r="CR30" s="12">
        <f t="shared" si="32"/>
        <v>137.619</v>
      </c>
      <c r="CS30" s="11">
        <f t="shared" si="32"/>
        <v>0</v>
      </c>
      <c r="CT30" s="11">
        <f t="shared" si="32"/>
        <v>0</v>
      </c>
      <c r="CU30" s="272">
        <f t="shared" si="32"/>
        <v>0</v>
      </c>
      <c r="CV30" s="249">
        <f t="shared" si="13"/>
        <v>86.070112100000003</v>
      </c>
      <c r="CW30" s="11">
        <f t="shared" si="13"/>
        <v>0</v>
      </c>
      <c r="CX30" s="252">
        <f t="shared" si="13"/>
        <v>87.119229399999995</v>
      </c>
      <c r="CY30" s="272">
        <f t="shared" si="13"/>
        <v>0</v>
      </c>
      <c r="CZ30" s="13"/>
      <c r="DA30" s="240">
        <f>(D30+'[2]февраль 20'!D30)/(AY30+'[2]февраль 20'!AX30)</f>
        <v>2.0560705218713515</v>
      </c>
      <c r="DB30" s="241">
        <f>(T30+'[2]февраль 20'!R30)/(AY30+'[2]февраль 20'!AX30)</f>
        <v>1.2833618656493528</v>
      </c>
      <c r="DD30" s="292">
        <f t="shared" si="14"/>
        <v>0</v>
      </c>
      <c r="DE30" s="291">
        <v>0.41</v>
      </c>
      <c r="DF30" s="291">
        <v>11.88</v>
      </c>
      <c r="DG30" s="145">
        <f t="shared" si="15"/>
        <v>0</v>
      </c>
      <c r="DH30" s="293">
        <f t="shared" si="30"/>
        <v>0</v>
      </c>
      <c r="DJ30" s="322"/>
    </row>
    <row r="31" spans="1:114" s="76" customFormat="1" ht="16.5" customHeight="1" thickBot="1">
      <c r="A31" s="144">
        <v>25</v>
      </c>
      <c r="B31" s="122">
        <f t="shared" si="16"/>
        <v>304.00099999999998</v>
      </c>
      <c r="C31" s="123">
        <f t="shared" si="17"/>
        <v>1.7468626747938329</v>
      </c>
      <c r="D31" s="145">
        <f t="shared" si="18"/>
        <v>298.69051999999999</v>
      </c>
      <c r="E31" s="125">
        <f t="shared" si="19"/>
        <v>41.204726464715577</v>
      </c>
      <c r="F31" s="146">
        <f t="shared" si="20"/>
        <v>2.31525091078211</v>
      </c>
      <c r="G31" s="127"/>
      <c r="H31" s="126">
        <f t="shared" si="21"/>
        <v>1.2176538252848619</v>
      </c>
      <c r="I31" s="230">
        <f>'[1]июль 20'!AI30</f>
        <v>0</v>
      </c>
      <c r="J31" s="247">
        <f>'[1]февраль 20'!AA30</f>
        <v>0</v>
      </c>
      <c r="K31" s="276">
        <f>'[1]сентябрь 20'!AM30</f>
        <v>0</v>
      </c>
      <c r="L31" s="122">
        <f t="shared" si="22"/>
        <v>141.601</v>
      </c>
      <c r="M31" s="128">
        <f t="shared" si="23"/>
        <v>1.0975970854972483</v>
      </c>
      <c r="N31" s="400">
        <f>'[1]февраль 20'!W30</f>
        <v>0</v>
      </c>
      <c r="O31" s="403">
        <f>'[1]февраль 20'!AU30</f>
        <v>9.5869999999999997</v>
      </c>
      <c r="P31" s="401">
        <f t="shared" si="0"/>
        <v>192.203</v>
      </c>
      <c r="Q31" s="122">
        <f>'[1]февраль 20'!S30</f>
        <v>192.203</v>
      </c>
      <c r="R31" s="123">
        <f t="shared" si="24"/>
        <v>5.21</v>
      </c>
      <c r="S31" s="129">
        <v>16.23</v>
      </c>
      <c r="T31" s="125">
        <f t="shared" si="1"/>
        <v>182.18922370000001</v>
      </c>
      <c r="U31" s="147">
        <f t="shared" si="2"/>
        <v>1.4122100899155106</v>
      </c>
      <c r="V31" s="130">
        <v>129.01</v>
      </c>
      <c r="W31" s="130">
        <v>129.01</v>
      </c>
      <c r="X31" s="129">
        <v>0.45</v>
      </c>
      <c r="Y31" s="150">
        <v>500</v>
      </c>
      <c r="Z31" s="150">
        <v>1196</v>
      </c>
      <c r="AA31" s="148" t="s">
        <v>187</v>
      </c>
      <c r="AB31" s="149">
        <v>76.16</v>
      </c>
      <c r="AC31" s="150">
        <v>122</v>
      </c>
      <c r="AD31" s="151">
        <v>4</v>
      </c>
      <c r="AE31" s="149">
        <v>6.8</v>
      </c>
      <c r="AF31" s="134">
        <f t="shared" si="3"/>
        <v>52.709092318424929</v>
      </c>
      <c r="AG31" s="152"/>
      <c r="AH31" s="129">
        <v>82.6</v>
      </c>
      <c r="AI31" s="134">
        <f t="shared" si="4"/>
        <v>640.26044492674987</v>
      </c>
      <c r="AJ31" s="136">
        <v>12.24</v>
      </c>
      <c r="AK31" s="154"/>
      <c r="AL31" s="155">
        <v>6.43</v>
      </c>
      <c r="AM31" s="156">
        <v>35.31</v>
      </c>
      <c r="AN31" s="126">
        <f t="shared" si="25"/>
        <v>0.20856467808623744</v>
      </c>
      <c r="AO31" s="157" t="s">
        <v>184</v>
      </c>
      <c r="AP31" s="156">
        <v>10.86</v>
      </c>
      <c r="AQ31" s="156">
        <v>6.53</v>
      </c>
      <c r="AR31" s="151"/>
      <c r="AS31" s="149">
        <v>9.0299999999999994</v>
      </c>
      <c r="AT31" s="149">
        <v>169.3</v>
      </c>
      <c r="AU31" s="149">
        <v>1.45</v>
      </c>
      <c r="AV31" s="164"/>
      <c r="AW31" s="149"/>
      <c r="AX31" s="158">
        <f t="shared" si="5"/>
        <v>0</v>
      </c>
      <c r="AY31" s="125">
        <f t="shared" si="6"/>
        <v>129.01</v>
      </c>
      <c r="AZ31" s="125">
        <f t="shared" si="31"/>
        <v>141.07685931039646</v>
      </c>
      <c r="BA31" s="159">
        <f t="shared" si="7"/>
        <v>5.7779281690140838</v>
      </c>
      <c r="BB31" s="160">
        <f t="shared" si="8"/>
        <v>5.1604000000000001</v>
      </c>
      <c r="BC31" s="161">
        <f t="shared" si="9"/>
        <v>0.79832887229365912</v>
      </c>
      <c r="BD31" s="160">
        <f t="shared" si="26"/>
        <v>10.938328169014085</v>
      </c>
      <c r="BE31" s="162">
        <v>0.85399999999999998</v>
      </c>
      <c r="BF31" s="25">
        <f t="shared" si="27"/>
        <v>3232.4000000000005</v>
      </c>
      <c r="BG31" s="25">
        <f t="shared" si="10"/>
        <v>124.55172413793103</v>
      </c>
      <c r="BH31" s="25">
        <f t="shared" si="28"/>
        <v>3113.7931034482763</v>
      </c>
      <c r="BI31" s="26">
        <f t="shared" si="11"/>
        <v>1</v>
      </c>
      <c r="BJ31" s="37">
        <f t="shared" si="29"/>
        <v>3113.7931034482763</v>
      </c>
      <c r="BK31" s="38"/>
      <c r="BL31" s="31">
        <v>162.4</v>
      </c>
      <c r="BM31" s="31"/>
      <c r="BN31" s="31">
        <v>141.601</v>
      </c>
      <c r="BO31" s="40"/>
      <c r="BP31" s="40"/>
      <c r="BQ31" s="32"/>
      <c r="BR31" s="33"/>
      <c r="BS31" s="34">
        <v>3.27</v>
      </c>
      <c r="BT31" s="35"/>
      <c r="BU31" s="35"/>
      <c r="BV31" s="235"/>
      <c r="BW31" s="235"/>
      <c r="BX31" s="36"/>
      <c r="BY31" s="33"/>
      <c r="BZ31" s="34">
        <v>36.979999999999997</v>
      </c>
      <c r="CA31" s="35"/>
      <c r="CB31" s="35">
        <v>46.05</v>
      </c>
      <c r="CC31" s="235"/>
      <c r="CD31" s="235"/>
      <c r="CE31" s="36"/>
      <c r="CF31" s="30">
        <v>95.828000000000003</v>
      </c>
      <c r="CG31" s="30"/>
      <c r="CH31" s="31">
        <v>96.375</v>
      </c>
      <c r="CI31" s="32"/>
      <c r="CJ31" s="33">
        <v>5.21</v>
      </c>
      <c r="CK31" s="33"/>
      <c r="CL31" s="35">
        <v>5.21</v>
      </c>
      <c r="CM31" s="36"/>
      <c r="CN31" s="286"/>
      <c r="CO31" s="249">
        <f t="shared" si="32"/>
        <v>0</v>
      </c>
      <c r="CP31" s="12">
        <f t="shared" si="32"/>
        <v>157.08952000000002</v>
      </c>
      <c r="CQ31" s="12">
        <f t="shared" si="32"/>
        <v>0</v>
      </c>
      <c r="CR31" s="12">
        <f t="shared" si="32"/>
        <v>141.601</v>
      </c>
      <c r="CS31" s="11">
        <f t="shared" si="32"/>
        <v>0</v>
      </c>
      <c r="CT31" s="11">
        <f t="shared" si="32"/>
        <v>0</v>
      </c>
      <c r="CU31" s="272">
        <f t="shared" si="32"/>
        <v>0</v>
      </c>
      <c r="CV31" s="249">
        <f t="shared" si="13"/>
        <v>90.835361200000008</v>
      </c>
      <c r="CW31" s="12">
        <f t="shared" si="13"/>
        <v>0</v>
      </c>
      <c r="CX31" s="249">
        <f t="shared" si="13"/>
        <v>91.353862500000005</v>
      </c>
      <c r="CY31" s="272">
        <f t="shared" si="13"/>
        <v>0</v>
      </c>
      <c r="CZ31" s="13"/>
      <c r="DA31" s="240">
        <f>(D31+'[2]февраль 20'!D31)/(AY31+'[2]февраль 20'!AX31)</f>
        <v>2.138327948994355</v>
      </c>
      <c r="DB31" s="241">
        <f>(T31+'[2]февраль 20'!R31)/(AY31+'[2]февраль 20'!AX31)</f>
        <v>1.3426831116847751</v>
      </c>
      <c r="DD31" s="292">
        <f t="shared" si="14"/>
        <v>0</v>
      </c>
      <c r="DE31" s="291">
        <v>0.13</v>
      </c>
      <c r="DF31" s="291">
        <v>13.57</v>
      </c>
      <c r="DG31" s="145">
        <f t="shared" si="15"/>
        <v>0</v>
      </c>
      <c r="DH31" s="293">
        <f t="shared" si="30"/>
        <v>0</v>
      </c>
      <c r="DJ31" s="322"/>
    </row>
    <row r="32" spans="1:114" s="76" customFormat="1" ht="16.5" customHeight="1" thickBot="1">
      <c r="A32" s="144">
        <v>26</v>
      </c>
      <c r="B32" s="122">
        <f t="shared" si="16"/>
        <v>240.03800000000001</v>
      </c>
      <c r="C32" s="123">
        <f t="shared" si="17"/>
        <v>0.72501853873136757</v>
      </c>
      <c r="D32" s="145">
        <f t="shared" si="18"/>
        <v>238.29768000000004</v>
      </c>
      <c r="E32" s="125">
        <f t="shared" si="19"/>
        <v>41.819411093243573</v>
      </c>
      <c r="F32" s="146">
        <f t="shared" si="20"/>
        <v>1.9658280811747242</v>
      </c>
      <c r="G32" s="127"/>
      <c r="H32" s="126">
        <f t="shared" si="21"/>
        <v>0.96897937634053799</v>
      </c>
      <c r="I32" s="230">
        <f>'[1]июль 20'!AI31</f>
        <v>0</v>
      </c>
      <c r="J32" s="247">
        <f>'[1]февраль 20'!AA31</f>
        <v>3.4239999999999999</v>
      </c>
      <c r="K32" s="276">
        <f>'[1]сентябрь 20'!AM31</f>
        <v>0</v>
      </c>
      <c r="L32" s="122">
        <f t="shared" si="22"/>
        <v>120.83799999999999</v>
      </c>
      <c r="M32" s="128">
        <f t="shared" si="23"/>
        <v>0.99684870483418586</v>
      </c>
      <c r="N32" s="400">
        <f>'[1]февраль 20'!W31</f>
        <v>0</v>
      </c>
      <c r="O32" s="403">
        <f>'[1]февраль 20'!AU31</f>
        <v>6.9749999999999996</v>
      </c>
      <c r="P32" s="401">
        <f t="shared" si="0"/>
        <v>153.37200000000001</v>
      </c>
      <c r="Q32" s="122">
        <f>'[1]февраль 20'!S31</f>
        <v>153.37200000000001</v>
      </c>
      <c r="R32" s="123">
        <f t="shared" si="24"/>
        <v>4.04</v>
      </c>
      <c r="S32" s="129">
        <v>8.43</v>
      </c>
      <c r="T32" s="125">
        <f t="shared" si="1"/>
        <v>147.17577119999999</v>
      </c>
      <c r="U32" s="147">
        <f t="shared" si="2"/>
        <v>1.214121194522356</v>
      </c>
      <c r="V32" s="130">
        <v>121.22</v>
      </c>
      <c r="W32" s="130">
        <v>121.22</v>
      </c>
      <c r="X32" s="129">
        <v>0.56000000000000005</v>
      </c>
      <c r="Y32" s="150">
        <v>545</v>
      </c>
      <c r="Z32" s="150">
        <v>1178</v>
      </c>
      <c r="AA32" s="148" t="s">
        <v>188</v>
      </c>
      <c r="AB32" s="149">
        <v>76.28</v>
      </c>
      <c r="AC32" s="150">
        <v>96</v>
      </c>
      <c r="AD32" s="151">
        <v>4</v>
      </c>
      <c r="AE32" s="149">
        <v>5.65</v>
      </c>
      <c r="AF32" s="134">
        <f t="shared" si="3"/>
        <v>46.609470384425016</v>
      </c>
      <c r="AG32" s="152"/>
      <c r="AH32" s="129">
        <v>83.7</v>
      </c>
      <c r="AI32" s="134">
        <f t="shared" si="4"/>
        <v>690.48011879227863</v>
      </c>
      <c r="AJ32" s="153">
        <v>12.42</v>
      </c>
      <c r="AK32" s="154"/>
      <c r="AL32" s="155">
        <v>4.75</v>
      </c>
      <c r="AM32" s="156">
        <v>35.99</v>
      </c>
      <c r="AN32" s="126">
        <f t="shared" si="25"/>
        <v>0.22444652323043346</v>
      </c>
      <c r="AO32" s="157" t="s">
        <v>189</v>
      </c>
      <c r="AP32" s="156">
        <v>9.99</v>
      </c>
      <c r="AQ32" s="156">
        <v>6.57</v>
      </c>
      <c r="AR32" s="151"/>
      <c r="AS32" s="149">
        <v>11.24</v>
      </c>
      <c r="AT32" s="149">
        <v>160.35</v>
      </c>
      <c r="AU32" s="149">
        <v>1.61</v>
      </c>
      <c r="AV32" s="149"/>
      <c r="AW32" s="149"/>
      <c r="AX32" s="158">
        <f t="shared" si="5"/>
        <v>0</v>
      </c>
      <c r="AY32" s="125">
        <f t="shared" si="6"/>
        <v>121.21999999999998</v>
      </c>
      <c r="AZ32" s="125">
        <f t="shared" si="31"/>
        <v>114.89672015220843</v>
      </c>
      <c r="BA32" s="159">
        <f t="shared" si="7"/>
        <v>7.2877943661971836</v>
      </c>
      <c r="BB32" s="160">
        <f t="shared" si="8"/>
        <v>4.8487999999999998</v>
      </c>
      <c r="BC32" s="161">
        <f t="shared" si="9"/>
        <v>0.92787022183566081</v>
      </c>
      <c r="BD32" s="160">
        <f t="shared" si="26"/>
        <v>12.136594366197183</v>
      </c>
      <c r="BE32" s="162">
        <v>0.85699999999999998</v>
      </c>
      <c r="BF32" s="25">
        <f t="shared" si="27"/>
        <v>3353.6200000000003</v>
      </c>
      <c r="BG32" s="25">
        <f t="shared" si="10"/>
        <v>124.55172413793103</v>
      </c>
      <c r="BH32" s="25">
        <f t="shared" si="28"/>
        <v>3238.3448275862074</v>
      </c>
      <c r="BI32" s="26">
        <f t="shared" si="11"/>
        <v>1</v>
      </c>
      <c r="BJ32" s="37">
        <f t="shared" si="29"/>
        <v>3238.3448275862074</v>
      </c>
      <c r="BK32" s="38"/>
      <c r="BL32" s="31">
        <v>119.2</v>
      </c>
      <c r="BM32" s="31"/>
      <c r="BN32" s="31">
        <v>120.83799999999999</v>
      </c>
      <c r="BO32" s="40"/>
      <c r="BP32" s="40"/>
      <c r="BQ32" s="32"/>
      <c r="BR32" s="33"/>
      <c r="BS32" s="34">
        <v>1.46</v>
      </c>
      <c r="BT32" s="35"/>
      <c r="BU32" s="35"/>
      <c r="BV32" s="235"/>
      <c r="BW32" s="235"/>
      <c r="BX32" s="36"/>
      <c r="BY32" s="33"/>
      <c r="BZ32" s="34">
        <v>37.479999999999997</v>
      </c>
      <c r="CA32" s="35"/>
      <c r="CB32" s="35">
        <v>46.1</v>
      </c>
      <c r="CC32" s="235"/>
      <c r="CD32" s="235"/>
      <c r="CE32" s="36"/>
      <c r="CF32" s="30">
        <v>77.510999999999996</v>
      </c>
      <c r="CG32" s="30"/>
      <c r="CH32" s="31">
        <v>75.861000000000004</v>
      </c>
      <c r="CI32" s="50"/>
      <c r="CJ32" s="33">
        <v>4.04</v>
      </c>
      <c r="CK32" s="33"/>
      <c r="CL32" s="35">
        <v>4.04</v>
      </c>
      <c r="CM32" s="36"/>
      <c r="CN32" s="286"/>
      <c r="CO32" s="249">
        <f t="shared" si="32"/>
        <v>0</v>
      </c>
      <c r="CP32" s="12">
        <f t="shared" si="32"/>
        <v>117.45968000000001</v>
      </c>
      <c r="CQ32" s="12">
        <f t="shared" si="32"/>
        <v>0</v>
      </c>
      <c r="CR32" s="12">
        <f t="shared" si="32"/>
        <v>120.83799999999999</v>
      </c>
      <c r="CS32" s="11">
        <f t="shared" si="32"/>
        <v>0</v>
      </c>
      <c r="CT32" s="11">
        <f t="shared" si="32"/>
        <v>0</v>
      </c>
      <c r="CU32" s="272">
        <f t="shared" si="32"/>
        <v>0</v>
      </c>
      <c r="CV32" s="249">
        <f t="shared" si="13"/>
        <v>74.379555599999989</v>
      </c>
      <c r="CW32" s="11">
        <f t="shared" si="13"/>
        <v>0</v>
      </c>
      <c r="CX32" s="249">
        <f t="shared" si="13"/>
        <v>72.796215599999996</v>
      </c>
      <c r="CY32" s="272">
        <f t="shared" si="13"/>
        <v>0</v>
      </c>
      <c r="CZ32" s="13"/>
      <c r="DA32" s="240">
        <f>(D32+'[2]февраль 20'!D32)/(AY32+'[2]февраль 20'!AX32)</f>
        <v>1.8673130799605131</v>
      </c>
      <c r="DB32" s="241">
        <f>(T32+'[2]февраль 20'!R32)/(AY32+'[2]февраль 20'!AX32)</f>
        <v>1.1580996248766042</v>
      </c>
      <c r="DD32" s="292">
        <f t="shared" si="14"/>
        <v>3.4239999999999999</v>
      </c>
      <c r="DE32" s="291">
        <v>0.38</v>
      </c>
      <c r="DF32" s="291">
        <v>18.899999999999999</v>
      </c>
      <c r="DG32" s="145">
        <f t="shared" si="15"/>
        <v>3.4109888000000002</v>
      </c>
      <c r="DH32" s="293">
        <f t="shared" si="30"/>
        <v>0.84514536339800728</v>
      </c>
      <c r="DJ32" s="322"/>
    </row>
    <row r="33" spans="1:114" s="76" customFormat="1" ht="16.5" customHeight="1" thickBot="1">
      <c r="A33" s="144">
        <v>27</v>
      </c>
      <c r="B33" s="122">
        <f t="shared" si="16"/>
        <v>286.63599999999997</v>
      </c>
      <c r="C33" s="123">
        <f t="shared" si="17"/>
        <v>1.6718974587979181</v>
      </c>
      <c r="D33" s="145">
        <f t="shared" si="18"/>
        <v>281.84373999999997</v>
      </c>
      <c r="E33" s="125">
        <f t="shared" si="19"/>
        <v>41.734590491075792</v>
      </c>
      <c r="F33" s="146">
        <f t="shared" si="20"/>
        <v>2.1703660865547509</v>
      </c>
      <c r="G33" s="127"/>
      <c r="H33" s="126">
        <f t="shared" si="21"/>
        <v>1.1235772370244876</v>
      </c>
      <c r="I33" s="230">
        <f>'[1]июль 20'!AI32</f>
        <v>0</v>
      </c>
      <c r="J33" s="247">
        <f>'[1]февраль 20'!AA32</f>
        <v>5.827</v>
      </c>
      <c r="K33" s="276">
        <f>'[1]сентябрь 20'!AM32</f>
        <v>0</v>
      </c>
      <c r="L33" s="122">
        <f t="shared" si="22"/>
        <v>135.93600000000001</v>
      </c>
      <c r="M33" s="128">
        <f t="shared" si="23"/>
        <v>1.0467888495302633</v>
      </c>
      <c r="N33" s="400">
        <f>'[1]февраль 20'!W32</f>
        <v>0</v>
      </c>
      <c r="O33" s="403">
        <f>'[1]февраль 20'!AU32</f>
        <v>8.4440000000000008</v>
      </c>
      <c r="P33" s="401">
        <f t="shared" si="0"/>
        <v>183.88600000000002</v>
      </c>
      <c r="Q33" s="122">
        <f>'[1]февраль 20'!S32</f>
        <v>183.886</v>
      </c>
      <c r="R33" s="123">
        <f t="shared" si="24"/>
        <v>3.49</v>
      </c>
      <c r="S33" s="129">
        <v>14.59</v>
      </c>
      <c r="T33" s="125">
        <f t="shared" si="1"/>
        <v>177.46837860000002</v>
      </c>
      <c r="U33" s="147">
        <f t="shared" si="2"/>
        <v>1.3666131110426614</v>
      </c>
      <c r="V33" s="130">
        <v>129.86000000000001</v>
      </c>
      <c r="W33" s="130">
        <v>62.17</v>
      </c>
      <c r="X33" s="129">
        <v>0.89</v>
      </c>
      <c r="Y33" s="150">
        <v>503</v>
      </c>
      <c r="Z33" s="150">
        <v>1194</v>
      </c>
      <c r="AA33" s="148" t="s">
        <v>190</v>
      </c>
      <c r="AB33" s="149">
        <v>76.260000000000005</v>
      </c>
      <c r="AC33" s="150">
        <v>115</v>
      </c>
      <c r="AD33" s="151">
        <v>4</v>
      </c>
      <c r="AE33" s="149">
        <v>8.85</v>
      </c>
      <c r="AF33" s="134">
        <f t="shared" si="3"/>
        <v>68.150315724626509</v>
      </c>
      <c r="AG33" s="152"/>
      <c r="AH33" s="129">
        <v>84</v>
      </c>
      <c r="AI33" s="134">
        <f t="shared" si="4"/>
        <v>646.85045433543803</v>
      </c>
      <c r="AJ33" s="136">
        <v>11.94</v>
      </c>
      <c r="AK33" s="154"/>
      <c r="AL33" s="155">
        <v>5.51</v>
      </c>
      <c r="AM33" s="156">
        <v>33.83</v>
      </c>
      <c r="AN33" s="126">
        <f t="shared" si="25"/>
        <v>0.20148898153662892</v>
      </c>
      <c r="AO33" s="157" t="s">
        <v>191</v>
      </c>
      <c r="AP33" s="156">
        <v>11.65</v>
      </c>
      <c r="AQ33" s="156">
        <v>6.25</v>
      </c>
      <c r="AR33" s="151"/>
      <c r="AS33" s="149">
        <v>9.52</v>
      </c>
      <c r="AT33" s="149">
        <v>167.9</v>
      </c>
      <c r="AU33" s="149">
        <v>1.3</v>
      </c>
      <c r="AV33" s="149"/>
      <c r="AW33" s="149"/>
      <c r="AX33" s="158">
        <f t="shared" si="5"/>
        <v>0</v>
      </c>
      <c r="AY33" s="125">
        <f t="shared" si="6"/>
        <v>129.86000000000001</v>
      </c>
      <c r="AZ33" s="125">
        <f t="shared" si="31"/>
        <v>135.93393651566791</v>
      </c>
      <c r="BA33" s="159">
        <f t="shared" si="7"/>
        <v>6.1947042253521118</v>
      </c>
      <c r="BB33" s="160">
        <f t="shared" si="8"/>
        <v>5.1944000000000008</v>
      </c>
      <c r="BC33" s="161">
        <f t="shared" si="9"/>
        <v>0.84191384190171403</v>
      </c>
      <c r="BD33" s="160">
        <f t="shared" si="26"/>
        <v>11.389104225352114</v>
      </c>
      <c r="BE33" s="162">
        <v>0.85599999999999998</v>
      </c>
      <c r="BF33" s="25">
        <f t="shared" si="27"/>
        <v>3483.4800000000005</v>
      </c>
      <c r="BG33" s="25">
        <f t="shared" si="10"/>
        <v>124.55172413793103</v>
      </c>
      <c r="BH33" s="25">
        <f t="shared" si="28"/>
        <v>3362.8965517241386</v>
      </c>
      <c r="BI33" s="26">
        <f t="shared" si="11"/>
        <v>1</v>
      </c>
      <c r="BJ33" s="37">
        <f t="shared" si="29"/>
        <v>3362.8965517241386</v>
      </c>
      <c r="BK33" s="38"/>
      <c r="BL33" s="31">
        <v>150.69999999999999</v>
      </c>
      <c r="BM33" s="31"/>
      <c r="BN33" s="31">
        <v>135.93600000000001</v>
      </c>
      <c r="BO33" s="40"/>
      <c r="BP33" s="40"/>
      <c r="BQ33" s="32"/>
      <c r="BR33" s="33"/>
      <c r="BS33" s="34">
        <v>3.18</v>
      </c>
      <c r="BT33" s="35"/>
      <c r="BU33" s="35"/>
      <c r="BV33" s="235"/>
      <c r="BW33" s="235"/>
      <c r="BX33" s="36"/>
      <c r="BY33" s="33"/>
      <c r="BZ33" s="34">
        <v>37.86</v>
      </c>
      <c r="CA33" s="35"/>
      <c r="CB33" s="35">
        <v>46.03</v>
      </c>
      <c r="CC33" s="235"/>
      <c r="CD33" s="235"/>
      <c r="CE33" s="36"/>
      <c r="CF33" s="30">
        <v>92.936000000000007</v>
      </c>
      <c r="CG33" s="30"/>
      <c r="CH33" s="31">
        <v>90.95</v>
      </c>
      <c r="CI33" s="32"/>
      <c r="CJ33" s="33">
        <v>3.49</v>
      </c>
      <c r="CK33" s="33"/>
      <c r="CL33" s="35">
        <v>3.49</v>
      </c>
      <c r="CM33" s="36"/>
      <c r="CN33" s="270"/>
      <c r="CO33" s="249">
        <f t="shared" si="32"/>
        <v>0</v>
      </c>
      <c r="CP33" s="12">
        <f t="shared" si="32"/>
        <v>145.90773999999999</v>
      </c>
      <c r="CQ33" s="12">
        <f t="shared" si="32"/>
        <v>0</v>
      </c>
      <c r="CR33" s="12">
        <f t="shared" si="32"/>
        <v>135.93600000000001</v>
      </c>
      <c r="CS33" s="11">
        <f t="shared" si="32"/>
        <v>0</v>
      </c>
      <c r="CT33" s="11">
        <f t="shared" si="32"/>
        <v>0</v>
      </c>
      <c r="CU33" s="272">
        <f t="shared" si="32"/>
        <v>0</v>
      </c>
      <c r="CV33" s="249">
        <f t="shared" si="13"/>
        <v>89.692533600000019</v>
      </c>
      <c r="CW33" s="12">
        <f t="shared" si="13"/>
        <v>0</v>
      </c>
      <c r="CX33" s="254">
        <f t="shared" si="13"/>
        <v>87.775845000000004</v>
      </c>
      <c r="CY33" s="275">
        <f t="shared" si="13"/>
        <v>0</v>
      </c>
      <c r="CZ33" s="13"/>
      <c r="DA33" s="240">
        <f>(D33+'[2]февраль 20'!D33)/(AY33+'[2]февраль 20'!AX33)</f>
        <v>2.0354074430187863</v>
      </c>
      <c r="DB33" s="241">
        <f>(T33+'[2]февраль 20'!R33)/(AY33+'[2]февраль 20'!AX33)</f>
        <v>1.3006561057874506</v>
      </c>
      <c r="DD33" s="292">
        <f t="shared" si="14"/>
        <v>5.827</v>
      </c>
      <c r="DE33" s="291">
        <v>0.12</v>
      </c>
      <c r="DF33" s="291">
        <v>16.760000000000002</v>
      </c>
      <c r="DG33" s="145">
        <f t="shared" si="15"/>
        <v>5.8200075999999994</v>
      </c>
      <c r="DH33" s="293">
        <f t="shared" si="30"/>
        <v>1.2790890030946762</v>
      </c>
      <c r="DJ33" s="322"/>
    </row>
    <row r="34" spans="1:114" s="76" customFormat="1" ht="16.5" customHeight="1" thickBot="1">
      <c r="A34" s="144">
        <v>28</v>
      </c>
      <c r="B34" s="122">
        <f t="shared" si="16"/>
        <v>333.18</v>
      </c>
      <c r="C34" s="123">
        <f t="shared" si="17"/>
        <v>1.3585209196230263</v>
      </c>
      <c r="D34" s="145">
        <f t="shared" si="18"/>
        <v>328.65368000000001</v>
      </c>
      <c r="E34" s="125">
        <f t="shared" si="19"/>
        <v>41.540394381415446</v>
      </c>
      <c r="F34" s="146">
        <f t="shared" si="20"/>
        <v>2.5570192173033535</v>
      </c>
      <c r="G34" s="127"/>
      <c r="H34" s="126">
        <f t="shared" si="21"/>
        <v>1.4827174978604218</v>
      </c>
      <c r="I34" s="230">
        <f>'[1]июль 20'!AI33</f>
        <v>0</v>
      </c>
      <c r="J34" s="247">
        <f>'[1]февраль 20'!AA33</f>
        <v>7.1120000000000001</v>
      </c>
      <c r="K34" s="276">
        <f>'[1]сентябрь 20'!AM33</f>
        <v>0</v>
      </c>
      <c r="L34" s="122">
        <f t="shared" si="22"/>
        <v>138.08000000000001</v>
      </c>
      <c r="M34" s="128">
        <f t="shared" si="23"/>
        <v>1.0743017194429316</v>
      </c>
      <c r="N34" s="400">
        <f>'[1]февраль 20'!W33</f>
        <v>0</v>
      </c>
      <c r="O34" s="403">
        <f>'[1]февраль 20'!AU33</f>
        <v>11.657999999999999</v>
      </c>
      <c r="P34" s="401">
        <f t="shared" si="0"/>
        <v>212.92599999999999</v>
      </c>
      <c r="Q34" s="122">
        <f>'[1]февраль 20'!S33</f>
        <v>212.92599999999999</v>
      </c>
      <c r="R34" s="123">
        <f t="shared" si="24"/>
        <v>3.66</v>
      </c>
      <c r="S34" s="170">
        <v>15.19</v>
      </c>
      <c r="T34" s="125">
        <f t="shared" si="1"/>
        <v>205.13290839999999</v>
      </c>
      <c r="U34" s="147">
        <f t="shared" si="2"/>
        <v>1.5959924406753285</v>
      </c>
      <c r="V34" s="169">
        <v>128.53</v>
      </c>
      <c r="W34" s="169">
        <v>99.53</v>
      </c>
      <c r="X34" s="170">
        <v>1.06</v>
      </c>
      <c r="Y34" s="166">
        <v>485</v>
      </c>
      <c r="Z34" s="166">
        <v>1195</v>
      </c>
      <c r="AA34" s="148" t="s">
        <v>192</v>
      </c>
      <c r="AB34" s="164">
        <v>76.22</v>
      </c>
      <c r="AC34" s="166">
        <v>134</v>
      </c>
      <c r="AD34" s="171">
        <v>4</v>
      </c>
      <c r="AE34" s="164">
        <v>7.35</v>
      </c>
      <c r="AF34" s="172">
        <f t="shared" si="3"/>
        <v>57.185092974402856</v>
      </c>
      <c r="AG34" s="173"/>
      <c r="AH34" s="170">
        <v>70.75</v>
      </c>
      <c r="AI34" s="134">
        <f t="shared" si="4"/>
        <v>550.45514665836765</v>
      </c>
      <c r="AJ34" s="174">
        <v>14.02</v>
      </c>
      <c r="AK34" s="175"/>
      <c r="AL34" s="176">
        <v>5.93</v>
      </c>
      <c r="AM34" s="177">
        <v>34.880000000000003</v>
      </c>
      <c r="AN34" s="126">
        <f t="shared" si="25"/>
        <v>0.20792846497764533</v>
      </c>
      <c r="AO34" s="178" t="s">
        <v>193</v>
      </c>
      <c r="AP34" s="177">
        <v>11.4</v>
      </c>
      <c r="AQ34" s="177">
        <v>6.38</v>
      </c>
      <c r="AR34" s="171"/>
      <c r="AS34" s="164">
        <v>7.56</v>
      </c>
      <c r="AT34" s="149">
        <v>167.75</v>
      </c>
      <c r="AU34" s="164">
        <v>1.59</v>
      </c>
      <c r="AV34" s="164"/>
      <c r="AW34" s="164"/>
      <c r="AX34" s="179">
        <f t="shared" si="5"/>
        <v>0</v>
      </c>
      <c r="AY34" s="125">
        <f t="shared" si="6"/>
        <v>128.53</v>
      </c>
      <c r="AZ34" s="125">
        <f t="shared" si="31"/>
        <v>157.81968405484602</v>
      </c>
      <c r="BA34" s="159">
        <f t="shared" si="7"/>
        <v>4.143359154929577</v>
      </c>
      <c r="BB34" s="159">
        <f t="shared" si="8"/>
        <v>5.1412000000000004</v>
      </c>
      <c r="BC34" s="180">
        <f t="shared" si="9"/>
        <v>0.71757010498861873</v>
      </c>
      <c r="BD34" s="159">
        <f t="shared" si="26"/>
        <v>9.2845591549295783</v>
      </c>
      <c r="BE34" s="167">
        <v>0.85</v>
      </c>
      <c r="BF34" s="25">
        <f t="shared" si="27"/>
        <v>3612.0100000000007</v>
      </c>
      <c r="BG34" s="25">
        <f t="shared" si="10"/>
        <v>124.55172413793103</v>
      </c>
      <c r="BH34" s="25">
        <f t="shared" si="28"/>
        <v>3487.4482758620697</v>
      </c>
      <c r="BI34" s="26">
        <f t="shared" si="11"/>
        <v>1</v>
      </c>
      <c r="BJ34" s="37">
        <f t="shared" si="29"/>
        <v>3487.4482758620697</v>
      </c>
      <c r="BK34" s="38"/>
      <c r="BL34" s="30">
        <v>195.1</v>
      </c>
      <c r="BM34" s="43"/>
      <c r="BN34" s="43">
        <v>138.08000000000001</v>
      </c>
      <c r="BO34" s="281"/>
      <c r="BP34" s="281"/>
      <c r="BQ34" s="44"/>
      <c r="BR34" s="45"/>
      <c r="BS34" s="46">
        <v>2.3199999999999998</v>
      </c>
      <c r="BT34" s="47"/>
      <c r="BU34" s="47"/>
      <c r="BV34" s="283"/>
      <c r="BW34" s="283"/>
      <c r="BX34" s="48"/>
      <c r="BY34" s="45"/>
      <c r="BZ34" s="46">
        <v>38.369999999999997</v>
      </c>
      <c r="CA34" s="47"/>
      <c r="CB34" s="47">
        <v>46.02</v>
      </c>
      <c r="CC34" s="283"/>
      <c r="CD34" s="283"/>
      <c r="CE34" s="48"/>
      <c r="CF34" s="49">
        <v>107.023</v>
      </c>
      <c r="CG34" s="49"/>
      <c r="CH34" s="43">
        <v>105.90300000000001</v>
      </c>
      <c r="CI34" s="32"/>
      <c r="CJ34" s="33">
        <v>3.66</v>
      </c>
      <c r="CK34" s="33"/>
      <c r="CL34" s="35">
        <v>3.66</v>
      </c>
      <c r="CM34" s="36"/>
      <c r="CN34" s="270"/>
      <c r="CO34" s="249">
        <f t="shared" si="32"/>
        <v>0</v>
      </c>
      <c r="CP34" s="12">
        <f t="shared" si="32"/>
        <v>190.57368000000002</v>
      </c>
      <c r="CQ34" s="12">
        <f t="shared" si="32"/>
        <v>0</v>
      </c>
      <c r="CR34" s="12">
        <f t="shared" si="32"/>
        <v>138.08000000000001</v>
      </c>
      <c r="CS34" s="11">
        <f t="shared" si="32"/>
        <v>0</v>
      </c>
      <c r="CT34" s="11">
        <f t="shared" si="32"/>
        <v>0</v>
      </c>
      <c r="CU34" s="272">
        <f t="shared" si="32"/>
        <v>0</v>
      </c>
      <c r="CV34" s="249">
        <f t="shared" si="13"/>
        <v>103.1059582</v>
      </c>
      <c r="CW34" s="12">
        <f t="shared" si="13"/>
        <v>0</v>
      </c>
      <c r="CX34" s="249">
        <f t="shared" si="13"/>
        <v>102.02695020000002</v>
      </c>
      <c r="CY34" s="272">
        <f t="shared" si="13"/>
        <v>0</v>
      </c>
      <c r="CZ34" s="13"/>
      <c r="DA34" s="240">
        <f>(D34+'[2]февраль 20'!D34)/(AY34+'[2]февраль 20'!AX34)</f>
        <v>2.5795896026571539</v>
      </c>
      <c r="DB34" s="241">
        <f>(T34+'[2]февраль 20'!R34)/(AY34+'[2]февраль 20'!AX34)</f>
        <v>1.6429232021158815</v>
      </c>
      <c r="DD34" s="292">
        <f t="shared" si="14"/>
        <v>7.1120000000000001</v>
      </c>
      <c r="DE34" s="291">
        <v>0.24</v>
      </c>
      <c r="DF34" s="291">
        <v>15.57</v>
      </c>
      <c r="DG34" s="145">
        <f t="shared" si="15"/>
        <v>7.0949312000000004</v>
      </c>
      <c r="DH34" s="293">
        <f t="shared" si="30"/>
        <v>1.4493319179218054</v>
      </c>
      <c r="DJ34" s="322"/>
    </row>
    <row r="35" spans="1:114" s="76" customFormat="1" ht="16.5" customHeight="1" thickBot="1">
      <c r="A35" s="144">
        <v>29</v>
      </c>
      <c r="B35" s="122">
        <f t="shared" si="16"/>
        <v>279.62900000000002</v>
      </c>
      <c r="C35" s="123">
        <f t="shared" si="17"/>
        <v>1.7486114101184067</v>
      </c>
      <c r="D35" s="145">
        <f t="shared" si="18"/>
        <v>274.73937540000003</v>
      </c>
      <c r="E35" s="125">
        <f t="shared" si="19"/>
        <v>40.873372289712435</v>
      </c>
      <c r="F35" s="146">
        <f t="shared" si="20"/>
        <v>2.229665439052102</v>
      </c>
      <c r="G35" s="127"/>
      <c r="H35" s="126">
        <f t="shared" si="21"/>
        <v>1.2786591089108912</v>
      </c>
      <c r="I35" s="230">
        <f>'[1]июль 20'!AI34</f>
        <v>0</v>
      </c>
      <c r="J35" s="247">
        <f>'[1]февраль 20'!AA34</f>
        <v>6.4429999999999996</v>
      </c>
      <c r="K35" s="276">
        <f>'[1]сентябрь 20'!AM34</f>
        <v>0</v>
      </c>
      <c r="L35" s="122">
        <f t="shared" si="22"/>
        <v>117.18300000000001</v>
      </c>
      <c r="M35" s="128">
        <f t="shared" si="23"/>
        <v>0.95100633014121094</v>
      </c>
      <c r="N35" s="400">
        <f>'[1]февраль 20'!W34</f>
        <v>0</v>
      </c>
      <c r="O35" s="403">
        <f>'[1]февраль 20'!AU34</f>
        <v>11.494</v>
      </c>
      <c r="P35" s="401">
        <f t="shared" si="0"/>
        <v>177.697</v>
      </c>
      <c r="Q35" s="122">
        <f>'[1]февраль 20'!S34</f>
        <v>177.697</v>
      </c>
      <c r="R35" s="123">
        <f t="shared" si="24"/>
        <v>3.39</v>
      </c>
      <c r="S35" s="129">
        <v>15.8</v>
      </c>
      <c r="T35" s="125">
        <f t="shared" si="1"/>
        <v>171.67307170000001</v>
      </c>
      <c r="U35" s="147">
        <f t="shared" si="2"/>
        <v>1.3932240845641941</v>
      </c>
      <c r="V35" s="130">
        <v>32.83</v>
      </c>
      <c r="W35" s="130">
        <v>63.71</v>
      </c>
      <c r="X35" s="129">
        <v>1.47</v>
      </c>
      <c r="Y35" s="150">
        <v>543</v>
      </c>
      <c r="Z35" s="150">
        <v>1193</v>
      </c>
      <c r="AA35" s="148" t="s">
        <v>195</v>
      </c>
      <c r="AB35" s="149">
        <v>74.91</v>
      </c>
      <c r="AC35" s="150">
        <v>113</v>
      </c>
      <c r="AD35" s="151">
        <v>4</v>
      </c>
      <c r="AE35" s="181">
        <v>4.8499999999999996</v>
      </c>
      <c r="AF35" s="134">
        <f t="shared" si="3"/>
        <v>39.360493426391812</v>
      </c>
      <c r="AG35" s="182"/>
      <c r="AH35" s="129">
        <v>74.7</v>
      </c>
      <c r="AI35" s="134">
        <f t="shared" si="4"/>
        <v>606.23275442298325</v>
      </c>
      <c r="AJ35" s="136">
        <v>16.59</v>
      </c>
      <c r="AK35" s="154"/>
      <c r="AL35" s="155">
        <v>6.76</v>
      </c>
      <c r="AM35" s="183">
        <v>35.369999999999997</v>
      </c>
      <c r="AN35" s="126">
        <f t="shared" si="25"/>
        <v>0.21390988811611733</v>
      </c>
      <c r="AO35" s="184" t="s">
        <v>196</v>
      </c>
      <c r="AP35" s="183">
        <v>9.6199999999999992</v>
      </c>
      <c r="AQ35" s="183">
        <v>6.57</v>
      </c>
      <c r="AR35" s="185"/>
      <c r="AS35" s="181">
        <v>6.64</v>
      </c>
      <c r="AT35" s="149">
        <v>165.35</v>
      </c>
      <c r="AU35" s="181"/>
      <c r="AV35" s="149"/>
      <c r="AW35" s="149"/>
      <c r="AX35" s="158">
        <f t="shared" si="5"/>
        <v>0</v>
      </c>
      <c r="AY35" s="125">
        <f t="shared" si="6"/>
        <v>123.22</v>
      </c>
      <c r="AZ35" s="125">
        <f t="shared" si="31"/>
        <v>132.336685276727</v>
      </c>
      <c r="BA35" s="159">
        <f t="shared" si="7"/>
        <v>3.8423154929577459</v>
      </c>
      <c r="BB35" s="160">
        <f t="shared" si="8"/>
        <v>4.9287999999999998</v>
      </c>
      <c r="BC35" s="161">
        <f t="shared" si="9"/>
        <v>0.82197692122212462</v>
      </c>
      <c r="BD35" s="160">
        <f t="shared" si="26"/>
        <v>8.7711154929577457</v>
      </c>
      <c r="BE35" s="162">
        <v>0.84899999999999998</v>
      </c>
      <c r="BF35" s="25">
        <f t="shared" si="27"/>
        <v>3735.2300000000005</v>
      </c>
      <c r="BG35" s="25">
        <f t="shared" si="10"/>
        <v>124.55172413793103</v>
      </c>
      <c r="BH35" s="25">
        <f t="shared" si="28"/>
        <v>3612.0000000000009</v>
      </c>
      <c r="BI35" s="26">
        <f t="shared" si="11"/>
        <v>1</v>
      </c>
      <c r="BJ35" s="37">
        <f t="shared" si="29"/>
        <v>3612.0000000000009</v>
      </c>
      <c r="BK35" s="38"/>
      <c r="BL35" s="31">
        <v>162.446</v>
      </c>
      <c r="BM35" s="31"/>
      <c r="BN35" s="31">
        <v>117.18300000000001</v>
      </c>
      <c r="BO35" s="40"/>
      <c r="BP35" s="40"/>
      <c r="BQ35" s="32"/>
      <c r="BR35" s="33"/>
      <c r="BS35" s="34">
        <v>3.01</v>
      </c>
      <c r="BT35" s="35"/>
      <c r="BU35" s="35"/>
      <c r="BV35" s="235"/>
      <c r="BW35" s="235"/>
      <c r="BX35" s="36"/>
      <c r="BY35" s="33"/>
      <c r="BZ35" s="34">
        <v>37.81</v>
      </c>
      <c r="CA35" s="35"/>
      <c r="CB35" s="35">
        <v>45.12</v>
      </c>
      <c r="CC35" s="235"/>
      <c r="CD35" s="235"/>
      <c r="CE35" s="36"/>
      <c r="CF35" s="30">
        <v>88.394999999999996</v>
      </c>
      <c r="CG35" s="30"/>
      <c r="CH35" s="31">
        <v>89.302000000000007</v>
      </c>
      <c r="CI35" s="50"/>
      <c r="CJ35" s="33">
        <v>3.39</v>
      </c>
      <c r="CK35" s="33"/>
      <c r="CL35" s="35">
        <v>3.39</v>
      </c>
      <c r="CM35" s="36"/>
      <c r="CN35" s="270"/>
      <c r="CO35" s="249">
        <f t="shared" si="32"/>
        <v>0</v>
      </c>
      <c r="CP35" s="12">
        <f t="shared" si="32"/>
        <v>157.55637540000001</v>
      </c>
      <c r="CQ35" s="12">
        <f t="shared" si="32"/>
        <v>0</v>
      </c>
      <c r="CR35" s="12">
        <f t="shared" si="32"/>
        <v>117.18300000000001</v>
      </c>
      <c r="CS35" s="11">
        <f t="shared" si="32"/>
        <v>0</v>
      </c>
      <c r="CT35" s="11">
        <f t="shared" si="32"/>
        <v>0</v>
      </c>
      <c r="CU35" s="272">
        <f t="shared" si="32"/>
        <v>0</v>
      </c>
      <c r="CV35" s="249">
        <f t="shared" si="13"/>
        <v>85.398409499999985</v>
      </c>
      <c r="CW35" s="12">
        <f t="shared" si="13"/>
        <v>0</v>
      </c>
      <c r="CX35" s="249">
        <f t="shared" si="13"/>
        <v>86.274662200000009</v>
      </c>
      <c r="CY35" s="272">
        <f t="shared" si="13"/>
        <v>0</v>
      </c>
      <c r="CZ35" s="13"/>
      <c r="DA35" s="240">
        <f>(D35+'[2]февраль 20'!D35)/(AY35+'[2]февраль 20'!AX35)</f>
        <v>2.0838765614665298</v>
      </c>
      <c r="DB35" s="241">
        <f>(T35+'[2]февраль 20'!R35)/(AY35+'[2]февраль 20'!AX35)</f>
        <v>1.3410681711141523</v>
      </c>
      <c r="DD35" s="292">
        <f t="shared" si="14"/>
        <v>6.4429999999999996</v>
      </c>
      <c r="DE35" s="291">
        <v>0.19</v>
      </c>
      <c r="DF35" s="291">
        <v>17.100000000000001</v>
      </c>
      <c r="DG35" s="145">
        <f t="shared" si="15"/>
        <v>6.4307582999999999</v>
      </c>
      <c r="DH35" s="293">
        <f t="shared" si="30"/>
        <v>1.4679744617541051</v>
      </c>
      <c r="DJ35" s="322"/>
    </row>
    <row r="36" spans="1:114" s="76" customFormat="1" ht="16.5" customHeight="1" thickBot="1">
      <c r="A36" s="144">
        <v>30</v>
      </c>
      <c r="B36" s="122">
        <f>'[1]февраль 20'!K35</f>
        <v>0</v>
      </c>
      <c r="C36" s="123">
        <f t="shared" si="17"/>
        <v>0</v>
      </c>
      <c r="D36" s="145">
        <f t="shared" si="18"/>
        <v>0</v>
      </c>
      <c r="E36" s="125">
        <f t="shared" si="19"/>
        <v>0</v>
      </c>
      <c r="F36" s="146">
        <f t="shared" si="20"/>
        <v>0</v>
      </c>
      <c r="G36" s="127"/>
      <c r="H36" s="126">
        <f t="shared" si="21"/>
        <v>0</v>
      </c>
      <c r="I36" s="230">
        <f>'[1]июль 20'!AI35</f>
        <v>0</v>
      </c>
      <c r="J36" s="247">
        <f>'[1]февраль 20'!AA35</f>
        <v>0</v>
      </c>
      <c r="K36" s="276">
        <f>'[1]сентябрь 20'!AM35</f>
        <v>0</v>
      </c>
      <c r="L36" s="122">
        <f>'[1]февраль 20'!AE35</f>
        <v>0</v>
      </c>
      <c r="M36" s="128">
        <f t="shared" si="23"/>
        <v>0</v>
      </c>
      <c r="N36" s="400">
        <f>'[1]февраль 20'!W35</f>
        <v>0</v>
      </c>
      <c r="O36" s="403">
        <f>'[1]февраль 20'!AU35</f>
        <v>0</v>
      </c>
      <c r="P36" s="401">
        <f t="shared" si="0"/>
        <v>0</v>
      </c>
      <c r="Q36" s="122">
        <f>'[1]февраль 20'!S35</f>
        <v>0</v>
      </c>
      <c r="R36" s="123">
        <f t="shared" si="24"/>
        <v>0</v>
      </c>
      <c r="S36" s="129"/>
      <c r="T36" s="125">
        <f t="shared" si="1"/>
        <v>0</v>
      </c>
      <c r="U36" s="147">
        <f t="shared" si="2"/>
        <v>0</v>
      </c>
      <c r="V36" s="130"/>
      <c r="W36" s="130"/>
      <c r="X36" s="129"/>
      <c r="Y36" s="150"/>
      <c r="Z36" s="150"/>
      <c r="AA36" s="148"/>
      <c r="AB36" s="149"/>
      <c r="AC36" s="150"/>
      <c r="AD36" s="151"/>
      <c r="AE36" s="149"/>
      <c r="AF36" s="134">
        <f t="shared" si="3"/>
        <v>0</v>
      </c>
      <c r="AG36" s="152"/>
      <c r="AH36" s="129"/>
      <c r="AI36" s="134">
        <f t="shared" si="4"/>
        <v>0</v>
      </c>
      <c r="AJ36" s="153"/>
      <c r="AK36" s="154"/>
      <c r="AL36" s="155"/>
      <c r="AM36" s="156"/>
      <c r="AN36" s="126">
        <f t="shared" si="25"/>
        <v>0</v>
      </c>
      <c r="AO36" s="157"/>
      <c r="AP36" s="156"/>
      <c r="AQ36" s="156"/>
      <c r="AR36" s="151"/>
      <c r="AS36" s="149"/>
      <c r="AT36" s="149"/>
      <c r="AU36" s="149"/>
      <c r="AV36" s="149"/>
      <c r="AW36" s="149"/>
      <c r="AX36" s="158">
        <f t="shared" si="5"/>
        <v>0</v>
      </c>
      <c r="AY36" s="125">
        <f t="shared" si="6"/>
        <v>0</v>
      </c>
      <c r="AZ36" s="125">
        <f t="shared" si="31"/>
        <v>0</v>
      </c>
      <c r="BA36" s="159">
        <f t="shared" si="7"/>
        <v>0</v>
      </c>
      <c r="BB36" s="160">
        <f t="shared" si="8"/>
        <v>0</v>
      </c>
      <c r="BC36" s="161">
        <f t="shared" si="9"/>
        <v>0</v>
      </c>
      <c r="BD36" s="160">
        <f t="shared" si="26"/>
        <v>0</v>
      </c>
      <c r="BE36" s="162"/>
      <c r="BF36" s="25">
        <f t="shared" si="27"/>
        <v>3735.2300000000005</v>
      </c>
      <c r="BG36" s="25">
        <f t="shared" si="10"/>
        <v>0</v>
      </c>
      <c r="BH36" s="25">
        <f t="shared" si="28"/>
        <v>3612.0000000000009</v>
      </c>
      <c r="BI36" s="26">
        <f t="shared" si="11"/>
        <v>0</v>
      </c>
      <c r="BJ36" s="37">
        <f t="shared" si="29"/>
        <v>3612.0000000000009</v>
      </c>
      <c r="BK36" s="38"/>
      <c r="BL36" s="31"/>
      <c r="BM36" s="31"/>
      <c r="BN36" s="31"/>
      <c r="BO36" s="40"/>
      <c r="BP36" s="40"/>
      <c r="BQ36" s="32"/>
      <c r="BR36" s="33"/>
      <c r="BS36" s="34"/>
      <c r="BT36" s="35"/>
      <c r="BU36" s="35"/>
      <c r="BV36" s="235"/>
      <c r="BW36" s="235"/>
      <c r="BX36" s="36"/>
      <c r="BY36" s="33"/>
      <c r="BZ36" s="34"/>
      <c r="CA36" s="35"/>
      <c r="CB36" s="35"/>
      <c r="CC36" s="235"/>
      <c r="CD36" s="235"/>
      <c r="CE36" s="36"/>
      <c r="CF36" s="30"/>
      <c r="CG36" s="30"/>
      <c r="CH36" s="34"/>
      <c r="CI36" s="50"/>
      <c r="CJ36" s="33"/>
      <c r="CK36" s="33"/>
      <c r="CL36" s="35"/>
      <c r="CM36" s="36"/>
      <c r="CN36" s="270"/>
      <c r="CO36" s="249">
        <f t="shared" si="32"/>
        <v>0</v>
      </c>
      <c r="CP36" s="12">
        <f t="shared" si="32"/>
        <v>0</v>
      </c>
      <c r="CQ36" s="12">
        <f t="shared" si="32"/>
        <v>0</v>
      </c>
      <c r="CR36" s="12">
        <f t="shared" si="32"/>
        <v>0</v>
      </c>
      <c r="CS36" s="11">
        <f t="shared" si="32"/>
        <v>0</v>
      </c>
      <c r="CT36" s="11">
        <f t="shared" si="32"/>
        <v>0</v>
      </c>
      <c r="CU36" s="272">
        <f t="shared" si="32"/>
        <v>0</v>
      </c>
      <c r="CV36" s="249">
        <f t="shared" si="13"/>
        <v>0</v>
      </c>
      <c r="CW36" s="12">
        <f t="shared" si="13"/>
        <v>0</v>
      </c>
      <c r="CX36" s="249">
        <f t="shared" si="13"/>
        <v>0</v>
      </c>
      <c r="CY36" s="274">
        <f t="shared" si="13"/>
        <v>0</v>
      </c>
      <c r="CZ36" s="13"/>
      <c r="DA36" s="240" t="e">
        <f>(D36+'[2]февраль 20'!D36)/(AY36+'[2]февраль 20'!AX36)</f>
        <v>#DIV/0!</v>
      </c>
      <c r="DB36" s="241" t="e">
        <f>(T36+'[2]февраль 20'!R36)/(AY36+'[2]февраль 20'!AX36)</f>
        <v>#DIV/0!</v>
      </c>
      <c r="DD36" s="292">
        <f t="shared" si="14"/>
        <v>0</v>
      </c>
      <c r="DE36" s="291"/>
      <c r="DF36" s="291"/>
      <c r="DG36" s="145">
        <f t="shared" si="15"/>
        <v>0</v>
      </c>
      <c r="DH36" s="293">
        <f t="shared" si="30"/>
        <v>0</v>
      </c>
      <c r="DJ36" s="322"/>
    </row>
    <row r="37" spans="1:114" s="76" customFormat="1" ht="16.5" customHeight="1" thickBot="1">
      <c r="A37" s="186">
        <v>31</v>
      </c>
      <c r="B37" s="122">
        <f>'[1]февраль 20'!K36</f>
        <v>0</v>
      </c>
      <c r="C37" s="123">
        <f t="shared" si="17"/>
        <v>0</v>
      </c>
      <c r="D37" s="187">
        <f t="shared" si="18"/>
        <v>0</v>
      </c>
      <c r="E37" s="285">
        <f t="shared" si="19"/>
        <v>0</v>
      </c>
      <c r="F37" s="189">
        <f t="shared" si="20"/>
        <v>0</v>
      </c>
      <c r="G37" s="127"/>
      <c r="H37" s="126">
        <f t="shared" si="21"/>
        <v>0</v>
      </c>
      <c r="I37" s="230">
        <f>'[1]июль 20'!AI36</f>
        <v>0</v>
      </c>
      <c r="J37" s="277">
        <f>'[1]февраль 20'!AA36</f>
        <v>0</v>
      </c>
      <c r="K37" s="276">
        <f>'[1]сентябрь 20'!AM36</f>
        <v>0</v>
      </c>
      <c r="L37" s="122">
        <f>'[1]февраль 20'!AE36</f>
        <v>0</v>
      </c>
      <c r="M37" s="128">
        <f t="shared" si="23"/>
        <v>0</v>
      </c>
      <c r="N37" s="128">
        <f>'[1]февраль 20'!W36</f>
        <v>0</v>
      </c>
      <c r="O37" s="399">
        <f>'[1]февраль 20'!AU36</f>
        <v>0</v>
      </c>
      <c r="P37" s="125">
        <f t="shared" si="0"/>
        <v>0</v>
      </c>
      <c r="Q37" s="122">
        <f>'[1]февраль 20'!S36</f>
        <v>0</v>
      </c>
      <c r="R37" s="123">
        <f t="shared" si="24"/>
        <v>0</v>
      </c>
      <c r="S37" s="190"/>
      <c r="T37" s="125">
        <f t="shared" si="1"/>
        <v>0</v>
      </c>
      <c r="U37" s="191">
        <f t="shared" si="2"/>
        <v>0</v>
      </c>
      <c r="V37" s="192"/>
      <c r="W37" s="192"/>
      <c r="X37" s="190"/>
      <c r="Y37" s="193"/>
      <c r="Z37" s="194"/>
      <c r="AA37" s="195"/>
      <c r="AB37" s="196"/>
      <c r="AC37" s="194"/>
      <c r="AD37" s="193"/>
      <c r="AE37" s="196"/>
      <c r="AF37" s="134">
        <f t="shared" si="3"/>
        <v>0</v>
      </c>
      <c r="AG37" s="197"/>
      <c r="AH37" s="190"/>
      <c r="AI37" s="134">
        <f t="shared" si="4"/>
        <v>0</v>
      </c>
      <c r="AJ37" s="196"/>
      <c r="AK37" s="198"/>
      <c r="AL37" s="199"/>
      <c r="AM37" s="200"/>
      <c r="AN37" s="126">
        <f t="shared" si="25"/>
        <v>0</v>
      </c>
      <c r="AO37" s="201"/>
      <c r="AP37" s="200"/>
      <c r="AQ37" s="201"/>
      <c r="AR37" s="193"/>
      <c r="AS37" s="196"/>
      <c r="AT37" s="242"/>
      <c r="AU37" s="196"/>
      <c r="AV37" s="196"/>
      <c r="AW37" s="196"/>
      <c r="AX37" s="202">
        <f t="shared" si="5"/>
        <v>0</v>
      </c>
      <c r="AY37" s="188">
        <f t="shared" si="6"/>
        <v>0</v>
      </c>
      <c r="AZ37" s="125">
        <f t="shared" si="31"/>
        <v>0</v>
      </c>
      <c r="BA37" s="203">
        <f t="shared" si="7"/>
        <v>0</v>
      </c>
      <c r="BB37" s="204">
        <f t="shared" si="8"/>
        <v>0</v>
      </c>
      <c r="BC37" s="205">
        <f t="shared" si="9"/>
        <v>0</v>
      </c>
      <c r="BD37" s="206">
        <f t="shared" si="26"/>
        <v>0</v>
      </c>
      <c r="BE37" s="207"/>
      <c r="BF37" s="25">
        <f t="shared" si="27"/>
        <v>3735.2300000000005</v>
      </c>
      <c r="BG37" s="25">
        <f t="shared" si="10"/>
        <v>0</v>
      </c>
      <c r="BH37" s="25">
        <f t="shared" si="28"/>
        <v>3612.0000000000009</v>
      </c>
      <c r="BI37" s="26">
        <f t="shared" si="11"/>
        <v>0</v>
      </c>
      <c r="BJ37" s="37">
        <f t="shared" si="29"/>
        <v>3612.0000000000009</v>
      </c>
      <c r="BK37" s="51"/>
      <c r="BL37" s="53"/>
      <c r="BM37" s="53"/>
      <c r="BN37" s="53"/>
      <c r="BO37" s="282"/>
      <c r="BP37" s="282"/>
      <c r="BQ37" s="54"/>
      <c r="BR37" s="55"/>
      <c r="BS37" s="52"/>
      <c r="BT37" s="56"/>
      <c r="BU37" s="56"/>
      <c r="BV37" s="284"/>
      <c r="BW37" s="284"/>
      <c r="BX37" s="57"/>
      <c r="BY37" s="55"/>
      <c r="BZ37" s="52"/>
      <c r="CA37" s="56"/>
      <c r="CB37" s="56"/>
      <c r="CC37" s="284"/>
      <c r="CD37" s="284"/>
      <c r="CE37" s="57"/>
      <c r="CF37" s="58"/>
      <c r="CG37" s="58"/>
      <c r="CH37" s="52"/>
      <c r="CI37" s="54"/>
      <c r="CJ37" s="33"/>
      <c r="CK37" s="265"/>
      <c r="CL37" s="59"/>
      <c r="CM37" s="60"/>
      <c r="CN37" s="270"/>
      <c r="CO37" s="269">
        <f t="shared" si="32"/>
        <v>0</v>
      </c>
      <c r="CP37" s="18">
        <f t="shared" si="32"/>
        <v>0</v>
      </c>
      <c r="CQ37" s="18">
        <f t="shared" si="32"/>
        <v>0</v>
      </c>
      <c r="CR37" s="18">
        <f t="shared" si="32"/>
        <v>0</v>
      </c>
      <c r="CS37" s="251">
        <f t="shared" si="32"/>
        <v>0</v>
      </c>
      <c r="CT37" s="11">
        <f t="shared" si="32"/>
        <v>0</v>
      </c>
      <c r="CU37" s="273">
        <f t="shared" si="32"/>
        <v>0</v>
      </c>
      <c r="CV37" s="269">
        <f t="shared" si="13"/>
        <v>0</v>
      </c>
      <c r="CW37" s="18">
        <f t="shared" si="13"/>
        <v>0</v>
      </c>
      <c r="CX37" s="261">
        <f t="shared" si="13"/>
        <v>0</v>
      </c>
      <c r="CY37" s="273">
        <f t="shared" si="13"/>
        <v>0</v>
      </c>
      <c r="CZ37" s="13"/>
      <c r="DA37" s="240" t="e">
        <f>(D37+'[2]февраль 20'!D37)/(AY37+'[2]февраль 20'!AX37)</f>
        <v>#DIV/0!</v>
      </c>
      <c r="DB37" s="241" t="e">
        <f>(T37+'[2]февраль 20'!R37)/(AY37+'[2]февраль 20'!AX37)</f>
        <v>#DIV/0!</v>
      </c>
      <c r="DD37" s="292">
        <f t="shared" si="14"/>
        <v>0</v>
      </c>
      <c r="DE37" s="294"/>
      <c r="DF37" s="294"/>
      <c r="DG37" s="323">
        <f t="shared" si="15"/>
        <v>0</v>
      </c>
      <c r="DH37" s="293">
        <f t="shared" si="30"/>
        <v>0</v>
      </c>
      <c r="DJ37" s="322"/>
    </row>
    <row r="38" spans="1:114" s="214" customFormat="1" ht="16.5" customHeight="1" thickBot="1">
      <c r="A38" s="91" t="s">
        <v>56</v>
      </c>
      <c r="B38" s="396">
        <f>SUM(B7:B37)</f>
        <v>8211.7540000000026</v>
      </c>
      <c r="C38" s="330"/>
      <c r="D38" s="331">
        <f>SUM(D7:D37)</f>
        <v>8098.3733240476904</v>
      </c>
      <c r="E38" s="332"/>
      <c r="F38" s="331"/>
      <c r="G38" s="333">
        <f>SUM(G7:G37)</f>
        <v>0</v>
      </c>
      <c r="H38" s="329"/>
      <c r="I38" s="334">
        <f>SUM(I7:I37)</f>
        <v>0</v>
      </c>
      <c r="J38" s="329">
        <f>SUM(J7:J37)</f>
        <v>48.571999999999996</v>
      </c>
      <c r="K38" s="329">
        <f>SUM(K7:K37)</f>
        <v>0</v>
      </c>
      <c r="L38" s="396">
        <f>SUM(L7:L37)</f>
        <v>3912.5080000000003</v>
      </c>
      <c r="M38" s="335"/>
      <c r="N38" s="329">
        <f>SUM(N7:N37)</f>
        <v>0</v>
      </c>
      <c r="O38" s="396">
        <f>SUM(O7:O37)</f>
        <v>254.69599999999994</v>
      </c>
      <c r="P38" s="330">
        <f>SUM(P7:P37)</f>
        <v>5157.4550030000019</v>
      </c>
      <c r="Q38" s="396">
        <f>SUM(Q7:Q37)</f>
        <v>5157.4550000000017</v>
      </c>
      <c r="R38" s="336">
        <f>IF(Q38=0,0,(CA38*CH38+CE38*CI38+CF38*CJ38)/Q38)</f>
        <v>0</v>
      </c>
      <c r="S38" s="398">
        <f>SUM(S7:S37)</f>
        <v>455.53000000000009</v>
      </c>
      <c r="T38" s="331">
        <f>SUM(T7:T37)</f>
        <v>5004.1535679999997</v>
      </c>
      <c r="U38" s="337"/>
      <c r="V38" s="229">
        <f>SUM(V7:V37)</f>
        <v>3410.89</v>
      </c>
      <c r="W38" s="229">
        <f>SUM(W7:W37)</f>
        <v>2355.7200000000003</v>
      </c>
      <c r="X38" s="338"/>
      <c r="Y38" s="337"/>
      <c r="Z38" s="339"/>
      <c r="AA38" s="340"/>
      <c r="AB38" s="338"/>
      <c r="AC38" s="339"/>
      <c r="AD38" s="339">
        <f>SUM(AD7:AD37)</f>
        <v>115</v>
      </c>
      <c r="AE38" s="229">
        <f>SUM(AE7:AE37)</f>
        <v>186.45</v>
      </c>
      <c r="AF38" s="341"/>
      <c r="AG38" s="342">
        <f>SUM(AG7:AG37)</f>
        <v>0</v>
      </c>
      <c r="AH38" s="90">
        <f>SUM(AH7:AH37)</f>
        <v>2394.8499999999995</v>
      </c>
      <c r="AI38" s="341"/>
      <c r="AJ38" s="332">
        <f>SUM(AJ7:AJ37)</f>
        <v>385.49999999999994</v>
      </c>
      <c r="AK38" s="343"/>
      <c r="AL38" s="397">
        <f>SUM(AL7:AL37)</f>
        <v>164.82999999999998</v>
      </c>
      <c r="AM38" s="417">
        <f>SUM(AM7:AM37)</f>
        <v>1019.83</v>
      </c>
      <c r="AN38" s="345"/>
      <c r="AO38" s="342"/>
      <c r="AP38" s="332"/>
      <c r="AQ38" s="342"/>
      <c r="AR38" s="342"/>
      <c r="AS38" s="346"/>
      <c r="AT38" s="332">
        <f>SUM(AT7:AT37)</f>
        <v>4877.9000000000005</v>
      </c>
      <c r="AU38" s="332">
        <f>SUM(AU7:AU37)</f>
        <v>41.99</v>
      </c>
      <c r="AV38" s="347">
        <f>SUM(AV7:AV37)</f>
        <v>0</v>
      </c>
      <c r="AW38" s="332">
        <f>SUM(AW7:AW37)</f>
        <v>0</v>
      </c>
      <c r="AX38" s="331"/>
      <c r="AY38" s="90">
        <f>SUM(AY7:AY37)</f>
        <v>3735.2300000000005</v>
      </c>
      <c r="AZ38" s="330">
        <f>SUM(AZ7:AZ37)</f>
        <v>3850.0753565937357</v>
      </c>
      <c r="BA38" s="342">
        <f>SUM(BA7:BA37)</f>
        <v>179.95616161971833</v>
      </c>
      <c r="BB38" s="342">
        <f>SUM(BB7:BB37)</f>
        <v>149.4092</v>
      </c>
      <c r="BC38" s="332"/>
      <c r="BD38" s="89">
        <f>SUM(BD7:BD37)</f>
        <v>329.36536161971833</v>
      </c>
      <c r="BE38" s="348"/>
      <c r="BF38" s="19"/>
      <c r="BG38" s="19">
        <f t="shared" si="10"/>
        <v>0</v>
      </c>
      <c r="BH38" s="19"/>
      <c r="BI38" s="208">
        <f>SUM(BI7:BI37)</f>
        <v>29</v>
      </c>
      <c r="BJ38" s="209"/>
      <c r="BK38" s="278">
        <f t="shared" ref="BK38:BQ38" si="33">SUM(BK7:BK37)</f>
        <v>9.9999999999999995E-7</v>
      </c>
      <c r="BL38" s="61">
        <f>SUM(BL7:BL37)</f>
        <v>4299.2460000000001</v>
      </c>
      <c r="BM38" s="61">
        <f t="shared" si="33"/>
        <v>9.9999999999999995E-7</v>
      </c>
      <c r="BN38" s="61">
        <f t="shared" si="33"/>
        <v>3912.5080000000003</v>
      </c>
      <c r="BO38" s="61">
        <f t="shared" si="33"/>
        <v>9.9999999999999995E-7</v>
      </c>
      <c r="BP38" s="61">
        <f t="shared" si="33"/>
        <v>9.9999999999999995E-7</v>
      </c>
      <c r="BQ38" s="64">
        <f t="shared" si="33"/>
        <v>9.9999999999999995E-7</v>
      </c>
      <c r="BR38" s="63"/>
      <c r="BS38" s="24"/>
      <c r="BT38" s="24"/>
      <c r="BU38" s="24"/>
      <c r="BV38" s="62"/>
      <c r="BW38" s="62"/>
      <c r="BX38" s="65"/>
      <c r="BY38" s="63"/>
      <c r="BZ38" s="24"/>
      <c r="CA38" s="24"/>
      <c r="CB38" s="24"/>
      <c r="CC38" s="62"/>
      <c r="CD38" s="62"/>
      <c r="CE38" s="62"/>
      <c r="CF38" s="66">
        <f>SUM(CF7:CF37)</f>
        <v>3254.5470000000009</v>
      </c>
      <c r="CG38" s="66">
        <f>SUM(CG7:CG37)</f>
        <v>9.9999999999999995E-7</v>
      </c>
      <c r="CH38" s="61">
        <f>SUM(CH7:CH37)</f>
        <v>1902.908001</v>
      </c>
      <c r="CI38" s="67">
        <f>SUM(CI7:CI37)</f>
        <v>9.9999999999999995E-7</v>
      </c>
      <c r="CJ38" s="210"/>
      <c r="CK38" s="266"/>
      <c r="CL38" s="211"/>
      <c r="CM38" s="212"/>
      <c r="CN38" s="213"/>
      <c r="CO38" s="68">
        <f t="shared" ref="CO38:CY38" si="34">SUM(CO7:CO37)</f>
        <v>9.9999998999999992E-7</v>
      </c>
      <c r="CP38" s="69">
        <f t="shared" si="34"/>
        <v>4185.8653253999992</v>
      </c>
      <c r="CQ38" s="70">
        <f t="shared" si="34"/>
        <v>9.9999998999999992E-7</v>
      </c>
      <c r="CR38" s="69">
        <f t="shared" si="34"/>
        <v>3912.5079986476903</v>
      </c>
      <c r="CS38" s="72">
        <f t="shared" si="34"/>
        <v>9.9999998999999992E-7</v>
      </c>
      <c r="CT38" s="72">
        <f t="shared" si="34"/>
        <v>9.9999998999999992E-7</v>
      </c>
      <c r="CU38" s="71">
        <f t="shared" si="34"/>
        <v>9.9999998999999992E-7</v>
      </c>
      <c r="CV38" s="72">
        <f t="shared" si="34"/>
        <v>3171.8541268000004</v>
      </c>
      <c r="CW38" s="72">
        <f t="shared" si="34"/>
        <v>9.9999998999999992E-7</v>
      </c>
      <c r="CX38" s="72">
        <f t="shared" si="34"/>
        <v>1832.2994422000002</v>
      </c>
      <c r="CY38" s="72">
        <f t="shared" si="34"/>
        <v>9.9999998999999992E-7</v>
      </c>
      <c r="CZ38" s="70"/>
      <c r="DA38" s="240">
        <f>(D38+'[2]февраль 20'!D38)/(AY38+'[2]февраль 20'!AX38)</f>
        <v>2.124666073694657</v>
      </c>
      <c r="DB38" s="241">
        <f>(T38+'[2]февраль 20'!R38)/(AY38+'[2]февраль 20'!AX38)</f>
        <v>1.3238413332100767</v>
      </c>
      <c r="DD38" s="295">
        <f>SUM(DD7:DD37)</f>
        <v>48.571999999999996</v>
      </c>
      <c r="DE38" s="296">
        <f>(SUMPRODUCT(DD7:DD37,DE7:DE37))/DD38</f>
        <v>0.29353578193197727</v>
      </c>
      <c r="DF38" s="296">
        <f>(SUMPRODUCT(DD7:DD37,DF7:DF37))/DD38</f>
        <v>14.234472947377093</v>
      </c>
      <c r="DG38" s="296">
        <f>(SUMPRODUCT(DE7:DE37,DG7:DG37))/DE38</f>
        <v>48.405947985219413</v>
      </c>
      <c r="DH38" s="324">
        <f>IF(J38=0,0,(DG38*DF38%)/(AB39/100))</f>
        <v>9.0350768149882903</v>
      </c>
      <c r="DJ38" s="426"/>
    </row>
    <row r="39" spans="1:114" s="214" customFormat="1" ht="16.5" customHeight="1" thickBot="1">
      <c r="A39" s="93" t="s">
        <v>57</v>
      </c>
      <c r="B39" s="349">
        <f>B38/AU2</f>
        <v>283.16393103448286</v>
      </c>
      <c r="C39" s="349">
        <f>(BK38*BR39+BM38*BT39+BQ38*BX39+BL38*BS39+BN38*BU39+BO38*BV39+BP38*BW39)/B38</f>
        <v>1.3807120373102997</v>
      </c>
      <c r="D39" s="350">
        <f>D38/AU2</f>
        <v>279.25425255336864</v>
      </c>
      <c r="E39" s="349">
        <f>(BK38*BY39+BM38*CA39+BQ38*CE39+BL38*BZ39+BN38*CB39+BO38*CC39+BP38*CD39)/B38</f>
        <v>41.418985696600252</v>
      </c>
      <c r="F39" s="351">
        <f>IF($AY$38=0,0,$D$38/$AY$38)</f>
        <v>2.1681056652596196</v>
      </c>
      <c r="G39" s="352">
        <f>G38/AU2</f>
        <v>0</v>
      </c>
      <c r="H39" s="353">
        <f>IF($AY$38=0,0,(CP38+CO38+CS38+CQ38+CT38)/AY38)</f>
        <v>1.1206446000380164</v>
      </c>
      <c r="I39" s="349">
        <f>I38/AU2</f>
        <v>0</v>
      </c>
      <c r="J39" s="349">
        <f>J38/AU2</f>
        <v>1.6748965517241379</v>
      </c>
      <c r="K39" s="349">
        <f>K38/AU2</f>
        <v>0</v>
      </c>
      <c r="L39" s="349">
        <f>L38/AU2</f>
        <v>134.91406896551726</v>
      </c>
      <c r="M39" s="354">
        <f>IF($AY$38=0,0,(CR38+CU38)/$AY$38)</f>
        <v>1.0474610665602091</v>
      </c>
      <c r="N39" s="349">
        <f>N38/AU2</f>
        <v>0</v>
      </c>
      <c r="O39" s="349">
        <f>O38/AU2</f>
        <v>8.78262068965517</v>
      </c>
      <c r="P39" s="349">
        <f>P38/AU2</f>
        <v>177.84327596551731</v>
      </c>
      <c r="Q39" s="349">
        <f>Q38/AU2</f>
        <v>177.84327586206902</v>
      </c>
      <c r="R39" s="349">
        <f>(SUMPRODUCT(R7:R37,Q7:Q37))/Q38</f>
        <v>2.9724240347225521</v>
      </c>
      <c r="S39" s="355">
        <f>S38/AU2</f>
        <v>15.707931034482762</v>
      </c>
      <c r="T39" s="356"/>
      <c r="U39" s="354">
        <f>IF($AY$38=0,0,$T$38/$AY$38)</f>
        <v>1.339717652728212</v>
      </c>
      <c r="V39" s="349">
        <f>V38/AU2</f>
        <v>117.61689655172414</v>
      </c>
      <c r="W39" s="349">
        <f>W38/AU2</f>
        <v>81.231724137931039</v>
      </c>
      <c r="X39" s="349">
        <f>(SUMPRODUCT(X7:X37,AY7:AY37))/AY38</f>
        <v>0.87744433408384492</v>
      </c>
      <c r="Y39" s="357">
        <f>AVERAGE(Y7:Y37)</f>
        <v>500.27586206896552</v>
      </c>
      <c r="Z39" s="357">
        <f>AVERAGE(Z7:Z37)</f>
        <v>1188.7241379310344</v>
      </c>
      <c r="AA39" s="357"/>
      <c r="AB39" s="349">
        <f>(SUMPRODUCT(AB7:AB37,AY7:AY37))/AY38</f>
        <v>76.262014280245097</v>
      </c>
      <c r="AC39" s="358">
        <f>AVERAGE(AC7:AC37)</f>
        <v>113.79310344827586</v>
      </c>
      <c r="AD39" s="358">
        <f>AVERAGE(AD7:AD37)</f>
        <v>3.9655172413793105</v>
      </c>
      <c r="AE39" s="349">
        <f>AE38/AU2</f>
        <v>6.4293103448275861</v>
      </c>
      <c r="AF39" s="355">
        <f>IF(AY38=0,0,AE38/AY38*1000)</f>
        <v>49.916604867705594</v>
      </c>
      <c r="AG39" s="356" t="e">
        <f>AG38/$AW$2</f>
        <v>#DIV/0!</v>
      </c>
      <c r="AH39" s="349">
        <f>AH38/AU2</f>
        <v>82.581034482758596</v>
      </c>
      <c r="AI39" s="355">
        <f>IF(AY38=0,0,AH38/AY38*1000)</f>
        <v>641.1519504822993</v>
      </c>
      <c r="AJ39" s="349">
        <f>AJ38/AU2</f>
        <v>13.293103448275859</v>
      </c>
      <c r="AK39" s="359"/>
      <c r="AL39" s="349">
        <f>AL38/AU2</f>
        <v>5.6837931034482754</v>
      </c>
      <c r="AM39" s="349">
        <f>AM38/AU2</f>
        <v>35.166551724137932</v>
      </c>
      <c r="AN39" s="360">
        <f>IF(AM39=0,0,AM39/AT39)</f>
        <v>0.20907152668156376</v>
      </c>
      <c r="AO39" s="356"/>
      <c r="AP39" s="349">
        <f>AVERAGE(AP7:AP37)</f>
        <v>10.951034482758619</v>
      </c>
      <c r="AQ39" s="349">
        <f>AVERAGE(AQ7:AQ37)</f>
        <v>6.452068965517241</v>
      </c>
      <c r="AR39" s="356"/>
      <c r="AS39" s="349">
        <f>AVERAGE(AS7:AS37)</f>
        <v>9.4365517241379298</v>
      </c>
      <c r="AT39" s="349">
        <f>AT38/AU2</f>
        <v>168.20344827586209</v>
      </c>
      <c r="AU39" s="349">
        <f>AU38/AU2</f>
        <v>1.4479310344827587</v>
      </c>
      <c r="AV39" s="349" t="e">
        <f>AV38/$AW$2</f>
        <v>#DIV/0!</v>
      </c>
      <c r="AW39" s="349" t="e">
        <f>AW38/$AW$2</f>
        <v>#DIV/0!</v>
      </c>
      <c r="AX39" s="349" t="e">
        <f>IF(AY39=0,0,AW39/AY39*100)</f>
        <v>#DIV/0!</v>
      </c>
      <c r="AY39" s="349">
        <f>AY38/AU2</f>
        <v>128.80103448275864</v>
      </c>
      <c r="AZ39" s="349">
        <f>AZ38/AU2</f>
        <v>132.76121919288744</v>
      </c>
      <c r="BA39" s="356"/>
      <c r="BB39" s="356"/>
      <c r="BC39" s="351">
        <f>(AY38*AB39)/(D38*E39)</f>
        <v>0.84923594583935313</v>
      </c>
      <c r="BD39" s="349">
        <f>BD38/AU2</f>
        <v>11.357426262748907</v>
      </c>
      <c r="BE39" s="361"/>
      <c r="BF39" s="19"/>
      <c r="BG39" s="19"/>
      <c r="BH39" s="19"/>
      <c r="BI39" s="19"/>
      <c r="BJ39" s="215"/>
      <c r="BK39" s="73"/>
      <c r="BL39" s="216"/>
      <c r="BM39" s="216"/>
      <c r="BN39" s="216"/>
      <c r="BO39" s="219"/>
      <c r="BP39" s="219"/>
      <c r="BQ39" s="217"/>
      <c r="BR39" s="73">
        <f t="shared" ref="BR39:BX39" si="35">(SUMPRODUCT(BK7:BK37,BR7:BR37))/BK38</f>
        <v>9.9999999999999995E-7</v>
      </c>
      <c r="BS39" s="29">
        <f>(SUMPRODUCT(BL7:BL37,BS7:BS37))/BL38</f>
        <v>2.6372223082838246</v>
      </c>
      <c r="BT39" s="29">
        <f t="shared" si="35"/>
        <v>9.9999999999999995E-7</v>
      </c>
      <c r="BU39" s="29">
        <f t="shared" si="35"/>
        <v>3.4563763192305283E-8</v>
      </c>
      <c r="BV39" s="29">
        <f t="shared" si="35"/>
        <v>9.9999999999999995E-7</v>
      </c>
      <c r="BW39" s="29">
        <f t="shared" si="35"/>
        <v>9.9999999999999995E-7</v>
      </c>
      <c r="BX39" s="74">
        <f t="shared" si="35"/>
        <v>9.9999999999999995E-7</v>
      </c>
      <c r="BY39" s="73">
        <f t="shared" ref="BY39:CE39" si="36">(SUMPRODUCT(BK7:BK37,BY7:BY37))/BK38</f>
        <v>9.9999999999999995E-7</v>
      </c>
      <c r="BZ39" s="29">
        <f t="shared" si="36"/>
        <v>37.396879187652914</v>
      </c>
      <c r="CA39" s="29">
        <f t="shared" si="36"/>
        <v>9.9999999999999995E-7</v>
      </c>
      <c r="CB39" s="29">
        <f t="shared" si="36"/>
        <v>45.83866364234909</v>
      </c>
      <c r="CC39" s="29">
        <f t="shared" si="36"/>
        <v>9.9999999999999995E-7</v>
      </c>
      <c r="CD39" s="29">
        <f t="shared" si="36"/>
        <v>9.9999999999999995E-7</v>
      </c>
      <c r="CE39" s="74">
        <f t="shared" si="36"/>
        <v>9.9999999999999995E-7</v>
      </c>
      <c r="CF39" s="218"/>
      <c r="CG39" s="218"/>
      <c r="CH39" s="216"/>
      <c r="CI39" s="219"/>
      <c r="CJ39" s="75">
        <f>(SUMPRODUCT(CF7:CF37,CJ7:CJ37))/CF38</f>
        <v>2.5408412660809621</v>
      </c>
      <c r="CK39" s="75">
        <f>(SUMPRODUCT(CG7:CG37,CK7:CK37))/CG38</f>
        <v>9.9999999999999995E-7</v>
      </c>
      <c r="CL39" s="29">
        <f>(SUMPRODUCT(CH7:CH37,CL7:CL37))/CH38</f>
        <v>3.7105608239018606</v>
      </c>
      <c r="CM39" s="74">
        <f>(SUMPRODUCT(CI7:CI37,CM7:CM37))/CI38</f>
        <v>9.9999999999999995E-7</v>
      </c>
      <c r="CN39" s="19"/>
      <c r="CO39" s="596">
        <f>CO38+CP38</f>
        <v>4185.8653263999995</v>
      </c>
      <c r="CP39" s="596"/>
      <c r="CQ39" s="597">
        <f>CQ38+CR38+CU38+CS38+CT38</f>
        <v>3912.5080026476899</v>
      </c>
      <c r="CR39" s="597"/>
      <c r="CS39" s="597"/>
      <c r="CT39" s="597"/>
      <c r="CU39" s="597"/>
      <c r="CV39" s="597">
        <f>CV38+CX38+CY38+CW38</f>
        <v>5004.1535710000007</v>
      </c>
      <c r="CW39" s="597"/>
      <c r="CX39" s="597"/>
      <c r="CY39" s="597"/>
      <c r="DA39" s="236"/>
      <c r="DB39" s="238"/>
      <c r="DD39" s="297"/>
      <c r="DE39" s="298"/>
      <c r="DF39" s="298"/>
      <c r="DG39" s="299"/>
      <c r="DH39" s="300"/>
      <c r="DJ39" s="213"/>
    </row>
    <row r="40" spans="1:114" s="214" customFormat="1" ht="16.5" customHeight="1" thickBot="1">
      <c r="A40" s="94" t="s">
        <v>58</v>
      </c>
      <c r="B40" s="362"/>
      <c r="C40" s="362"/>
      <c r="D40" s="363"/>
      <c r="E40" s="364">
        <v>39</v>
      </c>
      <c r="F40" s="363">
        <v>2.08</v>
      </c>
      <c r="G40" s="365"/>
      <c r="H40" s="363">
        <v>1.456</v>
      </c>
      <c r="I40" s="363"/>
      <c r="J40" s="363">
        <v>10.586919999999999</v>
      </c>
      <c r="K40" s="363"/>
      <c r="L40" s="363"/>
      <c r="M40" s="363">
        <v>0.624</v>
      </c>
      <c r="N40" s="363"/>
      <c r="O40" s="363">
        <v>10.088711999999999</v>
      </c>
      <c r="P40" s="366"/>
      <c r="Q40" s="362"/>
      <c r="R40" s="367"/>
      <c r="S40" s="368">
        <v>14.572584000000001</v>
      </c>
      <c r="T40" s="362"/>
      <c r="U40" s="369">
        <v>1.2949999999999999</v>
      </c>
      <c r="V40" s="370">
        <v>3612</v>
      </c>
      <c r="W40" s="370">
        <v>3612</v>
      </c>
      <c r="X40" s="371"/>
      <c r="Y40" s="371"/>
      <c r="Z40" s="372">
        <v>1190</v>
      </c>
      <c r="AA40" s="372"/>
      <c r="AB40" s="362">
        <v>76</v>
      </c>
      <c r="AC40" s="362"/>
      <c r="AD40" s="362"/>
      <c r="AE40" s="362"/>
      <c r="AF40" s="362"/>
      <c r="AG40" s="362"/>
      <c r="AH40" s="362"/>
      <c r="AI40" s="362">
        <v>600</v>
      </c>
      <c r="AJ40" s="373"/>
      <c r="AK40" s="374"/>
      <c r="AL40" s="375"/>
      <c r="AM40" s="362"/>
      <c r="AN40" s="362"/>
      <c r="AO40" s="362"/>
      <c r="AP40" s="362"/>
      <c r="AQ40" s="362"/>
      <c r="AR40" s="362"/>
      <c r="AS40" s="362"/>
      <c r="AT40" s="376">
        <v>3612</v>
      </c>
      <c r="AU40" s="377">
        <v>25.3</v>
      </c>
      <c r="AV40" s="377"/>
      <c r="AW40" s="378"/>
      <c r="AX40" s="362"/>
      <c r="AY40" s="379">
        <v>124.55</v>
      </c>
      <c r="AZ40" s="362"/>
      <c r="BA40" s="362"/>
      <c r="BB40" s="362"/>
      <c r="BC40" s="363">
        <v>0.9</v>
      </c>
      <c r="BD40" s="362"/>
      <c r="BE40" s="380"/>
      <c r="BF40" s="19"/>
      <c r="BG40" s="19"/>
      <c r="BH40" s="19"/>
      <c r="BI40" s="19"/>
      <c r="BJ40" s="215"/>
      <c r="BK40" s="220"/>
      <c r="BL40" s="221"/>
      <c r="BM40" s="216"/>
      <c r="BN40" s="216"/>
      <c r="BO40" s="219"/>
      <c r="BP40" s="219"/>
      <c r="BQ40" s="217"/>
      <c r="BR40" s="218"/>
      <c r="BS40" s="216"/>
      <c r="BT40" s="216"/>
      <c r="BU40" s="216"/>
      <c r="BV40" s="219"/>
      <c r="BW40" s="219"/>
      <c r="BX40" s="217"/>
      <c r="BY40" s="218"/>
      <c r="BZ40" s="216"/>
      <c r="CA40" s="216"/>
      <c r="CB40" s="216"/>
      <c r="CC40" s="219"/>
      <c r="CD40" s="219"/>
      <c r="CE40" s="217"/>
      <c r="CF40" s="218"/>
      <c r="CG40" s="218"/>
      <c r="CH40" s="216"/>
      <c r="CI40" s="219"/>
      <c r="CJ40" s="220"/>
      <c r="CK40" s="218"/>
      <c r="CL40" s="216"/>
      <c r="CM40" s="217"/>
      <c r="CN40" s="213"/>
      <c r="CO40" s="604">
        <f>CO39+CQ39</f>
        <v>8098.3733290476894</v>
      </c>
      <c r="CP40" s="604"/>
      <c r="CQ40" s="604"/>
      <c r="CR40" s="604"/>
      <c r="CS40" s="604"/>
      <c r="CT40" s="604"/>
      <c r="CU40" s="604"/>
      <c r="DA40" s="237"/>
      <c r="DB40" s="239"/>
      <c r="DD40" s="301"/>
      <c r="DE40" s="302"/>
      <c r="DF40" s="302"/>
      <c r="DG40" s="303"/>
      <c r="DH40" s="304"/>
    </row>
    <row r="41" spans="1:114" s="214" customFormat="1" ht="16.5" customHeight="1" thickBot="1">
      <c r="A41" s="95" t="s">
        <v>59</v>
      </c>
      <c r="B41" s="381"/>
      <c r="C41" s="381"/>
      <c r="D41" s="382"/>
      <c r="E41" s="381"/>
      <c r="F41" s="383">
        <f>F39-F40</f>
        <v>8.8105665259619492E-2</v>
      </c>
      <c r="G41" s="384">
        <f>G39-G40</f>
        <v>0</v>
      </c>
      <c r="H41" s="383"/>
      <c r="I41" s="385">
        <f>I39-I40</f>
        <v>0</v>
      </c>
      <c r="J41" s="385"/>
      <c r="K41" s="385"/>
      <c r="L41" s="385"/>
      <c r="M41" s="385"/>
      <c r="N41" s="385"/>
      <c r="O41" s="385"/>
      <c r="P41" s="383"/>
      <c r="Q41" s="386"/>
      <c r="R41" s="385">
        <f>R39-R40</f>
        <v>2.9724240347225521</v>
      </c>
      <c r="S41" s="386"/>
      <c r="T41" s="386"/>
      <c r="U41" s="383">
        <f>U39-U40</f>
        <v>4.4717652728212043E-2</v>
      </c>
      <c r="V41" s="383"/>
      <c r="W41" s="383"/>
      <c r="X41" s="383"/>
      <c r="Y41" s="383"/>
      <c r="Z41" s="387">
        <f>Z39-Z40</f>
        <v>-1.27586206896558</v>
      </c>
      <c r="AA41" s="388"/>
      <c r="AB41" s="381"/>
      <c r="AC41" s="381"/>
      <c r="AD41" s="381"/>
      <c r="AE41" s="381"/>
      <c r="AF41" s="381"/>
      <c r="AG41" s="381"/>
      <c r="AH41" s="381"/>
      <c r="AI41" s="381"/>
      <c r="AJ41" s="381"/>
      <c r="AK41" s="389"/>
      <c r="AL41" s="390"/>
      <c r="AM41" s="381"/>
      <c r="AN41" s="381"/>
      <c r="AO41" s="381"/>
      <c r="AP41" s="381"/>
      <c r="AQ41" s="381"/>
      <c r="AR41" s="381"/>
      <c r="AS41" s="381"/>
      <c r="AT41" s="391">
        <f>AT38+AV38-AT40</f>
        <v>1265.9000000000005</v>
      </c>
      <c r="AU41" s="392"/>
      <c r="AV41" s="393"/>
      <c r="AW41" s="390"/>
      <c r="AX41" s="381"/>
      <c r="AY41" s="385"/>
      <c r="AZ41" s="381"/>
      <c r="BA41" s="381"/>
      <c r="BB41" s="381"/>
      <c r="BC41" s="394"/>
      <c r="BD41" s="381"/>
      <c r="BE41" s="395"/>
      <c r="BF41" s="222"/>
      <c r="BG41" s="222"/>
      <c r="BH41" s="222"/>
      <c r="BI41" s="222"/>
      <c r="BJ41" s="222"/>
      <c r="BK41" s="223"/>
      <c r="BL41" s="224"/>
      <c r="BM41" s="225"/>
      <c r="BN41" s="225"/>
      <c r="BO41" s="224"/>
      <c r="BP41" s="224"/>
      <c r="BQ41" s="226"/>
      <c r="BR41" s="227"/>
      <c r="BS41" s="225"/>
      <c r="BT41" s="225"/>
      <c r="BU41" s="225"/>
      <c r="BV41" s="224"/>
      <c r="BW41" s="224"/>
      <c r="BX41" s="224"/>
      <c r="BY41" s="228"/>
      <c r="BZ41" s="225"/>
      <c r="CA41" s="225"/>
      <c r="CB41" s="225"/>
      <c r="CC41" s="224"/>
      <c r="CD41" s="224"/>
      <c r="CE41" s="226"/>
      <c r="CF41" s="227"/>
      <c r="CG41" s="227"/>
      <c r="CH41" s="225"/>
      <c r="CI41" s="224"/>
      <c r="CJ41" s="228"/>
      <c r="CK41" s="227"/>
      <c r="CL41" s="225"/>
      <c r="CM41" s="226"/>
      <c r="CN41" s="213"/>
      <c r="CO41" s="213"/>
      <c r="CP41" s="213"/>
      <c r="CQ41" s="213"/>
      <c r="DA41" s="21"/>
      <c r="DH41" s="309"/>
    </row>
    <row r="42" spans="1:114" ht="15" hidden="1" customHeight="1">
      <c r="A42" s="96"/>
      <c r="B42" s="96"/>
      <c r="C42" s="96"/>
      <c r="D42" s="97"/>
      <c r="E42" s="96"/>
      <c r="F42" s="98"/>
      <c r="G42" s="99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1"/>
      <c r="AF42" s="101"/>
      <c r="AG42" s="100"/>
      <c r="AH42" s="100"/>
      <c r="AI42" s="100"/>
      <c r="AJ42" s="100"/>
      <c r="AK42" s="100"/>
      <c r="AL42" s="100"/>
      <c r="AM42" s="100"/>
      <c r="AN42" s="100"/>
      <c r="AO42" s="100"/>
      <c r="AP42" s="100"/>
      <c r="AQ42" s="100"/>
      <c r="AR42" s="100"/>
      <c r="AS42" s="96"/>
      <c r="AT42" s="612"/>
      <c r="AU42" s="612"/>
      <c r="AV42" s="612"/>
      <c r="AW42" s="96"/>
      <c r="AX42" s="96"/>
      <c r="AY42" s="100"/>
      <c r="AZ42" s="100"/>
      <c r="BA42" s="100"/>
      <c r="BB42" s="100"/>
      <c r="BC42" s="100"/>
      <c r="BD42" s="100"/>
      <c r="BE42" s="100"/>
      <c r="BK42" s="20"/>
      <c r="BL42" s="20"/>
      <c r="BM42" s="20"/>
    </row>
    <row r="43" spans="1:114">
      <c r="A43" s="100"/>
      <c r="B43" s="100"/>
      <c r="C43" s="100"/>
      <c r="D43" s="102"/>
      <c r="E43" s="100"/>
      <c r="F43" s="100"/>
      <c r="G43" s="96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1"/>
      <c r="AF43" s="101"/>
      <c r="AG43" s="100"/>
      <c r="AH43" s="100"/>
      <c r="AI43" s="100"/>
      <c r="AJ43" s="100"/>
      <c r="AK43" s="100"/>
      <c r="AL43" s="100"/>
      <c r="AM43" s="100"/>
      <c r="AN43" s="100"/>
      <c r="AO43" s="100"/>
      <c r="AP43" s="100"/>
      <c r="AQ43" s="100"/>
      <c r="AR43" s="100"/>
      <c r="AS43" s="96" t="s">
        <v>60</v>
      </c>
      <c r="AT43" s="103">
        <f>AT40/BE43</f>
        <v>124.55172413793103</v>
      </c>
      <c r="AU43" s="104"/>
      <c r="AV43" s="96"/>
      <c r="AW43" s="96" t="s">
        <v>61</v>
      </c>
      <c r="AX43" s="96"/>
      <c r="AY43" s="100"/>
      <c r="AZ43" s="100"/>
      <c r="BA43" s="100"/>
      <c r="BB43" s="100"/>
      <c r="BC43" s="100"/>
      <c r="BD43" s="105" t="s">
        <v>62</v>
      </c>
      <c r="BE43" s="100">
        <v>29</v>
      </c>
    </row>
    <row r="44" spans="1:114" ht="12" customHeight="1">
      <c r="A44" s="100"/>
      <c r="B44" s="100"/>
      <c r="C44" s="100"/>
      <c r="D44" s="102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100"/>
      <c r="AG44" s="100"/>
      <c r="AH44" s="100"/>
      <c r="AI44" s="100"/>
      <c r="AJ44" s="100"/>
      <c r="AK44" s="100"/>
      <c r="AL44" s="100"/>
      <c r="AM44" s="100"/>
      <c r="AN44" s="100"/>
      <c r="AO44" s="100"/>
      <c r="AP44" s="100"/>
      <c r="AQ44" s="100"/>
      <c r="AR44" s="100"/>
      <c r="AS44" s="100"/>
      <c r="AT44" s="100"/>
      <c r="AU44" s="100"/>
      <c r="AV44" s="100"/>
      <c r="AW44" s="100"/>
      <c r="AX44" s="100"/>
      <c r="AY44" s="100"/>
      <c r="AZ44" s="100"/>
      <c r="BA44" s="100"/>
      <c r="BB44" s="100"/>
      <c r="BC44" s="100"/>
      <c r="BD44" s="96"/>
      <c r="BE44" s="96"/>
    </row>
    <row r="45" spans="1:114" ht="13.5" thickBot="1">
      <c r="A45" s="100"/>
      <c r="B45" s="100"/>
      <c r="C45" s="100"/>
      <c r="D45" s="102"/>
      <c r="E45" s="100"/>
      <c r="F45" s="100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101"/>
      <c r="AE45" s="101"/>
      <c r="AF45" s="101"/>
      <c r="AG45" s="100"/>
      <c r="AH45" s="100"/>
      <c r="AI45" s="100"/>
      <c r="AJ45" s="100"/>
      <c r="AK45" s="100"/>
      <c r="AL45" s="100"/>
      <c r="AM45" s="106" t="s">
        <v>63</v>
      </c>
      <c r="AN45" s="106"/>
      <c r="AO45" s="106"/>
      <c r="AP45" s="106"/>
      <c r="AQ45" s="106"/>
      <c r="AR45" s="106"/>
      <c r="AS45" s="107" t="s">
        <v>64</v>
      </c>
      <c r="AT45" s="108">
        <v>28</v>
      </c>
      <c r="AU45" s="108"/>
      <c r="AV45" s="100"/>
      <c r="AW45" s="100"/>
      <c r="AX45" s="100"/>
      <c r="AY45" s="100"/>
      <c r="AZ45" s="100"/>
      <c r="BA45" s="100"/>
      <c r="BB45" s="100"/>
      <c r="BC45" s="100"/>
      <c r="BD45" s="96"/>
      <c r="BE45" s="96"/>
      <c r="BS45" s="1"/>
      <c r="CF45" s="1"/>
    </row>
    <row r="46" spans="1:114" ht="12.75" customHeight="1" thickBot="1">
      <c r="A46" s="100"/>
      <c r="B46" s="100"/>
      <c r="C46" s="109" t="s">
        <v>65</v>
      </c>
      <c r="D46" s="102"/>
      <c r="E46" s="100"/>
      <c r="F46" s="100"/>
      <c r="G46" s="100"/>
      <c r="H46" s="100"/>
      <c r="I46" s="100"/>
      <c r="J46" s="100"/>
      <c r="K46" s="100"/>
      <c r="L46" s="110">
        <f>AT38/AD38</f>
        <v>42.416521739130438</v>
      </c>
      <c r="M46" s="109" t="s">
        <v>88</v>
      </c>
      <c r="N46" s="606"/>
      <c r="O46" s="606"/>
      <c r="P46" s="111"/>
      <c r="Q46" s="100"/>
      <c r="R46" s="100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101"/>
      <c r="AE46" s="101"/>
      <c r="AF46" s="101"/>
      <c r="AG46" s="100"/>
      <c r="AH46" s="100"/>
      <c r="AI46" s="100"/>
      <c r="AJ46" s="100"/>
      <c r="AK46" s="100"/>
      <c r="AL46" s="100"/>
      <c r="AM46" s="100"/>
      <c r="AN46" s="100"/>
      <c r="AO46" s="106"/>
      <c r="AP46" s="106"/>
      <c r="AQ46" s="106"/>
      <c r="AR46" s="106"/>
      <c r="AS46" s="107" t="s">
        <v>66</v>
      </c>
      <c r="AT46" s="112">
        <f>AT40/AT45</f>
        <v>129</v>
      </c>
      <c r="AU46" s="112"/>
      <c r="AV46" s="100"/>
      <c r="AW46" s="100"/>
      <c r="AX46" s="100">
        <v>0</v>
      </c>
      <c r="AY46" s="100"/>
      <c r="AZ46" s="607" t="s">
        <v>67</v>
      </c>
      <c r="BA46" s="607"/>
      <c r="BB46" s="607"/>
      <c r="BC46" s="607"/>
      <c r="BD46" s="607"/>
      <c r="BE46" s="607"/>
    </row>
    <row r="47" spans="1:114">
      <c r="A47" s="100"/>
      <c r="B47" s="100"/>
      <c r="C47" s="100"/>
      <c r="D47" s="102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100"/>
      <c r="AI47" s="100"/>
      <c r="AJ47" s="100"/>
      <c r="AK47" s="100"/>
      <c r="AL47" s="100"/>
      <c r="AM47" s="100"/>
      <c r="AN47" s="100"/>
      <c r="AO47" s="100"/>
      <c r="AP47" s="100"/>
      <c r="AQ47" s="100"/>
      <c r="AR47" s="100"/>
      <c r="AS47" s="100"/>
      <c r="AT47" s="100"/>
      <c r="AU47" s="100"/>
      <c r="AV47" s="100"/>
      <c r="AW47" s="100"/>
      <c r="AX47" s="100"/>
      <c r="AY47" s="100"/>
      <c r="AZ47" s="607"/>
      <c r="BA47" s="607"/>
      <c r="BB47" s="607"/>
      <c r="BC47" s="607"/>
      <c r="BD47" s="607"/>
      <c r="BE47" s="607"/>
    </row>
    <row r="48" spans="1:114">
      <c r="A48" s="100"/>
      <c r="B48" s="100"/>
      <c r="C48" s="100"/>
      <c r="D48" s="102"/>
      <c r="E48" s="100"/>
      <c r="F48" s="100"/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13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  <c r="AE48" s="100"/>
      <c r="AF48" s="100"/>
      <c r="AG48" s="100"/>
      <c r="AH48" s="100"/>
      <c r="AI48" s="100"/>
      <c r="AJ48" s="100"/>
      <c r="AK48" s="100"/>
      <c r="AL48" s="100"/>
      <c r="AM48" s="100"/>
      <c r="AN48" s="100"/>
      <c r="AO48" s="100"/>
      <c r="AP48" s="100"/>
      <c r="AQ48" s="100"/>
      <c r="AR48" s="100"/>
      <c r="AS48" s="100"/>
      <c r="AT48" s="100"/>
      <c r="AU48" s="100"/>
      <c r="AV48" s="100"/>
      <c r="AW48" s="100"/>
      <c r="AX48" s="100"/>
      <c r="AY48" s="100"/>
      <c r="AZ48" s="608">
        <f>BF37-BJ37</f>
        <v>123.22999999999956</v>
      </c>
      <c r="BA48" s="608"/>
      <c r="BB48" s="608"/>
      <c r="BC48" s="608"/>
      <c r="BD48" s="609" t="s">
        <v>68</v>
      </c>
      <c r="BE48" s="114"/>
    </row>
    <row r="49" spans="1:57" ht="12" customHeight="1">
      <c r="A49" s="100"/>
      <c r="B49" s="100"/>
      <c r="C49" s="100"/>
      <c r="D49" s="102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15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100"/>
      <c r="AI49" s="100"/>
      <c r="AJ49" s="100"/>
      <c r="AK49" s="100"/>
      <c r="AL49" s="100"/>
      <c r="AM49" s="100"/>
      <c r="AN49" s="100"/>
      <c r="AO49" s="100"/>
      <c r="AP49" s="100"/>
      <c r="AQ49" s="100"/>
      <c r="AR49" s="100"/>
      <c r="AS49" s="100"/>
      <c r="AT49" s="100"/>
      <c r="AU49" s="100"/>
      <c r="AV49" s="100"/>
      <c r="AW49" s="100"/>
      <c r="AX49" s="100"/>
      <c r="AY49" s="100"/>
      <c r="AZ49" s="608"/>
      <c r="BA49" s="608"/>
      <c r="BB49" s="608"/>
      <c r="BC49" s="608"/>
      <c r="BD49" s="609"/>
      <c r="BE49" s="114"/>
    </row>
    <row r="50" spans="1:57" ht="13.5" customHeight="1">
      <c r="A50" s="100"/>
      <c r="B50" s="100"/>
      <c r="C50" s="100"/>
      <c r="D50" s="102"/>
      <c r="E50" s="100"/>
      <c r="F50" s="100"/>
      <c r="G50" s="100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100"/>
      <c r="AC50" s="100"/>
      <c r="AD50" s="100"/>
      <c r="AE50" s="100"/>
      <c r="AF50" s="100"/>
      <c r="AG50" s="100"/>
      <c r="AH50" s="100"/>
      <c r="AI50" s="100"/>
      <c r="AJ50" s="100"/>
      <c r="AK50" s="100"/>
      <c r="AL50" s="100"/>
      <c r="AM50" s="100"/>
      <c r="AN50" s="100"/>
      <c r="AO50" s="100"/>
      <c r="AP50" s="100"/>
      <c r="AQ50" s="100"/>
      <c r="AR50" s="100"/>
      <c r="AS50" s="100"/>
      <c r="AT50" s="100"/>
      <c r="AU50" s="100"/>
      <c r="AV50" s="100"/>
      <c r="AW50" s="100"/>
      <c r="AX50" s="100"/>
      <c r="AY50" s="100"/>
      <c r="AZ50" s="116"/>
      <c r="BA50" s="96"/>
      <c r="BB50" s="96"/>
      <c r="BC50" s="96"/>
      <c r="BD50" s="96"/>
      <c r="BE50" s="114"/>
    </row>
    <row r="51" spans="1:57" ht="13.5" customHeight="1" thickBot="1">
      <c r="A51" s="100"/>
      <c r="B51" s="100"/>
      <c r="C51" s="100"/>
      <c r="D51" s="102"/>
      <c r="E51" s="100"/>
      <c r="F51" s="100"/>
      <c r="G51" s="100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0"/>
      <c r="AC51" s="100"/>
      <c r="AD51" s="100"/>
      <c r="AE51" s="100"/>
      <c r="AF51" s="100"/>
      <c r="AG51" s="100"/>
      <c r="AH51" s="100"/>
      <c r="AI51" s="100"/>
      <c r="AJ51" s="100"/>
      <c r="AK51" s="100"/>
      <c r="AL51" s="100"/>
      <c r="AM51" s="100"/>
      <c r="AN51" s="100"/>
      <c r="AO51" s="100"/>
      <c r="AP51" s="100"/>
      <c r="AQ51" s="100"/>
      <c r="AR51" s="100"/>
      <c r="AS51" s="100"/>
      <c r="AT51" s="100"/>
      <c r="AU51" s="100"/>
      <c r="AV51" s="100"/>
      <c r="AW51" s="100"/>
      <c r="AX51" s="100"/>
      <c r="AY51" s="100"/>
      <c r="AZ51" s="610">
        <f>AZ48/AT40*100</f>
        <v>3.4116832779623358</v>
      </c>
      <c r="BA51" s="610"/>
      <c r="BB51" s="610"/>
      <c r="BC51" s="610"/>
      <c r="BD51" s="611" t="s">
        <v>69</v>
      </c>
      <c r="BE51" s="114"/>
    </row>
    <row r="52" spans="1:57" ht="13.5" thickBot="1">
      <c r="A52" s="100"/>
      <c r="B52" s="100"/>
      <c r="C52" s="100"/>
      <c r="D52" s="102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  <c r="AF52" s="100"/>
      <c r="AG52" s="100"/>
      <c r="AH52" s="100"/>
      <c r="AI52" s="100"/>
      <c r="AJ52" s="100"/>
      <c r="AK52" s="100"/>
      <c r="AL52" s="100"/>
      <c r="AM52" s="100"/>
      <c r="AN52" s="100"/>
      <c r="AO52" s="100"/>
      <c r="AP52" s="100"/>
      <c r="AQ52" s="100"/>
      <c r="AR52" s="100"/>
      <c r="AS52" s="100"/>
      <c r="AT52" s="100"/>
      <c r="AU52" s="100"/>
      <c r="AV52" s="100"/>
      <c r="AW52" s="100"/>
      <c r="AX52" s="100"/>
      <c r="AY52" s="100"/>
      <c r="AZ52" s="610"/>
      <c r="BA52" s="610"/>
      <c r="BB52" s="610"/>
      <c r="BC52" s="610"/>
      <c r="BD52" s="611"/>
      <c r="BE52" s="117"/>
    </row>
    <row r="53" spans="1:57">
      <c r="A53" s="100"/>
      <c r="B53" s="100"/>
      <c r="C53" s="100"/>
      <c r="D53" s="102"/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100"/>
      <c r="AI53" s="100"/>
      <c r="AJ53" s="100"/>
      <c r="AK53" s="100"/>
      <c r="AL53" s="100"/>
      <c r="AM53" s="100"/>
      <c r="AN53" s="100"/>
      <c r="AO53" s="100"/>
      <c r="AP53" s="100"/>
      <c r="AQ53" s="100"/>
      <c r="AR53" s="100"/>
      <c r="AS53" s="100"/>
      <c r="AT53" s="100"/>
      <c r="AU53" s="100"/>
      <c r="AV53" s="100"/>
      <c r="AW53" s="100"/>
      <c r="AX53" s="100"/>
      <c r="AY53" s="100"/>
      <c r="AZ53" s="100"/>
      <c r="BA53" s="100"/>
      <c r="BB53" s="100"/>
      <c r="BC53" s="100"/>
      <c r="BD53" s="100"/>
      <c r="BE53" s="100"/>
    </row>
    <row r="54" spans="1:57">
      <c r="A54" s="100"/>
      <c r="B54" s="100"/>
      <c r="C54" s="100"/>
      <c r="D54" s="102"/>
      <c r="E54" s="100"/>
      <c r="F54" s="100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100"/>
      <c r="AI54" s="100"/>
      <c r="AJ54" s="100"/>
      <c r="AK54" s="100"/>
      <c r="AL54" s="100"/>
      <c r="AM54" s="100"/>
      <c r="AN54" s="100"/>
      <c r="AO54" s="100"/>
      <c r="AP54" s="100"/>
      <c r="AQ54" s="100"/>
      <c r="AR54" s="100"/>
      <c r="AS54" s="100"/>
      <c r="AT54" s="100"/>
      <c r="AU54" s="100"/>
      <c r="AV54" s="100"/>
      <c r="AW54" s="100"/>
      <c r="AX54" s="100"/>
      <c r="AY54" s="100"/>
      <c r="AZ54" s="100"/>
      <c r="BA54" s="100"/>
      <c r="BB54" s="100"/>
      <c r="BC54" s="100"/>
      <c r="BD54" s="100"/>
      <c r="BE54" s="100"/>
    </row>
    <row r="55" spans="1:57">
      <c r="A55" s="100"/>
      <c r="B55" s="100"/>
      <c r="C55" s="100"/>
      <c r="D55" s="102"/>
      <c r="E55" s="100"/>
      <c r="F55" s="100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  <c r="AH55" s="100"/>
      <c r="AI55" s="100"/>
      <c r="AJ55" s="100"/>
      <c r="AK55" s="100"/>
      <c r="AL55" s="100"/>
      <c r="AM55" s="100"/>
      <c r="AN55" s="100"/>
      <c r="AO55" s="100"/>
      <c r="AP55" s="100"/>
      <c r="AQ55" s="100"/>
      <c r="AR55" s="100"/>
      <c r="AS55" s="100"/>
      <c r="AT55" s="100"/>
      <c r="AU55" s="100"/>
      <c r="AV55" s="100"/>
      <c r="AW55" s="100"/>
      <c r="AX55" s="100"/>
      <c r="AY55" s="100"/>
      <c r="AZ55" s="100"/>
      <c r="BA55" s="100"/>
      <c r="BB55" s="100"/>
      <c r="BC55" s="100"/>
      <c r="BD55" s="100"/>
      <c r="BE55" s="100"/>
    </row>
    <row r="56" spans="1:57">
      <c r="A56" s="100"/>
      <c r="B56" s="100"/>
      <c r="C56" s="100"/>
      <c r="D56" s="102"/>
      <c r="E56" s="100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/>
      <c r="AE56" s="100"/>
      <c r="AF56" s="100"/>
      <c r="AG56" s="100"/>
      <c r="AH56" s="100"/>
      <c r="AI56" s="100"/>
      <c r="AJ56" s="100"/>
      <c r="AK56" s="100"/>
      <c r="AL56" s="100"/>
      <c r="AM56" s="100"/>
      <c r="AN56" s="100"/>
      <c r="AO56" s="100"/>
      <c r="AP56" s="100"/>
      <c r="AQ56" s="100"/>
      <c r="AR56" s="100"/>
      <c r="AS56" s="100"/>
      <c r="AT56" s="100"/>
      <c r="AU56" s="100"/>
      <c r="AV56" s="100"/>
      <c r="AW56" s="100"/>
      <c r="AX56" s="100"/>
      <c r="AY56" s="100"/>
      <c r="AZ56" s="100"/>
      <c r="BA56" s="100"/>
      <c r="BB56" s="100"/>
      <c r="BC56" s="100"/>
      <c r="BD56" s="100"/>
      <c r="BE56" s="100"/>
    </row>
    <row r="57" spans="1:57">
      <c r="A57" s="100"/>
      <c r="B57" s="100"/>
      <c r="C57" s="100"/>
      <c r="D57" s="102"/>
      <c r="E57" s="100"/>
      <c r="F57" s="100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100"/>
      <c r="AI57" s="100"/>
      <c r="AJ57" s="100"/>
      <c r="AK57" s="100"/>
      <c r="AL57" s="100"/>
      <c r="AM57" s="100"/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X57" s="100"/>
      <c r="AY57" s="100"/>
      <c r="AZ57" s="100"/>
      <c r="BA57" s="100"/>
      <c r="BB57" s="100"/>
      <c r="BC57" s="100"/>
      <c r="BD57" s="100"/>
      <c r="BE57" s="100"/>
    </row>
    <row r="58" spans="1:57">
      <c r="A58" s="100"/>
      <c r="B58" s="100"/>
      <c r="C58" s="100"/>
      <c r="D58" s="102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  <c r="AA58" s="100"/>
      <c r="AB58" s="100"/>
      <c r="AC58" s="100"/>
      <c r="AD58" s="100"/>
      <c r="AE58" s="100"/>
      <c r="AF58" s="100"/>
      <c r="AG58" s="100"/>
      <c r="AH58" s="100"/>
      <c r="AI58" s="100"/>
      <c r="AJ58" s="100"/>
      <c r="AK58" s="100"/>
      <c r="AL58" s="100"/>
      <c r="AM58" s="100"/>
      <c r="AN58" s="100"/>
      <c r="AO58" s="100"/>
      <c r="AP58" s="100"/>
      <c r="AQ58" s="100"/>
      <c r="AR58" s="100"/>
      <c r="AS58" s="100"/>
      <c r="AT58" s="100"/>
      <c r="AU58" s="100"/>
      <c r="AV58" s="100"/>
      <c r="AW58" s="100"/>
      <c r="AX58" s="100"/>
      <c r="AY58" s="100"/>
      <c r="AZ58" s="100"/>
      <c r="BA58" s="100"/>
      <c r="BB58" s="100"/>
      <c r="BC58" s="100"/>
      <c r="BD58" s="100"/>
      <c r="BE58" s="100"/>
    </row>
    <row r="59" spans="1:57">
      <c r="A59" s="100"/>
      <c r="B59" s="100"/>
      <c r="C59" s="100"/>
      <c r="D59" s="102"/>
      <c r="E59" s="100"/>
      <c r="F59" s="100"/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  <c r="AE59" s="100"/>
      <c r="AF59" s="100"/>
      <c r="AG59" s="100"/>
      <c r="AH59" s="100"/>
      <c r="AI59" s="100"/>
      <c r="AJ59" s="100"/>
      <c r="AK59" s="100"/>
      <c r="AL59" s="100"/>
      <c r="AM59" s="100"/>
      <c r="AN59" s="100"/>
      <c r="AO59" s="100"/>
      <c r="AP59" s="100"/>
      <c r="AQ59" s="100"/>
      <c r="AR59" s="100"/>
      <c r="AS59" s="100"/>
      <c r="AT59" s="100"/>
      <c r="AU59" s="100"/>
      <c r="AV59" s="100"/>
      <c r="AW59" s="100"/>
      <c r="AX59" s="100"/>
      <c r="AY59" s="100"/>
      <c r="AZ59" s="100"/>
      <c r="BA59" s="100"/>
      <c r="BB59" s="100"/>
      <c r="BC59" s="100"/>
      <c r="BD59" s="100"/>
      <c r="BE59" s="100"/>
    </row>
    <row r="60" spans="1:57">
      <c r="A60" s="100"/>
      <c r="B60" s="100"/>
      <c r="C60" s="100"/>
      <c r="D60" s="102"/>
      <c r="E60" s="100"/>
      <c r="F60" s="100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  <c r="AE60" s="100"/>
      <c r="AF60" s="100"/>
      <c r="AG60" s="100"/>
      <c r="AH60" s="100"/>
      <c r="AI60" s="100"/>
      <c r="AJ60" s="100"/>
      <c r="AK60" s="100"/>
      <c r="AL60" s="100"/>
      <c r="AM60" s="100"/>
      <c r="AN60" s="100"/>
      <c r="AO60" s="100"/>
      <c r="AP60" s="100"/>
      <c r="AQ60" s="100"/>
      <c r="AR60" s="100"/>
      <c r="AS60" s="100"/>
      <c r="AT60" s="100"/>
      <c r="AU60" s="100"/>
      <c r="AV60" s="100"/>
      <c r="AW60" s="100"/>
      <c r="AX60" s="100"/>
      <c r="AY60" s="100"/>
      <c r="AZ60" s="100"/>
      <c r="BA60" s="100"/>
      <c r="BB60" s="100"/>
      <c r="BC60" s="100"/>
      <c r="BD60" s="100"/>
      <c r="BE60" s="100"/>
    </row>
    <row r="61" spans="1:57">
      <c r="A61" s="100"/>
      <c r="B61" s="100"/>
      <c r="C61" s="100"/>
      <c r="D61" s="102"/>
      <c r="E61" s="100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/>
      <c r="AE61" s="100"/>
      <c r="AF61" s="100"/>
      <c r="AG61" s="100"/>
      <c r="AH61" s="100"/>
      <c r="AI61" s="100"/>
      <c r="AJ61" s="100"/>
      <c r="AK61" s="100"/>
      <c r="AL61" s="100"/>
      <c r="AM61" s="100"/>
      <c r="AN61" s="100"/>
      <c r="AO61" s="100"/>
      <c r="AP61" s="100"/>
      <c r="AQ61" s="100"/>
      <c r="AR61" s="100"/>
      <c r="AS61" s="100"/>
      <c r="AT61" s="100"/>
      <c r="AU61" s="100"/>
      <c r="AV61" s="100"/>
      <c r="AW61" s="100"/>
      <c r="AX61" s="100"/>
      <c r="AY61" s="100"/>
      <c r="AZ61" s="100"/>
      <c r="BA61" s="100"/>
      <c r="BB61" s="100"/>
      <c r="BC61" s="100"/>
      <c r="BD61" s="100"/>
      <c r="BE61" s="100"/>
    </row>
    <row r="62" spans="1:57">
      <c r="A62" s="100"/>
      <c r="B62" s="100"/>
      <c r="C62" s="100"/>
      <c r="D62" s="102"/>
      <c r="E62" s="100"/>
      <c r="F62" s="100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100"/>
      <c r="AC62" s="100"/>
      <c r="AD62" s="100"/>
      <c r="AE62" s="100"/>
      <c r="AF62" s="100"/>
      <c r="AG62" s="100"/>
      <c r="AH62" s="100"/>
      <c r="AI62" s="100"/>
      <c r="AJ62" s="100"/>
      <c r="AK62" s="100"/>
      <c r="AL62" s="100"/>
      <c r="AM62" s="100"/>
      <c r="AN62" s="100"/>
      <c r="AO62" s="100"/>
      <c r="AP62" s="100"/>
      <c r="AQ62" s="100"/>
      <c r="AR62" s="100"/>
      <c r="AS62" s="100"/>
      <c r="AT62" s="100"/>
      <c r="AU62" s="100"/>
      <c r="AV62" s="100"/>
      <c r="AW62" s="100"/>
      <c r="AX62" s="100"/>
      <c r="AY62" s="100"/>
      <c r="AZ62" s="100"/>
      <c r="BA62" s="100"/>
      <c r="BB62" s="100"/>
      <c r="BC62" s="100"/>
      <c r="BD62" s="100"/>
      <c r="BE62" s="100"/>
    </row>
    <row r="63" spans="1:57">
      <c r="A63" s="100"/>
      <c r="B63" s="100"/>
      <c r="C63" s="100"/>
      <c r="D63" s="102"/>
      <c r="E63" s="100"/>
      <c r="F63" s="100"/>
      <c r="G63" s="100"/>
      <c r="H63" s="100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  <c r="AA63" s="100"/>
      <c r="AB63" s="100"/>
      <c r="AC63" s="100"/>
      <c r="AD63" s="100"/>
      <c r="AE63" s="100"/>
      <c r="AF63" s="100"/>
      <c r="AG63" s="100"/>
      <c r="AH63" s="100"/>
      <c r="AI63" s="100"/>
      <c r="AJ63" s="100"/>
      <c r="AK63" s="100"/>
      <c r="AL63" s="100"/>
      <c r="AM63" s="100"/>
      <c r="AN63" s="100"/>
      <c r="AO63" s="100"/>
      <c r="AP63" s="100"/>
      <c r="AQ63" s="100"/>
      <c r="AR63" s="100"/>
      <c r="AS63" s="100"/>
      <c r="AT63" s="100"/>
      <c r="AU63" s="100"/>
      <c r="AV63" s="100"/>
      <c r="AW63" s="100"/>
      <c r="AX63" s="100"/>
      <c r="AY63" s="100"/>
      <c r="AZ63" s="100"/>
      <c r="BA63" s="100"/>
      <c r="BB63" s="100"/>
      <c r="BC63" s="100"/>
      <c r="BD63" s="100"/>
      <c r="BE63" s="100"/>
    </row>
    <row r="64" spans="1:57">
      <c r="A64" s="100"/>
      <c r="B64" s="100"/>
      <c r="C64" s="100"/>
      <c r="D64" s="102"/>
      <c r="E64" s="100"/>
      <c r="F64" s="100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  <c r="AE64" s="100"/>
      <c r="AF64" s="100"/>
      <c r="AG64" s="100"/>
      <c r="AH64" s="100"/>
      <c r="AI64" s="100"/>
      <c r="AJ64" s="100"/>
      <c r="AK64" s="100"/>
      <c r="AL64" s="100"/>
      <c r="AM64" s="100"/>
      <c r="AN64" s="100"/>
      <c r="AO64" s="100"/>
      <c r="AP64" s="100"/>
      <c r="AQ64" s="100"/>
      <c r="AR64" s="100"/>
      <c r="AS64" s="100"/>
      <c r="AT64" s="100"/>
      <c r="AU64" s="100"/>
      <c r="AV64" s="100"/>
      <c r="AW64" s="100"/>
      <c r="AX64" s="100"/>
      <c r="AY64" s="100"/>
      <c r="AZ64" s="100"/>
      <c r="BA64" s="100"/>
      <c r="BB64" s="100"/>
      <c r="BC64" s="100"/>
      <c r="BD64" s="100"/>
      <c r="BE64" s="100"/>
    </row>
    <row r="65" spans="1:57">
      <c r="A65" s="100"/>
      <c r="B65" s="100"/>
      <c r="C65" s="100"/>
      <c r="D65" s="102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/>
      <c r="AE65" s="100"/>
      <c r="AF65" s="100"/>
      <c r="AG65" s="100"/>
      <c r="AH65" s="100"/>
      <c r="AI65" s="100"/>
      <c r="AJ65" s="100"/>
      <c r="AK65" s="100"/>
      <c r="AL65" s="100"/>
      <c r="AM65" s="100"/>
      <c r="AN65" s="100"/>
      <c r="AO65" s="100"/>
      <c r="AP65" s="100"/>
      <c r="AQ65" s="100"/>
      <c r="AR65" s="100"/>
      <c r="AS65" s="100"/>
      <c r="AT65" s="100"/>
      <c r="AU65" s="100"/>
      <c r="AV65" s="100"/>
      <c r="AW65" s="100"/>
      <c r="AX65" s="100"/>
      <c r="AY65" s="100"/>
      <c r="AZ65" s="100"/>
      <c r="BA65" s="100"/>
      <c r="BB65" s="100"/>
      <c r="BC65" s="100"/>
      <c r="BD65" s="100"/>
      <c r="BE65" s="100"/>
    </row>
    <row r="66" spans="1:57">
      <c r="A66" s="100"/>
      <c r="B66" s="100"/>
      <c r="C66" s="100"/>
      <c r="D66" s="102"/>
      <c r="E66" s="100"/>
      <c r="F66" s="100"/>
      <c r="G66" s="100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/>
      <c r="AE66" s="100"/>
      <c r="AF66" s="100"/>
      <c r="AG66" s="100"/>
      <c r="AH66" s="100"/>
      <c r="AI66" s="100"/>
      <c r="AJ66" s="100"/>
      <c r="AK66" s="100"/>
      <c r="AL66" s="100"/>
      <c r="AM66" s="100"/>
      <c r="AN66" s="100"/>
      <c r="AO66" s="100"/>
      <c r="AP66" s="100"/>
      <c r="AQ66" s="100"/>
      <c r="AR66" s="100"/>
      <c r="AS66" s="100"/>
      <c r="AT66" s="100"/>
      <c r="AU66" s="100"/>
      <c r="AV66" s="100"/>
      <c r="AW66" s="100"/>
      <c r="AX66" s="100"/>
      <c r="AY66" s="100"/>
      <c r="AZ66" s="100"/>
      <c r="BA66" s="100"/>
      <c r="BB66" s="100"/>
      <c r="BC66" s="100"/>
      <c r="BD66" s="100"/>
      <c r="BE66" s="100"/>
    </row>
    <row r="67" spans="1:57">
      <c r="A67" s="100"/>
      <c r="B67" s="100"/>
      <c r="C67" s="100"/>
      <c r="D67" s="102"/>
      <c r="E67" s="100"/>
      <c r="F67" s="100"/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  <c r="AD67" s="100"/>
      <c r="AE67" s="100"/>
      <c r="AF67" s="100"/>
      <c r="AG67" s="100"/>
      <c r="AH67" s="100"/>
      <c r="AI67" s="100"/>
      <c r="AJ67" s="100"/>
      <c r="AK67" s="100"/>
      <c r="AL67" s="100"/>
      <c r="AM67" s="100"/>
      <c r="AN67" s="100"/>
      <c r="AO67" s="100"/>
      <c r="AP67" s="100"/>
      <c r="AQ67" s="100"/>
      <c r="AR67" s="100"/>
      <c r="AS67" s="100"/>
      <c r="AT67" s="100"/>
      <c r="AU67" s="100"/>
      <c r="AV67" s="100"/>
      <c r="AW67" s="100"/>
      <c r="AX67" s="100"/>
      <c r="AY67" s="100"/>
      <c r="AZ67" s="100"/>
      <c r="BA67" s="100"/>
      <c r="BB67" s="100"/>
      <c r="BC67" s="100"/>
      <c r="BD67" s="100"/>
      <c r="BE67" s="100"/>
    </row>
    <row r="68" spans="1:57">
      <c r="A68" s="100"/>
      <c r="B68" s="100"/>
      <c r="C68" s="100"/>
      <c r="D68" s="102"/>
      <c r="E68" s="100"/>
      <c r="F68" s="100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  <c r="AI68" s="100"/>
      <c r="AJ68" s="100"/>
      <c r="AK68" s="100"/>
      <c r="AL68" s="100"/>
      <c r="AM68" s="100"/>
      <c r="AN68" s="100"/>
      <c r="AO68" s="100"/>
      <c r="AP68" s="100"/>
      <c r="AQ68" s="100"/>
      <c r="AR68" s="100"/>
      <c r="AS68" s="100"/>
      <c r="AT68" s="100"/>
      <c r="AU68" s="100"/>
      <c r="AV68" s="100"/>
      <c r="AW68" s="100"/>
      <c r="AX68" s="100"/>
      <c r="AY68" s="100"/>
      <c r="AZ68" s="100"/>
      <c r="BA68" s="100"/>
      <c r="BB68" s="100"/>
      <c r="BC68" s="100"/>
      <c r="BD68" s="100"/>
      <c r="BE68" s="100"/>
    </row>
    <row r="69" spans="1:57">
      <c r="A69" s="100"/>
      <c r="B69" s="100"/>
      <c r="C69" s="100"/>
      <c r="D69" s="102"/>
      <c r="E69" s="100"/>
      <c r="F69" s="100"/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100"/>
      <c r="AC69" s="100"/>
      <c r="AD69" s="100"/>
      <c r="AE69" s="100"/>
      <c r="AF69" s="100"/>
      <c r="AG69" s="100"/>
      <c r="AH69" s="100"/>
      <c r="AI69" s="100"/>
      <c r="AJ69" s="100"/>
      <c r="AK69" s="100"/>
      <c r="AL69" s="100"/>
      <c r="AM69" s="100"/>
      <c r="AN69" s="100"/>
      <c r="AO69" s="100"/>
      <c r="AP69" s="100"/>
      <c r="AQ69" s="100"/>
      <c r="AR69" s="100"/>
      <c r="AS69" s="100"/>
      <c r="AT69" s="100"/>
      <c r="AU69" s="100"/>
      <c r="AV69" s="100"/>
      <c r="AW69" s="100"/>
      <c r="AX69" s="100"/>
      <c r="AY69" s="100"/>
      <c r="AZ69" s="100"/>
      <c r="BA69" s="100"/>
      <c r="BB69" s="100"/>
      <c r="BC69" s="100"/>
      <c r="BD69" s="100"/>
      <c r="BE69" s="100"/>
    </row>
    <row r="70" spans="1:57">
      <c r="A70" s="100"/>
      <c r="B70" s="100"/>
      <c r="C70" s="100"/>
      <c r="D70" s="102"/>
      <c r="E70" s="100"/>
      <c r="F70" s="100"/>
      <c r="G70" s="100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  <c r="AE70" s="100"/>
      <c r="AF70" s="100"/>
      <c r="AG70" s="100"/>
      <c r="AH70" s="100"/>
      <c r="AI70" s="100"/>
      <c r="AJ70" s="100"/>
      <c r="AK70" s="100"/>
      <c r="AL70" s="100"/>
      <c r="AM70" s="100"/>
      <c r="AN70" s="100"/>
      <c r="AO70" s="100"/>
      <c r="AP70" s="100"/>
      <c r="AQ70" s="100"/>
      <c r="AR70" s="100"/>
      <c r="AS70" s="100"/>
      <c r="AT70" s="100"/>
      <c r="AU70" s="100"/>
      <c r="AV70" s="100"/>
      <c r="AW70" s="100"/>
      <c r="AX70" s="100"/>
      <c r="AY70" s="100"/>
      <c r="AZ70" s="100"/>
      <c r="BA70" s="100"/>
      <c r="BB70" s="100"/>
      <c r="BC70" s="100"/>
      <c r="BD70" s="100"/>
      <c r="BE70" s="100"/>
    </row>
    <row r="71" spans="1:57" ht="18" customHeight="1">
      <c r="A71" s="318" t="s">
        <v>70</v>
      </c>
      <c r="B71" s="319"/>
      <c r="C71" s="318"/>
      <c r="D71" s="318"/>
      <c r="E71" s="318"/>
      <c r="F71" s="318"/>
      <c r="G71" s="318"/>
      <c r="H71" s="318"/>
      <c r="I71" s="318"/>
      <c r="J71" s="320"/>
      <c r="K71" s="320"/>
      <c r="L71" s="605" t="s">
        <v>194</v>
      </c>
      <c r="M71" s="605"/>
      <c r="N71" s="605"/>
      <c r="O71" s="605"/>
      <c r="P71" s="605"/>
      <c r="Q71" s="605"/>
      <c r="R71" s="109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/>
      <c r="AE71" s="100"/>
      <c r="AF71" s="100"/>
      <c r="AG71" s="100"/>
      <c r="AH71" s="100"/>
      <c r="AI71" s="100"/>
      <c r="AJ71" s="100"/>
      <c r="AK71" s="100"/>
      <c r="AL71" s="100"/>
      <c r="AM71" s="100"/>
      <c r="AN71" s="100"/>
      <c r="AO71" s="100"/>
      <c r="AP71" s="100"/>
      <c r="AQ71" s="100"/>
      <c r="AR71" s="100"/>
      <c r="AS71" s="100"/>
      <c r="AT71" s="100"/>
      <c r="AU71" s="100"/>
      <c r="AV71" s="100"/>
      <c r="AW71" s="100"/>
      <c r="AX71" s="100"/>
      <c r="AY71" s="100"/>
      <c r="AZ71" s="100"/>
      <c r="BA71" s="100"/>
      <c r="BB71" s="100"/>
      <c r="BC71" s="100"/>
      <c r="BD71" s="100"/>
      <c r="BE71" s="100"/>
    </row>
    <row r="72" spans="1:57" ht="15">
      <c r="A72" s="118"/>
      <c r="B72" s="118"/>
      <c r="C72" s="119"/>
      <c r="D72" s="120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  <c r="AE72" s="100"/>
      <c r="AF72" s="100"/>
      <c r="AG72" s="100"/>
      <c r="AH72" s="100"/>
      <c r="AI72" s="100"/>
      <c r="AJ72" s="100"/>
      <c r="AK72" s="100"/>
      <c r="AL72" s="100"/>
      <c r="AM72" s="100"/>
      <c r="AN72" s="100"/>
      <c r="AO72" s="100"/>
      <c r="AP72" s="100"/>
      <c r="AQ72" s="100"/>
      <c r="AR72" s="100"/>
      <c r="AS72" s="100"/>
      <c r="AT72" s="100"/>
      <c r="AU72" s="100"/>
      <c r="AV72" s="100"/>
      <c r="AW72" s="100"/>
      <c r="AX72" s="100"/>
      <c r="AY72" s="100"/>
      <c r="AZ72" s="100"/>
      <c r="BA72" s="100"/>
      <c r="BB72" s="100"/>
      <c r="BC72" s="100"/>
      <c r="BD72" s="100"/>
      <c r="BE72" s="100"/>
    </row>
    <row r="73" spans="1:57" ht="15.75">
      <c r="A73" s="100"/>
      <c r="B73" s="100"/>
      <c r="C73" s="100"/>
      <c r="D73" s="102"/>
      <c r="E73" s="100"/>
      <c r="F73" s="100"/>
      <c r="G73" s="100"/>
      <c r="H73" s="100"/>
      <c r="I73" s="100"/>
      <c r="J73" s="100"/>
      <c r="K73" s="100"/>
      <c r="L73" s="111"/>
      <c r="M73" s="111"/>
      <c r="N73" s="111"/>
      <c r="O73" s="111"/>
      <c r="P73" s="111"/>
      <c r="Q73" s="111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00"/>
      <c r="AK73" s="100"/>
      <c r="AL73" s="100"/>
      <c r="AM73" s="100"/>
      <c r="AN73" s="100"/>
      <c r="AO73" s="100"/>
      <c r="AP73" s="100"/>
      <c r="AQ73" s="100"/>
      <c r="AR73" s="100"/>
      <c r="AS73" s="100"/>
      <c r="AT73" s="100"/>
      <c r="AU73" s="100"/>
      <c r="AV73" s="100"/>
      <c r="AW73" s="100"/>
      <c r="AX73" s="100"/>
      <c r="AY73" s="100"/>
      <c r="AZ73" s="100"/>
      <c r="BA73" s="100"/>
      <c r="BB73" s="100"/>
      <c r="BC73" s="100"/>
      <c r="BD73" s="100"/>
      <c r="BE73" s="100"/>
    </row>
    <row r="74" spans="1:57">
      <c r="A74" s="100"/>
      <c r="B74" s="100"/>
      <c r="C74" s="100"/>
      <c r="D74" s="102"/>
      <c r="E74" s="100"/>
      <c r="F74" s="100"/>
      <c r="G74" s="100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00"/>
      <c r="AK74" s="100"/>
      <c r="AL74" s="100"/>
      <c r="AM74" s="100"/>
      <c r="AN74" s="100"/>
      <c r="AO74" s="100"/>
      <c r="AP74" s="100"/>
      <c r="AQ74" s="100"/>
      <c r="AR74" s="100"/>
      <c r="AS74" s="100"/>
      <c r="AT74" s="100"/>
      <c r="AU74" s="100"/>
      <c r="AV74" s="100"/>
      <c r="AW74" s="100"/>
      <c r="AX74" s="100"/>
      <c r="AY74" s="100"/>
      <c r="AZ74" s="100"/>
      <c r="BA74" s="100"/>
      <c r="BB74" s="100"/>
      <c r="BC74" s="100"/>
      <c r="BD74" s="100"/>
      <c r="BE74" s="100"/>
    </row>
    <row r="75" spans="1:57">
      <c r="A75" s="100"/>
      <c r="B75" s="100"/>
      <c r="C75" s="100"/>
      <c r="D75" s="102"/>
      <c r="E75" s="100"/>
      <c r="F75" s="100"/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  <c r="AD75" s="100"/>
      <c r="AE75" s="100"/>
      <c r="AF75" s="100"/>
      <c r="AG75" s="100"/>
      <c r="AH75" s="100"/>
      <c r="AI75" s="100"/>
      <c r="AJ75" s="100"/>
      <c r="AK75" s="100"/>
      <c r="AL75" s="100"/>
      <c r="AM75" s="100"/>
      <c r="AN75" s="100"/>
      <c r="AO75" s="100"/>
      <c r="AP75" s="100"/>
      <c r="AQ75" s="100"/>
      <c r="AR75" s="100"/>
      <c r="AS75" s="100"/>
      <c r="AT75" s="100"/>
      <c r="AU75" s="100"/>
      <c r="AV75" s="100"/>
      <c r="AW75" s="100"/>
      <c r="AX75" s="100"/>
      <c r="AY75" s="100"/>
      <c r="AZ75" s="100"/>
      <c r="BA75" s="100"/>
      <c r="BB75" s="100"/>
      <c r="BC75" s="100"/>
      <c r="BD75" s="100"/>
      <c r="BE75" s="100"/>
    </row>
  </sheetData>
  <sheetProtection selectLockedCells="1" selectUnlockedCells="1"/>
  <mergeCells count="78">
    <mergeCell ref="AE3:AF4"/>
    <mergeCell ref="AG3:AI4"/>
    <mergeCell ref="AI5:AI6"/>
    <mergeCell ref="AY2:BC2"/>
    <mergeCell ref="A3:A6"/>
    <mergeCell ref="B3:G3"/>
    <mergeCell ref="H3:P3"/>
    <mergeCell ref="Q3:U3"/>
    <mergeCell ref="V3:V6"/>
    <mergeCell ref="W3:W6"/>
    <mergeCell ref="X3:X6"/>
    <mergeCell ref="Y3:Y6"/>
    <mergeCell ref="Z3:Z6"/>
    <mergeCell ref="P4:P6"/>
    <mergeCell ref="L4:L6"/>
    <mergeCell ref="M4:M6"/>
    <mergeCell ref="CJ3:CM5"/>
    <mergeCell ref="B4:B6"/>
    <mergeCell ref="C4:C6"/>
    <mergeCell ref="D4:D6"/>
    <mergeCell ref="E4:E6"/>
    <mergeCell ref="F4:F6"/>
    <mergeCell ref="G4:G6"/>
    <mergeCell ref="H4:H6"/>
    <mergeCell ref="I4:I6"/>
    <mergeCell ref="J4:J6"/>
    <mergeCell ref="BD3:BD6"/>
    <mergeCell ref="BE3:BE6"/>
    <mergeCell ref="BK3:BQ5"/>
    <mergeCell ref="BR3:BX5"/>
    <mergeCell ref="BY3:CE5"/>
    <mergeCell ref="K4:K6"/>
    <mergeCell ref="AA3:AA6"/>
    <mergeCell ref="AB3:AB6"/>
    <mergeCell ref="N4:N6"/>
    <mergeCell ref="O4:O6"/>
    <mergeCell ref="DD4:DH4"/>
    <mergeCell ref="AE5:AE6"/>
    <mergeCell ref="AF5:AF6"/>
    <mergeCell ref="AG5:AG6"/>
    <mergeCell ref="AH5:AH6"/>
    <mergeCell ref="CF3:CI5"/>
    <mergeCell ref="AQ3:AQ6"/>
    <mergeCell ref="AS3:AS6"/>
    <mergeCell ref="AT3:AY4"/>
    <mergeCell ref="AZ3:AZ6"/>
    <mergeCell ref="BA3:BB4"/>
    <mergeCell ref="BC3:BC6"/>
    <mergeCell ref="Q4:Q6"/>
    <mergeCell ref="R4:R6"/>
    <mergeCell ref="S4:S6"/>
    <mergeCell ref="T4:T6"/>
    <mergeCell ref="U4:U6"/>
    <mergeCell ref="AC3:AC6"/>
    <mergeCell ref="AD3:AD6"/>
    <mergeCell ref="DA5:DB5"/>
    <mergeCell ref="CO39:CP39"/>
    <mergeCell ref="CQ39:CU39"/>
    <mergeCell ref="CV39:CY39"/>
    <mergeCell ref="AX5:AX6"/>
    <mergeCell ref="AY5:AY6"/>
    <mergeCell ref="AJ3:AK6"/>
    <mergeCell ref="AL3:AL6"/>
    <mergeCell ref="AM3:AM6"/>
    <mergeCell ref="AN3:AN6"/>
    <mergeCell ref="AO3:AO6"/>
    <mergeCell ref="AP3:AP6"/>
    <mergeCell ref="AT5:AT6"/>
    <mergeCell ref="AW5:AW6"/>
    <mergeCell ref="CO40:CU40"/>
    <mergeCell ref="L71:Q71"/>
    <mergeCell ref="N46:O46"/>
    <mergeCell ref="AZ46:BE47"/>
    <mergeCell ref="AZ48:BC49"/>
    <mergeCell ref="BD48:BD49"/>
    <mergeCell ref="AZ51:BC52"/>
    <mergeCell ref="BD51:BD52"/>
    <mergeCell ref="AT42:AV42"/>
  </mergeCells>
  <printOptions horizontalCentered="1" verticalCentered="1"/>
  <pageMargins left="0" right="0" top="0" bottom="0" header="0" footer="0"/>
  <pageSetup paperSize="9" scale="46" firstPageNumber="0" orientation="landscape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DJ75"/>
  <sheetViews>
    <sheetView showZeros="0" zoomScale="90" zoomScaleNormal="90" workbookViewId="0">
      <pane xSplit="1" ySplit="6" topLeftCell="CN22" activePane="bottomRight" state="frozen"/>
      <selection pane="topRight" activeCell="B1" sqref="B1"/>
      <selection pane="bottomLeft" activeCell="A7" sqref="A7"/>
      <selection pane="bottomRight" activeCell="CU44" sqref="CU44"/>
    </sheetView>
  </sheetViews>
  <sheetFormatPr defaultColWidth="8.7109375" defaultRowHeight="12.75"/>
  <cols>
    <col min="1" max="1" width="3.5703125" customWidth="1"/>
    <col min="2" max="2" width="9" customWidth="1"/>
    <col min="3" max="3" width="6" customWidth="1"/>
    <col min="4" max="4" width="12" style="1" hidden="1" customWidth="1"/>
    <col min="5" max="5" width="7.140625" customWidth="1"/>
    <col min="6" max="6" width="7.5703125" customWidth="1"/>
    <col min="7" max="7" width="8" customWidth="1"/>
    <col min="8" max="8" width="7.28515625" customWidth="1"/>
    <col min="9" max="9" width="7.42578125" hidden="1" customWidth="1"/>
    <col min="10" max="10" width="9.140625" customWidth="1"/>
    <col min="11" max="11" width="5.5703125" hidden="1" customWidth="1"/>
    <col min="12" max="12" width="8.42578125" customWidth="1"/>
    <col min="13" max="13" width="7" customWidth="1"/>
    <col min="14" max="14" width="8.42578125" customWidth="1"/>
    <col min="15" max="15" width="7.28515625" customWidth="1"/>
    <col min="16" max="16" width="9.85546875" hidden="1" customWidth="1"/>
    <col min="17" max="17" width="9.28515625" customWidth="1"/>
    <col min="18" max="18" width="6" customWidth="1"/>
    <col min="19" max="19" width="6.7109375" customWidth="1"/>
    <col min="20" max="20" width="9.140625" hidden="1" customWidth="1"/>
    <col min="21" max="21" width="7.140625" customWidth="1"/>
    <col min="22" max="22" width="7.85546875" customWidth="1"/>
    <col min="23" max="23" width="8.28515625" customWidth="1"/>
    <col min="24" max="24" width="6" customWidth="1"/>
    <col min="25" max="25" width="5.42578125" customWidth="1"/>
    <col min="26" max="26" width="6.85546875" customWidth="1"/>
    <col min="27" max="27" width="6.5703125" customWidth="1"/>
    <col min="28" max="28" width="7.5703125" customWidth="1"/>
    <col min="29" max="29" width="6.5703125" customWidth="1"/>
    <col min="30" max="30" width="4.28515625" customWidth="1"/>
    <col min="31" max="32" width="6.85546875" customWidth="1"/>
    <col min="33" max="33" width="0" hidden="1" customWidth="1"/>
    <col min="34" max="34" width="8.42578125" customWidth="1"/>
    <col min="35" max="35" width="7" customWidth="1"/>
    <col min="36" max="36" width="7.85546875" customWidth="1"/>
    <col min="37" max="37" width="0" hidden="1" customWidth="1"/>
    <col min="38" max="38" width="6.7109375" customWidth="1"/>
    <col min="39" max="39" width="7.7109375" customWidth="1"/>
    <col min="40" max="40" width="7" customWidth="1"/>
    <col min="41" max="41" width="9.42578125" customWidth="1"/>
    <col min="42" max="42" width="6.28515625" customWidth="1"/>
    <col min="43" max="43" width="6.85546875" customWidth="1"/>
    <col min="44" max="44" width="0" hidden="1" customWidth="1"/>
    <col min="45" max="45" width="6.7109375" customWidth="1"/>
    <col min="46" max="46" width="9.7109375" customWidth="1"/>
    <col min="47" max="47" width="7" customWidth="1"/>
    <col min="48" max="48" width="0" hidden="1" customWidth="1"/>
    <col min="49" max="49" width="6.140625" hidden="1" customWidth="1"/>
    <col min="50" max="50" width="5.140625" hidden="1" customWidth="1"/>
    <col min="51" max="51" width="8.42578125" customWidth="1"/>
    <col min="52" max="52" width="10" customWidth="1"/>
    <col min="53" max="53" width="8.7109375" hidden="1" customWidth="1"/>
    <col min="54" max="54" width="3.85546875" hidden="1" customWidth="1"/>
    <col min="55" max="55" width="6.5703125" customWidth="1"/>
    <col min="56" max="56" width="6.140625" customWidth="1"/>
    <col min="57" max="57" width="6.7109375" customWidth="1"/>
    <col min="58" max="58" width="8.85546875" customWidth="1"/>
    <col min="59" max="59" width="7.85546875" customWidth="1"/>
    <col min="60" max="60" width="9.85546875" customWidth="1"/>
    <col min="61" max="62" width="8.7109375" customWidth="1"/>
    <col min="63" max="63" width="10.28515625" customWidth="1"/>
    <col min="64" max="64" width="10.85546875" customWidth="1"/>
    <col min="65" max="65" width="10.7109375" customWidth="1"/>
    <col min="66" max="66" width="11.28515625" customWidth="1"/>
    <col min="67" max="68" width="8.85546875" customWidth="1"/>
    <col min="69" max="69" width="11.28515625" customWidth="1"/>
    <col min="70" max="70" width="7.7109375" customWidth="1"/>
    <col min="71" max="71" width="10" customWidth="1"/>
    <col min="72" max="72" width="8.85546875" customWidth="1"/>
    <col min="73" max="73" width="10.140625" customWidth="1"/>
    <col min="74" max="75" width="8.85546875" customWidth="1"/>
    <col min="76" max="76" width="10.85546875" customWidth="1"/>
    <col min="77" max="78" width="8.7109375" customWidth="1"/>
    <col min="79" max="79" width="10" customWidth="1"/>
    <col min="80" max="80" width="10.42578125" customWidth="1"/>
    <col min="81" max="82" width="8.42578125" customWidth="1"/>
    <col min="83" max="83" width="9.85546875" customWidth="1"/>
    <col min="84" max="85" width="11.42578125" customWidth="1"/>
    <col min="86" max="86" width="11.140625" customWidth="1"/>
    <col min="87" max="87" width="11.28515625" customWidth="1"/>
    <col min="88" max="89" width="10" customWidth="1"/>
    <col min="90" max="90" width="8.7109375" customWidth="1"/>
    <col min="91" max="91" width="11.85546875" customWidth="1"/>
    <col min="92" max="92" width="8.7109375" customWidth="1"/>
    <col min="93" max="93" width="12.140625" customWidth="1"/>
    <col min="94" max="94" width="12.5703125" customWidth="1"/>
    <col min="95" max="95" width="11.7109375" customWidth="1"/>
    <col min="96" max="98" width="12.28515625" customWidth="1"/>
    <col min="99" max="99" width="13.28515625" customWidth="1"/>
    <col min="100" max="100" width="12.85546875" customWidth="1"/>
    <col min="101" max="101" width="13.42578125" customWidth="1"/>
    <col min="102" max="103" width="12.5703125" customWidth="1"/>
    <col min="104" max="104" width="9.5703125" customWidth="1"/>
    <col min="105" max="105" width="19.140625" customWidth="1"/>
    <col min="106" max="106" width="19.42578125" customWidth="1"/>
    <col min="111" max="111" width="8.7109375" hidden="1" customWidth="1"/>
    <col min="112" max="112" width="9" bestFit="1" customWidth="1"/>
    <col min="114" max="114" width="9.5703125" bestFit="1" customWidth="1"/>
  </cols>
  <sheetData>
    <row r="1" spans="1:114" ht="17.25" customHeight="1">
      <c r="A1" s="310" t="s">
        <v>0</v>
      </c>
      <c r="B1" s="310"/>
      <c r="C1" s="310"/>
      <c r="D1" s="311"/>
      <c r="E1" s="310"/>
      <c r="F1" s="310"/>
      <c r="G1" s="310"/>
      <c r="H1" s="310"/>
      <c r="I1" s="310"/>
      <c r="J1" s="310"/>
      <c r="K1" s="310"/>
      <c r="L1" s="310"/>
      <c r="M1" s="310"/>
      <c r="N1" s="310"/>
      <c r="O1" s="310"/>
      <c r="P1" s="77"/>
      <c r="Q1" s="77"/>
      <c r="R1" s="77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</row>
    <row r="2" spans="1:114" ht="19.5" customHeight="1" thickBot="1">
      <c r="A2" s="22"/>
      <c r="B2" s="78"/>
      <c r="C2" s="78"/>
      <c r="D2" s="79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80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80"/>
      <c r="AT2" s="312" t="s">
        <v>1</v>
      </c>
      <c r="AU2" s="313">
        <v>31</v>
      </c>
      <c r="AV2" s="314"/>
      <c r="AW2" s="314"/>
      <c r="AX2" s="315" t="s">
        <v>81</v>
      </c>
      <c r="AY2" s="556" t="s">
        <v>182</v>
      </c>
      <c r="AZ2" s="556"/>
      <c r="BA2" s="556"/>
      <c r="BB2" s="556"/>
      <c r="BC2" s="556"/>
      <c r="BD2" s="316" t="s">
        <v>107</v>
      </c>
      <c r="BE2" s="317"/>
    </row>
    <row r="3" spans="1:114" ht="39.75" customHeight="1" thickBot="1">
      <c r="A3" s="557" t="s">
        <v>3</v>
      </c>
      <c r="B3" s="558" t="s">
        <v>71</v>
      </c>
      <c r="C3" s="558"/>
      <c r="D3" s="558"/>
      <c r="E3" s="558"/>
      <c r="F3" s="558"/>
      <c r="G3" s="558"/>
      <c r="H3" s="554" t="s">
        <v>4</v>
      </c>
      <c r="I3" s="554"/>
      <c r="J3" s="554"/>
      <c r="K3" s="554"/>
      <c r="L3" s="554"/>
      <c r="M3" s="554"/>
      <c r="N3" s="554"/>
      <c r="O3" s="554"/>
      <c r="P3" s="559"/>
      <c r="Q3" s="560" t="s">
        <v>5</v>
      </c>
      <c r="R3" s="561"/>
      <c r="S3" s="561"/>
      <c r="T3" s="561"/>
      <c r="U3" s="562"/>
      <c r="V3" s="563" t="s">
        <v>6</v>
      </c>
      <c r="W3" s="563" t="s">
        <v>7</v>
      </c>
      <c r="X3" s="564" t="s">
        <v>8</v>
      </c>
      <c r="Y3" s="564" t="s">
        <v>9</v>
      </c>
      <c r="Z3" s="564" t="s">
        <v>10</v>
      </c>
      <c r="AA3" s="564" t="s">
        <v>11</v>
      </c>
      <c r="AB3" s="564" t="s">
        <v>12</v>
      </c>
      <c r="AC3" s="564" t="s">
        <v>13</v>
      </c>
      <c r="AD3" s="564" t="s">
        <v>14</v>
      </c>
      <c r="AE3" s="554" t="s">
        <v>15</v>
      </c>
      <c r="AF3" s="554"/>
      <c r="AG3" s="554" t="s">
        <v>16</v>
      </c>
      <c r="AH3" s="554"/>
      <c r="AI3" s="554"/>
      <c r="AJ3" s="593" t="s">
        <v>17</v>
      </c>
      <c r="AK3" s="593"/>
      <c r="AL3" s="564" t="s">
        <v>18</v>
      </c>
      <c r="AM3" s="599" t="s">
        <v>19</v>
      </c>
      <c r="AN3" s="600" t="s">
        <v>95</v>
      </c>
      <c r="AO3" s="603" t="s">
        <v>20</v>
      </c>
      <c r="AP3" s="564" t="s">
        <v>105</v>
      </c>
      <c r="AQ3" s="564" t="s">
        <v>21</v>
      </c>
      <c r="AR3" s="81"/>
      <c r="AS3" s="593" t="s">
        <v>22</v>
      </c>
      <c r="AT3" s="554" t="s">
        <v>23</v>
      </c>
      <c r="AU3" s="554"/>
      <c r="AV3" s="554"/>
      <c r="AW3" s="554"/>
      <c r="AX3" s="554"/>
      <c r="AY3" s="554"/>
      <c r="AZ3" s="564" t="s">
        <v>24</v>
      </c>
      <c r="BA3" s="594" t="s">
        <v>25</v>
      </c>
      <c r="BB3" s="594"/>
      <c r="BC3" s="564" t="s">
        <v>26</v>
      </c>
      <c r="BD3" s="564" t="s">
        <v>27</v>
      </c>
      <c r="BE3" s="572" t="s">
        <v>28</v>
      </c>
      <c r="BF3" s="3"/>
      <c r="BG3" s="3"/>
      <c r="BH3" s="3"/>
      <c r="BI3" s="3"/>
      <c r="BJ3" s="3"/>
      <c r="BK3" s="573" t="s">
        <v>29</v>
      </c>
      <c r="BL3" s="574"/>
      <c r="BM3" s="574"/>
      <c r="BN3" s="574"/>
      <c r="BO3" s="575"/>
      <c r="BP3" s="575"/>
      <c r="BQ3" s="576"/>
      <c r="BR3" s="573" t="s">
        <v>30</v>
      </c>
      <c r="BS3" s="585"/>
      <c r="BT3" s="585"/>
      <c r="BU3" s="585"/>
      <c r="BV3" s="585"/>
      <c r="BW3" s="585"/>
      <c r="BX3" s="586"/>
      <c r="BY3" s="566" t="s">
        <v>31</v>
      </c>
      <c r="BZ3" s="566"/>
      <c r="CA3" s="566"/>
      <c r="CB3" s="566"/>
      <c r="CC3" s="566"/>
      <c r="CD3" s="566"/>
      <c r="CE3" s="566"/>
      <c r="CF3" s="566" t="s">
        <v>87</v>
      </c>
      <c r="CG3" s="566"/>
      <c r="CH3" s="566"/>
      <c r="CI3" s="566"/>
      <c r="CJ3" s="566" t="s">
        <v>32</v>
      </c>
      <c r="CK3" s="566"/>
      <c r="CL3" s="566"/>
      <c r="CM3" s="566"/>
      <c r="CN3" s="4"/>
      <c r="CO3" s="5"/>
      <c r="CP3" s="6"/>
      <c r="CQ3" s="6"/>
    </row>
    <row r="4" spans="1:114" s="7" customFormat="1" ht="30.75" customHeight="1" thickBot="1">
      <c r="A4" s="557"/>
      <c r="B4" s="565" t="s">
        <v>72</v>
      </c>
      <c r="C4" s="565" t="s">
        <v>73</v>
      </c>
      <c r="D4" s="568" t="s">
        <v>33</v>
      </c>
      <c r="E4" s="565" t="s">
        <v>74</v>
      </c>
      <c r="F4" s="569" t="s">
        <v>75</v>
      </c>
      <c r="G4" s="569" t="s">
        <v>34</v>
      </c>
      <c r="H4" s="555" t="s">
        <v>76</v>
      </c>
      <c r="I4" s="570" t="s">
        <v>101</v>
      </c>
      <c r="J4" s="555" t="s">
        <v>89</v>
      </c>
      <c r="K4" s="565" t="s">
        <v>35</v>
      </c>
      <c r="L4" s="565" t="s">
        <v>77</v>
      </c>
      <c r="M4" s="565" t="s">
        <v>78</v>
      </c>
      <c r="N4" s="565" t="s">
        <v>101</v>
      </c>
      <c r="O4" s="565" t="s">
        <v>96</v>
      </c>
      <c r="P4" s="555" t="s">
        <v>79</v>
      </c>
      <c r="Q4" s="555" t="s">
        <v>36</v>
      </c>
      <c r="R4" s="555" t="s">
        <v>32</v>
      </c>
      <c r="S4" s="555" t="s">
        <v>37</v>
      </c>
      <c r="T4" s="555" t="s">
        <v>38</v>
      </c>
      <c r="U4" s="555" t="s">
        <v>39</v>
      </c>
      <c r="V4" s="563"/>
      <c r="W4" s="563"/>
      <c r="X4" s="564"/>
      <c r="Y4" s="564"/>
      <c r="Z4" s="564"/>
      <c r="AA4" s="564"/>
      <c r="AB4" s="564"/>
      <c r="AC4" s="564"/>
      <c r="AD4" s="564"/>
      <c r="AE4" s="554"/>
      <c r="AF4" s="554"/>
      <c r="AG4" s="554"/>
      <c r="AH4" s="554"/>
      <c r="AI4" s="554"/>
      <c r="AJ4" s="593"/>
      <c r="AK4" s="593"/>
      <c r="AL4" s="564"/>
      <c r="AM4" s="599"/>
      <c r="AN4" s="601"/>
      <c r="AO4" s="603"/>
      <c r="AP4" s="564"/>
      <c r="AQ4" s="564"/>
      <c r="AR4" s="82"/>
      <c r="AS4" s="593"/>
      <c r="AT4" s="554"/>
      <c r="AU4" s="554"/>
      <c r="AV4" s="554"/>
      <c r="AW4" s="554"/>
      <c r="AX4" s="554"/>
      <c r="AY4" s="554"/>
      <c r="AZ4" s="564"/>
      <c r="BA4" s="594"/>
      <c r="BB4" s="594"/>
      <c r="BC4" s="564"/>
      <c r="BD4" s="564"/>
      <c r="BE4" s="572"/>
      <c r="BF4" s="3"/>
      <c r="BG4" s="3"/>
      <c r="BH4" s="3"/>
      <c r="BI4" s="3"/>
      <c r="BJ4" s="3"/>
      <c r="BK4" s="577"/>
      <c r="BL4" s="578"/>
      <c r="BM4" s="578"/>
      <c r="BN4" s="578"/>
      <c r="BO4" s="579"/>
      <c r="BP4" s="579"/>
      <c r="BQ4" s="580"/>
      <c r="BR4" s="577"/>
      <c r="BS4" s="566"/>
      <c r="BT4" s="566"/>
      <c r="BU4" s="566"/>
      <c r="BV4" s="566"/>
      <c r="BW4" s="566"/>
      <c r="BX4" s="587"/>
      <c r="BY4" s="566"/>
      <c r="BZ4" s="566"/>
      <c r="CA4" s="566"/>
      <c r="CB4" s="566"/>
      <c r="CC4" s="566"/>
      <c r="CD4" s="566"/>
      <c r="CE4" s="566"/>
      <c r="CF4" s="566"/>
      <c r="CG4" s="566"/>
      <c r="CH4" s="566"/>
      <c r="CI4" s="566"/>
      <c r="CJ4" s="566"/>
      <c r="CK4" s="566"/>
      <c r="CL4" s="566"/>
      <c r="CM4" s="566"/>
      <c r="CN4" s="4"/>
      <c r="CO4" s="6"/>
      <c r="CP4" s="6"/>
      <c r="CQ4" s="262"/>
      <c r="CR4" s="231"/>
      <c r="CS4" s="231"/>
      <c r="CT4" s="231"/>
      <c r="CU4" s="231"/>
      <c r="CV4" s="231"/>
      <c r="CW4" s="231"/>
      <c r="CX4" s="231"/>
      <c r="CY4" s="231"/>
      <c r="DD4" s="590" t="s">
        <v>90</v>
      </c>
      <c r="DE4" s="591"/>
      <c r="DF4" s="591"/>
      <c r="DG4" s="591"/>
      <c r="DH4" s="592"/>
    </row>
    <row r="5" spans="1:114" s="7" customFormat="1" ht="8.25" hidden="1" customHeight="1">
      <c r="A5" s="557"/>
      <c r="B5" s="565"/>
      <c r="C5" s="565"/>
      <c r="D5" s="568"/>
      <c r="E5" s="565"/>
      <c r="F5" s="569"/>
      <c r="G5" s="569"/>
      <c r="H5" s="555"/>
      <c r="I5" s="570"/>
      <c r="J5" s="565"/>
      <c r="K5" s="565"/>
      <c r="L5" s="565"/>
      <c r="M5" s="565"/>
      <c r="N5" s="565"/>
      <c r="O5" s="565"/>
      <c r="P5" s="555"/>
      <c r="Q5" s="555"/>
      <c r="R5" s="555"/>
      <c r="S5" s="555"/>
      <c r="T5" s="555"/>
      <c r="U5" s="555"/>
      <c r="V5" s="563"/>
      <c r="W5" s="563"/>
      <c r="X5" s="564"/>
      <c r="Y5" s="564"/>
      <c r="Z5" s="564"/>
      <c r="AA5" s="564"/>
      <c r="AB5" s="564"/>
      <c r="AC5" s="564"/>
      <c r="AD5" s="564"/>
      <c r="AE5" s="555" t="s">
        <v>40</v>
      </c>
      <c r="AF5" s="555" t="s">
        <v>41</v>
      </c>
      <c r="AG5" s="555" t="s">
        <v>42</v>
      </c>
      <c r="AH5" s="555" t="s">
        <v>40</v>
      </c>
      <c r="AI5" s="555" t="s">
        <v>41</v>
      </c>
      <c r="AJ5" s="593"/>
      <c r="AK5" s="593"/>
      <c r="AL5" s="564"/>
      <c r="AM5" s="599"/>
      <c r="AN5" s="601"/>
      <c r="AO5" s="603"/>
      <c r="AP5" s="564"/>
      <c r="AQ5" s="564"/>
      <c r="AR5" s="83"/>
      <c r="AS5" s="593"/>
      <c r="AT5" s="555" t="s">
        <v>43</v>
      </c>
      <c r="AU5" s="84"/>
      <c r="AV5" s="85"/>
      <c r="AW5" s="598" t="s">
        <v>44</v>
      </c>
      <c r="AX5" s="598" t="s">
        <v>45</v>
      </c>
      <c r="AY5" s="555" t="s">
        <v>46</v>
      </c>
      <c r="AZ5" s="564"/>
      <c r="BA5" s="86" t="s">
        <v>47</v>
      </c>
      <c r="BB5" s="86" t="s">
        <v>48</v>
      </c>
      <c r="BC5" s="564"/>
      <c r="BD5" s="564"/>
      <c r="BE5" s="572"/>
      <c r="BF5" s="3"/>
      <c r="BG5" s="3"/>
      <c r="BH5" s="3"/>
      <c r="BI5" s="3"/>
      <c r="BJ5" s="3"/>
      <c r="BK5" s="581"/>
      <c r="BL5" s="582"/>
      <c r="BM5" s="582"/>
      <c r="BN5" s="582"/>
      <c r="BO5" s="583"/>
      <c r="BP5" s="583"/>
      <c r="BQ5" s="584"/>
      <c r="BR5" s="581"/>
      <c r="BS5" s="588"/>
      <c r="BT5" s="588"/>
      <c r="BU5" s="588"/>
      <c r="BV5" s="588"/>
      <c r="BW5" s="588"/>
      <c r="BX5" s="589"/>
      <c r="BY5" s="567"/>
      <c r="BZ5" s="566"/>
      <c r="CA5" s="566"/>
      <c r="CB5" s="566"/>
      <c r="CC5" s="566"/>
      <c r="CD5" s="566"/>
      <c r="CE5" s="566"/>
      <c r="CF5" s="567"/>
      <c r="CG5" s="567"/>
      <c r="CH5" s="567"/>
      <c r="CI5" s="567"/>
      <c r="CJ5" s="567"/>
      <c r="CK5" s="567"/>
      <c r="CL5" s="567"/>
      <c r="CM5" s="567"/>
      <c r="CN5" s="4"/>
      <c r="CO5"/>
      <c r="CP5"/>
      <c r="CQ5" s="255"/>
      <c r="CR5" s="256"/>
      <c r="CS5" s="256"/>
      <c r="CT5" s="256"/>
      <c r="CU5" s="256"/>
      <c r="CV5" s="257"/>
      <c r="CW5" s="257"/>
      <c r="CX5" s="257"/>
      <c r="CY5" s="258"/>
      <c r="DA5" s="595" t="s">
        <v>49</v>
      </c>
      <c r="DB5" s="595"/>
    </row>
    <row r="6" spans="1:114" s="7" customFormat="1" ht="106.5" customHeight="1" thickBot="1">
      <c r="A6" s="557"/>
      <c r="B6" s="565"/>
      <c r="C6" s="565"/>
      <c r="D6" s="568"/>
      <c r="E6" s="565"/>
      <c r="F6" s="569"/>
      <c r="G6" s="569"/>
      <c r="H6" s="555"/>
      <c r="I6" s="570"/>
      <c r="J6" s="571"/>
      <c r="K6" s="565"/>
      <c r="L6" s="565"/>
      <c r="M6" s="565"/>
      <c r="N6" s="565"/>
      <c r="O6" s="565"/>
      <c r="P6" s="565"/>
      <c r="Q6" s="565"/>
      <c r="R6" s="565"/>
      <c r="S6" s="565"/>
      <c r="T6" s="555"/>
      <c r="U6" s="555"/>
      <c r="V6" s="563"/>
      <c r="W6" s="563"/>
      <c r="X6" s="564"/>
      <c r="Y6" s="564"/>
      <c r="Z6" s="564"/>
      <c r="AA6" s="564"/>
      <c r="AB6" s="564"/>
      <c r="AC6" s="564"/>
      <c r="AD6" s="564"/>
      <c r="AE6" s="555"/>
      <c r="AF6" s="555"/>
      <c r="AG6" s="555"/>
      <c r="AH6" s="555"/>
      <c r="AI6" s="555"/>
      <c r="AJ6" s="593"/>
      <c r="AK6" s="593"/>
      <c r="AL6" s="564"/>
      <c r="AM6" s="599"/>
      <c r="AN6" s="602"/>
      <c r="AO6" s="603"/>
      <c r="AP6" s="564"/>
      <c r="AQ6" s="564"/>
      <c r="AR6" s="423"/>
      <c r="AS6" s="593"/>
      <c r="AT6" s="555"/>
      <c r="AU6" s="422" t="s">
        <v>50</v>
      </c>
      <c r="AV6" s="422" t="s">
        <v>51</v>
      </c>
      <c r="AW6" s="598"/>
      <c r="AX6" s="598"/>
      <c r="AY6" s="555"/>
      <c r="AZ6" s="555"/>
      <c r="BA6" s="87"/>
      <c r="BB6" s="88">
        <v>0.04</v>
      </c>
      <c r="BC6" s="564"/>
      <c r="BD6" s="564"/>
      <c r="BE6" s="572"/>
      <c r="BF6" s="8" t="s">
        <v>52</v>
      </c>
      <c r="BG6" s="8" t="s">
        <v>53</v>
      </c>
      <c r="BH6" s="8" t="s">
        <v>54</v>
      </c>
      <c r="BI6" s="3"/>
      <c r="BJ6" s="3"/>
      <c r="BK6" s="308" t="s">
        <v>104</v>
      </c>
      <c r="BL6" s="280" t="s">
        <v>82</v>
      </c>
      <c r="BM6" s="279" t="s">
        <v>100</v>
      </c>
      <c r="BN6" s="307" t="s">
        <v>102</v>
      </c>
      <c r="BO6" s="308" t="s">
        <v>97</v>
      </c>
      <c r="BP6" s="326" t="s">
        <v>99</v>
      </c>
      <c r="BQ6" s="306" t="s">
        <v>86</v>
      </c>
      <c r="BR6" s="308" t="s">
        <v>104</v>
      </c>
      <c r="BS6" s="280" t="s">
        <v>82</v>
      </c>
      <c r="BT6" s="279" t="s">
        <v>100</v>
      </c>
      <c r="BU6" s="327"/>
      <c r="BV6" s="308" t="s">
        <v>97</v>
      </c>
      <c r="BW6" s="326" t="s">
        <v>99</v>
      </c>
      <c r="BX6" s="306"/>
      <c r="BY6" s="308" t="s">
        <v>104</v>
      </c>
      <c r="BZ6" s="280" t="s">
        <v>82</v>
      </c>
      <c r="CA6" s="279" t="s">
        <v>100</v>
      </c>
      <c r="CB6" s="307" t="s">
        <v>102</v>
      </c>
      <c r="CC6" s="308" t="s">
        <v>97</v>
      </c>
      <c r="CD6" s="326" t="s">
        <v>99</v>
      </c>
      <c r="CE6" s="306" t="s">
        <v>86</v>
      </c>
      <c r="CF6" s="267" t="s">
        <v>106</v>
      </c>
      <c r="CG6" s="268" t="s">
        <v>85</v>
      </c>
      <c r="CH6" s="244" t="s">
        <v>109</v>
      </c>
      <c r="CI6" s="245" t="s">
        <v>103</v>
      </c>
      <c r="CJ6" s="267" t="s">
        <v>106</v>
      </c>
      <c r="CK6" s="268" t="s">
        <v>85</v>
      </c>
      <c r="CL6" s="244" t="s">
        <v>109</v>
      </c>
      <c r="CM6" s="245" t="s">
        <v>103</v>
      </c>
      <c r="CN6" s="243"/>
      <c r="CO6" s="248" t="s">
        <v>104</v>
      </c>
      <c r="CP6" s="10" t="s">
        <v>82</v>
      </c>
      <c r="CQ6" s="264" t="s">
        <v>100</v>
      </c>
      <c r="CR6" s="23" t="s">
        <v>102</v>
      </c>
      <c r="CS6" s="248" t="s">
        <v>98</v>
      </c>
      <c r="CT6" s="248" t="s">
        <v>99</v>
      </c>
      <c r="CU6" s="9" t="s">
        <v>83</v>
      </c>
      <c r="CV6" s="259" t="s">
        <v>106</v>
      </c>
      <c r="CW6" s="248" t="s">
        <v>84</v>
      </c>
      <c r="CX6" s="232" t="s">
        <v>108</v>
      </c>
      <c r="CY6" s="263" t="s">
        <v>103</v>
      </c>
      <c r="CZ6" s="253"/>
      <c r="DA6" s="321" t="s">
        <v>80</v>
      </c>
      <c r="DB6" s="321" t="s">
        <v>55</v>
      </c>
      <c r="DD6" s="288" t="s">
        <v>91</v>
      </c>
      <c r="DE6" s="289" t="s">
        <v>92</v>
      </c>
      <c r="DF6" s="290" t="s">
        <v>93</v>
      </c>
      <c r="DG6" s="290"/>
      <c r="DH6" s="289" t="s">
        <v>94</v>
      </c>
    </row>
    <row r="7" spans="1:114" s="76" customFormat="1" ht="16.5" customHeight="1" thickBot="1">
      <c r="A7" s="121">
        <v>1</v>
      </c>
      <c r="B7" s="122">
        <f>'[1]март 20'!K6</f>
        <v>262.53500000000003</v>
      </c>
      <c r="C7" s="123">
        <f>IF(B7=0,0,(BK7*BR7+BL7*BS7+BM7*BT7+BN7*BU7+BQ7*BX7+BO7*BV7+BP7*BW7)/B7)</f>
        <v>1.9611186431371246</v>
      </c>
      <c r="D7" s="124">
        <f>B7*((100-C7)/100)</f>
        <v>257.38637717023994</v>
      </c>
      <c r="E7" s="125">
        <f>IF(B7=0,0,(BK7*BY7+BL7*BZ7+BM7*CA7+BQ7*CE7+BN7*CB7+BO7*CC7+BP7*CD7)/B7)</f>
        <v>40.147578075304267</v>
      </c>
      <c r="F7" s="126">
        <f>IF(AY7=0,0,D7/AY7)</f>
        <v>1.9892292848770377</v>
      </c>
      <c r="G7" s="127"/>
      <c r="H7" s="126">
        <f>IF(AY7=0,0,(CP7+CO7+CS7+CQ7+CT7)/AY7)</f>
        <v>1.5025147368421052</v>
      </c>
      <c r="I7" s="230">
        <f>'[1]июль 20'!AI6</f>
        <v>0</v>
      </c>
      <c r="J7" s="246">
        <f>'[1]март 20'!AA6</f>
        <v>5.2380000000000004</v>
      </c>
      <c r="K7" s="276">
        <f>'[1]сентябрь 20'!AM6</f>
        <v>0</v>
      </c>
      <c r="L7" s="122">
        <f>'[1]март 20'!AE6</f>
        <v>62.975999999999999</v>
      </c>
      <c r="M7" s="128">
        <f>IF(AY7=0,0,(CR7+CU7)/AY7)</f>
        <v>0.48671458667779571</v>
      </c>
      <c r="N7" s="128">
        <f>'[1]март 20'!W6</f>
        <v>0</v>
      </c>
      <c r="O7" s="402">
        <f>'[1]март 20'!AU6</f>
        <v>10.507999999999999</v>
      </c>
      <c r="P7" s="125">
        <f t="shared" ref="P7:P37" si="0">CF7+CH7+CI7+CG7</f>
        <v>163.72600199999999</v>
      </c>
      <c r="Q7" s="122">
        <f>'[1]март 20'!S6</f>
        <v>163.726</v>
      </c>
      <c r="R7" s="123">
        <f>IF(Q7=0,0,(CI7*CM7+CG7*CK7+CH7*CL7+CF7*CJ7)/Q7)</f>
        <v>3.2200000000000117</v>
      </c>
      <c r="S7" s="129">
        <v>6.19</v>
      </c>
      <c r="T7" s="125">
        <f t="shared" ref="T7:T37" si="1">Q7*((100-R7)/100)</f>
        <v>158.45402279999999</v>
      </c>
      <c r="U7" s="128">
        <f t="shared" ref="U7:U37" si="2">IF(AY7=0,0,T7/AY7)</f>
        <v>1.2246234083004868</v>
      </c>
      <c r="V7" s="130">
        <v>129.38999999999999</v>
      </c>
      <c r="W7" s="130">
        <v>29.88</v>
      </c>
      <c r="X7" s="129">
        <v>1.18</v>
      </c>
      <c r="Y7" s="131">
        <v>555</v>
      </c>
      <c r="Z7" s="131">
        <v>1185</v>
      </c>
      <c r="AA7" s="132" t="s">
        <v>167</v>
      </c>
      <c r="AB7" s="129">
        <v>76.400000000000006</v>
      </c>
      <c r="AC7" s="131">
        <v>105</v>
      </c>
      <c r="AD7" s="133">
        <v>4</v>
      </c>
      <c r="AE7" s="129"/>
      <c r="AF7" s="134">
        <f t="shared" ref="AF7:AF37" si="3">IF(AY7=0,0,AE7/AY7*1000)</f>
        <v>0</v>
      </c>
      <c r="AG7" s="135"/>
      <c r="AH7" s="129">
        <v>81.25</v>
      </c>
      <c r="AI7" s="134">
        <f t="shared" ref="AI7:AI37" si="4">IF(AY7=0,0,AH7/AY7*1000)</f>
        <v>627.946518278074</v>
      </c>
      <c r="AJ7" s="136">
        <v>15.18</v>
      </c>
      <c r="AK7" s="127"/>
      <c r="AL7" s="137">
        <v>5.69</v>
      </c>
      <c r="AM7" s="138">
        <v>34.79</v>
      </c>
      <c r="AN7" s="126">
        <f>IF(AM7=0,0,AM7/AT7)</f>
        <v>0.20920024052916414</v>
      </c>
      <c r="AO7" s="139" t="s">
        <v>184</v>
      </c>
      <c r="AP7" s="138">
        <v>8.9700000000000006</v>
      </c>
      <c r="AQ7" s="138">
        <v>6.82</v>
      </c>
      <c r="AR7" s="129"/>
      <c r="AS7" s="129">
        <v>8.34</v>
      </c>
      <c r="AT7" s="129">
        <v>166.3</v>
      </c>
      <c r="AU7" s="129">
        <v>3.57</v>
      </c>
      <c r="AV7" s="129"/>
      <c r="AW7" s="129"/>
      <c r="AX7" s="140">
        <f t="shared" ref="AX7:AX37" si="5">IF(AY7=0,0,AW7/AY7*100)</f>
        <v>0</v>
      </c>
      <c r="AY7" s="125">
        <f t="shared" ref="AY7:AY37" si="6">AT7-AL7-AM7+AV7+AW7+AU7</f>
        <v>129.39000000000001</v>
      </c>
      <c r="AZ7" s="125">
        <f>IF(AB7=0,0,((D7*0.97)*(E7/100)*0.9)/(AB7/100))+DH7</f>
        <v>119.18280787224811</v>
      </c>
      <c r="BA7" s="141">
        <f t="shared" ref="BA7:BA37" si="7">(AH7*AS7)/100*(55/71)</f>
        <v>5.2492077464788727</v>
      </c>
      <c r="BB7" s="142">
        <f t="shared" ref="BB7:BB37" si="8">AY7*$BB$6</f>
        <v>5.1756000000000011</v>
      </c>
      <c r="BC7" s="122">
        <f t="shared" ref="BC7:BC37" si="9">IF((D7*E7)=0,0,(AY7*AB7)/(D7*E7))</f>
        <v>0.95664138107524332</v>
      </c>
      <c r="BD7" s="142">
        <f>BA7+BB7</f>
        <v>10.424807746478873</v>
      </c>
      <c r="BE7" s="143">
        <v>0.95699999999999996</v>
      </c>
      <c r="BF7" s="25">
        <f>AY7</f>
        <v>129.39000000000001</v>
      </c>
      <c r="BG7" s="25">
        <f t="shared" ref="BG7:BG38" si="10">IF(A7&lt;=$BE$43,$AT$43,0)</f>
        <v>124.19354838709677</v>
      </c>
      <c r="BH7" s="25">
        <f>BG7</f>
        <v>124.19354838709677</v>
      </c>
      <c r="BI7" s="26">
        <f t="shared" ref="BI7:BI37" si="11">IF(AY7&lt;&gt;0,1,0)</f>
        <v>1</v>
      </c>
      <c r="BJ7" s="27">
        <f>BG7*BI7</f>
        <v>124.19354838709677</v>
      </c>
      <c r="BK7" s="28">
        <v>9.9999999999999995E-7</v>
      </c>
      <c r="BL7" s="28">
        <v>199.559</v>
      </c>
      <c r="BM7" s="28">
        <v>9.9999999999999995E-7</v>
      </c>
      <c r="BN7" s="28">
        <v>62.975999999999999</v>
      </c>
      <c r="BO7" s="28">
        <v>9.9999999999999995E-7</v>
      </c>
      <c r="BP7" s="28">
        <v>9.9999999999999995E-7</v>
      </c>
      <c r="BQ7" s="28">
        <v>9.9999999999999995E-7</v>
      </c>
      <c r="BR7" s="28">
        <v>9.9999999999999995E-7</v>
      </c>
      <c r="BS7" s="28">
        <v>2.58</v>
      </c>
      <c r="BT7" s="28">
        <v>9.9999999999999995E-7</v>
      </c>
      <c r="BU7" s="28">
        <v>9.9999999999999995E-7</v>
      </c>
      <c r="BV7" s="28">
        <v>9.9999999999999995E-7</v>
      </c>
      <c r="BW7" s="28">
        <v>9.9999999999999995E-7</v>
      </c>
      <c r="BX7" s="28">
        <v>9.9999999999999995E-7</v>
      </c>
      <c r="BY7" s="28">
        <v>9.9999999999999995E-7</v>
      </c>
      <c r="BZ7" s="28">
        <v>38.549999999999997</v>
      </c>
      <c r="CA7" s="28">
        <v>9.9999999999999995E-7</v>
      </c>
      <c r="CB7" s="28">
        <v>45.21</v>
      </c>
      <c r="CC7" s="28">
        <v>9.9999999999999995E-7</v>
      </c>
      <c r="CD7" s="28">
        <v>9.9999999999999995E-7</v>
      </c>
      <c r="CE7" s="28">
        <v>9.9999999999999995E-7</v>
      </c>
      <c r="CF7" s="28">
        <v>80.727000000000004</v>
      </c>
      <c r="CG7" s="28">
        <v>9.9999999999999995E-7</v>
      </c>
      <c r="CH7" s="28">
        <v>82.998999999999995</v>
      </c>
      <c r="CI7" s="28">
        <v>9.9999999999999995E-7</v>
      </c>
      <c r="CJ7" s="28">
        <v>3.22</v>
      </c>
      <c r="CK7" s="28">
        <v>9.9999999999999995E-7</v>
      </c>
      <c r="CL7" s="28">
        <v>3.22</v>
      </c>
      <c r="CM7" s="28">
        <v>9.9999999999999995E-7</v>
      </c>
      <c r="CN7" s="286"/>
      <c r="CO7" s="252">
        <f t="shared" ref="CO7:CU22" si="12">BK7*((100-BR7)/100)</f>
        <v>9.9999998999999992E-7</v>
      </c>
      <c r="CP7" s="11">
        <f t="shared" si="12"/>
        <v>194.41037780000002</v>
      </c>
      <c r="CQ7" s="11">
        <f t="shared" si="12"/>
        <v>9.9999998999999992E-7</v>
      </c>
      <c r="CR7" s="11">
        <f t="shared" si="12"/>
        <v>62.975999370240004</v>
      </c>
      <c r="CS7" s="11">
        <f t="shared" si="12"/>
        <v>9.9999998999999992E-7</v>
      </c>
      <c r="CT7" s="11">
        <f t="shared" si="12"/>
        <v>9.9999998999999992E-7</v>
      </c>
      <c r="CU7" s="271">
        <f t="shared" si="12"/>
        <v>9.9999998999999992E-7</v>
      </c>
      <c r="CV7" s="260">
        <f t="shared" ref="CV7:CY37" si="13">CF7*((100-CJ7)/100)</f>
        <v>78.127590600000005</v>
      </c>
      <c r="CW7" s="250">
        <f t="shared" si="13"/>
        <v>9.9999998999999992E-7</v>
      </c>
      <c r="CX7" s="260">
        <f t="shared" si="13"/>
        <v>80.326432199999999</v>
      </c>
      <c r="CY7" s="271">
        <f t="shared" si="13"/>
        <v>9.9999998999999992E-7</v>
      </c>
      <c r="CZ7" s="13"/>
      <c r="DA7" s="240">
        <f>(D7+'[2]март 20 '!D7)/(AY7+'[2]март 20 '!AX7)</f>
        <v>2.1546120822419104</v>
      </c>
      <c r="DB7" s="241">
        <f>(T7+'[2]март 20 '!R7)/(AY7+'[2]март 20 '!AX7)</f>
        <v>1.3728683071962478</v>
      </c>
      <c r="DD7" s="292">
        <f t="shared" ref="DD7:DD37" si="14">J7</f>
        <v>5.2380000000000004</v>
      </c>
      <c r="DE7" s="291">
        <v>0.08</v>
      </c>
      <c r="DF7" s="291">
        <v>16.14</v>
      </c>
      <c r="DG7" s="145">
        <f t="shared" ref="DG7:DG37" si="15">DD7*((100-DE7)/100)</f>
        <v>5.2338096000000007</v>
      </c>
      <c r="DH7" s="293">
        <f>IF(AB7=0,0,(DG7*DF7%)/(AB7/100))</f>
        <v>1.1056765306806284</v>
      </c>
      <c r="DJ7" s="322"/>
    </row>
    <row r="8" spans="1:114" s="76" customFormat="1" ht="16.5" customHeight="1" thickBot="1">
      <c r="A8" s="144">
        <v>2</v>
      </c>
      <c r="B8" s="122">
        <f>'[1]март 20'!K7</f>
        <v>307.37400000000002</v>
      </c>
      <c r="C8" s="123">
        <f t="shared" ref="C8:C37" si="16">IF(B8=0,0,(BK8*BR8+BL8*BS8+BM8*BT8+BN8*BU8+BQ8*BX8+BO8*BV8+BP8*BW8)/B8)</f>
        <v>2.4623974701829043</v>
      </c>
      <c r="D8" s="145">
        <f t="shared" ref="D8:D37" si="17">B8*((100-C8)/100)</f>
        <v>299.80523040000003</v>
      </c>
      <c r="E8" s="125">
        <f t="shared" ref="E8:E37" si="18">IF(B8=0,0,(BK8*BY8+BL8*BZ8+BM8*CA8+BQ8*CE8+BN8*CB8+BO8*CC8+BP8*CD8)/B8)</f>
        <v>40.170005075250344</v>
      </c>
      <c r="F8" s="146">
        <f t="shared" ref="F8:F37" si="19">IF(AY8=0,0,D8/AY8)</f>
        <v>2.472620456907217</v>
      </c>
      <c r="G8" s="127"/>
      <c r="H8" s="126">
        <f t="shared" ref="H8:H37" si="20">IF(AY8=0,0,(CP8+CO8+CS8+CQ8+CT8)/AY8)</f>
        <v>1.8642080857731962</v>
      </c>
      <c r="I8" s="230">
        <f>'[1]июль 20'!AI7</f>
        <v>0</v>
      </c>
      <c r="J8" s="247">
        <f>'[1]март 20'!AA7</f>
        <v>7.7649999999999997</v>
      </c>
      <c r="K8" s="276">
        <f>'[1]сентябрь 20'!AM7</f>
        <v>0</v>
      </c>
      <c r="L8" s="122">
        <f>'[1]март 20'!AE7</f>
        <v>73.77</v>
      </c>
      <c r="M8" s="128">
        <f t="shared" ref="M8:M37" si="21">IF(AY8=0,0,(CR8+CU8)/AY8)</f>
        <v>0.60841237113402069</v>
      </c>
      <c r="N8" s="400">
        <f>'[1]март 20'!W7</f>
        <v>0</v>
      </c>
      <c r="O8" s="403">
        <f>'[1]март 20'!AU7</f>
        <v>12.239000000000001</v>
      </c>
      <c r="P8" s="401">
        <f t="shared" si="0"/>
        <v>189.20099999999999</v>
      </c>
      <c r="Q8" s="122">
        <f>'[1]март 20'!S7</f>
        <v>189.20099999999999</v>
      </c>
      <c r="R8" s="123">
        <f t="shared" ref="R8:R37" si="22">IF(Q8=0,0,(CI8*CM8+CG8*CK8+CH8*CL8+CF8*CJ8)/Q8)</f>
        <v>3.31</v>
      </c>
      <c r="S8" s="129">
        <v>12.57</v>
      </c>
      <c r="T8" s="125">
        <f t="shared" si="1"/>
        <v>182.9384469</v>
      </c>
      <c r="U8" s="147">
        <f t="shared" si="2"/>
        <v>1.5087706960824745</v>
      </c>
      <c r="V8" s="130">
        <v>121.25</v>
      </c>
      <c r="W8" s="130">
        <v>35.28</v>
      </c>
      <c r="X8" s="129">
        <v>1.26</v>
      </c>
      <c r="Y8" s="131">
        <v>531</v>
      </c>
      <c r="Z8" s="131">
        <v>1190</v>
      </c>
      <c r="AA8" s="148" t="s">
        <v>174</v>
      </c>
      <c r="AB8" s="149">
        <v>76.05</v>
      </c>
      <c r="AC8" s="150">
        <v>123</v>
      </c>
      <c r="AD8" s="151">
        <v>4</v>
      </c>
      <c r="AE8" s="149">
        <v>0.45</v>
      </c>
      <c r="AF8" s="134">
        <f t="shared" si="3"/>
        <v>3.7113402061855671</v>
      </c>
      <c r="AG8" s="152"/>
      <c r="AH8" s="129">
        <v>74.95</v>
      </c>
      <c r="AI8" s="134">
        <f t="shared" si="4"/>
        <v>618.14432989690727</v>
      </c>
      <c r="AJ8" s="153">
        <v>12.28</v>
      </c>
      <c r="AK8" s="154"/>
      <c r="AL8" s="155">
        <v>5.96</v>
      </c>
      <c r="AM8" s="156">
        <v>35.880000000000003</v>
      </c>
      <c r="AN8" s="126">
        <f t="shared" ref="AN8:AN37" si="23">IF(AM8=0,0,AM8/AT8)</f>
        <v>0.22189239332096478</v>
      </c>
      <c r="AO8" s="157" t="s">
        <v>197</v>
      </c>
      <c r="AP8" s="156">
        <v>9.3000000000000007</v>
      </c>
      <c r="AQ8" s="156">
        <v>6.83</v>
      </c>
      <c r="AR8" s="149"/>
      <c r="AS8" s="149">
        <v>6.43</v>
      </c>
      <c r="AT8" s="149">
        <v>161.69999999999999</v>
      </c>
      <c r="AU8" s="149">
        <v>1.39</v>
      </c>
      <c r="AV8" s="149"/>
      <c r="AW8" s="149"/>
      <c r="AX8" s="158">
        <f t="shared" si="5"/>
        <v>0</v>
      </c>
      <c r="AY8" s="125">
        <f t="shared" si="6"/>
        <v>121.24999999999999</v>
      </c>
      <c r="AZ8" s="125">
        <f>IF(AB8=0,0,((D8*0.97)*(E8/100)*0.9)/(AB8/100))+DH8</f>
        <v>139.26193824006268</v>
      </c>
      <c r="BA8" s="159">
        <f t="shared" si="7"/>
        <v>3.7332489436619714</v>
      </c>
      <c r="BB8" s="160">
        <f t="shared" si="8"/>
        <v>4.8499999999999996</v>
      </c>
      <c r="BC8" s="161">
        <f t="shared" si="9"/>
        <v>0.76566690169170026</v>
      </c>
      <c r="BD8" s="160">
        <f t="shared" ref="BD8:BD37" si="24">BA8+BB8</f>
        <v>8.583248943661971</v>
      </c>
      <c r="BE8" s="162">
        <v>0.85399999999999998</v>
      </c>
      <c r="BF8" s="25">
        <f t="shared" ref="BF8:BF37" si="25">BF7+AY8</f>
        <v>250.64</v>
      </c>
      <c r="BG8" s="25">
        <f t="shared" si="10"/>
        <v>124.19354838709677</v>
      </c>
      <c r="BH8" s="25">
        <f t="shared" ref="BH8:BH37" si="26">BG8+BH7</f>
        <v>248.38709677419354</v>
      </c>
      <c r="BI8" s="26">
        <f t="shared" si="11"/>
        <v>1</v>
      </c>
      <c r="BJ8" s="27">
        <f t="shared" ref="BJ8:BJ37" si="27">BG8*BI8+BJ7</f>
        <v>248.38709677419354</v>
      </c>
      <c r="BK8" s="30"/>
      <c r="BL8" s="31">
        <v>233.60400000000001</v>
      </c>
      <c r="BM8" s="31"/>
      <c r="BN8" s="31">
        <v>73.77</v>
      </c>
      <c r="BO8" s="40"/>
      <c r="BP8" s="40"/>
      <c r="BQ8" s="32"/>
      <c r="BR8" s="33"/>
      <c r="BS8" s="34">
        <v>3.24</v>
      </c>
      <c r="BT8" s="35"/>
      <c r="BU8" s="28"/>
      <c r="BV8" s="287"/>
      <c r="BW8" s="28"/>
      <c r="BX8" s="36"/>
      <c r="BY8" s="33"/>
      <c r="BZ8" s="34">
        <v>38.61</v>
      </c>
      <c r="CA8" s="35"/>
      <c r="CB8" s="35">
        <v>45.11</v>
      </c>
      <c r="CC8" s="235"/>
      <c r="CD8" s="235"/>
      <c r="CE8" s="36"/>
      <c r="CF8" s="30">
        <v>91.99</v>
      </c>
      <c r="CG8" s="30"/>
      <c r="CH8" s="31">
        <v>97.210999999999999</v>
      </c>
      <c r="CI8" s="32"/>
      <c r="CJ8" s="33">
        <v>3.31</v>
      </c>
      <c r="CK8" s="33"/>
      <c r="CL8" s="35">
        <v>3.31</v>
      </c>
      <c r="CM8" s="28"/>
      <c r="CN8" s="286"/>
      <c r="CO8" s="249">
        <f t="shared" si="12"/>
        <v>0</v>
      </c>
      <c r="CP8" s="12">
        <f t="shared" si="12"/>
        <v>226.03523040000002</v>
      </c>
      <c r="CQ8" s="12">
        <f t="shared" si="12"/>
        <v>0</v>
      </c>
      <c r="CR8" s="12">
        <f t="shared" si="12"/>
        <v>73.77</v>
      </c>
      <c r="CS8" s="11">
        <f t="shared" si="12"/>
        <v>0</v>
      </c>
      <c r="CT8" s="11">
        <f t="shared" si="12"/>
        <v>0</v>
      </c>
      <c r="CU8" s="272">
        <f t="shared" si="12"/>
        <v>0</v>
      </c>
      <c r="CV8" s="249">
        <f t="shared" si="13"/>
        <v>88.945130999999989</v>
      </c>
      <c r="CW8" s="12">
        <f t="shared" si="13"/>
        <v>0</v>
      </c>
      <c r="CX8" s="254">
        <f t="shared" si="13"/>
        <v>93.993315899999999</v>
      </c>
      <c r="CY8" s="272">
        <f t="shared" si="13"/>
        <v>0</v>
      </c>
      <c r="CZ8" s="13"/>
      <c r="DA8" s="240">
        <f>(D8+'[2]март 20 '!D8)/(AY8+'[2]март 20 '!AX8)</f>
        <v>2.1359631556657996</v>
      </c>
      <c r="DB8" s="241">
        <f>(T8+'[2]март 20 '!R8)/(AY8+'[2]март 20 '!AX8)</f>
        <v>1.3542514577409404</v>
      </c>
      <c r="DD8" s="292">
        <f t="shared" si="14"/>
        <v>7.7649999999999997</v>
      </c>
      <c r="DE8" s="291">
        <v>0.61</v>
      </c>
      <c r="DF8" s="291">
        <v>10</v>
      </c>
      <c r="DG8" s="145">
        <f t="shared" si="15"/>
        <v>7.7176334999999998</v>
      </c>
      <c r="DH8" s="293">
        <f t="shared" ref="DH8:DH37" si="28">IF(AB8=0,0,(DG8*DF8%)/(AB8/100))</f>
        <v>1.0148104536489153</v>
      </c>
      <c r="DJ8" s="322"/>
    </row>
    <row r="9" spans="1:114" s="76" customFormat="1" ht="16.5" customHeight="1" thickBot="1">
      <c r="A9" s="144">
        <v>3</v>
      </c>
      <c r="B9" s="122">
        <f>'[1]март 20'!K8</f>
        <v>282.90100000000001</v>
      </c>
      <c r="C9" s="123">
        <f t="shared" si="16"/>
        <v>2.1208663101226226</v>
      </c>
      <c r="D9" s="145">
        <f>B9*((100-C9)/100)</f>
        <v>276.901048</v>
      </c>
      <c r="E9" s="125">
        <f t="shared" si="18"/>
        <v>40.312387619697354</v>
      </c>
      <c r="F9" s="146">
        <f t="shared" si="19"/>
        <v>2.2348752865213877</v>
      </c>
      <c r="G9" s="127"/>
      <c r="H9" s="126">
        <f t="shared" si="20"/>
        <v>1.640605714285714</v>
      </c>
      <c r="I9" s="230">
        <f>'[1]июль 20'!AI8</f>
        <v>0</v>
      </c>
      <c r="J9" s="247">
        <f>'[1]март 20'!AA8</f>
        <v>11.128</v>
      </c>
      <c r="K9" s="276">
        <f>'[1]сентябрь 20'!AM8</f>
        <v>0</v>
      </c>
      <c r="L9" s="122">
        <f>'[1]март 20'!AE8</f>
        <v>73.63</v>
      </c>
      <c r="M9" s="128">
        <f t="shared" si="21"/>
        <v>0.59426957223567378</v>
      </c>
      <c r="N9" s="400">
        <f>'[1]март 20'!W8</f>
        <v>0</v>
      </c>
      <c r="O9" s="403">
        <f>'[1]март 20'!AU8</f>
        <v>8.5719999999999992</v>
      </c>
      <c r="P9" s="401">
        <f t="shared" si="0"/>
        <v>171.79599999999999</v>
      </c>
      <c r="Q9" s="122">
        <f>'[1]март 20'!S8</f>
        <v>171.79599999999999</v>
      </c>
      <c r="R9" s="123">
        <f t="shared" si="22"/>
        <v>3.0600000000000005</v>
      </c>
      <c r="S9" s="129">
        <v>9.1999999999999993</v>
      </c>
      <c r="T9" s="125">
        <f t="shared" si="1"/>
        <v>166.53904239999997</v>
      </c>
      <c r="U9" s="147">
        <f>IF(AY9=0,0,T9/AY9)</f>
        <v>1.3441407780468115</v>
      </c>
      <c r="V9" s="130">
        <v>123.9</v>
      </c>
      <c r="W9" s="130">
        <v>123.9</v>
      </c>
      <c r="X9" s="129">
        <v>0.59</v>
      </c>
      <c r="Y9" s="131">
        <v>529</v>
      </c>
      <c r="Z9" s="131">
        <v>1192</v>
      </c>
      <c r="AA9" s="148" t="s">
        <v>130</v>
      </c>
      <c r="AB9" s="149">
        <v>75.88</v>
      </c>
      <c r="AC9" s="150">
        <v>113</v>
      </c>
      <c r="AD9" s="151">
        <v>4</v>
      </c>
      <c r="AE9" s="149"/>
      <c r="AF9" s="134">
        <f t="shared" si="3"/>
        <v>0</v>
      </c>
      <c r="AG9" s="152"/>
      <c r="AH9" s="129">
        <v>93.65</v>
      </c>
      <c r="AI9" s="134">
        <f t="shared" si="4"/>
        <v>755.85149313962859</v>
      </c>
      <c r="AJ9" s="153">
        <v>14.15</v>
      </c>
      <c r="AK9" s="154"/>
      <c r="AL9" s="155">
        <v>8.16</v>
      </c>
      <c r="AM9" s="156">
        <v>35.72</v>
      </c>
      <c r="AN9" s="126">
        <f t="shared" si="23"/>
        <v>0.21511592893706713</v>
      </c>
      <c r="AO9" s="157" t="s">
        <v>198</v>
      </c>
      <c r="AP9" s="156">
        <v>8.6199999999999992</v>
      </c>
      <c r="AQ9" s="156">
        <v>6.47</v>
      </c>
      <c r="AR9" s="149"/>
      <c r="AS9" s="149">
        <v>10.3</v>
      </c>
      <c r="AT9" s="149">
        <v>166.05</v>
      </c>
      <c r="AU9" s="149">
        <v>1.73</v>
      </c>
      <c r="AV9" s="149"/>
      <c r="AW9" s="149"/>
      <c r="AX9" s="158">
        <f t="shared" si="5"/>
        <v>0</v>
      </c>
      <c r="AY9" s="125">
        <f t="shared" si="6"/>
        <v>123.90000000000002</v>
      </c>
      <c r="AZ9" s="125">
        <f t="shared" ref="AZ9:AZ37" si="29">IF(AB9=0,0,((D9*0.97)*(E9/100)*0.9)/(AB9/100))+DH9</f>
        <v>130.55620313321455</v>
      </c>
      <c r="BA9" s="159">
        <f t="shared" si="7"/>
        <v>7.4722147887323951</v>
      </c>
      <c r="BB9" s="160">
        <f t="shared" si="8"/>
        <v>4.9560000000000013</v>
      </c>
      <c r="BC9" s="161">
        <f t="shared" si="9"/>
        <v>0.84223931077334246</v>
      </c>
      <c r="BD9" s="160">
        <f t="shared" si="24"/>
        <v>12.428214788732397</v>
      </c>
      <c r="BE9" s="162">
        <v>0.85</v>
      </c>
      <c r="BF9" s="25">
        <f t="shared" si="25"/>
        <v>374.54</v>
      </c>
      <c r="BG9" s="25">
        <f t="shared" si="10"/>
        <v>124.19354838709677</v>
      </c>
      <c r="BH9" s="25">
        <f t="shared" si="26"/>
        <v>372.58064516129031</v>
      </c>
      <c r="BI9" s="26">
        <f t="shared" si="11"/>
        <v>1</v>
      </c>
      <c r="BJ9" s="37">
        <f t="shared" si="27"/>
        <v>372.58064516129031</v>
      </c>
      <c r="BK9" s="38"/>
      <c r="BL9" s="31">
        <v>203.179</v>
      </c>
      <c r="BM9" s="31"/>
      <c r="BN9" s="31">
        <v>73.63</v>
      </c>
      <c r="BO9" s="40">
        <v>6.0919999999999996</v>
      </c>
      <c r="BP9" s="40"/>
      <c r="BQ9" s="32"/>
      <c r="BR9" s="33"/>
      <c r="BS9" s="34">
        <v>2.84</v>
      </c>
      <c r="BT9" s="35"/>
      <c r="BU9" s="28"/>
      <c r="BV9" s="287">
        <v>3.77</v>
      </c>
      <c r="BW9" s="287"/>
      <c r="BX9" s="36"/>
      <c r="BY9" s="33"/>
      <c r="BZ9" s="34">
        <v>38.630000000000003</v>
      </c>
      <c r="CA9" s="35"/>
      <c r="CB9" s="35">
        <v>45.08</v>
      </c>
      <c r="CC9" s="235">
        <v>38.799999999999997</v>
      </c>
      <c r="CD9" s="235"/>
      <c r="CE9" s="36"/>
      <c r="CF9" s="30">
        <v>82.561000000000007</v>
      </c>
      <c r="CG9" s="30"/>
      <c r="CH9" s="31">
        <v>89.234999999999999</v>
      </c>
      <c r="CI9" s="32"/>
      <c r="CJ9" s="33">
        <v>3.06</v>
      </c>
      <c r="CK9" s="33"/>
      <c r="CL9" s="35">
        <v>3.06</v>
      </c>
      <c r="CM9" s="36"/>
      <c r="CN9" s="286"/>
      <c r="CO9" s="249">
        <f t="shared" si="12"/>
        <v>0</v>
      </c>
      <c r="CP9" s="12">
        <f t="shared" si="12"/>
        <v>197.4087164</v>
      </c>
      <c r="CQ9" s="12">
        <f t="shared" si="12"/>
        <v>0</v>
      </c>
      <c r="CR9" s="12">
        <f t="shared" si="12"/>
        <v>73.63</v>
      </c>
      <c r="CS9" s="11">
        <f t="shared" si="12"/>
        <v>5.8623316000000001</v>
      </c>
      <c r="CT9" s="11">
        <f t="shared" si="12"/>
        <v>0</v>
      </c>
      <c r="CU9" s="272">
        <f t="shared" si="12"/>
        <v>0</v>
      </c>
      <c r="CV9" s="249">
        <f t="shared" si="13"/>
        <v>80.034633400000004</v>
      </c>
      <c r="CW9" s="251">
        <f t="shared" si="13"/>
        <v>0</v>
      </c>
      <c r="CX9" s="249">
        <f t="shared" si="13"/>
        <v>86.504408999999995</v>
      </c>
      <c r="CY9" s="272">
        <f t="shared" si="13"/>
        <v>0</v>
      </c>
      <c r="CZ9" s="13"/>
      <c r="DA9" s="240">
        <f>(D9+'[2]март 20 '!D9)/(AY9+'[2]март 20 '!AX9)</f>
        <v>2.2785808626031256</v>
      </c>
      <c r="DB9" s="241">
        <f>(T9+'[2]март 20 '!R9)/(AY9+'[2]март 20 '!AX9)</f>
        <v>1.4143803474083612</v>
      </c>
      <c r="DD9" s="292">
        <f t="shared" si="14"/>
        <v>11.128</v>
      </c>
      <c r="DE9" s="291">
        <v>0.47</v>
      </c>
      <c r="DF9" s="291">
        <v>14.6</v>
      </c>
      <c r="DG9" s="145">
        <f t="shared" si="15"/>
        <v>11.0756984</v>
      </c>
      <c r="DH9" s="293">
        <f t="shared" si="28"/>
        <v>2.1310647949393782</v>
      </c>
      <c r="DJ9" s="322"/>
    </row>
    <row r="10" spans="1:114" s="76" customFormat="1" ht="16.5" customHeight="1" thickBot="1">
      <c r="A10" s="144">
        <v>4</v>
      </c>
      <c r="B10" s="122">
        <f>'[1]март 20'!K9</f>
        <v>289.49799999999999</v>
      </c>
      <c r="C10" s="123">
        <f t="shared" si="16"/>
        <v>2.5522804302620399</v>
      </c>
      <c r="D10" s="145">
        <f t="shared" si="17"/>
        <v>282.10919919999998</v>
      </c>
      <c r="E10" s="125">
        <f>IF(B10=0,0,(BK10*BY10+BL10*BZ10+BM10*CA10+BQ10*CE10+BN10*CB10+BO10*CC10+BP10*CD10)/B10)</f>
        <v>40.269747355767564</v>
      </c>
      <c r="F10" s="146">
        <f t="shared" si="19"/>
        <v>2.0693112242353111</v>
      </c>
      <c r="G10" s="127"/>
      <c r="H10" s="126">
        <f t="shared" si="20"/>
        <v>1.4307430440842073</v>
      </c>
      <c r="I10" s="230">
        <f>'[1]июль 20'!AI9</f>
        <v>0</v>
      </c>
      <c r="J10" s="247">
        <f>'[1]март 20'!AA9</f>
        <v>11.236000000000001</v>
      </c>
      <c r="K10" s="276">
        <f>'[1]сентябрь 20'!AM9</f>
        <v>0</v>
      </c>
      <c r="L10" s="122">
        <f>'[1]март 20'!AE9</f>
        <v>87.055999999999997</v>
      </c>
      <c r="M10" s="128">
        <f t="shared" si="21"/>
        <v>0.63856818015110384</v>
      </c>
      <c r="N10" s="400">
        <f>'[1]март 20'!W9</f>
        <v>0</v>
      </c>
      <c r="O10" s="403">
        <f>'[1]март 20'!AU9</f>
        <v>2.8319999999999999</v>
      </c>
      <c r="P10" s="401">
        <f t="shared" si="0"/>
        <v>177.751</v>
      </c>
      <c r="Q10" s="122">
        <f>'[1]март 20'!S9</f>
        <v>177.751</v>
      </c>
      <c r="R10" s="123">
        <f t="shared" si="22"/>
        <v>3.4</v>
      </c>
      <c r="S10" s="129">
        <v>21.64</v>
      </c>
      <c r="T10" s="125">
        <f t="shared" si="1"/>
        <v>171.70746600000001</v>
      </c>
      <c r="U10" s="147">
        <f t="shared" si="2"/>
        <v>1.2594987603608889</v>
      </c>
      <c r="V10" s="130">
        <v>136.33000000000001</v>
      </c>
      <c r="W10" s="130">
        <v>136.33000000000001</v>
      </c>
      <c r="X10" s="129">
        <v>0.19</v>
      </c>
      <c r="Y10" s="131">
        <v>497</v>
      </c>
      <c r="Z10" s="131">
        <v>1182</v>
      </c>
      <c r="AA10" s="148" t="s">
        <v>122</v>
      </c>
      <c r="AB10" s="149">
        <v>75.91</v>
      </c>
      <c r="AC10" s="150">
        <v>116</v>
      </c>
      <c r="AD10" s="151">
        <v>4</v>
      </c>
      <c r="AE10" s="149"/>
      <c r="AF10" s="134">
        <f t="shared" si="3"/>
        <v>0</v>
      </c>
      <c r="AG10" s="152"/>
      <c r="AH10" s="129">
        <v>102.65</v>
      </c>
      <c r="AI10" s="134">
        <f t="shared" si="4"/>
        <v>752.95239492408132</v>
      </c>
      <c r="AJ10" s="153">
        <v>13.76</v>
      </c>
      <c r="AK10" s="154"/>
      <c r="AL10" s="155">
        <v>10.57</v>
      </c>
      <c r="AM10" s="156">
        <v>35.14</v>
      </c>
      <c r="AN10" s="126">
        <f t="shared" si="23"/>
        <v>0.19686274509803922</v>
      </c>
      <c r="AO10" s="157" t="s">
        <v>199</v>
      </c>
      <c r="AP10" s="156">
        <v>8.69</v>
      </c>
      <c r="AQ10" s="156">
        <v>6.51</v>
      </c>
      <c r="AR10" s="149"/>
      <c r="AS10" s="149">
        <v>12.57</v>
      </c>
      <c r="AT10" s="149">
        <v>178.5</v>
      </c>
      <c r="AU10" s="149">
        <v>3.54</v>
      </c>
      <c r="AV10" s="149"/>
      <c r="AW10" s="149"/>
      <c r="AX10" s="158">
        <f t="shared" si="5"/>
        <v>0</v>
      </c>
      <c r="AY10" s="125">
        <f>AT10-AL10-AM10+AV10+AW10+AU10</f>
        <v>136.33000000000001</v>
      </c>
      <c r="AZ10" s="125">
        <f>IF(AB10=0,0,((D10*0.97)*(E10/100)*0.9)/(AB10/100))+DH10</f>
        <v>133.11039982976712</v>
      </c>
      <c r="BA10" s="159">
        <f t="shared" si="7"/>
        <v>9.9953630281690131</v>
      </c>
      <c r="BB10" s="160">
        <f t="shared" si="8"/>
        <v>5.4532000000000007</v>
      </c>
      <c r="BC10" s="161">
        <f t="shared" si="9"/>
        <v>0.91094943969512987</v>
      </c>
      <c r="BD10" s="160">
        <f t="shared" si="24"/>
        <v>15.448563028169014</v>
      </c>
      <c r="BE10" s="162">
        <v>0.86499999999999999</v>
      </c>
      <c r="BF10" s="25">
        <f t="shared" si="25"/>
        <v>510.87</v>
      </c>
      <c r="BG10" s="25">
        <f t="shared" si="10"/>
        <v>124.19354838709677</v>
      </c>
      <c r="BH10" s="25">
        <f t="shared" si="26"/>
        <v>496.77419354838707</v>
      </c>
      <c r="BI10" s="26">
        <f t="shared" si="11"/>
        <v>1</v>
      </c>
      <c r="BJ10" s="37">
        <f t="shared" si="27"/>
        <v>496.77419354838707</v>
      </c>
      <c r="BK10" s="38"/>
      <c r="BL10" s="31">
        <v>182.53</v>
      </c>
      <c r="BM10" s="31"/>
      <c r="BN10" s="31">
        <v>87.055999999999997</v>
      </c>
      <c r="BO10" s="40">
        <v>19.911999999999999</v>
      </c>
      <c r="BP10" s="40"/>
      <c r="BQ10" s="32"/>
      <c r="BR10" s="33"/>
      <c r="BS10" s="34">
        <v>3.64</v>
      </c>
      <c r="BT10" s="35"/>
      <c r="BU10" s="28"/>
      <c r="BV10" s="287">
        <v>3.74</v>
      </c>
      <c r="BW10" s="287"/>
      <c r="BX10" s="36"/>
      <c r="BY10" s="33"/>
      <c r="BZ10" s="34">
        <v>38.22</v>
      </c>
      <c r="CA10" s="35"/>
      <c r="CB10" s="35">
        <v>45.05</v>
      </c>
      <c r="CC10" s="235">
        <v>38.159999999999997</v>
      </c>
      <c r="CD10" s="235"/>
      <c r="CE10" s="36"/>
      <c r="CF10" s="30">
        <v>86.043000000000006</v>
      </c>
      <c r="CG10" s="30"/>
      <c r="CH10" s="31">
        <v>91.707999999999998</v>
      </c>
      <c r="CI10" s="32"/>
      <c r="CJ10" s="33">
        <v>3.4</v>
      </c>
      <c r="CK10" s="33"/>
      <c r="CL10" s="35">
        <v>3.4</v>
      </c>
      <c r="CM10" s="36"/>
      <c r="CN10" s="286"/>
      <c r="CO10" s="249">
        <f t="shared" si="12"/>
        <v>0</v>
      </c>
      <c r="CP10" s="12">
        <f t="shared" si="12"/>
        <v>175.885908</v>
      </c>
      <c r="CQ10" s="12">
        <f t="shared" si="12"/>
        <v>0</v>
      </c>
      <c r="CR10" s="14">
        <f t="shared" si="12"/>
        <v>87.055999999999997</v>
      </c>
      <c r="CS10" s="11">
        <f t="shared" si="12"/>
        <v>19.167291199999998</v>
      </c>
      <c r="CT10" s="11">
        <f t="shared" si="12"/>
        <v>0</v>
      </c>
      <c r="CU10" s="272">
        <f t="shared" si="12"/>
        <v>0</v>
      </c>
      <c r="CV10" s="249">
        <f t="shared" si="13"/>
        <v>83.11753800000001</v>
      </c>
      <c r="CW10" s="12">
        <f t="shared" si="13"/>
        <v>0</v>
      </c>
      <c r="CX10" s="249">
        <f t="shared" si="13"/>
        <v>88.589928</v>
      </c>
      <c r="CY10" s="272">
        <f t="shared" si="13"/>
        <v>0</v>
      </c>
      <c r="CZ10" s="13"/>
      <c r="DA10" s="240">
        <f>(D10+'[2]март 20 '!D10)/(AY10+'[2]март 20 '!AX10)</f>
        <v>2.1350793324862343</v>
      </c>
      <c r="DB10" s="241">
        <f>(T10+'[2]март 20 '!R10)/(AY10+'[2]март 20 '!AX10)</f>
        <v>1.3357791867852604</v>
      </c>
      <c r="DD10" s="292">
        <f t="shared" si="14"/>
        <v>11.236000000000001</v>
      </c>
      <c r="DE10" s="291">
        <v>0.31</v>
      </c>
      <c r="DF10" s="291">
        <v>16.670000000000002</v>
      </c>
      <c r="DG10" s="145">
        <f t="shared" si="15"/>
        <v>11.2011684</v>
      </c>
      <c r="DH10" s="293">
        <f t="shared" si="28"/>
        <v>2.4598007802397581</v>
      </c>
      <c r="DJ10" s="322"/>
    </row>
    <row r="11" spans="1:114" s="76" customFormat="1" ht="16.5" customHeight="1" thickBot="1">
      <c r="A11" s="144">
        <v>5</v>
      </c>
      <c r="B11" s="122">
        <f>'[1]март 20'!K10</f>
        <v>305.71199999999999</v>
      </c>
      <c r="C11" s="123">
        <f t="shared" si="16"/>
        <v>2.1167100408227353</v>
      </c>
      <c r="D11" s="145">
        <f t="shared" si="17"/>
        <v>299.2409634</v>
      </c>
      <c r="E11" s="125">
        <f t="shared" si="18"/>
        <v>40.172338704401525</v>
      </c>
      <c r="F11" s="146">
        <f t="shared" si="19"/>
        <v>1.9976032269692927</v>
      </c>
      <c r="G11" s="127"/>
      <c r="H11" s="126">
        <f t="shared" si="20"/>
        <v>1.3868221855807747</v>
      </c>
      <c r="I11" s="230">
        <f>'[1]июль 20'!AI10</f>
        <v>0</v>
      </c>
      <c r="J11" s="247">
        <f>'[1]март 20'!AA10</f>
        <v>12.449</v>
      </c>
      <c r="K11" s="276">
        <f>'[1]сентябрь 20'!AM10</f>
        <v>0</v>
      </c>
      <c r="L11" s="122">
        <f>'[1]март 20'!AE10</f>
        <v>91.495000000000005</v>
      </c>
      <c r="M11" s="128">
        <f t="shared" si="21"/>
        <v>0.61078104138851808</v>
      </c>
      <c r="N11" s="400">
        <f>'[1]март 20'!W10</f>
        <v>0</v>
      </c>
      <c r="O11" s="403">
        <f>'[1]март 20'!AU10</f>
        <v>3.7429999999999999</v>
      </c>
      <c r="P11" s="401">
        <f t="shared" si="0"/>
        <v>190.39600000000002</v>
      </c>
      <c r="Q11" s="122">
        <f>'[1]март 20'!S10</f>
        <v>190.39599999999999</v>
      </c>
      <c r="R11" s="123">
        <f t="shared" si="22"/>
        <v>3.19</v>
      </c>
      <c r="S11" s="129">
        <v>2.38</v>
      </c>
      <c r="T11" s="125">
        <f t="shared" si="1"/>
        <v>184.32236760000001</v>
      </c>
      <c r="U11" s="147">
        <f t="shared" si="2"/>
        <v>1.2304563925233647</v>
      </c>
      <c r="V11" s="130">
        <v>149.80000000000001</v>
      </c>
      <c r="W11" s="130">
        <v>149.80000000000001</v>
      </c>
      <c r="X11" s="129">
        <v>0.17</v>
      </c>
      <c r="Y11" s="131">
        <v>483</v>
      </c>
      <c r="Z11" s="131">
        <v>1188</v>
      </c>
      <c r="AA11" s="148" t="s">
        <v>195</v>
      </c>
      <c r="AB11" s="149">
        <v>76.09</v>
      </c>
      <c r="AC11" s="150">
        <v>122</v>
      </c>
      <c r="AD11" s="151">
        <v>4</v>
      </c>
      <c r="AE11" s="149"/>
      <c r="AF11" s="134">
        <f t="shared" si="3"/>
        <v>0</v>
      </c>
      <c r="AG11" s="152"/>
      <c r="AH11" s="129">
        <v>94.8</v>
      </c>
      <c r="AI11" s="134">
        <f t="shared" si="4"/>
        <v>632.84379172229649</v>
      </c>
      <c r="AJ11" s="163">
        <v>14.96</v>
      </c>
      <c r="AK11" s="154"/>
      <c r="AL11" s="155">
        <v>6.49</v>
      </c>
      <c r="AM11" s="156">
        <v>34.229999999999997</v>
      </c>
      <c r="AN11" s="126">
        <f t="shared" si="23"/>
        <v>0.18221985626829917</v>
      </c>
      <c r="AO11" s="157" t="s">
        <v>200</v>
      </c>
      <c r="AP11" s="156">
        <v>9.33</v>
      </c>
      <c r="AQ11" s="156">
        <v>6.51</v>
      </c>
      <c r="AR11" s="149"/>
      <c r="AS11" s="149">
        <v>7.17</v>
      </c>
      <c r="AT11" s="149">
        <v>187.85</v>
      </c>
      <c r="AU11" s="149">
        <v>2.67</v>
      </c>
      <c r="AV11" s="149"/>
      <c r="AW11" s="149"/>
      <c r="AX11" s="158">
        <f t="shared" si="5"/>
        <v>0</v>
      </c>
      <c r="AY11" s="125">
        <f t="shared" si="6"/>
        <v>149.79999999999998</v>
      </c>
      <c r="AZ11" s="125">
        <f t="shared" si="29"/>
        <v>141.02692616386278</v>
      </c>
      <c r="BA11" s="159">
        <f t="shared" si="7"/>
        <v>5.2654056338028168</v>
      </c>
      <c r="BB11" s="160">
        <f t="shared" si="8"/>
        <v>5.9919999999999991</v>
      </c>
      <c r="BC11" s="161">
        <f t="shared" si="9"/>
        <v>0.94818097592943151</v>
      </c>
      <c r="BD11" s="160">
        <f t="shared" si="24"/>
        <v>11.257405633802815</v>
      </c>
      <c r="BE11" s="162">
        <v>0.88300000000000001</v>
      </c>
      <c r="BF11" s="25">
        <f t="shared" si="25"/>
        <v>660.67</v>
      </c>
      <c r="BG11" s="25">
        <f t="shared" si="10"/>
        <v>124.19354838709677</v>
      </c>
      <c r="BH11" s="25">
        <f t="shared" si="26"/>
        <v>620.9677419354839</v>
      </c>
      <c r="BI11" s="26">
        <f t="shared" si="11"/>
        <v>1</v>
      </c>
      <c r="BJ11" s="37">
        <f t="shared" si="27"/>
        <v>620.9677419354839</v>
      </c>
      <c r="BK11" s="38"/>
      <c r="BL11" s="31">
        <v>193.12700000000001</v>
      </c>
      <c r="BM11" s="31"/>
      <c r="BN11" s="31">
        <v>91.495000000000005</v>
      </c>
      <c r="BO11" s="40">
        <v>21.09</v>
      </c>
      <c r="BP11" s="40"/>
      <c r="BQ11" s="32"/>
      <c r="BR11" s="33"/>
      <c r="BS11" s="34">
        <v>2.88</v>
      </c>
      <c r="BT11" s="35"/>
      <c r="BU11" s="28"/>
      <c r="BV11" s="287">
        <v>4.3099999999999996</v>
      </c>
      <c r="BW11" s="287"/>
      <c r="BX11" s="36"/>
      <c r="BY11" s="33"/>
      <c r="BZ11" s="34">
        <v>38.229999999999997</v>
      </c>
      <c r="CA11" s="35"/>
      <c r="CB11" s="35">
        <v>44.66</v>
      </c>
      <c r="CC11" s="235">
        <v>38.49</v>
      </c>
      <c r="CD11" s="235"/>
      <c r="CE11" s="36"/>
      <c r="CF11" s="30">
        <v>94.027000000000001</v>
      </c>
      <c r="CG11" s="30"/>
      <c r="CH11" s="31">
        <v>96.369</v>
      </c>
      <c r="CI11" s="32"/>
      <c r="CJ11" s="33">
        <v>3.19</v>
      </c>
      <c r="CK11" s="33"/>
      <c r="CL11" s="35">
        <v>3.19</v>
      </c>
      <c r="CM11" s="36"/>
      <c r="CN11" s="286"/>
      <c r="CO11" s="249">
        <f t="shared" si="12"/>
        <v>0</v>
      </c>
      <c r="CP11" s="12">
        <f t="shared" si="12"/>
        <v>187.56494240000004</v>
      </c>
      <c r="CQ11" s="15">
        <f t="shared" si="12"/>
        <v>0</v>
      </c>
      <c r="CR11" s="16">
        <f t="shared" si="12"/>
        <v>91.495000000000005</v>
      </c>
      <c r="CS11" s="11">
        <f t="shared" si="12"/>
        <v>20.181020999999998</v>
      </c>
      <c r="CT11" s="11">
        <f t="shared" si="12"/>
        <v>0</v>
      </c>
      <c r="CU11" s="272">
        <f t="shared" si="12"/>
        <v>0</v>
      </c>
      <c r="CV11" s="249">
        <f t="shared" si="13"/>
        <v>91.027538700000008</v>
      </c>
      <c r="CW11" s="12">
        <f t="shared" si="13"/>
        <v>0</v>
      </c>
      <c r="CX11" s="249">
        <f t="shared" si="13"/>
        <v>93.294828900000013</v>
      </c>
      <c r="CY11" s="272">
        <f t="shared" si="13"/>
        <v>0</v>
      </c>
      <c r="CZ11" s="13"/>
      <c r="DA11" s="240">
        <f>(D11+'[2]март 20 '!D11)/(AY11+'[2]март 20 '!AX11)</f>
        <v>2.1056988119506737</v>
      </c>
      <c r="DB11" s="241">
        <f>(T11+'[2]март 20 '!R11)/(AY11+'[2]март 20 '!AX11)</f>
        <v>1.3198388116164823</v>
      </c>
      <c r="DD11" s="292">
        <f t="shared" si="14"/>
        <v>12.449</v>
      </c>
      <c r="DE11" s="291">
        <v>0.34</v>
      </c>
      <c r="DF11" s="407">
        <v>19.04</v>
      </c>
      <c r="DG11" s="145">
        <f t="shared" si="15"/>
        <v>12.406673399999999</v>
      </c>
      <c r="DH11" s="293">
        <f t="shared" si="28"/>
        <v>3.1045217707451696</v>
      </c>
      <c r="DJ11" s="322"/>
    </row>
    <row r="12" spans="1:114" s="76" customFormat="1" ht="16.5" customHeight="1" thickBot="1">
      <c r="A12" s="144">
        <v>6</v>
      </c>
      <c r="B12" s="122">
        <f>'[1]март 20'!K11</f>
        <v>299.95699999999999</v>
      </c>
      <c r="C12" s="123">
        <f t="shared" si="16"/>
        <v>1.3117332150941636</v>
      </c>
      <c r="D12" s="145">
        <f t="shared" si="17"/>
        <v>296.02236439999996</v>
      </c>
      <c r="E12" s="125">
        <f t="shared" si="18"/>
        <v>40.58204946042266</v>
      </c>
      <c r="F12" s="146">
        <f t="shared" si="19"/>
        <v>2.0378794189728757</v>
      </c>
      <c r="G12" s="127"/>
      <c r="H12" s="126">
        <f t="shared" si="20"/>
        <v>1.4179496378906786</v>
      </c>
      <c r="I12" s="230">
        <f>'[1]июль 20'!AI11</f>
        <v>0</v>
      </c>
      <c r="J12" s="247">
        <f>'[1]март 20'!AA11</f>
        <v>11.79</v>
      </c>
      <c r="K12" s="276">
        <f>'[1]сентябрь 20'!AM11</f>
        <v>0</v>
      </c>
      <c r="L12" s="122">
        <f>'[1]март 20'!AE11</f>
        <v>90.051000000000002</v>
      </c>
      <c r="M12" s="128">
        <f t="shared" si="21"/>
        <v>0.61992978108219732</v>
      </c>
      <c r="N12" s="400">
        <f>'[1]март 20'!W11</f>
        <v>0</v>
      </c>
      <c r="O12" s="403">
        <f>'[1]март 20'!AU11</f>
        <v>4.2569999999999997</v>
      </c>
      <c r="P12" s="401">
        <f t="shared" si="0"/>
        <v>188.65699999999998</v>
      </c>
      <c r="Q12" s="122">
        <f>'[1]март 20'!S11</f>
        <v>188.65700000000001</v>
      </c>
      <c r="R12" s="123">
        <f t="shared" si="22"/>
        <v>3.06</v>
      </c>
      <c r="S12" s="129">
        <v>15.82</v>
      </c>
      <c r="T12" s="125">
        <f t="shared" si="1"/>
        <v>182.88409579999998</v>
      </c>
      <c r="U12" s="147">
        <f t="shared" si="2"/>
        <v>1.2590120872917525</v>
      </c>
      <c r="V12" s="130">
        <v>145.26</v>
      </c>
      <c r="W12" s="130">
        <v>72.94</v>
      </c>
      <c r="X12" s="129">
        <v>0.92</v>
      </c>
      <c r="Y12" s="131">
        <v>500</v>
      </c>
      <c r="Z12" s="150">
        <v>1194</v>
      </c>
      <c r="AA12" s="148" t="s">
        <v>165</v>
      </c>
      <c r="AB12" s="149">
        <v>76.12</v>
      </c>
      <c r="AC12" s="150">
        <v>120</v>
      </c>
      <c r="AD12" s="151">
        <v>4</v>
      </c>
      <c r="AE12" s="149"/>
      <c r="AF12" s="134">
        <f t="shared" si="3"/>
        <v>0</v>
      </c>
      <c r="AG12" s="152"/>
      <c r="AH12" s="129">
        <v>90.8</v>
      </c>
      <c r="AI12" s="134">
        <f t="shared" si="4"/>
        <v>625.08605259534625</v>
      </c>
      <c r="AJ12" s="153">
        <v>15.91</v>
      </c>
      <c r="AK12" s="154"/>
      <c r="AL12" s="155">
        <v>5.67</v>
      </c>
      <c r="AM12" s="156">
        <v>35</v>
      </c>
      <c r="AN12" s="126">
        <f t="shared" si="23"/>
        <v>0.18980477223427331</v>
      </c>
      <c r="AO12" s="157" t="s">
        <v>201</v>
      </c>
      <c r="AP12" s="156">
        <v>10.050000000000001</v>
      </c>
      <c r="AQ12" s="156">
        <v>6.56</v>
      </c>
      <c r="AR12" s="149"/>
      <c r="AS12" s="149">
        <v>8.8800000000000008</v>
      </c>
      <c r="AT12" s="149">
        <v>184.4</v>
      </c>
      <c r="AU12" s="149">
        <v>1.53</v>
      </c>
      <c r="AV12" s="164"/>
      <c r="AW12" s="164"/>
      <c r="AX12" s="158">
        <f t="shared" si="5"/>
        <v>0</v>
      </c>
      <c r="AY12" s="125">
        <f t="shared" si="6"/>
        <v>145.26000000000002</v>
      </c>
      <c r="AZ12" s="125">
        <f t="shared" si="29"/>
        <v>140.429294764334</v>
      </c>
      <c r="BA12" s="159">
        <f t="shared" si="7"/>
        <v>6.246016901408451</v>
      </c>
      <c r="BB12" s="160">
        <f t="shared" si="8"/>
        <v>5.8104000000000005</v>
      </c>
      <c r="BC12" s="161">
        <f t="shared" si="9"/>
        <v>0.92042057966495128</v>
      </c>
      <c r="BD12" s="160">
        <f t="shared" si="24"/>
        <v>12.056416901408451</v>
      </c>
      <c r="BE12" s="162">
        <v>0.88900000000000001</v>
      </c>
      <c r="BF12" s="25">
        <f t="shared" si="25"/>
        <v>805.93</v>
      </c>
      <c r="BG12" s="25">
        <f t="shared" si="10"/>
        <v>124.19354838709677</v>
      </c>
      <c r="BH12" s="25">
        <f t="shared" si="26"/>
        <v>745.16129032258073</v>
      </c>
      <c r="BI12" s="26">
        <f t="shared" si="11"/>
        <v>1</v>
      </c>
      <c r="BJ12" s="37">
        <f t="shared" si="27"/>
        <v>745.16129032258073</v>
      </c>
      <c r="BK12" s="38"/>
      <c r="BL12" s="31">
        <v>189.864</v>
      </c>
      <c r="BM12" s="31"/>
      <c r="BN12" s="31">
        <v>90.051000000000002</v>
      </c>
      <c r="BO12" s="40">
        <v>20.042000000000002</v>
      </c>
      <c r="BP12" s="40"/>
      <c r="BQ12" s="32"/>
      <c r="BR12" s="33"/>
      <c r="BS12" s="34">
        <v>1.8</v>
      </c>
      <c r="BT12" s="33"/>
      <c r="BU12" s="28"/>
      <c r="BV12" s="287">
        <v>2.58</v>
      </c>
      <c r="BW12" s="287"/>
      <c r="BX12" s="36"/>
      <c r="BY12" s="33"/>
      <c r="BZ12" s="34">
        <v>38.57</v>
      </c>
      <c r="CA12" s="33"/>
      <c r="CB12" s="35">
        <v>45.37</v>
      </c>
      <c r="CC12" s="235">
        <v>38.130000000000003</v>
      </c>
      <c r="CD12" s="235"/>
      <c r="CE12" s="36"/>
      <c r="CF12" s="30">
        <v>93.811999999999998</v>
      </c>
      <c r="CG12" s="30"/>
      <c r="CH12" s="31">
        <v>94.844999999999999</v>
      </c>
      <c r="CI12" s="32"/>
      <c r="CJ12" s="33">
        <v>3.06</v>
      </c>
      <c r="CK12" s="33"/>
      <c r="CL12" s="35">
        <v>3.06</v>
      </c>
      <c r="CM12" s="36"/>
      <c r="CN12" s="286"/>
      <c r="CO12" s="249">
        <f t="shared" si="12"/>
        <v>0</v>
      </c>
      <c r="CP12" s="12">
        <f t="shared" si="12"/>
        <v>186.446448</v>
      </c>
      <c r="CQ12" s="12">
        <f t="shared" si="12"/>
        <v>0</v>
      </c>
      <c r="CR12" s="12">
        <f t="shared" si="12"/>
        <v>90.051000000000002</v>
      </c>
      <c r="CS12" s="11">
        <f t="shared" si="12"/>
        <v>19.524916400000002</v>
      </c>
      <c r="CT12" s="11">
        <f t="shared" si="12"/>
        <v>0</v>
      </c>
      <c r="CU12" s="272">
        <f t="shared" si="12"/>
        <v>0</v>
      </c>
      <c r="CV12" s="249">
        <f t="shared" si="13"/>
        <v>90.94135279999999</v>
      </c>
      <c r="CW12" s="12">
        <f t="shared" si="13"/>
        <v>0</v>
      </c>
      <c r="CX12" s="252">
        <f t="shared" si="13"/>
        <v>91.942742999999993</v>
      </c>
      <c r="CY12" s="272">
        <f t="shared" si="13"/>
        <v>0</v>
      </c>
      <c r="CZ12" s="13"/>
      <c r="DA12" s="240">
        <f>(D12+'[2]март 20 '!D12)/(AY12+'[2]март 20 '!AX12)</f>
        <v>2.0231445898709555</v>
      </c>
      <c r="DB12" s="241">
        <f>(T12+'[2]март 20 '!R12)/(AY12+'[2]март 20 '!AX12)</f>
        <v>1.2687431885200662</v>
      </c>
      <c r="DD12" s="292">
        <f t="shared" si="14"/>
        <v>11.79</v>
      </c>
      <c r="DE12" s="291">
        <v>0.06</v>
      </c>
      <c r="DF12" s="291">
        <v>17.14</v>
      </c>
      <c r="DG12" s="145">
        <f t="shared" si="15"/>
        <v>11.782925999999998</v>
      </c>
      <c r="DH12" s="293">
        <f t="shared" si="28"/>
        <v>2.6531706731476605</v>
      </c>
      <c r="DJ12" s="322"/>
    </row>
    <row r="13" spans="1:114" s="76" customFormat="1" ht="16.5" customHeight="1" thickBot="1">
      <c r="A13" s="144">
        <v>7</v>
      </c>
      <c r="B13" s="122">
        <f>'[1]март 20'!K12</f>
        <v>310.26600000000002</v>
      </c>
      <c r="C13" s="123">
        <f t="shared" si="16"/>
        <v>1.7970144327770365</v>
      </c>
      <c r="D13" s="145">
        <f t="shared" si="17"/>
        <v>304.69047520000004</v>
      </c>
      <c r="E13" s="125">
        <f t="shared" si="18"/>
        <v>40.417627841916293</v>
      </c>
      <c r="F13" s="146">
        <f t="shared" si="19"/>
        <v>2.3367625983587703</v>
      </c>
      <c r="G13" s="127"/>
      <c r="H13" s="126">
        <f t="shared" si="20"/>
        <v>1.6375525362374417</v>
      </c>
      <c r="I13" s="230">
        <f>'[1]июль 20'!AI12</f>
        <v>0</v>
      </c>
      <c r="J13" s="247">
        <f>'[1]март 20'!AA12</f>
        <v>12.452</v>
      </c>
      <c r="K13" s="276">
        <f>'[1]сентябрь 20'!AM12</f>
        <v>0</v>
      </c>
      <c r="L13" s="122">
        <f>'[1]март 20'!AE12</f>
        <v>91.17</v>
      </c>
      <c r="M13" s="128">
        <f t="shared" si="21"/>
        <v>0.69921006212132841</v>
      </c>
      <c r="N13" s="400">
        <f>'[1]март 20'!W12</f>
        <v>0</v>
      </c>
      <c r="O13" s="403">
        <f>'[1]март 20'!AU12</f>
        <v>5.3540000000000001</v>
      </c>
      <c r="P13" s="401">
        <f t="shared" si="0"/>
        <v>193.16800000000001</v>
      </c>
      <c r="Q13" s="122">
        <f>'[1]март 20'!S12</f>
        <v>193.16800000000001</v>
      </c>
      <c r="R13" s="123">
        <f t="shared" si="22"/>
        <v>2.8099999999999996</v>
      </c>
      <c r="S13" s="129"/>
      <c r="T13" s="125">
        <f t="shared" si="1"/>
        <v>187.73997919999999</v>
      </c>
      <c r="U13" s="147">
        <f t="shared" si="2"/>
        <v>1.4398341836030371</v>
      </c>
      <c r="V13" s="130">
        <v>130.38999999999999</v>
      </c>
      <c r="W13" s="130"/>
      <c r="X13" s="129">
        <v>1.55</v>
      </c>
      <c r="Y13" s="165">
        <v>503</v>
      </c>
      <c r="Z13" s="166">
        <v>1186</v>
      </c>
      <c r="AA13" s="148" t="s">
        <v>134</v>
      </c>
      <c r="AB13" s="149">
        <v>75.430000000000007</v>
      </c>
      <c r="AC13" s="150">
        <v>124</v>
      </c>
      <c r="AD13" s="151">
        <v>4</v>
      </c>
      <c r="AE13" s="149">
        <v>1.1499999999999999</v>
      </c>
      <c r="AF13" s="134">
        <f t="shared" si="3"/>
        <v>8.8196947618682415</v>
      </c>
      <c r="AG13" s="152"/>
      <c r="AH13" s="129">
        <v>64.25</v>
      </c>
      <c r="AI13" s="134">
        <f t="shared" si="4"/>
        <v>492.75251169568224</v>
      </c>
      <c r="AJ13" s="136">
        <v>12.29</v>
      </c>
      <c r="AK13" s="154"/>
      <c r="AL13" s="155">
        <v>8.7799999999999994</v>
      </c>
      <c r="AM13" s="156">
        <v>35.51</v>
      </c>
      <c r="AN13" s="126">
        <f t="shared" si="23"/>
        <v>0.20472758720092246</v>
      </c>
      <c r="AO13" s="157" t="s">
        <v>202</v>
      </c>
      <c r="AP13" s="156">
        <v>11.6</v>
      </c>
      <c r="AQ13" s="156">
        <v>6.14</v>
      </c>
      <c r="AR13" s="149"/>
      <c r="AS13" s="149">
        <v>6.12</v>
      </c>
      <c r="AT13" s="149">
        <v>173.45</v>
      </c>
      <c r="AU13" s="149">
        <v>1.23</v>
      </c>
      <c r="AV13" s="149"/>
      <c r="AW13" s="149"/>
      <c r="AX13" s="158">
        <f t="shared" si="5"/>
        <v>0</v>
      </c>
      <c r="AY13" s="125">
        <f t="shared" si="6"/>
        <v>130.38999999999999</v>
      </c>
      <c r="AZ13" s="125">
        <f t="shared" si="29"/>
        <v>144.40579756041001</v>
      </c>
      <c r="BA13" s="159">
        <f t="shared" si="7"/>
        <v>3.0459929577464786</v>
      </c>
      <c r="BB13" s="160">
        <f t="shared" si="8"/>
        <v>5.2155999999999993</v>
      </c>
      <c r="BC13" s="161">
        <f t="shared" si="9"/>
        <v>0.79865404247405103</v>
      </c>
      <c r="BD13" s="160">
        <f t="shared" si="24"/>
        <v>8.2615929577464779</v>
      </c>
      <c r="BE13" s="162">
        <v>0.877</v>
      </c>
      <c r="BF13" s="25">
        <f t="shared" si="25"/>
        <v>936.31999999999994</v>
      </c>
      <c r="BG13" s="25">
        <f t="shared" si="10"/>
        <v>124.19354838709677</v>
      </c>
      <c r="BH13" s="25">
        <f t="shared" si="26"/>
        <v>869.35483870967755</v>
      </c>
      <c r="BI13" s="26">
        <f t="shared" si="11"/>
        <v>1</v>
      </c>
      <c r="BJ13" s="37">
        <f t="shared" si="27"/>
        <v>869.35483870967755</v>
      </c>
      <c r="BK13" s="39"/>
      <c r="BL13" s="40">
        <v>198.03200000000001</v>
      </c>
      <c r="BM13" s="325"/>
      <c r="BN13" s="31">
        <v>91.17</v>
      </c>
      <c r="BO13" s="40">
        <v>21.064</v>
      </c>
      <c r="BP13" s="40"/>
      <c r="BQ13" s="32"/>
      <c r="BR13" s="33"/>
      <c r="BS13" s="34">
        <v>2.39</v>
      </c>
      <c r="BT13" s="33"/>
      <c r="BU13" s="28"/>
      <c r="BV13" s="287">
        <v>4</v>
      </c>
      <c r="BW13" s="287"/>
      <c r="BX13" s="36"/>
      <c r="BY13" s="33"/>
      <c r="BZ13" s="34">
        <v>38.75</v>
      </c>
      <c r="CA13" s="33"/>
      <c r="CB13" s="35">
        <v>44.58</v>
      </c>
      <c r="CC13" s="235">
        <v>38.08</v>
      </c>
      <c r="CD13" s="235"/>
      <c r="CE13" s="36"/>
      <c r="CF13" s="30">
        <v>95.204999999999998</v>
      </c>
      <c r="CG13" s="30"/>
      <c r="CH13" s="30">
        <v>97.962999999999994</v>
      </c>
      <c r="CI13" s="32"/>
      <c r="CJ13" s="33">
        <v>2.81</v>
      </c>
      <c r="CK13" s="33"/>
      <c r="CL13" s="33">
        <v>2.81</v>
      </c>
      <c r="CM13" s="36"/>
      <c r="CN13" s="286"/>
      <c r="CO13" s="249">
        <f t="shared" si="12"/>
        <v>0</v>
      </c>
      <c r="CP13" s="12">
        <f t="shared" si="12"/>
        <v>193.29903519999999</v>
      </c>
      <c r="CQ13" s="12">
        <f t="shared" si="12"/>
        <v>0</v>
      </c>
      <c r="CR13" s="12">
        <f t="shared" si="12"/>
        <v>91.17</v>
      </c>
      <c r="CS13" s="11">
        <f t="shared" si="12"/>
        <v>20.221439999999998</v>
      </c>
      <c r="CT13" s="11">
        <f t="shared" si="12"/>
        <v>0</v>
      </c>
      <c r="CU13" s="272">
        <f t="shared" si="12"/>
        <v>0</v>
      </c>
      <c r="CV13" s="249">
        <f t="shared" si="13"/>
        <v>92.529739499999991</v>
      </c>
      <c r="CW13" s="251">
        <f t="shared" si="13"/>
        <v>0</v>
      </c>
      <c r="CX13" s="249">
        <f t="shared" si="13"/>
        <v>95.210239699999988</v>
      </c>
      <c r="CY13" s="272">
        <f t="shared" si="13"/>
        <v>0</v>
      </c>
      <c r="CZ13" s="13"/>
      <c r="DA13" s="240">
        <f>(D13+'[2]март 20 '!D13)/(AY13+'[2]март 20 '!AX13)</f>
        <v>2.2178507820128717</v>
      </c>
      <c r="DB13" s="241">
        <f>(T13+'[2]март 20 '!R13)/(AY13+'[2]март 20 '!AX13)</f>
        <v>1.379133320017754</v>
      </c>
      <c r="DD13" s="292">
        <f t="shared" si="14"/>
        <v>12.452</v>
      </c>
      <c r="DE13" s="291">
        <v>0.3</v>
      </c>
      <c r="DF13" s="291">
        <v>11.41</v>
      </c>
      <c r="DG13" s="145">
        <f t="shared" si="15"/>
        <v>12.414643999999999</v>
      </c>
      <c r="DH13" s="293">
        <f t="shared" si="28"/>
        <v>1.8779144642715098</v>
      </c>
      <c r="DJ13" s="322"/>
    </row>
    <row r="14" spans="1:114" s="76" customFormat="1" ht="16.5" customHeight="1" thickBot="1">
      <c r="A14" s="144">
        <v>8</v>
      </c>
      <c r="B14" s="122">
        <f>'[1]март 20'!K13</f>
        <v>275.11700000000002</v>
      </c>
      <c r="C14" s="123">
        <f t="shared" si="16"/>
        <v>1.6562793647793483</v>
      </c>
      <c r="D14" s="145">
        <f t="shared" si="17"/>
        <v>270.56029389999998</v>
      </c>
      <c r="E14" s="125">
        <f t="shared" si="18"/>
        <v>39.39389317999251</v>
      </c>
      <c r="F14" s="146">
        <f t="shared" si="19"/>
        <v>2.0408862781926529</v>
      </c>
      <c r="G14" s="127"/>
      <c r="H14" s="126">
        <f t="shared" si="20"/>
        <v>1.4596386354378819</v>
      </c>
      <c r="I14" s="230">
        <f>'[1]июль 20'!AI13</f>
        <v>0</v>
      </c>
      <c r="J14" s="247">
        <f>'[1]март 20'!AA13</f>
        <v>11.151</v>
      </c>
      <c r="K14" s="276">
        <f>'[1]сентябрь 20'!AM13</f>
        <v>0</v>
      </c>
      <c r="L14" s="122">
        <f>'[1]март 20'!AE13</f>
        <v>77.055999999999997</v>
      </c>
      <c r="M14" s="128">
        <f t="shared" si="21"/>
        <v>0.58124764275477103</v>
      </c>
      <c r="N14" s="400">
        <f>'[1]март 20'!W13</f>
        <v>0</v>
      </c>
      <c r="O14" s="403">
        <f>'[1]март 20'!AU13</f>
        <v>6.4580000000000002</v>
      </c>
      <c r="P14" s="401">
        <f t="shared" si="0"/>
        <v>167.86500000000001</v>
      </c>
      <c r="Q14" s="122">
        <f>'[1]март 20'!S13</f>
        <v>167.86500000000001</v>
      </c>
      <c r="R14" s="123">
        <f t="shared" si="22"/>
        <v>3.08</v>
      </c>
      <c r="S14" s="129">
        <v>10.44</v>
      </c>
      <c r="T14" s="125">
        <f t="shared" si="1"/>
        <v>162.69475800000001</v>
      </c>
      <c r="U14" s="147">
        <f t="shared" si="2"/>
        <v>1.2272366146186922</v>
      </c>
      <c r="V14" s="130">
        <v>96.88</v>
      </c>
      <c r="W14" s="130">
        <v>101.15</v>
      </c>
      <c r="X14" s="129">
        <v>1.08</v>
      </c>
      <c r="Y14" s="131">
        <v>535</v>
      </c>
      <c r="Z14" s="150">
        <v>1185</v>
      </c>
      <c r="AA14" s="148" t="s">
        <v>145</v>
      </c>
      <c r="AB14" s="149">
        <v>75.739999999999995</v>
      </c>
      <c r="AC14" s="150">
        <v>110</v>
      </c>
      <c r="AD14" s="151">
        <v>4</v>
      </c>
      <c r="AE14" s="149"/>
      <c r="AF14" s="134">
        <f t="shared" si="3"/>
        <v>0</v>
      </c>
      <c r="AG14" s="152"/>
      <c r="AH14" s="129">
        <v>95.1</v>
      </c>
      <c r="AI14" s="134">
        <f t="shared" si="4"/>
        <v>717.35686806969898</v>
      </c>
      <c r="AJ14" s="153">
        <v>13.26</v>
      </c>
      <c r="AK14" s="154"/>
      <c r="AL14" s="155">
        <v>6.75</v>
      </c>
      <c r="AM14" s="156">
        <v>36.479999999999997</v>
      </c>
      <c r="AN14" s="126">
        <f t="shared" si="23"/>
        <v>0.21031997693859902</v>
      </c>
      <c r="AO14" s="157" t="s">
        <v>203</v>
      </c>
      <c r="AP14" s="156">
        <v>10.38</v>
      </c>
      <c r="AQ14" s="156">
        <v>6.5</v>
      </c>
      <c r="AR14" s="149"/>
      <c r="AS14" s="149">
        <v>7.89</v>
      </c>
      <c r="AT14" s="149">
        <v>173.45</v>
      </c>
      <c r="AU14" s="149">
        <v>2.35</v>
      </c>
      <c r="AV14" s="149"/>
      <c r="AW14" s="149"/>
      <c r="AX14" s="158">
        <f t="shared" si="5"/>
        <v>0</v>
      </c>
      <c r="AY14" s="125">
        <f t="shared" si="6"/>
        <v>132.57</v>
      </c>
      <c r="AZ14" s="125">
        <f t="shared" si="29"/>
        <v>124.67094791309999</v>
      </c>
      <c r="BA14" s="159">
        <f t="shared" si="7"/>
        <v>5.8124852112676049</v>
      </c>
      <c r="BB14" s="160">
        <f t="shared" si="8"/>
        <v>5.3027999999999995</v>
      </c>
      <c r="BC14" s="161">
        <f t="shared" si="9"/>
        <v>0.94205789183850552</v>
      </c>
      <c r="BD14" s="159">
        <f t="shared" si="24"/>
        <v>11.115285211267604</v>
      </c>
      <c r="BE14" s="167">
        <v>0.88400000000000001</v>
      </c>
      <c r="BF14" s="25">
        <f t="shared" si="25"/>
        <v>1068.8899999999999</v>
      </c>
      <c r="BG14" s="25">
        <f t="shared" si="10"/>
        <v>124.19354838709677</v>
      </c>
      <c r="BH14" s="25">
        <f t="shared" si="26"/>
        <v>993.54838709677438</v>
      </c>
      <c r="BI14" s="26">
        <f t="shared" si="11"/>
        <v>1</v>
      </c>
      <c r="BJ14" s="37">
        <f t="shared" si="27"/>
        <v>993.54838709677438</v>
      </c>
      <c r="BK14" s="39"/>
      <c r="BL14" s="40">
        <v>179.55799999999999</v>
      </c>
      <c r="BM14" s="325"/>
      <c r="BN14" s="31">
        <v>77.055999999999997</v>
      </c>
      <c r="BO14" s="40">
        <v>18.503</v>
      </c>
      <c r="BP14" s="40"/>
      <c r="BQ14" s="32"/>
      <c r="BR14" s="33"/>
      <c r="BS14" s="34">
        <v>2.31</v>
      </c>
      <c r="BT14" s="33"/>
      <c r="BU14" s="28"/>
      <c r="BV14" s="287">
        <v>2.21</v>
      </c>
      <c r="BW14" s="287"/>
      <c r="BX14" s="36"/>
      <c r="BY14" s="33"/>
      <c r="BZ14" s="34">
        <v>37.49</v>
      </c>
      <c r="CA14" s="33"/>
      <c r="CB14" s="35">
        <v>44.35</v>
      </c>
      <c r="CC14" s="235">
        <v>37.229999999999997</v>
      </c>
      <c r="CD14" s="235"/>
      <c r="CE14" s="36"/>
      <c r="CF14" s="30">
        <v>80.977000000000004</v>
      </c>
      <c r="CG14" s="30"/>
      <c r="CH14" s="30">
        <v>86.888000000000005</v>
      </c>
      <c r="CI14" s="32"/>
      <c r="CJ14" s="33">
        <v>3.08</v>
      </c>
      <c r="CK14" s="33"/>
      <c r="CL14" s="33">
        <v>3.08</v>
      </c>
      <c r="CM14" s="36"/>
      <c r="CN14" s="286"/>
      <c r="CO14" s="249">
        <f t="shared" si="12"/>
        <v>0</v>
      </c>
      <c r="CP14" s="12">
        <f t="shared" si="12"/>
        <v>175.41021019999999</v>
      </c>
      <c r="CQ14" s="12">
        <f t="shared" si="12"/>
        <v>0</v>
      </c>
      <c r="CR14" s="12">
        <f t="shared" si="12"/>
        <v>77.055999999999997</v>
      </c>
      <c r="CS14" s="11">
        <f t="shared" si="12"/>
        <v>18.094083700000002</v>
      </c>
      <c r="CT14" s="11">
        <f t="shared" si="12"/>
        <v>0</v>
      </c>
      <c r="CU14" s="272">
        <f t="shared" si="12"/>
        <v>0</v>
      </c>
      <c r="CV14" s="249">
        <f t="shared" si="13"/>
        <v>78.482908400000014</v>
      </c>
      <c r="CW14" s="12">
        <f t="shared" si="13"/>
        <v>0</v>
      </c>
      <c r="CX14" s="252">
        <f t="shared" si="13"/>
        <v>84.211849600000008</v>
      </c>
      <c r="CY14" s="272">
        <f t="shared" si="13"/>
        <v>0</v>
      </c>
      <c r="CZ14" s="13"/>
      <c r="DA14" s="240">
        <f>(D14+'[2]март 20 '!D14)/(AY14+'[2]март 20 '!AX14)</f>
        <v>2.0228510125058867</v>
      </c>
      <c r="DB14" s="241">
        <f>(T14+'[2]март 20 '!R14)/(AY14+'[2]март 20 '!AX14)</f>
        <v>1.2351388153419496</v>
      </c>
      <c r="DD14" s="292">
        <f t="shared" si="14"/>
        <v>11.151</v>
      </c>
      <c r="DE14" s="291">
        <v>0.28000000000000003</v>
      </c>
      <c r="DF14" s="291">
        <v>12.39</v>
      </c>
      <c r="DG14" s="145">
        <f t="shared" si="15"/>
        <v>11.1197772</v>
      </c>
      <c r="DH14" s="293">
        <f t="shared" si="28"/>
        <v>1.8190393386321628</v>
      </c>
      <c r="DJ14" s="322"/>
    </row>
    <row r="15" spans="1:114" s="76" customFormat="1" ht="16.5" customHeight="1" thickBot="1">
      <c r="A15" s="144">
        <v>9</v>
      </c>
      <c r="B15" s="122">
        <f>'[1]март 20'!K14</f>
        <v>295.14</v>
      </c>
      <c r="C15" s="123">
        <f t="shared" si="16"/>
        <v>2.5169278986243815</v>
      </c>
      <c r="D15" s="145">
        <f t="shared" si="17"/>
        <v>287.71153899999996</v>
      </c>
      <c r="E15" s="125">
        <f t="shared" si="18"/>
        <v>39.530935793182891</v>
      </c>
      <c r="F15" s="146">
        <f t="shared" si="19"/>
        <v>2.2726029936808843</v>
      </c>
      <c r="G15" s="127"/>
      <c r="H15" s="126">
        <f t="shared" si="20"/>
        <v>1.6633375908372829</v>
      </c>
      <c r="I15" s="230">
        <f>'[1]июль 20'!AI14</f>
        <v>0</v>
      </c>
      <c r="J15" s="247">
        <f>'[1]март 20'!AA14</f>
        <v>11.663</v>
      </c>
      <c r="K15" s="276">
        <f>'[1]сентябрь 20'!AM14</f>
        <v>0</v>
      </c>
      <c r="L15" s="122">
        <f>'[1]март 20'!AE14</f>
        <v>77.132999999999996</v>
      </c>
      <c r="M15" s="128">
        <f t="shared" si="21"/>
        <v>0.60926540284360187</v>
      </c>
      <c r="N15" s="400">
        <f>'[1]март 20'!W14</f>
        <v>0</v>
      </c>
      <c r="O15" s="403">
        <f>'[1]март 20'!AU14</f>
        <v>5.5949999999999998</v>
      </c>
      <c r="P15" s="401">
        <f t="shared" si="0"/>
        <v>179.648</v>
      </c>
      <c r="Q15" s="122">
        <f>'[1]март 20'!S14</f>
        <v>179.648</v>
      </c>
      <c r="R15" s="123">
        <f t="shared" si="22"/>
        <v>3.2200000000000006</v>
      </c>
      <c r="S15" s="129">
        <v>9.25</v>
      </c>
      <c r="T15" s="125">
        <f t="shared" si="1"/>
        <v>173.86333439999999</v>
      </c>
      <c r="U15" s="147">
        <f t="shared" si="2"/>
        <v>1.3733280758293838</v>
      </c>
      <c r="V15" s="130">
        <v>94.5</v>
      </c>
      <c r="W15" s="130">
        <v>34.22</v>
      </c>
      <c r="X15" s="129">
        <v>1.21</v>
      </c>
      <c r="Y15" s="131">
        <v>495</v>
      </c>
      <c r="Z15" s="150">
        <v>1188</v>
      </c>
      <c r="AA15" s="148" t="s">
        <v>145</v>
      </c>
      <c r="AB15" s="149">
        <v>75.34</v>
      </c>
      <c r="AC15" s="150">
        <v>118</v>
      </c>
      <c r="AD15" s="151">
        <v>4</v>
      </c>
      <c r="AE15" s="149"/>
      <c r="AF15" s="134">
        <f t="shared" si="3"/>
        <v>0</v>
      </c>
      <c r="AG15" s="152"/>
      <c r="AH15" s="129">
        <v>81.3</v>
      </c>
      <c r="AI15" s="134">
        <f t="shared" si="4"/>
        <v>642.18009478672991</v>
      </c>
      <c r="AJ15" s="136">
        <v>11.67</v>
      </c>
      <c r="AK15" s="154"/>
      <c r="AL15" s="155">
        <v>6.17</v>
      </c>
      <c r="AM15" s="156">
        <v>36.43</v>
      </c>
      <c r="AN15" s="126">
        <f t="shared" si="23"/>
        <v>0.21801316576900059</v>
      </c>
      <c r="AO15" s="157" t="s">
        <v>204</v>
      </c>
      <c r="AP15" s="156">
        <v>10.3</v>
      </c>
      <c r="AQ15" s="156">
        <v>6.14</v>
      </c>
      <c r="AR15" s="149"/>
      <c r="AS15" s="149">
        <v>6.64</v>
      </c>
      <c r="AT15" s="149">
        <v>167.1</v>
      </c>
      <c r="AU15" s="149">
        <v>2.1</v>
      </c>
      <c r="AV15" s="149"/>
      <c r="AW15" s="149"/>
      <c r="AX15" s="158">
        <f t="shared" si="5"/>
        <v>0</v>
      </c>
      <c r="AY15" s="125">
        <f t="shared" si="6"/>
        <v>126.6</v>
      </c>
      <c r="AZ15" s="125">
        <f t="shared" si="29"/>
        <v>133.99370524386308</v>
      </c>
      <c r="BA15" s="159">
        <f t="shared" si="7"/>
        <v>4.1817971830985909</v>
      </c>
      <c r="BB15" s="160">
        <f t="shared" si="8"/>
        <v>5.0640000000000001</v>
      </c>
      <c r="BC15" s="161">
        <f t="shared" si="9"/>
        <v>0.83861947981368146</v>
      </c>
      <c r="BD15" s="159">
        <f t="shared" si="24"/>
        <v>9.2457971830985919</v>
      </c>
      <c r="BE15" s="167">
        <v>0.879</v>
      </c>
      <c r="BF15" s="25">
        <f t="shared" si="25"/>
        <v>1195.4899999999998</v>
      </c>
      <c r="BG15" s="25">
        <f t="shared" si="10"/>
        <v>124.19354838709677</v>
      </c>
      <c r="BH15" s="25">
        <f t="shared" si="26"/>
        <v>1117.7419354838712</v>
      </c>
      <c r="BI15" s="26">
        <f t="shared" si="11"/>
        <v>1</v>
      </c>
      <c r="BJ15" s="37">
        <f t="shared" si="27"/>
        <v>1117.7419354838712</v>
      </c>
      <c r="BK15" s="38">
        <v>14.472</v>
      </c>
      <c r="BL15" s="42">
        <v>190.47499999999999</v>
      </c>
      <c r="BM15" s="31"/>
      <c r="BN15" s="31">
        <v>77.132999999999996</v>
      </c>
      <c r="BO15" s="40">
        <v>13.06</v>
      </c>
      <c r="BP15" s="40"/>
      <c r="BQ15" s="32"/>
      <c r="BR15" s="33">
        <v>15.15</v>
      </c>
      <c r="BS15" s="35">
        <v>2.5</v>
      </c>
      <c r="BT15" s="35"/>
      <c r="BU15" s="28"/>
      <c r="BV15" s="287">
        <v>3.63</v>
      </c>
      <c r="BW15" s="287"/>
      <c r="BX15" s="36"/>
      <c r="BY15" s="33">
        <v>39.17</v>
      </c>
      <c r="BZ15" s="34">
        <v>37.6</v>
      </c>
      <c r="CA15" s="35"/>
      <c r="CB15" s="35">
        <v>44.55</v>
      </c>
      <c r="CC15" s="35">
        <v>38.450000000000003</v>
      </c>
      <c r="CD15" s="35"/>
      <c r="CE15" s="35"/>
      <c r="CF15" s="38">
        <v>86.367999999999995</v>
      </c>
      <c r="CG15" s="30"/>
      <c r="CH15" s="30">
        <v>93.28</v>
      </c>
      <c r="CI15" s="32"/>
      <c r="CJ15" s="33">
        <v>3.22</v>
      </c>
      <c r="CK15" s="33"/>
      <c r="CL15" s="33">
        <v>3.22</v>
      </c>
      <c r="CM15" s="36"/>
      <c r="CN15" s="286"/>
      <c r="CO15" s="249">
        <f t="shared" si="12"/>
        <v>12.279491999999998</v>
      </c>
      <c r="CP15" s="12">
        <f t="shared" si="12"/>
        <v>185.71312499999999</v>
      </c>
      <c r="CQ15" s="12">
        <f t="shared" si="12"/>
        <v>0</v>
      </c>
      <c r="CR15" s="17">
        <f t="shared" si="12"/>
        <v>77.132999999999996</v>
      </c>
      <c r="CS15" s="11">
        <f t="shared" si="12"/>
        <v>12.585922</v>
      </c>
      <c r="CT15" s="11">
        <f t="shared" si="12"/>
        <v>0</v>
      </c>
      <c r="CU15" s="272">
        <f t="shared" si="12"/>
        <v>0</v>
      </c>
      <c r="CV15" s="249">
        <f t="shared" si="13"/>
        <v>83.586950399999992</v>
      </c>
      <c r="CW15" s="12">
        <f t="shared" si="13"/>
        <v>0</v>
      </c>
      <c r="CX15" s="249">
        <f t="shared" si="13"/>
        <v>90.276384000000007</v>
      </c>
      <c r="CY15" s="274">
        <f t="shared" si="13"/>
        <v>0</v>
      </c>
      <c r="CZ15" s="13"/>
      <c r="DA15" s="240">
        <f>(D15+'[2]март 20 '!D15)/(AY15+'[2]март 20 '!AX15)</f>
        <v>2.1714603808478299</v>
      </c>
      <c r="DB15" s="241">
        <f>(T15+'[2]март 20 '!R15)/(AY15+'[2]март 20 '!AX15)</f>
        <v>1.3438702201204751</v>
      </c>
      <c r="DD15" s="292">
        <f t="shared" si="14"/>
        <v>11.663</v>
      </c>
      <c r="DE15" s="291">
        <v>0.32</v>
      </c>
      <c r="DF15" s="291">
        <v>14.28</v>
      </c>
      <c r="DG15" s="145">
        <f t="shared" si="15"/>
        <v>11.6256784</v>
      </c>
      <c r="DH15" s="293">
        <f t="shared" si="28"/>
        <v>2.2035397869923008</v>
      </c>
      <c r="DJ15" s="322"/>
    </row>
    <row r="16" spans="1:114" s="76" customFormat="1" ht="16.5" customHeight="1" thickBot="1">
      <c r="A16" s="144">
        <v>10</v>
      </c>
      <c r="B16" s="122">
        <f>'[1]март 20'!K15</f>
        <v>310.339</v>
      </c>
      <c r="C16" s="123">
        <f t="shared" si="16"/>
        <v>3.3052427184466024</v>
      </c>
      <c r="D16" s="145">
        <f t="shared" si="17"/>
        <v>300.08154279999997</v>
      </c>
      <c r="E16" s="125">
        <f t="shared" si="18"/>
        <v>40.49926480397243</v>
      </c>
      <c r="F16" s="146">
        <f t="shared" si="19"/>
        <v>2.3753783171059917</v>
      </c>
      <c r="G16" s="127"/>
      <c r="H16" s="126">
        <f t="shared" si="20"/>
        <v>1.7374300862819598</v>
      </c>
      <c r="I16" s="230">
        <f>'[1]июль 20'!AI15</f>
        <v>0</v>
      </c>
      <c r="J16" s="247">
        <f>'[1]март 20'!AA15</f>
        <v>13.42</v>
      </c>
      <c r="K16" s="276">
        <f>'[1]сентябрь 20'!AM15</f>
        <v>0</v>
      </c>
      <c r="L16" s="122">
        <f>'[1]март 20'!AE15</f>
        <v>80.591999999999999</v>
      </c>
      <c r="M16" s="128">
        <f t="shared" si="21"/>
        <v>0.63794823082403218</v>
      </c>
      <c r="N16" s="400">
        <f>'[1]март 20'!W15</f>
        <v>0</v>
      </c>
      <c r="O16" s="403">
        <f>'[1]март 20'!AU15</f>
        <v>9.8000000000000004E-2</v>
      </c>
      <c r="P16" s="401">
        <f t="shared" si="0"/>
        <v>185.47800000000001</v>
      </c>
      <c r="Q16" s="122">
        <f>'[1]март 20'!S15</f>
        <v>185.47800000000001</v>
      </c>
      <c r="R16" s="123">
        <f t="shared" si="22"/>
        <v>3.2</v>
      </c>
      <c r="S16" s="129">
        <v>11.84</v>
      </c>
      <c r="T16" s="125">
        <f t="shared" si="1"/>
        <v>179.54270400000001</v>
      </c>
      <c r="U16" s="147">
        <f t="shared" si="2"/>
        <v>1.4212198527665636</v>
      </c>
      <c r="V16" s="130">
        <v>95.43</v>
      </c>
      <c r="W16" s="130">
        <v>29.36</v>
      </c>
      <c r="X16" s="129">
        <v>1.38</v>
      </c>
      <c r="Y16" s="131">
        <v>500</v>
      </c>
      <c r="Z16" s="150">
        <v>1179</v>
      </c>
      <c r="AA16" s="148" t="s">
        <v>112</v>
      </c>
      <c r="AB16" s="149">
        <v>75.38</v>
      </c>
      <c r="AC16" s="150">
        <v>124</v>
      </c>
      <c r="AD16" s="151">
        <v>4</v>
      </c>
      <c r="AE16" s="149">
        <v>3.1</v>
      </c>
      <c r="AF16" s="134">
        <f t="shared" si="3"/>
        <v>24.538906039737192</v>
      </c>
      <c r="AG16" s="152"/>
      <c r="AH16" s="129">
        <v>78.2</v>
      </c>
      <c r="AI16" s="134">
        <f t="shared" si="4"/>
        <v>619.0136942927254</v>
      </c>
      <c r="AJ16" s="153">
        <v>14.04</v>
      </c>
      <c r="AK16" s="154"/>
      <c r="AL16" s="155">
        <v>7.51</v>
      </c>
      <c r="AM16" s="156">
        <v>36.33</v>
      </c>
      <c r="AN16" s="126">
        <f t="shared" si="23"/>
        <v>0.2158645276292335</v>
      </c>
      <c r="AO16" s="157" t="s">
        <v>205</v>
      </c>
      <c r="AP16" s="156">
        <v>13.93</v>
      </c>
      <c r="AQ16" s="156">
        <v>6.06</v>
      </c>
      <c r="AR16" s="149"/>
      <c r="AS16" s="149">
        <v>8</v>
      </c>
      <c r="AT16" s="149">
        <v>168.3</v>
      </c>
      <c r="AU16" s="149">
        <v>1.87</v>
      </c>
      <c r="AV16" s="149"/>
      <c r="AW16" s="149"/>
      <c r="AX16" s="158">
        <f t="shared" si="5"/>
        <v>0</v>
      </c>
      <c r="AY16" s="125">
        <f t="shared" si="6"/>
        <v>126.33000000000003</v>
      </c>
      <c r="AZ16" s="125">
        <f t="shared" si="29"/>
        <v>143.90895510576118</v>
      </c>
      <c r="BA16" s="159">
        <f t="shared" si="7"/>
        <v>4.8461971830985915</v>
      </c>
      <c r="BB16" s="160">
        <f t="shared" si="8"/>
        <v>5.0532000000000012</v>
      </c>
      <c r="BC16" s="161">
        <f t="shared" si="9"/>
        <v>0.78356712363680658</v>
      </c>
      <c r="BD16" s="160">
        <f t="shared" si="24"/>
        <v>9.8993971830985927</v>
      </c>
      <c r="BE16" s="162">
        <v>0.86899999999999999</v>
      </c>
      <c r="BF16" s="25">
        <f t="shared" si="25"/>
        <v>1321.8199999999997</v>
      </c>
      <c r="BG16" s="25">
        <f t="shared" si="10"/>
        <v>124.19354838709677</v>
      </c>
      <c r="BH16" s="25">
        <f t="shared" si="26"/>
        <v>1241.935483870968</v>
      </c>
      <c r="BI16" s="26">
        <f t="shared" si="11"/>
        <v>1</v>
      </c>
      <c r="BJ16" s="37">
        <f t="shared" si="27"/>
        <v>1241.935483870968</v>
      </c>
      <c r="BK16" s="38">
        <v>61.893000000000001</v>
      </c>
      <c r="BL16" s="31">
        <v>167.85400000000001</v>
      </c>
      <c r="BM16" s="31"/>
      <c r="BN16" s="234">
        <v>80.591999999999999</v>
      </c>
      <c r="BO16" s="42"/>
      <c r="BP16" s="40"/>
      <c r="BQ16" s="32"/>
      <c r="BR16" s="33">
        <v>9.82</v>
      </c>
      <c r="BS16" s="34">
        <v>2.4900000000000002</v>
      </c>
      <c r="BT16" s="35"/>
      <c r="BU16" s="28"/>
      <c r="BV16" s="287"/>
      <c r="BW16" s="287"/>
      <c r="BX16" s="36"/>
      <c r="BY16" s="33">
        <v>42.94</v>
      </c>
      <c r="BZ16" s="34">
        <v>37.64</v>
      </c>
      <c r="CA16" s="35"/>
      <c r="CB16" s="405">
        <v>44.58</v>
      </c>
      <c r="CC16" s="404"/>
      <c r="CD16" s="235"/>
      <c r="CE16" s="36"/>
      <c r="CF16" s="38">
        <v>87.49</v>
      </c>
      <c r="CG16" s="30"/>
      <c r="CH16" s="30">
        <v>97.988</v>
      </c>
      <c r="CI16" s="32"/>
      <c r="CJ16" s="33">
        <v>3.2</v>
      </c>
      <c r="CK16" s="33"/>
      <c r="CL16" s="33">
        <v>3.2</v>
      </c>
      <c r="CM16" s="36"/>
      <c r="CN16" s="286"/>
      <c r="CO16" s="249">
        <f t="shared" si="12"/>
        <v>55.815107400000002</v>
      </c>
      <c r="CP16" s="12">
        <f t="shared" si="12"/>
        <v>163.67443540000002</v>
      </c>
      <c r="CQ16" s="12">
        <f t="shared" si="12"/>
        <v>0</v>
      </c>
      <c r="CR16" s="11">
        <f t="shared" si="12"/>
        <v>80.591999999999999</v>
      </c>
      <c r="CS16" s="11">
        <f t="shared" si="12"/>
        <v>0</v>
      </c>
      <c r="CT16" s="11">
        <f t="shared" si="12"/>
        <v>0</v>
      </c>
      <c r="CU16" s="272">
        <f t="shared" si="12"/>
        <v>0</v>
      </c>
      <c r="CV16" s="249">
        <f t="shared" si="13"/>
        <v>84.690319999999986</v>
      </c>
      <c r="CW16" s="12">
        <f t="shared" si="13"/>
        <v>0</v>
      </c>
      <c r="CX16" s="249">
        <f t="shared" si="13"/>
        <v>94.852384000000001</v>
      </c>
      <c r="CY16" s="272">
        <f t="shared" si="13"/>
        <v>0</v>
      </c>
      <c r="CZ16" s="13"/>
      <c r="DA16" s="240">
        <f>(D16+'[2]март 20 '!D16)/(AY16+'[2]март 20 '!AX16)</f>
        <v>2.3755159643475356</v>
      </c>
      <c r="DB16" s="241">
        <f>(T16+'[2]март 20 '!R16)/(AY16+'[2]март 20 '!AX16)</f>
        <v>1.4762145950378085</v>
      </c>
      <c r="DD16" s="292">
        <f t="shared" si="14"/>
        <v>13.42</v>
      </c>
      <c r="DE16" s="291">
        <v>0.22</v>
      </c>
      <c r="DF16" s="291">
        <v>17.79</v>
      </c>
      <c r="DG16" s="145">
        <f t="shared" si="15"/>
        <v>13.390476</v>
      </c>
      <c r="DH16" s="293">
        <f t="shared" si="28"/>
        <v>3.1602091806845318</v>
      </c>
      <c r="DJ16" s="322"/>
    </row>
    <row r="17" spans="1:114" s="76" customFormat="1" ht="16.5" customHeight="1" thickBot="1">
      <c r="A17" s="144">
        <v>11</v>
      </c>
      <c r="B17" s="122">
        <f>'[1]март 20'!K16</f>
        <v>112.684</v>
      </c>
      <c r="C17" s="123">
        <f t="shared" si="16"/>
        <v>3.3464847715736044</v>
      </c>
      <c r="D17" s="145">
        <f t="shared" si="17"/>
        <v>108.9130471</v>
      </c>
      <c r="E17" s="125">
        <f t="shared" si="18"/>
        <v>40.535593695644458</v>
      </c>
      <c r="F17" s="146">
        <f t="shared" si="19"/>
        <v>1.8611252067669175</v>
      </c>
      <c r="G17" s="127"/>
      <c r="H17" s="126">
        <f t="shared" si="20"/>
        <v>1.3074512491455912</v>
      </c>
      <c r="I17" s="230">
        <f>'[1]июль 20'!AI16</f>
        <v>0</v>
      </c>
      <c r="J17" s="247">
        <f>'[1]март 20'!AA16</f>
        <v>1.042</v>
      </c>
      <c r="K17" s="276">
        <f>'[1]сентябрь 20'!AM16</f>
        <v>0</v>
      </c>
      <c r="L17" s="122">
        <f>'[1]март 20'!AE16</f>
        <v>32.401000000000003</v>
      </c>
      <c r="M17" s="128">
        <f t="shared" si="21"/>
        <v>0.5536739576213261</v>
      </c>
      <c r="N17" s="400">
        <f>'[1]март 20'!W16</f>
        <v>2.948</v>
      </c>
      <c r="O17" s="403">
        <f>'[1]март 20'!AU16</f>
        <v>0.36199999999999999</v>
      </c>
      <c r="P17" s="401">
        <f t="shared" si="0"/>
        <v>78.058000000000007</v>
      </c>
      <c r="Q17" s="122">
        <f>'[1]март 20'!S16</f>
        <v>78.058000000000007</v>
      </c>
      <c r="R17" s="123">
        <f t="shared" si="22"/>
        <v>1.7599999999999998</v>
      </c>
      <c r="S17" s="129">
        <v>11.42</v>
      </c>
      <c r="T17" s="125">
        <f t="shared" si="1"/>
        <v>76.684179200000003</v>
      </c>
      <c r="U17" s="147">
        <f t="shared" si="2"/>
        <v>1.3103926725905675</v>
      </c>
      <c r="V17" s="130">
        <v>58.52</v>
      </c>
      <c r="W17" s="130">
        <v>58.52</v>
      </c>
      <c r="X17" s="129">
        <v>0.23</v>
      </c>
      <c r="Y17" s="131">
        <v>500</v>
      </c>
      <c r="Z17" s="150">
        <v>1084</v>
      </c>
      <c r="AA17" s="148" t="s">
        <v>206</v>
      </c>
      <c r="AB17" s="149">
        <v>75.459999999999994</v>
      </c>
      <c r="AC17" s="150">
        <v>147</v>
      </c>
      <c r="AD17" s="151">
        <v>2</v>
      </c>
      <c r="AE17" s="149">
        <v>5</v>
      </c>
      <c r="AF17" s="134">
        <f t="shared" si="3"/>
        <v>85.440874914559132</v>
      </c>
      <c r="AG17" s="152"/>
      <c r="AH17" s="129">
        <v>43.35</v>
      </c>
      <c r="AI17" s="134">
        <f t="shared" si="4"/>
        <v>740.77238550922766</v>
      </c>
      <c r="AJ17" s="136">
        <v>5.98</v>
      </c>
      <c r="AK17" s="154"/>
      <c r="AL17" s="155">
        <v>3.83</v>
      </c>
      <c r="AM17" s="156">
        <v>11.41</v>
      </c>
      <c r="AN17" s="126">
        <f t="shared" si="23"/>
        <v>0.15825242718446603</v>
      </c>
      <c r="AO17" s="157" t="s">
        <v>207</v>
      </c>
      <c r="AP17" s="156">
        <v>12.93</v>
      </c>
      <c r="AQ17" s="156">
        <v>6.08</v>
      </c>
      <c r="AR17" s="149"/>
      <c r="AS17" s="149">
        <v>13.17</v>
      </c>
      <c r="AT17" s="149">
        <v>72.099999999999994</v>
      </c>
      <c r="AU17" s="149">
        <v>1.66</v>
      </c>
      <c r="AV17" s="149"/>
      <c r="AW17" s="149"/>
      <c r="AX17" s="158">
        <f t="shared" si="5"/>
        <v>0</v>
      </c>
      <c r="AY17" s="125">
        <f t="shared" si="6"/>
        <v>58.519999999999996</v>
      </c>
      <c r="AZ17" s="125">
        <f t="shared" si="29"/>
        <v>51.265665185666109</v>
      </c>
      <c r="BA17" s="159">
        <f t="shared" si="7"/>
        <v>4.422615845070422</v>
      </c>
      <c r="BB17" s="160">
        <f t="shared" si="8"/>
        <v>2.3407999999999998</v>
      </c>
      <c r="BC17" s="161">
        <f t="shared" si="9"/>
        <v>1.0002410440645704</v>
      </c>
      <c r="BD17" s="160">
        <f t="shared" si="24"/>
        <v>6.7634158450704218</v>
      </c>
      <c r="BE17" s="162">
        <v>0.873</v>
      </c>
      <c r="BF17" s="25">
        <f t="shared" si="25"/>
        <v>1380.3399999999997</v>
      </c>
      <c r="BG17" s="25">
        <f t="shared" si="10"/>
        <v>124.19354838709677</v>
      </c>
      <c r="BH17" s="25">
        <f t="shared" si="26"/>
        <v>1366.1290322580649</v>
      </c>
      <c r="BI17" s="26">
        <f t="shared" si="11"/>
        <v>1</v>
      </c>
      <c r="BJ17" s="37">
        <f t="shared" si="27"/>
        <v>1366.1290322580649</v>
      </c>
      <c r="BK17" s="39">
        <v>18.056000000000001</v>
      </c>
      <c r="BL17" s="31">
        <v>55.481000000000002</v>
      </c>
      <c r="BM17" s="31"/>
      <c r="BN17" s="234">
        <v>32.401000000000003</v>
      </c>
      <c r="BO17" s="42">
        <v>6.7460000000000004</v>
      </c>
      <c r="BP17" s="40"/>
      <c r="BQ17" s="32"/>
      <c r="BR17" s="33">
        <v>12.84</v>
      </c>
      <c r="BS17" s="34">
        <v>2.15</v>
      </c>
      <c r="BT17" s="35"/>
      <c r="BU17" s="28"/>
      <c r="BV17" s="287">
        <v>3.85</v>
      </c>
      <c r="BW17" s="287"/>
      <c r="BX17" s="36"/>
      <c r="BY17" s="33">
        <v>41.96</v>
      </c>
      <c r="BZ17" s="34">
        <v>37.979999999999997</v>
      </c>
      <c r="CA17" s="35"/>
      <c r="CB17" s="405">
        <v>44.5</v>
      </c>
      <c r="CC17" s="404">
        <v>38.700000000000003</v>
      </c>
      <c r="CD17" s="235"/>
      <c r="CE17" s="36"/>
      <c r="CF17" s="38">
        <v>65.409000000000006</v>
      </c>
      <c r="CG17" s="42"/>
      <c r="CH17" s="234">
        <v>12.648999999999999</v>
      </c>
      <c r="CI17" s="233"/>
      <c r="CJ17" s="33">
        <v>1.76</v>
      </c>
      <c r="CK17" s="33"/>
      <c r="CL17" s="33">
        <v>1.76</v>
      </c>
      <c r="CM17" s="36"/>
      <c r="CN17" s="286"/>
      <c r="CO17" s="249">
        <f t="shared" si="12"/>
        <v>15.737609599999999</v>
      </c>
      <c r="CP17" s="12">
        <f t="shared" si="12"/>
        <v>54.288158499999994</v>
      </c>
      <c r="CQ17" s="12">
        <f t="shared" si="12"/>
        <v>0</v>
      </c>
      <c r="CR17" s="12">
        <f t="shared" si="12"/>
        <v>32.401000000000003</v>
      </c>
      <c r="CS17" s="11">
        <f t="shared" si="12"/>
        <v>6.4862790000000006</v>
      </c>
      <c r="CT17" s="11">
        <f t="shared" si="12"/>
        <v>0</v>
      </c>
      <c r="CU17" s="272">
        <f t="shared" si="12"/>
        <v>0</v>
      </c>
      <c r="CV17" s="249">
        <f t="shared" si="13"/>
        <v>64.257801600000008</v>
      </c>
      <c r="CW17" s="12">
        <f t="shared" si="13"/>
        <v>0</v>
      </c>
      <c r="CX17" s="254">
        <f t="shared" si="13"/>
        <v>12.426377599999999</v>
      </c>
      <c r="CY17" s="272">
        <f t="shared" si="13"/>
        <v>0</v>
      </c>
      <c r="CZ17" s="13"/>
      <c r="DA17" s="240">
        <f>(D17+'[2]март 20 '!D17)/(AY17+'[2]март 20 '!AX17)</f>
        <v>2.2160873918063637</v>
      </c>
      <c r="DB17" s="241">
        <f>(T17+'[2]март 20 '!R17)/(AY17+'[2]март 20 '!AX17)</f>
        <v>1.4788923161135821</v>
      </c>
      <c r="DD17" s="292">
        <f t="shared" si="14"/>
        <v>1.042</v>
      </c>
      <c r="DE17" s="291">
        <v>0.14000000000000001</v>
      </c>
      <c r="DF17" s="291">
        <v>13.78</v>
      </c>
      <c r="DG17" s="145">
        <f t="shared" si="15"/>
        <v>1.0405412000000001</v>
      </c>
      <c r="DH17" s="293">
        <f t="shared" si="28"/>
        <v>0.19001666758547578</v>
      </c>
      <c r="DJ17" s="322"/>
    </row>
    <row r="18" spans="1:114" s="76" customFormat="1" ht="16.5" customHeight="1" thickBot="1">
      <c r="A18" s="144">
        <v>12</v>
      </c>
      <c r="B18" s="122">
        <f>'[1]март 20'!K17</f>
        <v>220.17099999999999</v>
      </c>
      <c r="C18" s="123">
        <f t="shared" si="16"/>
        <v>2.073516766513301</v>
      </c>
      <c r="D18" s="145">
        <f t="shared" si="17"/>
        <v>215.60571739999997</v>
      </c>
      <c r="E18" s="125">
        <f t="shared" si="18"/>
        <v>40.339644730686608</v>
      </c>
      <c r="F18" s="146">
        <f t="shared" si="19"/>
        <v>2.6058220618805898</v>
      </c>
      <c r="G18" s="127"/>
      <c r="H18" s="126">
        <f t="shared" si="20"/>
        <v>1.5422615107565867</v>
      </c>
      <c r="I18" s="230">
        <f>'[1]июль 20'!AI17</f>
        <v>0</v>
      </c>
      <c r="J18" s="247">
        <f>'[1]март 20'!AA17</f>
        <v>9.0129999999999999</v>
      </c>
      <c r="K18" s="276">
        <f>'[1]сентябрь 20'!AM17</f>
        <v>0</v>
      </c>
      <c r="L18" s="122">
        <f>'[1]март 20'!AE17</f>
        <v>87.998999999999995</v>
      </c>
      <c r="M18" s="128">
        <f t="shared" si="21"/>
        <v>1.0635605511240029</v>
      </c>
      <c r="N18" s="400">
        <f>'[1]март 20'!W17</f>
        <v>28.242999999999999</v>
      </c>
      <c r="O18" s="403">
        <f>'[1]март 20'!AU17</f>
        <v>0</v>
      </c>
      <c r="P18" s="401">
        <f t="shared" si="0"/>
        <v>139.60499999999999</v>
      </c>
      <c r="Q18" s="122">
        <f>'[1]март 20'!S17</f>
        <v>139.60499999999999</v>
      </c>
      <c r="R18" s="123">
        <f t="shared" si="22"/>
        <v>1.53</v>
      </c>
      <c r="S18" s="129">
        <v>29.77</v>
      </c>
      <c r="T18" s="125">
        <f t="shared" si="1"/>
        <v>137.4690435</v>
      </c>
      <c r="U18" s="147">
        <f t="shared" si="2"/>
        <v>1.6614581036983322</v>
      </c>
      <c r="V18" s="130"/>
      <c r="W18" s="130">
        <v>15.42</v>
      </c>
      <c r="X18" s="129">
        <v>1.25</v>
      </c>
      <c r="Y18" s="131">
        <v>500</v>
      </c>
      <c r="Z18" s="150">
        <v>1110</v>
      </c>
      <c r="AA18" s="148" t="s">
        <v>208</v>
      </c>
      <c r="AB18" s="149">
        <v>74.66</v>
      </c>
      <c r="AC18" s="150">
        <v>88</v>
      </c>
      <c r="AD18" s="151">
        <v>4</v>
      </c>
      <c r="AE18" s="149">
        <v>2.4</v>
      </c>
      <c r="AF18" s="134">
        <f t="shared" si="3"/>
        <v>29.006526468455405</v>
      </c>
      <c r="AG18" s="152"/>
      <c r="AH18" s="129">
        <v>71.5</v>
      </c>
      <c r="AI18" s="134">
        <f t="shared" si="4"/>
        <v>864.15276770606727</v>
      </c>
      <c r="AJ18" s="153">
        <v>12.53</v>
      </c>
      <c r="AK18" s="154"/>
      <c r="AL18" s="155">
        <v>9.4499999999999993</v>
      </c>
      <c r="AM18" s="156">
        <v>37.57</v>
      </c>
      <c r="AN18" s="126">
        <f t="shared" si="23"/>
        <v>0.29723101265822782</v>
      </c>
      <c r="AO18" s="157" t="s">
        <v>209</v>
      </c>
      <c r="AP18" s="156">
        <v>14.81</v>
      </c>
      <c r="AQ18" s="156">
        <v>5.17</v>
      </c>
      <c r="AR18" s="151"/>
      <c r="AS18" s="149">
        <v>9.14</v>
      </c>
      <c r="AT18" s="149">
        <v>126.4</v>
      </c>
      <c r="AU18" s="149">
        <v>3.36</v>
      </c>
      <c r="AV18" s="149"/>
      <c r="AW18" s="149"/>
      <c r="AX18" s="158">
        <f t="shared" si="5"/>
        <v>0</v>
      </c>
      <c r="AY18" s="125">
        <f t="shared" si="6"/>
        <v>82.74</v>
      </c>
      <c r="AZ18" s="125">
        <f t="shared" si="29"/>
        <v>103.64751743248823</v>
      </c>
      <c r="BA18" s="159">
        <f t="shared" si="7"/>
        <v>5.0624014084507039</v>
      </c>
      <c r="BB18" s="160">
        <f t="shared" si="8"/>
        <v>3.3095999999999997</v>
      </c>
      <c r="BC18" s="161">
        <f t="shared" si="9"/>
        <v>0.71024986499466525</v>
      </c>
      <c r="BD18" s="160">
        <f t="shared" si="24"/>
        <v>8.3720014084507035</v>
      </c>
      <c r="BE18" s="162">
        <v>0.86199999999999999</v>
      </c>
      <c r="BF18" s="25">
        <f t="shared" si="25"/>
        <v>1463.0799999999997</v>
      </c>
      <c r="BG18" s="25">
        <f t="shared" si="10"/>
        <v>124.19354838709677</v>
      </c>
      <c r="BH18" s="25">
        <f t="shared" si="26"/>
        <v>1490.3225806451617</v>
      </c>
      <c r="BI18" s="26">
        <f t="shared" si="11"/>
        <v>1</v>
      </c>
      <c r="BJ18" s="37">
        <f t="shared" si="27"/>
        <v>1490.3225806451617</v>
      </c>
      <c r="BK18" s="38"/>
      <c r="BL18" s="31">
        <v>66.206000000000003</v>
      </c>
      <c r="BM18" s="31"/>
      <c r="BN18" s="234">
        <v>87.998999999999995</v>
      </c>
      <c r="BO18" s="42">
        <v>65.965999999999994</v>
      </c>
      <c r="BP18" s="40"/>
      <c r="BQ18" s="411"/>
      <c r="BR18" s="41"/>
      <c r="BS18" s="34">
        <v>2.93</v>
      </c>
      <c r="BT18" s="35"/>
      <c r="BU18" s="28"/>
      <c r="BV18" s="287">
        <v>3.98</v>
      </c>
      <c r="BW18" s="287"/>
      <c r="BX18" s="36"/>
      <c r="BY18" s="34"/>
      <c r="BZ18" s="34">
        <v>37.380000000000003</v>
      </c>
      <c r="CA18" s="35"/>
      <c r="CB18" s="405">
        <v>44.68</v>
      </c>
      <c r="CC18" s="404">
        <v>37.520000000000003</v>
      </c>
      <c r="CD18" s="235"/>
      <c r="CE18" s="405"/>
      <c r="CF18" s="38">
        <v>139.60499999999999</v>
      </c>
      <c r="CG18" s="42"/>
      <c r="CH18" s="234"/>
      <c r="CI18" s="233"/>
      <c r="CJ18" s="33">
        <v>1.53</v>
      </c>
      <c r="CK18" s="33"/>
      <c r="CL18" s="33"/>
      <c r="CM18" s="36"/>
      <c r="CN18" s="286"/>
      <c r="CO18" s="249">
        <f t="shared" si="12"/>
        <v>0</v>
      </c>
      <c r="CP18" s="12">
        <f t="shared" si="12"/>
        <v>64.266164199999992</v>
      </c>
      <c r="CQ18" s="12">
        <f t="shared" si="12"/>
        <v>0</v>
      </c>
      <c r="CR18" s="12">
        <f t="shared" si="12"/>
        <v>87.998999999999995</v>
      </c>
      <c r="CS18" s="11">
        <f t="shared" si="12"/>
        <v>63.340553199999988</v>
      </c>
      <c r="CT18" s="11">
        <f t="shared" si="12"/>
        <v>0</v>
      </c>
      <c r="CU18" s="272">
        <f t="shared" si="12"/>
        <v>0</v>
      </c>
      <c r="CV18" s="249">
        <f t="shared" si="13"/>
        <v>137.4690435</v>
      </c>
      <c r="CW18" s="11">
        <f t="shared" si="13"/>
        <v>0</v>
      </c>
      <c r="CX18" s="249">
        <f t="shared" si="13"/>
        <v>0</v>
      </c>
      <c r="CY18" s="272">
        <f t="shared" si="13"/>
        <v>0</v>
      </c>
      <c r="CZ18" s="13"/>
      <c r="DA18" s="240">
        <f>(D18+'[2]март 20 '!D18)/(AY18+'[2]март 20 '!AX18)</f>
        <v>2.0526857224925257</v>
      </c>
      <c r="DB18" s="241">
        <f>(T18+'[2]март 20 '!R18)/(AY18+'[2]март 20 '!AX18)</f>
        <v>1.3524183334310338</v>
      </c>
      <c r="DD18" s="292">
        <f t="shared" si="14"/>
        <v>9.0129999999999999</v>
      </c>
      <c r="DE18" s="291">
        <v>1</v>
      </c>
      <c r="DF18" s="291">
        <v>16.3</v>
      </c>
      <c r="DG18" s="145">
        <f t="shared" si="15"/>
        <v>8.9228699999999996</v>
      </c>
      <c r="DH18" s="293">
        <f t="shared" si="28"/>
        <v>1.9480683230645597</v>
      </c>
      <c r="DJ18" s="322"/>
    </row>
    <row r="19" spans="1:114" s="76" customFormat="1" ht="16.5" customHeight="1" thickBot="1">
      <c r="A19" s="144">
        <v>13</v>
      </c>
      <c r="B19" s="122">
        <f>'[1]март 20'!K18</f>
        <v>212.70500000000001</v>
      </c>
      <c r="C19" s="123">
        <f t="shared" si="16"/>
        <v>2.8489969676312263</v>
      </c>
      <c r="D19" s="145">
        <f t="shared" si="17"/>
        <v>206.64504100000002</v>
      </c>
      <c r="E19" s="125">
        <f t="shared" si="18"/>
        <v>40.531804753061742</v>
      </c>
      <c r="F19" s="146">
        <f t="shared" si="19"/>
        <v>2.2478520722288704</v>
      </c>
      <c r="G19" s="127"/>
      <c r="H19" s="126">
        <f t="shared" si="20"/>
        <v>1.3231158598933972</v>
      </c>
      <c r="I19" s="230">
        <f>'[1]июль 20'!AI18</f>
        <v>0</v>
      </c>
      <c r="J19" s="247">
        <f>'[1]март 20'!AA18</f>
        <v>8.8439999999999994</v>
      </c>
      <c r="K19" s="276">
        <f>'[1]сентябрь 20'!AM18</f>
        <v>0</v>
      </c>
      <c r="L19" s="122">
        <f>'[1]март 20'!AE18</f>
        <v>85.010999999999996</v>
      </c>
      <c r="M19" s="128">
        <f t="shared" si="21"/>
        <v>0.92473621233547265</v>
      </c>
      <c r="N19" s="400">
        <f>'[1]март 20'!W18</f>
        <v>26.285</v>
      </c>
      <c r="O19" s="403">
        <f>'[1]март 20'!AU18</f>
        <v>0</v>
      </c>
      <c r="P19" s="401">
        <f t="shared" si="0"/>
        <v>131.14699999999999</v>
      </c>
      <c r="Q19" s="122">
        <f>'[1]март 20'!S18</f>
        <v>131.14699999999999</v>
      </c>
      <c r="R19" s="123">
        <f t="shared" si="22"/>
        <v>1.49</v>
      </c>
      <c r="S19" s="129">
        <v>2.11</v>
      </c>
      <c r="T19" s="125">
        <f t="shared" si="1"/>
        <v>129.1929097</v>
      </c>
      <c r="U19" s="147">
        <f t="shared" si="2"/>
        <v>1.4053400380724466</v>
      </c>
      <c r="V19" s="130"/>
      <c r="W19" s="130">
        <v>24.78</v>
      </c>
      <c r="X19" s="129">
        <v>1.21</v>
      </c>
      <c r="Y19" s="131">
        <v>486</v>
      </c>
      <c r="Z19" s="150">
        <v>1131</v>
      </c>
      <c r="AA19" s="148" t="s">
        <v>210</v>
      </c>
      <c r="AB19" s="149">
        <v>74.23</v>
      </c>
      <c r="AC19" s="150">
        <v>85</v>
      </c>
      <c r="AD19" s="151">
        <v>4</v>
      </c>
      <c r="AE19" s="149">
        <v>2.2000000000000002</v>
      </c>
      <c r="AF19" s="134">
        <f t="shared" si="3"/>
        <v>23.931252039595346</v>
      </c>
      <c r="AG19" s="152"/>
      <c r="AH19" s="129">
        <v>81.25</v>
      </c>
      <c r="AI19" s="134">
        <f t="shared" si="4"/>
        <v>883.8246491896009</v>
      </c>
      <c r="AJ19" s="136">
        <v>11.11</v>
      </c>
      <c r="AK19" s="154"/>
      <c r="AL19" s="155">
        <v>9.7799999999999994</v>
      </c>
      <c r="AM19" s="156">
        <v>29.12</v>
      </c>
      <c r="AN19" s="126">
        <f t="shared" si="23"/>
        <v>0.22705653021442496</v>
      </c>
      <c r="AO19" s="157" t="s">
        <v>211</v>
      </c>
      <c r="AP19" s="156">
        <v>13.1</v>
      </c>
      <c r="AQ19" s="156">
        <v>4.51</v>
      </c>
      <c r="AR19" s="151"/>
      <c r="AS19" s="149">
        <v>8.65</v>
      </c>
      <c r="AT19" s="149">
        <v>128.25</v>
      </c>
      <c r="AU19" s="149">
        <v>2.58</v>
      </c>
      <c r="AV19" s="164"/>
      <c r="AW19" s="149"/>
      <c r="AX19" s="158">
        <f t="shared" si="5"/>
        <v>0</v>
      </c>
      <c r="AY19" s="125">
        <f t="shared" si="6"/>
        <v>91.929999999999993</v>
      </c>
      <c r="AZ19" s="125">
        <f t="shared" si="29"/>
        <v>100.56542653050495</v>
      </c>
      <c r="BA19" s="159">
        <f t="shared" si="7"/>
        <v>5.4443221830985911</v>
      </c>
      <c r="BB19" s="160">
        <f t="shared" si="8"/>
        <v>3.6771999999999996</v>
      </c>
      <c r="BC19" s="161">
        <f t="shared" si="9"/>
        <v>0.81473390740252671</v>
      </c>
      <c r="BD19" s="160">
        <f t="shared" si="24"/>
        <v>9.1215221830985911</v>
      </c>
      <c r="BE19" s="162">
        <v>0.85899999999999999</v>
      </c>
      <c r="BF19" s="25">
        <f t="shared" si="25"/>
        <v>1555.0099999999998</v>
      </c>
      <c r="BG19" s="25">
        <f t="shared" si="10"/>
        <v>124.19354838709677</v>
      </c>
      <c r="BH19" s="25">
        <f t="shared" si="26"/>
        <v>1614.5161290322585</v>
      </c>
      <c r="BI19" s="26">
        <f t="shared" si="11"/>
        <v>1</v>
      </c>
      <c r="BJ19" s="37">
        <f t="shared" si="27"/>
        <v>1614.5161290322585</v>
      </c>
      <c r="BK19" s="38"/>
      <c r="BL19" s="31">
        <v>63.933999999999997</v>
      </c>
      <c r="BM19" s="31"/>
      <c r="BN19" s="234">
        <v>85.010999999999996</v>
      </c>
      <c r="BO19" s="42">
        <v>63.76</v>
      </c>
      <c r="BP19" s="40"/>
      <c r="BQ19" s="411"/>
      <c r="BR19" s="33"/>
      <c r="BS19" s="34">
        <v>5.25</v>
      </c>
      <c r="BT19" s="35"/>
      <c r="BU19" s="28"/>
      <c r="BV19" s="287">
        <v>4.24</v>
      </c>
      <c r="BW19" s="287"/>
      <c r="BX19" s="36"/>
      <c r="BY19" s="33"/>
      <c r="BZ19" s="34">
        <v>37.9</v>
      </c>
      <c r="CA19" s="35"/>
      <c r="CB19" s="405">
        <v>44.23</v>
      </c>
      <c r="CC19" s="404">
        <v>38.24</v>
      </c>
      <c r="CD19" s="235"/>
      <c r="CE19" s="413"/>
      <c r="CF19" s="41">
        <v>131.14699999999999</v>
      </c>
      <c r="CG19" s="41"/>
      <c r="CH19" s="30"/>
      <c r="CI19" s="32"/>
      <c r="CJ19" s="33">
        <v>1.49</v>
      </c>
      <c r="CK19" s="33"/>
      <c r="CL19" s="33"/>
      <c r="CM19" s="36"/>
      <c r="CN19" s="286"/>
      <c r="CO19" s="249">
        <f t="shared" si="12"/>
        <v>0</v>
      </c>
      <c r="CP19" s="12">
        <f t="shared" si="12"/>
        <v>60.577464999999997</v>
      </c>
      <c r="CQ19" s="12">
        <f t="shared" si="12"/>
        <v>0</v>
      </c>
      <c r="CR19" s="12">
        <f t="shared" si="12"/>
        <v>85.010999999999996</v>
      </c>
      <c r="CS19" s="11">
        <f t="shared" si="12"/>
        <v>61.056576</v>
      </c>
      <c r="CT19" s="11">
        <f t="shared" si="12"/>
        <v>0</v>
      </c>
      <c r="CU19" s="272">
        <f t="shared" si="12"/>
        <v>0</v>
      </c>
      <c r="CV19" s="249">
        <f t="shared" si="13"/>
        <v>129.1929097</v>
      </c>
      <c r="CW19" s="251">
        <f t="shared" si="13"/>
        <v>0</v>
      </c>
      <c r="CX19" s="249">
        <f t="shared" si="13"/>
        <v>0</v>
      </c>
      <c r="CY19" s="272">
        <f t="shared" si="13"/>
        <v>0</v>
      </c>
      <c r="CZ19" s="13"/>
      <c r="DA19" s="240">
        <f>(D19+'[2]март 20 '!D19)/(AY19+'[2]март 20 '!AX19)</f>
        <v>2.6582679902620292</v>
      </c>
      <c r="DB19" s="241">
        <f>(T19+'[2]март 20 '!R19)/(AY19+'[2]март 20 '!AX19)</f>
        <v>1.6835345614709465</v>
      </c>
      <c r="DD19" s="292">
        <f t="shared" si="14"/>
        <v>8.8439999999999994</v>
      </c>
      <c r="DE19" s="291">
        <v>0.64</v>
      </c>
      <c r="DF19" s="291">
        <v>17.41</v>
      </c>
      <c r="DG19" s="145">
        <f t="shared" si="15"/>
        <v>8.7873983999999989</v>
      </c>
      <c r="DH19" s="293">
        <f t="shared" si="28"/>
        <v>2.0610077616058193</v>
      </c>
      <c r="DJ19" s="322"/>
    </row>
    <row r="20" spans="1:114" s="76" customFormat="1" ht="16.5" customHeight="1" thickBot="1">
      <c r="A20" s="144">
        <v>14</v>
      </c>
      <c r="B20" s="122">
        <f>'[1]март 20'!K19</f>
        <v>260.18200000000002</v>
      </c>
      <c r="C20" s="123">
        <f t="shared" si="16"/>
        <v>1.7788312412080776</v>
      </c>
      <c r="D20" s="145">
        <f t="shared" si="17"/>
        <v>255.5538013</v>
      </c>
      <c r="E20" s="125">
        <f t="shared" si="18"/>
        <v>40.507995941302632</v>
      </c>
      <c r="F20" s="146">
        <f t="shared" si="19"/>
        <v>2.4774968618516722</v>
      </c>
      <c r="G20" s="127"/>
      <c r="H20" s="126">
        <f t="shared" si="20"/>
        <v>1.5782336529326224</v>
      </c>
      <c r="I20" s="230">
        <f>'[1]июль 20'!AI19</f>
        <v>0</v>
      </c>
      <c r="J20" s="247">
        <f>'[1]март 20'!AA19</f>
        <v>10.614000000000001</v>
      </c>
      <c r="K20" s="276">
        <f>'[1]сентябрь 20'!AM19</f>
        <v>0</v>
      </c>
      <c r="L20" s="122">
        <f>'[1]март 20'!AE19</f>
        <v>92.759</v>
      </c>
      <c r="M20" s="128">
        <f t="shared" si="21"/>
        <v>0.89926320891904987</v>
      </c>
      <c r="N20" s="400">
        <f>'[1]март 20'!W19</f>
        <v>17.951000000000001</v>
      </c>
      <c r="O20" s="403">
        <f>'[1]март 20'!AU19</f>
        <v>0</v>
      </c>
      <c r="P20" s="401">
        <f t="shared" si="0"/>
        <v>156.88200000000001</v>
      </c>
      <c r="Q20" s="122">
        <f>'[1]март 20'!S19</f>
        <v>156.88200000000001</v>
      </c>
      <c r="R20" s="123">
        <f t="shared" si="22"/>
        <v>1.68</v>
      </c>
      <c r="S20" s="129">
        <v>10.45</v>
      </c>
      <c r="T20" s="125">
        <f t="shared" si="1"/>
        <v>154.24638239999999</v>
      </c>
      <c r="U20" s="147">
        <f t="shared" si="2"/>
        <v>1.4953599844886085</v>
      </c>
      <c r="V20" s="130">
        <v>54.67</v>
      </c>
      <c r="W20" s="130">
        <v>21.82</v>
      </c>
      <c r="X20" s="129">
        <v>1.27</v>
      </c>
      <c r="Y20" s="131">
        <v>496</v>
      </c>
      <c r="Z20" s="150">
        <v>1146</v>
      </c>
      <c r="AA20" s="168" t="s">
        <v>212</v>
      </c>
      <c r="AB20" s="149">
        <v>74.69</v>
      </c>
      <c r="AC20" s="150">
        <v>104</v>
      </c>
      <c r="AD20" s="151">
        <v>4</v>
      </c>
      <c r="AE20" s="149">
        <v>2.25</v>
      </c>
      <c r="AF20" s="134">
        <f t="shared" si="3"/>
        <v>21.812893843916623</v>
      </c>
      <c r="AG20" s="152"/>
      <c r="AH20" s="129">
        <v>98.15</v>
      </c>
      <c r="AI20" s="134">
        <f t="shared" si="4"/>
        <v>951.52690256907408</v>
      </c>
      <c r="AJ20" s="153">
        <v>10.29</v>
      </c>
      <c r="AK20" s="154"/>
      <c r="AL20" s="155">
        <v>8.11</v>
      </c>
      <c r="AM20" s="156">
        <v>30.38</v>
      </c>
      <c r="AN20" s="126">
        <f t="shared" si="23"/>
        <v>0.21848256023013302</v>
      </c>
      <c r="AO20" s="157" t="s">
        <v>213</v>
      </c>
      <c r="AP20" s="156">
        <v>11.64</v>
      </c>
      <c r="AQ20" s="156">
        <v>4.43</v>
      </c>
      <c r="AR20" s="149"/>
      <c r="AS20" s="149">
        <v>9.1199999999999992</v>
      </c>
      <c r="AT20" s="149">
        <v>139.05000000000001</v>
      </c>
      <c r="AU20" s="149">
        <v>2.59</v>
      </c>
      <c r="AV20" s="149"/>
      <c r="AW20" s="149"/>
      <c r="AX20" s="158">
        <f t="shared" si="5"/>
        <v>0</v>
      </c>
      <c r="AY20" s="125">
        <f t="shared" si="6"/>
        <v>103.15</v>
      </c>
      <c r="AZ20" s="125">
        <f t="shared" si="29"/>
        <v>123.38043437989774</v>
      </c>
      <c r="BA20" s="159">
        <f t="shared" si="7"/>
        <v>6.9340901408450693</v>
      </c>
      <c r="BB20" s="160">
        <f t="shared" si="8"/>
        <v>4.1260000000000003</v>
      </c>
      <c r="BC20" s="161">
        <f t="shared" si="9"/>
        <v>0.74423242669232892</v>
      </c>
      <c r="BD20" s="160">
        <f t="shared" si="24"/>
        <v>11.06009014084507</v>
      </c>
      <c r="BE20" s="162">
        <v>0.85099999999999998</v>
      </c>
      <c r="BF20" s="25">
        <f t="shared" si="25"/>
        <v>1658.1599999999999</v>
      </c>
      <c r="BG20" s="25">
        <f t="shared" si="10"/>
        <v>124.19354838709677</v>
      </c>
      <c r="BH20" s="25">
        <f t="shared" si="26"/>
        <v>1738.7096774193553</v>
      </c>
      <c r="BI20" s="26">
        <f t="shared" si="11"/>
        <v>1</v>
      </c>
      <c r="BJ20" s="37">
        <f t="shared" si="27"/>
        <v>1738.7096774193553</v>
      </c>
      <c r="BK20" s="38"/>
      <c r="BL20" s="31">
        <v>106.42700000000001</v>
      </c>
      <c r="BM20" s="31"/>
      <c r="BN20" s="234">
        <v>92.759</v>
      </c>
      <c r="BO20" s="42">
        <v>60.996000000000002</v>
      </c>
      <c r="BP20" s="40"/>
      <c r="BQ20" s="411"/>
      <c r="BR20" s="33"/>
      <c r="BS20" s="34">
        <v>1.89</v>
      </c>
      <c r="BT20" s="35"/>
      <c r="BU20" s="28"/>
      <c r="BV20" s="287">
        <v>4.29</v>
      </c>
      <c r="BW20" s="287"/>
      <c r="BX20" s="36"/>
      <c r="BY20" s="33"/>
      <c r="BZ20" s="34">
        <v>38.630000000000003</v>
      </c>
      <c r="CA20" s="35"/>
      <c r="CB20" s="405">
        <v>44.45</v>
      </c>
      <c r="CC20" s="404">
        <v>37.79</v>
      </c>
      <c r="CD20" s="235"/>
      <c r="CE20" s="413"/>
      <c r="CF20" s="30">
        <v>156.88200000000001</v>
      </c>
      <c r="CG20" s="30"/>
      <c r="CH20" s="31"/>
      <c r="CI20" s="32"/>
      <c r="CJ20" s="33">
        <v>1.68</v>
      </c>
      <c r="CK20" s="33"/>
      <c r="CL20" s="35"/>
      <c r="CM20" s="36"/>
      <c r="CN20" s="286"/>
      <c r="CO20" s="249">
        <f t="shared" si="12"/>
        <v>0</v>
      </c>
      <c r="CP20" s="12">
        <f t="shared" si="12"/>
        <v>104.41552970000001</v>
      </c>
      <c r="CQ20" s="12">
        <f t="shared" si="12"/>
        <v>0</v>
      </c>
      <c r="CR20" s="12">
        <f t="shared" si="12"/>
        <v>92.759</v>
      </c>
      <c r="CS20" s="11">
        <f t="shared" si="12"/>
        <v>58.379271599999996</v>
      </c>
      <c r="CT20" s="11">
        <f t="shared" si="12"/>
        <v>0</v>
      </c>
      <c r="CU20" s="272">
        <f t="shared" si="12"/>
        <v>0</v>
      </c>
      <c r="CV20" s="249">
        <f t="shared" si="13"/>
        <v>154.24638239999999</v>
      </c>
      <c r="CW20" s="12">
        <f t="shared" si="13"/>
        <v>0</v>
      </c>
      <c r="CX20" s="249">
        <f t="shared" si="13"/>
        <v>0</v>
      </c>
      <c r="CY20" s="272">
        <f t="shared" si="13"/>
        <v>0</v>
      </c>
      <c r="CZ20" s="13"/>
      <c r="DA20" s="240">
        <f>(D20+'[2]март 20 '!D20)/(AY20+'[2]март 20 '!AX20)</f>
        <v>2.3892214804979974</v>
      </c>
      <c r="DB20" s="241">
        <f>(T20+'[2]март 20 '!R20)/(AY20+'[2]март 20 '!AX20)</f>
        <v>1.4749973115096637</v>
      </c>
      <c r="DD20" s="292">
        <f t="shared" si="14"/>
        <v>10.614000000000001</v>
      </c>
      <c r="DE20" s="291">
        <v>1.46</v>
      </c>
      <c r="DF20" s="291">
        <v>17.02</v>
      </c>
      <c r="DG20" s="145">
        <f t="shared" si="15"/>
        <v>10.459035600000002</v>
      </c>
      <c r="DH20" s="293">
        <f t="shared" si="28"/>
        <v>2.3833550128799041</v>
      </c>
      <c r="DJ20" s="322"/>
    </row>
    <row r="21" spans="1:114" s="76" customFormat="1" ht="16.5" customHeight="1" thickBot="1">
      <c r="A21" s="144">
        <v>15</v>
      </c>
      <c r="B21" s="122">
        <f>'[1]март 20'!K20</f>
        <v>275.26499999999999</v>
      </c>
      <c r="C21" s="123">
        <f t="shared" si="16"/>
        <v>1.5278113091021381</v>
      </c>
      <c r="D21" s="145">
        <f t="shared" si="17"/>
        <v>271.05947020000002</v>
      </c>
      <c r="E21" s="125">
        <f t="shared" si="18"/>
        <v>39.199486276860483</v>
      </c>
      <c r="F21" s="146">
        <f t="shared" si="19"/>
        <v>2.4742991346417158</v>
      </c>
      <c r="G21" s="127"/>
      <c r="H21" s="126">
        <f t="shared" si="20"/>
        <v>1.8337057982656317</v>
      </c>
      <c r="I21" s="230">
        <f>'[1]июль 20'!AI20</f>
        <v>0</v>
      </c>
      <c r="J21" s="247">
        <f>'[1]март 20'!AA20</f>
        <v>11.323</v>
      </c>
      <c r="K21" s="276">
        <f>'[1]сентябрь 20'!AM20</f>
        <v>0</v>
      </c>
      <c r="L21" s="122">
        <f>'[1]март 20'!AE20</f>
        <v>70.177000000000007</v>
      </c>
      <c r="M21" s="128">
        <f t="shared" si="21"/>
        <v>0.64059333637608384</v>
      </c>
      <c r="N21" s="400">
        <f>'[1]март 20'!W20</f>
        <v>0</v>
      </c>
      <c r="O21" s="403">
        <f>'[1]март 20'!AU20</f>
        <v>5.6120000000000001</v>
      </c>
      <c r="P21" s="401">
        <f t="shared" si="0"/>
        <v>168.02099999999999</v>
      </c>
      <c r="Q21" s="122">
        <f>'[1]март 20'!S20</f>
        <v>168.02099999999999</v>
      </c>
      <c r="R21" s="123">
        <f t="shared" si="22"/>
        <v>1.6399999999999997</v>
      </c>
      <c r="S21" s="129">
        <v>8.24</v>
      </c>
      <c r="T21" s="125">
        <f t="shared" si="1"/>
        <v>165.2654556</v>
      </c>
      <c r="U21" s="147">
        <f t="shared" si="2"/>
        <v>1.5085847156549517</v>
      </c>
      <c r="V21" s="130"/>
      <c r="W21" s="130">
        <v>54.3</v>
      </c>
      <c r="X21" s="129">
        <v>1.1200000000000001</v>
      </c>
      <c r="Y21" s="131">
        <v>550</v>
      </c>
      <c r="Z21" s="150">
        <v>1149</v>
      </c>
      <c r="AA21" s="168" t="s">
        <v>188</v>
      </c>
      <c r="AB21" s="149">
        <v>73.53</v>
      </c>
      <c r="AC21" s="150">
        <v>110</v>
      </c>
      <c r="AD21" s="151">
        <v>4</v>
      </c>
      <c r="AE21" s="149">
        <v>1.65</v>
      </c>
      <c r="AF21" s="134">
        <f t="shared" si="3"/>
        <v>15.061615700593332</v>
      </c>
      <c r="AG21" s="152"/>
      <c r="AH21" s="129">
        <v>85.8</v>
      </c>
      <c r="AI21" s="134">
        <f t="shared" si="4"/>
        <v>783.20401643085324</v>
      </c>
      <c r="AJ21" s="136">
        <v>12.42</v>
      </c>
      <c r="AK21" s="154"/>
      <c r="AL21" s="155">
        <v>7.95</v>
      </c>
      <c r="AM21" s="156">
        <v>37.340000000000003</v>
      </c>
      <c r="AN21" s="126">
        <f t="shared" si="23"/>
        <v>0.24477220583415274</v>
      </c>
      <c r="AO21" s="157" t="s">
        <v>214</v>
      </c>
      <c r="AP21" s="156">
        <v>11</v>
      </c>
      <c r="AQ21" s="156">
        <v>5.5</v>
      </c>
      <c r="AR21" s="149"/>
      <c r="AS21" s="149">
        <v>7.14</v>
      </c>
      <c r="AT21" s="149">
        <v>152.55000000000001</v>
      </c>
      <c r="AU21" s="149">
        <v>2.29</v>
      </c>
      <c r="AV21" s="149"/>
      <c r="AW21" s="149"/>
      <c r="AX21" s="158">
        <f t="shared" si="5"/>
        <v>0</v>
      </c>
      <c r="AY21" s="125">
        <f t="shared" si="6"/>
        <v>109.55000000000003</v>
      </c>
      <c r="AZ21" s="125">
        <f t="shared" si="29"/>
        <v>127.8520499308254</v>
      </c>
      <c r="BA21" s="159">
        <f t="shared" si="7"/>
        <v>4.7455859154929572</v>
      </c>
      <c r="BB21" s="160">
        <f t="shared" si="8"/>
        <v>4.3820000000000014</v>
      </c>
      <c r="BC21" s="161">
        <f t="shared" si="9"/>
        <v>0.75810958441861875</v>
      </c>
      <c r="BD21" s="160">
        <f t="shared" si="24"/>
        <v>9.1275859154929577</v>
      </c>
      <c r="BE21" s="162">
        <v>0.84499999999999997</v>
      </c>
      <c r="BF21" s="25">
        <f t="shared" si="25"/>
        <v>1767.7099999999998</v>
      </c>
      <c r="BG21" s="25">
        <f t="shared" si="10"/>
        <v>124.19354838709677</v>
      </c>
      <c r="BH21" s="25">
        <f t="shared" si="26"/>
        <v>1862.9032258064522</v>
      </c>
      <c r="BI21" s="26">
        <f t="shared" si="11"/>
        <v>1</v>
      </c>
      <c r="BJ21" s="37">
        <f t="shared" si="27"/>
        <v>1862.9032258064522</v>
      </c>
      <c r="BK21" s="38"/>
      <c r="BL21" s="31">
        <v>182.691</v>
      </c>
      <c r="BM21" s="31"/>
      <c r="BN21" s="234">
        <v>70.177000000000007</v>
      </c>
      <c r="BO21" s="42">
        <v>22.396999999999998</v>
      </c>
      <c r="BP21" s="40"/>
      <c r="BQ21" s="411"/>
      <c r="BR21" s="33"/>
      <c r="BS21" s="34">
        <v>1.83</v>
      </c>
      <c r="BT21" s="35"/>
      <c r="BU21" s="35"/>
      <c r="BV21" s="235">
        <v>3.85</v>
      </c>
      <c r="BW21" s="235"/>
      <c r="BX21" s="36"/>
      <c r="BY21" s="33"/>
      <c r="BZ21" s="34">
        <v>37.409999999999997</v>
      </c>
      <c r="CA21" s="35"/>
      <c r="CB21" s="405">
        <v>43.96</v>
      </c>
      <c r="CC21" s="404">
        <v>38.880000000000003</v>
      </c>
      <c r="CD21" s="235"/>
      <c r="CE21" s="413"/>
      <c r="CF21" s="30">
        <v>168.02099999999999</v>
      </c>
      <c r="CG21" s="30"/>
      <c r="CH21" s="31"/>
      <c r="CI21" s="32"/>
      <c r="CJ21" s="33">
        <v>1.64</v>
      </c>
      <c r="CK21" s="33"/>
      <c r="CL21" s="35"/>
      <c r="CM21" s="36"/>
      <c r="CN21" s="286"/>
      <c r="CO21" s="249">
        <f t="shared" si="12"/>
        <v>0</v>
      </c>
      <c r="CP21" s="12">
        <f t="shared" si="12"/>
        <v>179.3477547</v>
      </c>
      <c r="CQ21" s="12">
        <f t="shared" si="12"/>
        <v>0</v>
      </c>
      <c r="CR21" s="12">
        <f t="shared" si="12"/>
        <v>70.177000000000007</v>
      </c>
      <c r="CS21" s="11">
        <f t="shared" si="12"/>
        <v>21.534715499999997</v>
      </c>
      <c r="CT21" s="11">
        <f t="shared" si="12"/>
        <v>0</v>
      </c>
      <c r="CU21" s="272">
        <f t="shared" si="12"/>
        <v>0</v>
      </c>
      <c r="CV21" s="249">
        <f t="shared" si="13"/>
        <v>165.2654556</v>
      </c>
      <c r="CW21" s="12">
        <f t="shared" si="13"/>
        <v>0</v>
      </c>
      <c r="CX21" s="249">
        <f t="shared" si="13"/>
        <v>0</v>
      </c>
      <c r="CY21" s="272">
        <f t="shared" si="13"/>
        <v>0</v>
      </c>
      <c r="CZ21" s="13"/>
      <c r="DA21" s="240">
        <f>(D21+'[2]март 20 '!D21)/(AY21+'[2]март 20 '!AX21)</f>
        <v>2.4285711846547309</v>
      </c>
      <c r="DB21" s="241">
        <f>(T21+'[2]март 20 '!R21)/(AY21+'[2]март 20 '!AX21)</f>
        <v>1.5010245715260015</v>
      </c>
      <c r="DD21" s="292">
        <f t="shared" si="14"/>
        <v>11.323</v>
      </c>
      <c r="DE21" s="291">
        <v>0.55000000000000004</v>
      </c>
      <c r="DF21" s="291">
        <v>11.1</v>
      </c>
      <c r="DG21" s="145">
        <f t="shared" si="15"/>
        <v>11.260723500000001</v>
      </c>
      <c r="DH21" s="293">
        <f t="shared" si="28"/>
        <v>1.6999052203182374</v>
      </c>
      <c r="DJ21" s="322"/>
    </row>
    <row r="22" spans="1:114" s="76" customFormat="1" ht="16.5" customHeight="1" thickBot="1">
      <c r="A22" s="144">
        <v>16</v>
      </c>
      <c r="B22" s="122">
        <f>'[1]март 20'!K21</f>
        <v>277.16699999999997</v>
      </c>
      <c r="C22" s="123">
        <f t="shared" si="16"/>
        <v>1.4806355734990098</v>
      </c>
      <c r="D22" s="145">
        <f t="shared" si="17"/>
        <v>273.06316679999998</v>
      </c>
      <c r="E22" s="125">
        <f t="shared" si="18"/>
        <v>39.079278377295999</v>
      </c>
      <c r="F22" s="146">
        <f t="shared" si="19"/>
        <v>2.3376694358359731</v>
      </c>
      <c r="G22" s="127"/>
      <c r="H22" s="126">
        <f t="shared" si="20"/>
        <v>1.8336201249892989</v>
      </c>
      <c r="I22" s="230">
        <f>'[1]июль 20'!AI21</f>
        <v>0</v>
      </c>
      <c r="J22" s="247">
        <f>'[1]март 20'!AA21</f>
        <v>10.778</v>
      </c>
      <c r="K22" s="276">
        <f>'[1]сентябрь 20'!AM21</f>
        <v>0</v>
      </c>
      <c r="L22" s="122">
        <f>'[1]март 20'!AE21</f>
        <v>58.878</v>
      </c>
      <c r="M22" s="128">
        <f t="shared" si="21"/>
        <v>0.50404931084667415</v>
      </c>
      <c r="N22" s="400">
        <f>'[1]март 20'!W21</f>
        <v>0</v>
      </c>
      <c r="O22" s="403">
        <f>'[1]март 20'!AU21</f>
        <v>9.23</v>
      </c>
      <c r="P22" s="401">
        <f t="shared" si="0"/>
        <v>168.654</v>
      </c>
      <c r="Q22" s="122">
        <f>'[1]март 20'!S21</f>
        <v>168.654</v>
      </c>
      <c r="R22" s="123">
        <f t="shared" si="22"/>
        <v>1.56</v>
      </c>
      <c r="S22" s="129">
        <v>5.53</v>
      </c>
      <c r="T22" s="125">
        <f t="shared" si="1"/>
        <v>166.0229976</v>
      </c>
      <c r="U22" s="147">
        <f t="shared" si="2"/>
        <v>1.4213080866364183</v>
      </c>
      <c r="V22" s="130"/>
      <c r="W22" s="130"/>
      <c r="X22" s="129">
        <v>1.59</v>
      </c>
      <c r="Y22" s="131">
        <v>566</v>
      </c>
      <c r="Z22" s="150">
        <v>1157</v>
      </c>
      <c r="AA22" s="148" t="s">
        <v>141</v>
      </c>
      <c r="AB22" s="149">
        <v>73.78</v>
      </c>
      <c r="AC22" s="150">
        <v>111</v>
      </c>
      <c r="AD22" s="151">
        <v>4</v>
      </c>
      <c r="AE22" s="149">
        <v>6.1</v>
      </c>
      <c r="AF22" s="134">
        <f t="shared" si="3"/>
        <v>52.221556373598155</v>
      </c>
      <c r="AG22" s="152"/>
      <c r="AH22" s="129">
        <v>78.25</v>
      </c>
      <c r="AI22" s="134">
        <f t="shared" si="4"/>
        <v>669.89127643181246</v>
      </c>
      <c r="AJ22" s="153">
        <v>11.44</v>
      </c>
      <c r="AK22" s="154"/>
      <c r="AL22" s="155">
        <v>5.03</v>
      </c>
      <c r="AM22" s="156">
        <v>36.93</v>
      </c>
      <c r="AN22" s="126">
        <f t="shared" si="23"/>
        <v>0.23522292993630572</v>
      </c>
      <c r="AO22" s="157" t="s">
        <v>215</v>
      </c>
      <c r="AP22" s="156">
        <v>10.68</v>
      </c>
      <c r="AQ22" s="156">
        <v>6.36</v>
      </c>
      <c r="AR22" s="151"/>
      <c r="AS22" s="149">
        <v>6.05</v>
      </c>
      <c r="AT22" s="149">
        <v>157</v>
      </c>
      <c r="AU22" s="149">
        <v>1.77</v>
      </c>
      <c r="AV22" s="149"/>
      <c r="AW22" s="149"/>
      <c r="AX22" s="158">
        <f t="shared" si="5"/>
        <v>0</v>
      </c>
      <c r="AY22" s="125">
        <f t="shared" si="6"/>
        <v>116.80999999999999</v>
      </c>
      <c r="AZ22" s="125">
        <f t="shared" si="29"/>
        <v>128.15220802873247</v>
      </c>
      <c r="BA22" s="159">
        <f t="shared" si="7"/>
        <v>3.6672799295774645</v>
      </c>
      <c r="BB22" s="160">
        <f t="shared" si="8"/>
        <v>4.6723999999999997</v>
      </c>
      <c r="BC22" s="161">
        <f t="shared" si="9"/>
        <v>0.8076236287057329</v>
      </c>
      <c r="BD22" s="160">
        <f t="shared" si="24"/>
        <v>8.3396799295774642</v>
      </c>
      <c r="BE22" s="162">
        <v>0.84299999999999997</v>
      </c>
      <c r="BF22" s="25">
        <f t="shared" si="25"/>
        <v>1884.5199999999998</v>
      </c>
      <c r="BG22" s="25">
        <f t="shared" si="10"/>
        <v>124.19354838709677</v>
      </c>
      <c r="BH22" s="25">
        <f t="shared" si="26"/>
        <v>1987.096774193549</v>
      </c>
      <c r="BI22" s="26">
        <f t="shared" si="11"/>
        <v>1</v>
      </c>
      <c r="BJ22" s="37">
        <f t="shared" si="27"/>
        <v>1987.096774193549</v>
      </c>
      <c r="BK22" s="38"/>
      <c r="BL22" s="31">
        <v>218.28899999999999</v>
      </c>
      <c r="BM22" s="31"/>
      <c r="BN22" s="234">
        <v>58.878</v>
      </c>
      <c r="BO22" s="42"/>
      <c r="BP22" s="40"/>
      <c r="BQ22" s="411"/>
      <c r="BR22" s="33"/>
      <c r="BS22" s="34">
        <v>1.88</v>
      </c>
      <c r="BT22" s="35"/>
      <c r="BU22" s="35"/>
      <c r="BV22" s="235"/>
      <c r="BW22" s="235"/>
      <c r="BX22" s="36"/>
      <c r="BY22" s="33"/>
      <c r="BZ22" s="34">
        <v>37.69</v>
      </c>
      <c r="CA22" s="35"/>
      <c r="CB22" s="405">
        <v>44.23</v>
      </c>
      <c r="CC22" s="404"/>
      <c r="CD22" s="235"/>
      <c r="CE22" s="413"/>
      <c r="CF22" s="30">
        <v>168.654</v>
      </c>
      <c r="CG22" s="30"/>
      <c r="CH22" s="31"/>
      <c r="CI22" s="32"/>
      <c r="CJ22" s="33">
        <v>1.56</v>
      </c>
      <c r="CK22" s="33"/>
      <c r="CL22" s="35"/>
      <c r="CM22" s="36"/>
      <c r="CN22" s="286"/>
      <c r="CO22" s="249">
        <f t="shared" si="12"/>
        <v>0</v>
      </c>
      <c r="CP22" s="12">
        <f t="shared" si="12"/>
        <v>214.18516679999999</v>
      </c>
      <c r="CQ22" s="12">
        <f t="shared" si="12"/>
        <v>0</v>
      </c>
      <c r="CR22" s="12">
        <f t="shared" si="12"/>
        <v>58.878</v>
      </c>
      <c r="CS22" s="11">
        <f t="shared" si="12"/>
        <v>0</v>
      </c>
      <c r="CT22" s="11">
        <f t="shared" si="12"/>
        <v>0</v>
      </c>
      <c r="CU22" s="272">
        <f t="shared" si="12"/>
        <v>0</v>
      </c>
      <c r="CV22" s="249">
        <f t="shared" si="13"/>
        <v>166.0229976</v>
      </c>
      <c r="CW22" s="12">
        <f t="shared" si="13"/>
        <v>0</v>
      </c>
      <c r="CX22" s="249">
        <f t="shared" si="13"/>
        <v>0</v>
      </c>
      <c r="CY22" s="272">
        <f t="shared" si="13"/>
        <v>0</v>
      </c>
      <c r="CZ22" s="13"/>
      <c r="DA22" s="240">
        <f>(D22+'[2]март 20 '!D22)/(AY22+'[2]март 20 '!AX22)</f>
        <v>2.1507779310344826</v>
      </c>
      <c r="DB22" s="241">
        <f>(T22+'[2]март 20 '!R22)/(AY22+'[2]март 20 '!AX22)</f>
        <v>1.3015425688951443</v>
      </c>
      <c r="DD22" s="292">
        <f t="shared" si="14"/>
        <v>10.778</v>
      </c>
      <c r="DE22" s="291">
        <v>0.43</v>
      </c>
      <c r="DF22" s="291">
        <v>12.97</v>
      </c>
      <c r="DG22" s="145">
        <f t="shared" si="15"/>
        <v>10.731654599999999</v>
      </c>
      <c r="DH22" s="293">
        <f t="shared" si="28"/>
        <v>1.8865486603686634</v>
      </c>
      <c r="DJ22" s="322"/>
    </row>
    <row r="23" spans="1:114" s="76" customFormat="1" ht="16.5" customHeight="1" thickBot="1">
      <c r="A23" s="144">
        <v>17</v>
      </c>
      <c r="B23" s="122">
        <f>'[1]март 20'!K22</f>
        <v>262.80799999999999</v>
      </c>
      <c r="C23" s="123">
        <f t="shared" si="16"/>
        <v>1.2800584457094153</v>
      </c>
      <c r="D23" s="145">
        <f t="shared" si="17"/>
        <v>259.44390399999997</v>
      </c>
      <c r="E23" s="125">
        <f t="shared" si="18"/>
        <v>38.721773157590327</v>
      </c>
      <c r="F23" s="146">
        <f t="shared" si="19"/>
        <v>2.0828829800899165</v>
      </c>
      <c r="G23" s="127"/>
      <c r="H23" s="126">
        <f t="shared" si="20"/>
        <v>1.6609818882466283</v>
      </c>
      <c r="I23" s="230">
        <f>'[1]июль 20'!AI22</f>
        <v>0</v>
      </c>
      <c r="J23" s="247">
        <f>'[1]март 20'!AA22</f>
        <v>10.395</v>
      </c>
      <c r="K23" s="276">
        <f>'[1]сентябрь 20'!AM22</f>
        <v>0</v>
      </c>
      <c r="L23" s="122">
        <f>'[1]март 20'!AE22</f>
        <v>52.552</v>
      </c>
      <c r="M23" s="128">
        <f t="shared" si="21"/>
        <v>0.42190109184328839</v>
      </c>
      <c r="N23" s="400">
        <f>'[1]март 20'!W22</f>
        <v>0</v>
      </c>
      <c r="O23" s="403">
        <f>'[1]март 20'!AU22</f>
        <v>10.236000000000001</v>
      </c>
      <c r="P23" s="401">
        <f t="shared" si="0"/>
        <v>158.721</v>
      </c>
      <c r="Q23" s="122">
        <f>'[1]март 20'!S22</f>
        <v>158.721</v>
      </c>
      <c r="R23" s="123">
        <f t="shared" si="22"/>
        <v>2.66</v>
      </c>
      <c r="S23" s="129">
        <v>3.41</v>
      </c>
      <c r="T23" s="125">
        <f t="shared" si="1"/>
        <v>154.4990214</v>
      </c>
      <c r="U23" s="147">
        <f t="shared" si="2"/>
        <v>1.2403582321772642</v>
      </c>
      <c r="V23" s="130">
        <v>124.56</v>
      </c>
      <c r="W23" s="130">
        <v>124.56</v>
      </c>
      <c r="X23" s="129">
        <v>0.55000000000000004</v>
      </c>
      <c r="Y23" s="131">
        <v>531</v>
      </c>
      <c r="Z23" s="150">
        <v>1157</v>
      </c>
      <c r="AA23" s="148" t="s">
        <v>155</v>
      </c>
      <c r="AB23" s="149">
        <v>75.78</v>
      </c>
      <c r="AC23" s="150">
        <v>105</v>
      </c>
      <c r="AD23" s="151">
        <v>4</v>
      </c>
      <c r="AE23" s="149">
        <v>4.7</v>
      </c>
      <c r="AF23" s="134">
        <f t="shared" si="3"/>
        <v>37.732819524727049</v>
      </c>
      <c r="AG23" s="152"/>
      <c r="AH23" s="129">
        <v>107.3</v>
      </c>
      <c r="AI23" s="134">
        <f t="shared" si="4"/>
        <v>861.43224149004504</v>
      </c>
      <c r="AJ23" s="136">
        <v>16.43</v>
      </c>
      <c r="AK23" s="154"/>
      <c r="AL23" s="155">
        <v>5.49</v>
      </c>
      <c r="AM23" s="156">
        <v>36.46</v>
      </c>
      <c r="AN23" s="126">
        <f t="shared" si="23"/>
        <v>0.22090275674038171</v>
      </c>
      <c r="AO23" s="157" t="s">
        <v>184</v>
      </c>
      <c r="AP23" s="156">
        <v>8.56</v>
      </c>
      <c r="AQ23" s="156">
        <v>6.77</v>
      </c>
      <c r="AR23" s="151"/>
      <c r="AS23" s="149">
        <v>8.41</v>
      </c>
      <c r="AT23" s="149">
        <v>165.05</v>
      </c>
      <c r="AU23" s="149">
        <v>1.46</v>
      </c>
      <c r="AV23" s="149"/>
      <c r="AW23" s="149"/>
      <c r="AX23" s="158">
        <f t="shared" si="5"/>
        <v>0</v>
      </c>
      <c r="AY23" s="125">
        <f t="shared" si="6"/>
        <v>124.55999999999999</v>
      </c>
      <c r="AZ23" s="125">
        <f t="shared" si="29"/>
        <v>117.7672368642923</v>
      </c>
      <c r="BA23" s="159">
        <f t="shared" si="7"/>
        <v>6.9903683098591545</v>
      </c>
      <c r="BB23" s="160">
        <f t="shared" si="8"/>
        <v>4.9823999999999993</v>
      </c>
      <c r="BC23" s="161">
        <f>IF((D23*E23)=0,0,(AY23*AB23)/(D23*E23))</f>
        <v>0.93958157830160038</v>
      </c>
      <c r="BD23" s="160">
        <f t="shared" si="24"/>
        <v>11.972768309859154</v>
      </c>
      <c r="BE23" s="162">
        <v>0.84799999999999998</v>
      </c>
      <c r="BF23" s="25">
        <f t="shared" si="25"/>
        <v>2009.0799999999997</v>
      </c>
      <c r="BG23" s="25">
        <f t="shared" si="10"/>
        <v>124.19354838709677</v>
      </c>
      <c r="BH23" s="25">
        <f t="shared" si="26"/>
        <v>2111.2903225806458</v>
      </c>
      <c r="BI23" s="26">
        <f t="shared" si="11"/>
        <v>1</v>
      </c>
      <c r="BJ23" s="37">
        <f t="shared" si="27"/>
        <v>2111.2903225806458</v>
      </c>
      <c r="BK23" s="38"/>
      <c r="BL23" s="31">
        <v>210.256</v>
      </c>
      <c r="BM23" s="31"/>
      <c r="BN23" s="234">
        <v>52.552</v>
      </c>
      <c r="BO23" s="42"/>
      <c r="BP23" s="40"/>
      <c r="BQ23" s="411"/>
      <c r="BR23" s="33"/>
      <c r="BS23" s="34">
        <v>1.6</v>
      </c>
      <c r="BT23" s="35"/>
      <c r="BU23" s="35"/>
      <c r="BV23" s="235"/>
      <c r="BW23" s="235"/>
      <c r="BX23" s="36"/>
      <c r="BY23" s="33"/>
      <c r="BZ23" s="34">
        <v>37.479999999999997</v>
      </c>
      <c r="CA23" s="35"/>
      <c r="CB23" s="405">
        <v>43.69</v>
      </c>
      <c r="CC23" s="404"/>
      <c r="CD23" s="235"/>
      <c r="CE23" s="413"/>
      <c r="CF23" s="30">
        <v>158.721</v>
      </c>
      <c r="CG23" s="30"/>
      <c r="CH23" s="31"/>
      <c r="CI23" s="32"/>
      <c r="CJ23" s="33">
        <v>2.66</v>
      </c>
      <c r="CK23" s="33"/>
      <c r="CL23" s="35"/>
      <c r="CM23" s="36"/>
      <c r="CN23" s="286"/>
      <c r="CO23" s="249">
        <f t="shared" ref="CO23:CU37" si="30">BK23*((100-BR23)/100)</f>
        <v>0</v>
      </c>
      <c r="CP23" s="12">
        <f t="shared" si="30"/>
        <v>206.89190400000001</v>
      </c>
      <c r="CQ23" s="12">
        <f t="shared" si="30"/>
        <v>0</v>
      </c>
      <c r="CR23" s="12">
        <f t="shared" si="30"/>
        <v>52.552</v>
      </c>
      <c r="CS23" s="11">
        <f t="shared" si="30"/>
        <v>0</v>
      </c>
      <c r="CT23" s="11">
        <f t="shared" si="30"/>
        <v>0</v>
      </c>
      <c r="CU23" s="272">
        <f t="shared" si="30"/>
        <v>0</v>
      </c>
      <c r="CV23" s="249">
        <f t="shared" si="13"/>
        <v>154.4990214</v>
      </c>
      <c r="CW23" s="11">
        <f t="shared" si="13"/>
        <v>0</v>
      </c>
      <c r="CX23" s="249">
        <f t="shared" si="13"/>
        <v>0</v>
      </c>
      <c r="CY23" s="272">
        <f t="shared" si="13"/>
        <v>0</v>
      </c>
      <c r="CZ23" s="13"/>
      <c r="DA23" s="240">
        <f>(D23+'[2]март 20 '!D23)/(AY23+'[2]март 20 '!AX23)</f>
        <v>2.1321424590072189</v>
      </c>
      <c r="DB23" s="241">
        <f>(T23+'[2]март 20 '!R23)/(AY23+'[2]март 20 '!AX23)</f>
        <v>1.2791678924394201</v>
      </c>
      <c r="DD23" s="292">
        <f t="shared" si="14"/>
        <v>10.395</v>
      </c>
      <c r="DE23" s="291">
        <v>0.42</v>
      </c>
      <c r="DF23" s="291">
        <v>14.89</v>
      </c>
      <c r="DG23" s="145">
        <f t="shared" si="15"/>
        <v>10.351341</v>
      </c>
      <c r="DH23" s="293">
        <f t="shared" si="28"/>
        <v>2.0339333266033255</v>
      </c>
      <c r="DJ23" s="322"/>
    </row>
    <row r="24" spans="1:114" s="76" customFormat="1" ht="16.5" customHeight="1" thickBot="1">
      <c r="A24" s="144">
        <v>18</v>
      </c>
      <c r="B24" s="122">
        <f>'[1]март 20'!K23</f>
        <v>302.56900000000002</v>
      </c>
      <c r="C24" s="123">
        <f t="shared" si="16"/>
        <v>1.2160743499829789</v>
      </c>
      <c r="D24" s="145">
        <f t="shared" si="17"/>
        <v>298.88953600000002</v>
      </c>
      <c r="E24" s="125">
        <f t="shared" si="18"/>
        <v>38.333661511919594</v>
      </c>
      <c r="F24" s="146">
        <f t="shared" si="19"/>
        <v>2.2835169684467878</v>
      </c>
      <c r="G24" s="127"/>
      <c r="H24" s="126">
        <f t="shared" si="20"/>
        <v>1.8213044235617697</v>
      </c>
      <c r="I24" s="230">
        <f>'[1]июль 20'!AI23</f>
        <v>0</v>
      </c>
      <c r="J24" s="247">
        <f>'[1]март 20'!AA23</f>
        <v>11.84</v>
      </c>
      <c r="K24" s="276">
        <f>'[1]сентябрь 20'!AM23</f>
        <v>0</v>
      </c>
      <c r="L24" s="122">
        <f>'[1]март 20'!AE23</f>
        <v>60.499000000000002</v>
      </c>
      <c r="M24" s="128">
        <f t="shared" si="21"/>
        <v>0.46221254488501801</v>
      </c>
      <c r="N24" s="400">
        <f>'[1]март 20'!W23</f>
        <v>0</v>
      </c>
      <c r="O24" s="403">
        <f>'[1]март 20'!AU23</f>
        <v>11.19</v>
      </c>
      <c r="P24" s="401">
        <f t="shared" si="0"/>
        <v>183.875</v>
      </c>
      <c r="Q24" s="122">
        <f>'[1]март 20'!S23</f>
        <v>183.875</v>
      </c>
      <c r="R24" s="123">
        <f t="shared" si="22"/>
        <v>4.08</v>
      </c>
      <c r="S24" s="129">
        <v>18.54</v>
      </c>
      <c r="T24" s="125">
        <f t="shared" si="1"/>
        <v>176.37290000000002</v>
      </c>
      <c r="U24" s="147">
        <f t="shared" si="2"/>
        <v>1.3474894949957983</v>
      </c>
      <c r="V24" s="130">
        <v>130.88999999999999</v>
      </c>
      <c r="W24" s="130">
        <v>98.26</v>
      </c>
      <c r="X24" s="129">
        <v>0.78</v>
      </c>
      <c r="Y24" s="150">
        <v>514</v>
      </c>
      <c r="Z24" s="150">
        <v>1170</v>
      </c>
      <c r="AA24" s="148" t="s">
        <v>187</v>
      </c>
      <c r="AB24" s="149">
        <v>76.260000000000005</v>
      </c>
      <c r="AC24" s="150">
        <v>121</v>
      </c>
      <c r="AD24" s="151">
        <v>4</v>
      </c>
      <c r="AE24" s="149">
        <v>7.55</v>
      </c>
      <c r="AF24" s="134">
        <f t="shared" si="3"/>
        <v>57.682023072809237</v>
      </c>
      <c r="AG24" s="152"/>
      <c r="AH24" s="129">
        <v>101.9</v>
      </c>
      <c r="AI24" s="134">
        <f t="shared" si="4"/>
        <v>778.51631140652466</v>
      </c>
      <c r="AJ24" s="153">
        <v>13.4</v>
      </c>
      <c r="AK24" s="154"/>
      <c r="AL24" s="155">
        <v>8.24</v>
      </c>
      <c r="AM24" s="156">
        <v>35.75</v>
      </c>
      <c r="AN24" s="126">
        <f t="shared" si="23"/>
        <v>0.20611127125972903</v>
      </c>
      <c r="AO24" s="157" t="s">
        <v>181</v>
      </c>
      <c r="AP24" s="156">
        <v>7.74</v>
      </c>
      <c r="AQ24" s="156">
        <v>6.64</v>
      </c>
      <c r="AR24" s="151"/>
      <c r="AS24" s="149">
        <v>8.25</v>
      </c>
      <c r="AT24" s="149">
        <v>173.45</v>
      </c>
      <c r="AU24" s="149">
        <v>1.43</v>
      </c>
      <c r="AV24" s="164"/>
      <c r="AW24" s="149"/>
      <c r="AX24" s="158">
        <f t="shared" si="5"/>
        <v>0</v>
      </c>
      <c r="AY24" s="125">
        <f t="shared" si="6"/>
        <v>130.88999999999999</v>
      </c>
      <c r="AZ24" s="125">
        <f t="shared" si="29"/>
        <v>133.28940526598362</v>
      </c>
      <c r="BA24" s="159">
        <f t="shared" si="7"/>
        <v>6.512271126760564</v>
      </c>
      <c r="BB24" s="160">
        <f t="shared" si="8"/>
        <v>5.2355999999999998</v>
      </c>
      <c r="BC24" s="161">
        <f t="shared" si="9"/>
        <v>0.8711887410710647</v>
      </c>
      <c r="BD24" s="160">
        <f t="shared" si="24"/>
        <v>11.747871126760565</v>
      </c>
      <c r="BE24" s="162">
        <v>0.84899999999999998</v>
      </c>
      <c r="BF24" s="25">
        <f t="shared" si="25"/>
        <v>2139.9699999999998</v>
      </c>
      <c r="BG24" s="25">
        <f t="shared" si="10"/>
        <v>124.19354838709677</v>
      </c>
      <c r="BH24" s="25">
        <f t="shared" si="26"/>
        <v>2235.4838709677424</v>
      </c>
      <c r="BI24" s="26">
        <f t="shared" si="11"/>
        <v>1</v>
      </c>
      <c r="BJ24" s="37">
        <f t="shared" si="27"/>
        <v>2235.4838709677424</v>
      </c>
      <c r="BK24" s="38"/>
      <c r="BL24" s="31">
        <v>242.07</v>
      </c>
      <c r="BM24" s="31"/>
      <c r="BN24" s="234">
        <v>60.499000000000002</v>
      </c>
      <c r="BO24" s="42"/>
      <c r="BP24" s="40"/>
      <c r="BQ24" s="411"/>
      <c r="BR24" s="33"/>
      <c r="BS24" s="34">
        <v>1.52</v>
      </c>
      <c r="BT24" s="35"/>
      <c r="BU24" s="35"/>
      <c r="BV24" s="235"/>
      <c r="BW24" s="235"/>
      <c r="BX24" s="36"/>
      <c r="BY24" s="33"/>
      <c r="BZ24" s="34">
        <v>36.950000000000003</v>
      </c>
      <c r="CA24" s="35"/>
      <c r="CB24" s="405">
        <v>43.87</v>
      </c>
      <c r="CC24" s="404"/>
      <c r="CD24" s="235"/>
      <c r="CE24" s="413"/>
      <c r="CF24" s="30">
        <v>183.875</v>
      </c>
      <c r="CG24" s="30"/>
      <c r="CH24" s="31"/>
      <c r="CI24" s="32"/>
      <c r="CJ24" s="33">
        <v>4.08</v>
      </c>
      <c r="CK24" s="33"/>
      <c r="CL24" s="35"/>
      <c r="CM24" s="36"/>
      <c r="CN24" s="286"/>
      <c r="CO24" s="249">
        <f t="shared" si="30"/>
        <v>0</v>
      </c>
      <c r="CP24" s="12">
        <f t="shared" si="30"/>
        <v>238.390536</v>
      </c>
      <c r="CQ24" s="12">
        <f t="shared" si="30"/>
        <v>0</v>
      </c>
      <c r="CR24" s="12">
        <f t="shared" si="30"/>
        <v>60.499000000000002</v>
      </c>
      <c r="CS24" s="11">
        <f t="shared" si="30"/>
        <v>0</v>
      </c>
      <c r="CT24" s="11">
        <f t="shared" si="30"/>
        <v>0</v>
      </c>
      <c r="CU24" s="272">
        <f t="shared" si="30"/>
        <v>0</v>
      </c>
      <c r="CV24" s="249">
        <f t="shared" si="13"/>
        <v>176.37290000000002</v>
      </c>
      <c r="CW24" s="12">
        <f t="shared" si="13"/>
        <v>0</v>
      </c>
      <c r="CX24" s="249">
        <f t="shared" si="13"/>
        <v>0</v>
      </c>
      <c r="CY24" s="272">
        <f t="shared" si="13"/>
        <v>0</v>
      </c>
      <c r="CZ24" s="13"/>
      <c r="DA24" s="240">
        <f>(D24+'[2]март 20 '!D24)/(AY24+'[2]март 20 '!AX24)</f>
        <v>2.2712715475735576</v>
      </c>
      <c r="DB24" s="241">
        <f>(T24+'[2]март 20 '!R24)/(AY24+'[2]март 20 '!AX24)</f>
        <v>1.3540392488672963</v>
      </c>
      <c r="DD24" s="292">
        <f t="shared" si="14"/>
        <v>11.84</v>
      </c>
      <c r="DE24" s="291">
        <v>0.28000000000000003</v>
      </c>
      <c r="DF24" s="291">
        <v>13.74</v>
      </c>
      <c r="DG24" s="145">
        <f t="shared" si="15"/>
        <v>11.806847999999999</v>
      </c>
      <c r="DH24" s="293">
        <f t="shared" si="28"/>
        <v>2.1272763115656961</v>
      </c>
      <c r="DJ24" s="322"/>
    </row>
    <row r="25" spans="1:114" s="76" customFormat="1" ht="16.5" customHeight="1" thickBot="1">
      <c r="A25" s="144">
        <v>19</v>
      </c>
      <c r="B25" s="122">
        <f>'[1]март 20'!K24</f>
        <v>310.31</v>
      </c>
      <c r="C25" s="123">
        <f t="shared" si="16"/>
        <v>1.2401948051948053</v>
      </c>
      <c r="D25" s="145">
        <f t="shared" si="17"/>
        <v>306.46155149999998</v>
      </c>
      <c r="E25" s="125">
        <f t="shared" si="18"/>
        <v>39.10126351068287</v>
      </c>
      <c r="F25" s="146">
        <f t="shared" si="19"/>
        <v>2.3139652031108424</v>
      </c>
      <c r="G25" s="127">
        <v>32.619999999999997</v>
      </c>
      <c r="H25" s="126">
        <f t="shared" si="20"/>
        <v>1.8456550249169437</v>
      </c>
      <c r="I25" s="230">
        <f>'[1]июль 20'!AI24</f>
        <v>0</v>
      </c>
      <c r="J25" s="247">
        <f>'[1]март 20'!AA24</f>
        <v>12.141</v>
      </c>
      <c r="K25" s="276">
        <f>'[1]сентябрь 20'!AM24</f>
        <v>0</v>
      </c>
      <c r="L25" s="122">
        <f>'[1]март 20'!AE24</f>
        <v>62.023000000000003</v>
      </c>
      <c r="M25" s="128">
        <f t="shared" si="21"/>
        <v>0.46831017819389914</v>
      </c>
      <c r="N25" s="400">
        <f>'[1]март 20'!W24</f>
        <v>0</v>
      </c>
      <c r="O25" s="403">
        <f>'[1]март 20'!AU24</f>
        <v>9.9580000000000002</v>
      </c>
      <c r="P25" s="401">
        <f t="shared" si="0"/>
        <v>186.00299999999999</v>
      </c>
      <c r="Q25" s="122">
        <f>'[1]март 20'!S24</f>
        <v>186.00299999999999</v>
      </c>
      <c r="R25" s="123">
        <f>IF(Q25=0,0,(CI25*CM25+CG25*CK25+CH25*CL25+CF25*CJ25)/Q25)</f>
        <v>3.96</v>
      </c>
      <c r="S25" s="129">
        <v>11.92</v>
      </c>
      <c r="T25" s="125">
        <f t="shared" si="1"/>
        <v>178.63728119999999</v>
      </c>
      <c r="U25" s="147">
        <f t="shared" si="2"/>
        <v>1.3488166807610993</v>
      </c>
      <c r="V25" s="130">
        <v>132.44</v>
      </c>
      <c r="W25" s="130">
        <v>102.23</v>
      </c>
      <c r="X25" s="129">
        <v>0.5</v>
      </c>
      <c r="Y25" s="150">
        <v>495</v>
      </c>
      <c r="Z25" s="150">
        <v>1188</v>
      </c>
      <c r="AA25" s="148" t="s">
        <v>159</v>
      </c>
      <c r="AB25" s="149">
        <v>76.040000000000006</v>
      </c>
      <c r="AC25" s="150">
        <v>124</v>
      </c>
      <c r="AD25" s="151">
        <v>4</v>
      </c>
      <c r="AE25" s="149">
        <v>7.15</v>
      </c>
      <c r="AF25" s="134">
        <f t="shared" si="3"/>
        <v>53.98671096345516</v>
      </c>
      <c r="AG25" s="152"/>
      <c r="AH25" s="129">
        <v>110.45</v>
      </c>
      <c r="AI25" s="134">
        <f t="shared" si="4"/>
        <v>833.96254907882815</v>
      </c>
      <c r="AJ25" s="136">
        <v>10.78</v>
      </c>
      <c r="AK25" s="154"/>
      <c r="AL25" s="155">
        <v>7.43</v>
      </c>
      <c r="AM25" s="156">
        <v>34.67</v>
      </c>
      <c r="AN25" s="126">
        <f t="shared" si="23"/>
        <v>0.20203962703962705</v>
      </c>
      <c r="AO25" s="157" t="s">
        <v>199</v>
      </c>
      <c r="AP25" s="156">
        <v>7.12</v>
      </c>
      <c r="AQ25" s="156">
        <v>6.53</v>
      </c>
      <c r="AR25" s="152"/>
      <c r="AS25" s="149">
        <v>11.71</v>
      </c>
      <c r="AT25" s="149">
        <v>171.6</v>
      </c>
      <c r="AU25" s="149">
        <v>2.94</v>
      </c>
      <c r="AV25" s="164"/>
      <c r="AW25" s="149"/>
      <c r="AX25" s="158">
        <f t="shared" si="5"/>
        <v>0</v>
      </c>
      <c r="AY25" s="125">
        <f t="shared" si="6"/>
        <v>132.44</v>
      </c>
      <c r="AZ25" s="125">
        <f t="shared" si="29"/>
        <v>139.67523527242562</v>
      </c>
      <c r="BA25" s="159">
        <f t="shared" si="7"/>
        <v>10.019059507042254</v>
      </c>
      <c r="BB25" s="160">
        <f t="shared" si="8"/>
        <v>5.2976000000000001</v>
      </c>
      <c r="BC25" s="161">
        <f t="shared" si="9"/>
        <v>0.84041635031081208</v>
      </c>
      <c r="BD25" s="160">
        <f t="shared" si="24"/>
        <v>15.316659507042253</v>
      </c>
      <c r="BE25" s="162">
        <v>0.84899999999999998</v>
      </c>
      <c r="BF25" s="25">
        <f t="shared" si="25"/>
        <v>2272.41</v>
      </c>
      <c r="BG25" s="25">
        <f t="shared" si="10"/>
        <v>124.19354838709677</v>
      </c>
      <c r="BH25" s="25">
        <f t="shared" si="26"/>
        <v>2359.677419354839</v>
      </c>
      <c r="BI25" s="26">
        <f t="shared" si="11"/>
        <v>1</v>
      </c>
      <c r="BJ25" s="37">
        <f t="shared" si="27"/>
        <v>2359.677419354839</v>
      </c>
      <c r="BK25" s="38"/>
      <c r="BL25" s="31">
        <v>248.28700000000001</v>
      </c>
      <c r="BM25" s="31"/>
      <c r="BN25" s="234">
        <v>62.023000000000003</v>
      </c>
      <c r="BO25" s="42"/>
      <c r="BP25" s="40"/>
      <c r="BQ25" s="411"/>
      <c r="BR25" s="33"/>
      <c r="BS25" s="34">
        <v>1.55</v>
      </c>
      <c r="BT25" s="35"/>
      <c r="BU25" s="35"/>
      <c r="BV25" s="235"/>
      <c r="BW25" s="235"/>
      <c r="BX25" s="36"/>
      <c r="BY25" s="33"/>
      <c r="BZ25" s="34">
        <v>37.93</v>
      </c>
      <c r="CA25" s="35"/>
      <c r="CB25" s="405">
        <v>43.79</v>
      </c>
      <c r="CC25" s="404"/>
      <c r="CD25" s="235"/>
      <c r="CE25" s="413"/>
      <c r="CF25" s="30">
        <v>186.00299999999999</v>
      </c>
      <c r="CG25" s="30"/>
      <c r="CH25" s="31"/>
      <c r="CI25" s="32"/>
      <c r="CJ25" s="33">
        <v>3.96</v>
      </c>
      <c r="CK25" s="33"/>
      <c r="CL25" s="35"/>
      <c r="CM25" s="36"/>
      <c r="CN25" s="286"/>
      <c r="CO25" s="249">
        <f t="shared" si="30"/>
        <v>0</v>
      </c>
      <c r="CP25" s="12">
        <f t="shared" si="30"/>
        <v>244.43855150000002</v>
      </c>
      <c r="CQ25" s="12">
        <f t="shared" si="30"/>
        <v>0</v>
      </c>
      <c r="CR25" s="12">
        <f t="shared" si="30"/>
        <v>62.023000000000003</v>
      </c>
      <c r="CS25" s="11">
        <f t="shared" si="30"/>
        <v>0</v>
      </c>
      <c r="CT25" s="11">
        <f t="shared" si="30"/>
        <v>0</v>
      </c>
      <c r="CU25" s="272">
        <f t="shared" si="30"/>
        <v>0</v>
      </c>
      <c r="CV25" s="249">
        <f t="shared" si="13"/>
        <v>178.63728119999999</v>
      </c>
      <c r="CW25" s="251">
        <f t="shared" si="13"/>
        <v>0</v>
      </c>
      <c r="CX25" s="249">
        <f t="shared" si="13"/>
        <v>0</v>
      </c>
      <c r="CY25" s="272">
        <f t="shared" si="13"/>
        <v>0</v>
      </c>
      <c r="CZ25" s="13"/>
      <c r="DA25" s="240">
        <f>(D25+'[2]март 20 '!D25)/(AY25+'[2]март 20 '!AX25)</f>
        <v>2.391010088274117</v>
      </c>
      <c r="DB25" s="241">
        <f>(T25+'[2]март 20 '!R25)/(AY25+'[2]март 20 '!AX25)</f>
        <v>1.3988485348146518</v>
      </c>
      <c r="DD25" s="292">
        <f t="shared" si="14"/>
        <v>12.141</v>
      </c>
      <c r="DE25" s="291">
        <v>0.34</v>
      </c>
      <c r="DF25" s="291">
        <v>13.2</v>
      </c>
      <c r="DG25" s="145">
        <f t="shared" si="15"/>
        <v>12.099720599999999</v>
      </c>
      <c r="DH25" s="293">
        <f t="shared" si="28"/>
        <v>2.100424933193056</v>
      </c>
      <c r="DJ25" s="322"/>
    </row>
    <row r="26" spans="1:114" s="76" customFormat="1" ht="16.5" customHeight="1" thickBot="1">
      <c r="A26" s="144">
        <v>20</v>
      </c>
      <c r="B26" s="122">
        <f>'[1]март 20'!K25</f>
        <v>302.654</v>
      </c>
      <c r="C26" s="123">
        <f t="shared" si="16"/>
        <v>2.6481946711426252</v>
      </c>
      <c r="D26" s="145">
        <f t="shared" si="17"/>
        <v>294.63913289999999</v>
      </c>
      <c r="E26" s="125">
        <f t="shared" si="18"/>
        <v>39.023657708141968</v>
      </c>
      <c r="F26" s="146">
        <f t="shared" si="19"/>
        <v>2.1738168282425852</v>
      </c>
      <c r="G26" s="127">
        <v>12.72</v>
      </c>
      <c r="H26" s="126">
        <f t="shared" si="20"/>
        <v>1.7273582182381584</v>
      </c>
      <c r="I26" s="230">
        <f>'[1]июль 20'!AI25</f>
        <v>0</v>
      </c>
      <c r="J26" s="247">
        <f>'[1]март 20'!AA25</f>
        <v>12.48</v>
      </c>
      <c r="K26" s="276">
        <f>'[1]сентябрь 20'!AM25</f>
        <v>0</v>
      </c>
      <c r="L26" s="122">
        <f>'[1]март 20'!AE25</f>
        <v>60.512999999999998</v>
      </c>
      <c r="M26" s="128">
        <f t="shared" si="21"/>
        <v>0.44645861000442677</v>
      </c>
      <c r="N26" s="400">
        <f>'[1]март 20'!W25</f>
        <v>0</v>
      </c>
      <c r="O26" s="403">
        <f>'[1]март 20'!AU25</f>
        <v>10.301</v>
      </c>
      <c r="P26" s="401">
        <f t="shared" si="0"/>
        <v>180.774</v>
      </c>
      <c r="Q26" s="122">
        <f>'[1]март 20'!S25</f>
        <v>180.7741</v>
      </c>
      <c r="R26" s="123">
        <f t="shared" si="22"/>
        <v>3.9699978038889419</v>
      </c>
      <c r="S26" s="129">
        <v>7.67</v>
      </c>
      <c r="T26" s="125">
        <f t="shared" si="1"/>
        <v>173.5973722</v>
      </c>
      <c r="U26" s="147">
        <f t="shared" si="2"/>
        <v>1.2807833274310167</v>
      </c>
      <c r="V26" s="169">
        <v>135.54</v>
      </c>
      <c r="W26" s="169">
        <v>103.21</v>
      </c>
      <c r="X26" s="170">
        <v>0.48</v>
      </c>
      <c r="Y26" s="166">
        <v>498</v>
      </c>
      <c r="Z26" s="166">
        <v>1189</v>
      </c>
      <c r="AA26" s="148" t="s">
        <v>130</v>
      </c>
      <c r="AB26" s="164">
        <v>76.260000000000005</v>
      </c>
      <c r="AC26" s="166">
        <v>121</v>
      </c>
      <c r="AD26" s="171">
        <v>4</v>
      </c>
      <c r="AE26" s="164">
        <v>6.85</v>
      </c>
      <c r="AF26" s="172">
        <f t="shared" si="3"/>
        <v>50.538586395160102</v>
      </c>
      <c r="AG26" s="173"/>
      <c r="AH26" s="170">
        <v>116.2</v>
      </c>
      <c r="AI26" s="134">
        <f t="shared" si="4"/>
        <v>857.31149476169401</v>
      </c>
      <c r="AJ26" s="174">
        <v>11.83</v>
      </c>
      <c r="AK26" s="175"/>
      <c r="AL26" s="176">
        <v>5.48</v>
      </c>
      <c r="AM26" s="177">
        <v>35.71</v>
      </c>
      <c r="AN26" s="126">
        <f t="shared" si="23"/>
        <v>0.20528887611382582</v>
      </c>
      <c r="AO26" s="178" t="s">
        <v>216</v>
      </c>
      <c r="AP26" s="177">
        <v>6.89</v>
      </c>
      <c r="AQ26" s="177">
        <v>6.32</v>
      </c>
      <c r="AR26" s="171"/>
      <c r="AS26" s="164">
        <v>13.53</v>
      </c>
      <c r="AT26" s="149">
        <v>173.95</v>
      </c>
      <c r="AU26" s="164">
        <v>2.78</v>
      </c>
      <c r="AV26" s="164"/>
      <c r="AW26" s="164"/>
      <c r="AX26" s="179">
        <f t="shared" si="5"/>
        <v>0</v>
      </c>
      <c r="AY26" s="125">
        <f t="shared" si="6"/>
        <v>135.54</v>
      </c>
      <c r="AZ26" s="125">
        <f t="shared" si="29"/>
        <v>135.06055381929917</v>
      </c>
      <c r="BA26" s="159">
        <f t="shared" si="7"/>
        <v>12.178905633802817</v>
      </c>
      <c r="BB26" s="159">
        <f t="shared" si="8"/>
        <v>5.4215999999999998</v>
      </c>
      <c r="BC26" s="180">
        <f t="shared" si="9"/>
        <v>0.89897141163451499</v>
      </c>
      <c r="BD26" s="159">
        <f t="shared" si="24"/>
        <v>17.600505633802818</v>
      </c>
      <c r="BE26" s="167">
        <v>0.85199999999999998</v>
      </c>
      <c r="BF26" s="25">
        <f t="shared" si="25"/>
        <v>2407.9499999999998</v>
      </c>
      <c r="BG26" s="25">
        <f t="shared" si="10"/>
        <v>124.19354838709677</v>
      </c>
      <c r="BH26" s="25">
        <f t="shared" si="26"/>
        <v>2483.8709677419356</v>
      </c>
      <c r="BI26" s="26">
        <f t="shared" si="11"/>
        <v>1</v>
      </c>
      <c r="BJ26" s="37">
        <f t="shared" si="27"/>
        <v>2483.8709677419356</v>
      </c>
      <c r="BK26" s="38"/>
      <c r="BL26" s="43">
        <v>242.14099999999999</v>
      </c>
      <c r="BM26" s="31"/>
      <c r="BN26" s="406">
        <v>60.512999999999998</v>
      </c>
      <c r="BO26" s="42"/>
      <c r="BP26" s="40"/>
      <c r="BQ26" s="412"/>
      <c r="BR26" s="33"/>
      <c r="BS26" s="34">
        <v>3.31</v>
      </c>
      <c r="BT26" s="35"/>
      <c r="BU26" s="35"/>
      <c r="BV26" s="235"/>
      <c r="BW26" s="235"/>
      <c r="BX26" s="36"/>
      <c r="BY26" s="33"/>
      <c r="BZ26" s="34">
        <v>37.86</v>
      </c>
      <c r="CA26" s="35"/>
      <c r="CB26" s="405">
        <v>43.68</v>
      </c>
      <c r="CC26" s="404"/>
      <c r="CD26" s="235"/>
      <c r="CE26" s="413"/>
      <c r="CF26" s="30">
        <v>180.774</v>
      </c>
      <c r="CG26" s="30"/>
      <c r="CH26" s="43"/>
      <c r="CI26" s="32"/>
      <c r="CJ26" s="33">
        <v>3.97</v>
      </c>
      <c r="CK26" s="33"/>
      <c r="CL26" s="35"/>
      <c r="CM26" s="36"/>
      <c r="CN26" s="286"/>
      <c r="CO26" s="249">
        <f t="shared" si="30"/>
        <v>0</v>
      </c>
      <c r="CP26" s="12">
        <f t="shared" si="30"/>
        <v>234.12613289999999</v>
      </c>
      <c r="CQ26" s="12">
        <f t="shared" si="30"/>
        <v>0</v>
      </c>
      <c r="CR26" s="12">
        <f t="shared" si="30"/>
        <v>60.512999999999998</v>
      </c>
      <c r="CS26" s="11">
        <f t="shared" si="30"/>
        <v>0</v>
      </c>
      <c r="CT26" s="11">
        <f t="shared" si="30"/>
        <v>0</v>
      </c>
      <c r="CU26" s="272">
        <f t="shared" si="30"/>
        <v>0</v>
      </c>
      <c r="CV26" s="249">
        <f t="shared" si="13"/>
        <v>173.59727220000002</v>
      </c>
      <c r="CW26" s="12">
        <f t="shared" si="13"/>
        <v>0</v>
      </c>
      <c r="CX26" s="249">
        <f t="shared" si="13"/>
        <v>0</v>
      </c>
      <c r="CY26" s="274">
        <f t="shared" si="13"/>
        <v>0</v>
      </c>
      <c r="CZ26" s="13"/>
      <c r="DA26" s="240">
        <f>(D26+'[2]март 20 '!D26)/(AY26+'[2]март 20 '!AX26)</f>
        <v>2.2290027309181415</v>
      </c>
      <c r="DB26" s="241">
        <f>(T26+'[2]март 20 '!R26)/(AY26+'[2]март 20 '!AX26)</f>
        <v>1.3148710514380533</v>
      </c>
      <c r="DD26" s="292">
        <f t="shared" si="14"/>
        <v>12.48</v>
      </c>
      <c r="DE26" s="291">
        <v>0.2</v>
      </c>
      <c r="DF26" s="291">
        <v>21.04</v>
      </c>
      <c r="DG26" s="145">
        <f t="shared" si="15"/>
        <v>12.45504</v>
      </c>
      <c r="DH26" s="293">
        <f t="shared" si="28"/>
        <v>3.4363236506687649</v>
      </c>
      <c r="DJ26" s="322"/>
    </row>
    <row r="27" spans="1:114" s="76" customFormat="1" ht="16.5" customHeight="1" thickBot="1">
      <c r="A27" s="144">
        <v>21</v>
      </c>
      <c r="B27" s="122">
        <f>'[1]март 20'!K26</f>
        <v>310.30500000000001</v>
      </c>
      <c r="C27" s="123">
        <f t="shared" si="16"/>
        <v>2.6003351541225568</v>
      </c>
      <c r="D27" s="145">
        <f t="shared" si="17"/>
        <v>302.23603000000003</v>
      </c>
      <c r="E27" s="125">
        <f t="shared" si="18"/>
        <v>39.429443128534828</v>
      </c>
      <c r="F27" s="146">
        <f t="shared" si="19"/>
        <v>2.5283254977413421</v>
      </c>
      <c r="G27" s="127">
        <v>14.98</v>
      </c>
      <c r="H27" s="126">
        <f t="shared" si="20"/>
        <v>2.0094280575539569</v>
      </c>
      <c r="I27" s="230">
        <f>'[1]июль 20'!AI26</f>
        <v>0</v>
      </c>
      <c r="J27" s="247">
        <f>'[1]март 20'!AA26</f>
        <v>12.714</v>
      </c>
      <c r="K27" s="276">
        <f>'[1]сентябрь 20'!AM26</f>
        <v>0</v>
      </c>
      <c r="L27" s="122">
        <f>'[1]март 20'!AE26</f>
        <v>62.029000000000003</v>
      </c>
      <c r="M27" s="128">
        <f t="shared" si="21"/>
        <v>0.51889744018738504</v>
      </c>
      <c r="N27" s="400">
        <f>'[1]март 20'!W26</f>
        <v>0</v>
      </c>
      <c r="O27" s="403">
        <f>'[1]март 20'!AU26</f>
        <v>10.11</v>
      </c>
      <c r="P27" s="401">
        <f t="shared" si="0"/>
        <v>185.31299999999999</v>
      </c>
      <c r="Q27" s="122">
        <f>'[1]март 20'!S26</f>
        <v>185.31299999999999</v>
      </c>
      <c r="R27" s="123">
        <f t="shared" si="22"/>
        <v>4.12</v>
      </c>
      <c r="S27" s="129">
        <v>8.68</v>
      </c>
      <c r="T27" s="125">
        <f t="shared" si="1"/>
        <v>177.6781044</v>
      </c>
      <c r="U27" s="147">
        <f t="shared" si="2"/>
        <v>1.4863485394010374</v>
      </c>
      <c r="V27" s="130">
        <v>119.54</v>
      </c>
      <c r="W27" s="130">
        <v>119.54</v>
      </c>
      <c r="X27" s="129">
        <v>0.72</v>
      </c>
      <c r="Y27" s="150">
        <v>519</v>
      </c>
      <c r="Z27" s="150">
        <v>1192</v>
      </c>
      <c r="AA27" s="148" t="s">
        <v>122</v>
      </c>
      <c r="AB27" s="149">
        <v>76.37</v>
      </c>
      <c r="AC27" s="150">
        <v>124</v>
      </c>
      <c r="AD27" s="151">
        <v>4</v>
      </c>
      <c r="AE27" s="149">
        <v>11.1</v>
      </c>
      <c r="AF27" s="134">
        <f t="shared" si="3"/>
        <v>92.85594779989961</v>
      </c>
      <c r="AG27" s="152"/>
      <c r="AH27" s="129">
        <v>86.05</v>
      </c>
      <c r="AI27" s="134">
        <f t="shared" si="4"/>
        <v>719.84273046678936</v>
      </c>
      <c r="AJ27" s="136">
        <v>16.55</v>
      </c>
      <c r="AK27" s="154"/>
      <c r="AL27" s="155">
        <v>4.87</v>
      </c>
      <c r="AM27" s="156">
        <v>36.520000000000003</v>
      </c>
      <c r="AN27" s="126">
        <f t="shared" si="23"/>
        <v>0.22983008181246067</v>
      </c>
      <c r="AO27" s="157" t="s">
        <v>204</v>
      </c>
      <c r="AP27" s="156">
        <v>7.73</v>
      </c>
      <c r="AQ27" s="156">
        <v>6.6</v>
      </c>
      <c r="AR27" s="151"/>
      <c r="AS27" s="149">
        <v>7.58</v>
      </c>
      <c r="AT27" s="149">
        <v>158.9</v>
      </c>
      <c r="AU27" s="149">
        <v>2.0299999999999998</v>
      </c>
      <c r="AV27" s="164"/>
      <c r="AW27" s="149"/>
      <c r="AX27" s="158">
        <f t="shared" si="5"/>
        <v>0</v>
      </c>
      <c r="AY27" s="125">
        <f t="shared" si="6"/>
        <v>119.53999999999999</v>
      </c>
      <c r="AZ27" s="125">
        <f t="shared" si="29"/>
        <v>139.03882883503593</v>
      </c>
      <c r="BA27" s="159">
        <f t="shared" si="7"/>
        <v>5.0527105633802814</v>
      </c>
      <c r="BB27" s="160">
        <f t="shared" si="8"/>
        <v>4.7816000000000001</v>
      </c>
      <c r="BC27" s="161">
        <f t="shared" si="9"/>
        <v>0.76607124773074464</v>
      </c>
      <c r="BD27" s="160">
        <f t="shared" si="24"/>
        <v>9.8343105633802814</v>
      </c>
      <c r="BE27" s="162">
        <v>0.84699999999999998</v>
      </c>
      <c r="BF27" s="25">
        <f t="shared" si="25"/>
        <v>2527.4899999999998</v>
      </c>
      <c r="BG27" s="25">
        <f t="shared" si="10"/>
        <v>124.19354838709677</v>
      </c>
      <c r="BH27" s="25">
        <f t="shared" si="26"/>
        <v>2608.0645161290322</v>
      </c>
      <c r="BI27" s="26">
        <f t="shared" si="11"/>
        <v>1</v>
      </c>
      <c r="BJ27" s="37">
        <f t="shared" si="27"/>
        <v>2608.0645161290322</v>
      </c>
      <c r="BK27" s="38"/>
      <c r="BL27" s="31">
        <v>248.27600000000001</v>
      </c>
      <c r="BM27" s="31"/>
      <c r="BN27" s="234">
        <v>62.029000000000003</v>
      </c>
      <c r="BO27" s="42"/>
      <c r="BP27" s="40"/>
      <c r="BQ27" s="411"/>
      <c r="BR27" s="33"/>
      <c r="BS27" s="34">
        <v>3.25</v>
      </c>
      <c r="BT27" s="35"/>
      <c r="BU27" s="35"/>
      <c r="BV27" s="235"/>
      <c r="BW27" s="235"/>
      <c r="BX27" s="36"/>
      <c r="BY27" s="33"/>
      <c r="BZ27" s="34">
        <v>38.35</v>
      </c>
      <c r="CA27" s="35"/>
      <c r="CB27" s="405">
        <v>43.75</v>
      </c>
      <c r="CC27" s="404"/>
      <c r="CD27" s="235"/>
      <c r="CE27" s="413"/>
      <c r="CF27" s="30">
        <v>185.31299999999999</v>
      </c>
      <c r="CG27" s="30"/>
      <c r="CH27" s="31"/>
      <c r="CI27" s="32"/>
      <c r="CJ27" s="33">
        <v>4.12</v>
      </c>
      <c r="CK27" s="33"/>
      <c r="CL27" s="35"/>
      <c r="CM27" s="36"/>
      <c r="CN27" s="286"/>
      <c r="CO27" s="249">
        <f t="shared" si="30"/>
        <v>0</v>
      </c>
      <c r="CP27" s="12">
        <f t="shared" si="30"/>
        <v>240.20703</v>
      </c>
      <c r="CQ27" s="12">
        <f t="shared" si="30"/>
        <v>0</v>
      </c>
      <c r="CR27" s="12">
        <f t="shared" si="30"/>
        <v>62.029000000000003</v>
      </c>
      <c r="CS27" s="11">
        <f t="shared" si="30"/>
        <v>0</v>
      </c>
      <c r="CT27" s="11">
        <f t="shared" si="30"/>
        <v>0</v>
      </c>
      <c r="CU27" s="272">
        <f t="shared" si="30"/>
        <v>0</v>
      </c>
      <c r="CV27" s="249">
        <f t="shared" si="13"/>
        <v>177.6781044</v>
      </c>
      <c r="CW27" s="11">
        <f t="shared" si="13"/>
        <v>0</v>
      </c>
      <c r="CX27" s="249">
        <f t="shared" si="13"/>
        <v>0</v>
      </c>
      <c r="CY27" s="272">
        <f t="shared" si="13"/>
        <v>0</v>
      </c>
      <c r="CZ27" s="13"/>
      <c r="DA27" s="240">
        <f>(D27+'[2]март 20 '!D27)/(AY27+'[2]март 20 '!AX27)</f>
        <v>2.4734214302780515</v>
      </c>
      <c r="DB27" s="241">
        <f>(T27+'[2]март 20 '!R27)/(AY27+'[2]март 20 '!AX27)</f>
        <v>1.4606758785055101</v>
      </c>
      <c r="DD27" s="292">
        <f t="shared" si="14"/>
        <v>12.714</v>
      </c>
      <c r="DE27" s="291">
        <v>0.3</v>
      </c>
      <c r="DF27" s="291">
        <v>16.95</v>
      </c>
      <c r="DG27" s="145">
        <f t="shared" si="15"/>
        <v>12.675858</v>
      </c>
      <c r="DH27" s="293">
        <f t="shared" si="28"/>
        <v>2.8133533206756574</v>
      </c>
      <c r="DJ27" s="322"/>
    </row>
    <row r="28" spans="1:114" s="76" customFormat="1" ht="16.5" customHeight="1" thickBot="1">
      <c r="A28" s="144">
        <v>22</v>
      </c>
      <c r="B28" s="122">
        <f>'[1]март 20'!K27</f>
        <v>302.613</v>
      </c>
      <c r="C28" s="123">
        <f t="shared" si="16"/>
        <v>2.6245267718174699</v>
      </c>
      <c r="D28" s="145">
        <f t="shared" si="17"/>
        <v>294.67084080000001</v>
      </c>
      <c r="E28" s="125">
        <f t="shared" si="18"/>
        <v>39.077062089203039</v>
      </c>
      <c r="F28" s="146">
        <f t="shared" si="19"/>
        <v>2.2057851695486188</v>
      </c>
      <c r="G28" s="127">
        <v>14.57</v>
      </c>
      <c r="H28" s="126">
        <f t="shared" si="20"/>
        <v>1.7531015854480125</v>
      </c>
      <c r="I28" s="230">
        <f>'[1]июль 20'!AI27</f>
        <v>0</v>
      </c>
      <c r="J28" s="247">
        <f>'[1]март 20'!AA27</f>
        <v>12.238</v>
      </c>
      <c r="K28" s="276">
        <f>'[1]сентябрь 20'!AM27</f>
        <v>0</v>
      </c>
      <c r="L28" s="122">
        <f>'[1]март 20'!AE27</f>
        <v>60.473999999999997</v>
      </c>
      <c r="M28" s="128">
        <f t="shared" si="21"/>
        <v>0.45268358410060627</v>
      </c>
      <c r="N28" s="400">
        <f>'[1]март 20'!W27</f>
        <v>0</v>
      </c>
      <c r="O28" s="403">
        <f>'[1]март 20'!AU27</f>
        <v>9.8640000000000008</v>
      </c>
      <c r="P28" s="401">
        <f t="shared" si="0"/>
        <v>181.46100000000001</v>
      </c>
      <c r="Q28" s="122">
        <f>'[1]март 20'!S27</f>
        <v>181.46100000000001</v>
      </c>
      <c r="R28" s="123">
        <f t="shared" si="22"/>
        <v>4.1900000000000004</v>
      </c>
      <c r="S28" s="129">
        <v>8.07</v>
      </c>
      <c r="T28" s="125">
        <f t="shared" si="1"/>
        <v>173.85778410000003</v>
      </c>
      <c r="U28" s="147">
        <f t="shared" si="2"/>
        <v>1.3014281315966767</v>
      </c>
      <c r="V28" s="130">
        <v>133.59</v>
      </c>
      <c r="W28" s="130">
        <v>133.59</v>
      </c>
      <c r="X28" s="129">
        <v>0.4</v>
      </c>
      <c r="Y28" s="150">
        <v>500</v>
      </c>
      <c r="Z28" s="150">
        <v>1198</v>
      </c>
      <c r="AA28" s="148" t="s">
        <v>165</v>
      </c>
      <c r="AB28" s="149">
        <v>76.510000000000005</v>
      </c>
      <c r="AC28" s="150">
        <v>121</v>
      </c>
      <c r="AD28" s="151">
        <v>4</v>
      </c>
      <c r="AE28" s="149">
        <v>8.8000000000000007</v>
      </c>
      <c r="AF28" s="134">
        <f t="shared" si="3"/>
        <v>65.873194101354898</v>
      </c>
      <c r="AG28" s="152"/>
      <c r="AH28" s="129">
        <v>118.15</v>
      </c>
      <c r="AI28" s="134">
        <f t="shared" si="4"/>
        <v>884.42248671307732</v>
      </c>
      <c r="AJ28" s="153">
        <v>11.41</v>
      </c>
      <c r="AK28" s="154"/>
      <c r="AL28" s="155">
        <v>4.96</v>
      </c>
      <c r="AM28" s="156">
        <v>36.22</v>
      </c>
      <c r="AN28" s="126">
        <f t="shared" si="23"/>
        <v>0.20888119953863898</v>
      </c>
      <c r="AO28" s="157" t="s">
        <v>217</v>
      </c>
      <c r="AP28" s="156">
        <v>6.82</v>
      </c>
      <c r="AQ28" s="156">
        <v>6.5</v>
      </c>
      <c r="AR28" s="151"/>
      <c r="AS28" s="149">
        <v>12.34</v>
      </c>
      <c r="AT28" s="149">
        <v>173.4</v>
      </c>
      <c r="AU28" s="149">
        <v>1.37</v>
      </c>
      <c r="AV28" s="164"/>
      <c r="AW28" s="149"/>
      <c r="AX28" s="158">
        <f t="shared" si="5"/>
        <v>0</v>
      </c>
      <c r="AY28" s="125">
        <f t="shared" si="6"/>
        <v>133.59</v>
      </c>
      <c r="AZ28" s="125">
        <f t="shared" si="29"/>
        <v>134.1430258388736</v>
      </c>
      <c r="BA28" s="159">
        <f t="shared" si="7"/>
        <v>11.294141549295775</v>
      </c>
      <c r="BB28" s="160">
        <f t="shared" si="8"/>
        <v>5.3436000000000003</v>
      </c>
      <c r="BC28" s="161">
        <f t="shared" si="9"/>
        <v>0.88763227388040677</v>
      </c>
      <c r="BD28" s="160">
        <f t="shared" si="24"/>
        <v>16.637741549295775</v>
      </c>
      <c r="BE28" s="162">
        <v>0.84899999999999998</v>
      </c>
      <c r="BF28" s="25">
        <f t="shared" si="25"/>
        <v>2661.08</v>
      </c>
      <c r="BG28" s="25">
        <f t="shared" si="10"/>
        <v>124.19354838709677</v>
      </c>
      <c r="BH28" s="25">
        <f t="shared" si="26"/>
        <v>2732.2580645161288</v>
      </c>
      <c r="BI28" s="26">
        <f t="shared" si="11"/>
        <v>1</v>
      </c>
      <c r="BJ28" s="37">
        <f t="shared" si="27"/>
        <v>2732.2580645161288</v>
      </c>
      <c r="BK28" s="38"/>
      <c r="BL28" s="31">
        <v>242.13900000000001</v>
      </c>
      <c r="BM28" s="31"/>
      <c r="BN28" s="234">
        <v>60.473999999999997</v>
      </c>
      <c r="BO28" s="42"/>
      <c r="BP28" s="40"/>
      <c r="BQ28" s="411"/>
      <c r="BR28" s="33"/>
      <c r="BS28" s="34">
        <v>3.28</v>
      </c>
      <c r="BT28" s="35"/>
      <c r="BU28" s="35"/>
      <c r="BV28" s="235"/>
      <c r="BW28" s="235"/>
      <c r="BX28" s="36"/>
      <c r="BY28" s="33"/>
      <c r="BZ28" s="34">
        <v>37.909999999999997</v>
      </c>
      <c r="CA28" s="35"/>
      <c r="CB28" s="405">
        <v>43.75</v>
      </c>
      <c r="CC28" s="404"/>
      <c r="CD28" s="235"/>
      <c r="CE28" s="36"/>
      <c r="CF28" s="30">
        <v>181.46100000000001</v>
      </c>
      <c r="CG28" s="30"/>
      <c r="CH28" s="31"/>
      <c r="CI28" s="32"/>
      <c r="CJ28" s="33">
        <v>4.1900000000000004</v>
      </c>
      <c r="CK28" s="33"/>
      <c r="CL28" s="35"/>
      <c r="CM28" s="36"/>
      <c r="CN28" s="286"/>
      <c r="CO28" s="249">
        <f t="shared" si="30"/>
        <v>0</v>
      </c>
      <c r="CP28" s="12">
        <f t="shared" si="30"/>
        <v>234.19684079999999</v>
      </c>
      <c r="CQ28" s="12">
        <f t="shared" si="30"/>
        <v>0</v>
      </c>
      <c r="CR28" s="12">
        <f t="shared" si="30"/>
        <v>60.473999999999997</v>
      </c>
      <c r="CS28" s="11">
        <f t="shared" si="30"/>
        <v>0</v>
      </c>
      <c r="CT28" s="11">
        <f t="shared" si="30"/>
        <v>0</v>
      </c>
      <c r="CU28" s="272">
        <f t="shared" si="30"/>
        <v>0</v>
      </c>
      <c r="CV28" s="249">
        <f t="shared" si="13"/>
        <v>173.85778410000003</v>
      </c>
      <c r="CW28" s="12">
        <f t="shared" si="13"/>
        <v>0</v>
      </c>
      <c r="CX28" s="249">
        <f t="shared" si="13"/>
        <v>0</v>
      </c>
      <c r="CY28" s="272">
        <f t="shared" si="13"/>
        <v>0</v>
      </c>
      <c r="CZ28" s="13"/>
      <c r="DA28" s="240">
        <f>(D28+'[2]март 20 '!D28)/(AY28+'[2]март 20 '!AX28)</f>
        <v>2.1719029349087458</v>
      </c>
      <c r="DB28" s="241">
        <f>(T28+'[2]март 20 '!R28)/(AY28+'[2]март 20 '!AX28)</f>
        <v>1.2835947465449944</v>
      </c>
      <c r="DD28" s="292">
        <f t="shared" si="14"/>
        <v>12.238</v>
      </c>
      <c r="DE28" s="305">
        <v>0.26</v>
      </c>
      <c r="DF28" s="291">
        <v>17.27</v>
      </c>
      <c r="DG28" s="145">
        <f t="shared" si="15"/>
        <v>12.2061812</v>
      </c>
      <c r="DH28" s="293">
        <f t="shared" si="28"/>
        <v>2.755205193098941</v>
      </c>
      <c r="DJ28" s="322"/>
    </row>
    <row r="29" spans="1:114" s="76" customFormat="1" ht="16.5" customHeight="1" thickBot="1">
      <c r="A29" s="144">
        <v>23</v>
      </c>
      <c r="B29" s="122">
        <f>'[1]март 20'!K28</f>
        <v>280.12599999999998</v>
      </c>
      <c r="C29" s="123">
        <f t="shared" si="16"/>
        <v>1.6718895782612111</v>
      </c>
      <c r="D29" s="145">
        <f t="shared" si="17"/>
        <v>275.44260259999999</v>
      </c>
      <c r="E29" s="125">
        <f t="shared" si="18"/>
        <v>38.924315415206017</v>
      </c>
      <c r="F29" s="146">
        <f t="shared" si="19"/>
        <v>2.3635026823408269</v>
      </c>
      <c r="G29" s="127">
        <v>16.100000000000001</v>
      </c>
      <c r="H29" s="126">
        <f t="shared" si="20"/>
        <v>1.8826377432641153</v>
      </c>
      <c r="I29" s="230">
        <f>'[1]июль 20'!AI28</f>
        <v>0</v>
      </c>
      <c r="J29" s="247">
        <f>'[1]март 20'!AA28</f>
        <v>11.39</v>
      </c>
      <c r="K29" s="276">
        <f>'[1]сентябрь 20'!AM28</f>
        <v>0</v>
      </c>
      <c r="L29" s="122">
        <f>'[1]март 20'!AE28</f>
        <v>56.04</v>
      </c>
      <c r="M29" s="128">
        <f t="shared" si="21"/>
        <v>0.48086493907671185</v>
      </c>
      <c r="N29" s="400">
        <f>'[1]март 20'!W28</f>
        <v>0</v>
      </c>
      <c r="O29" s="403">
        <f>'[1]март 20'!AU28</f>
        <v>9.7029999999999994</v>
      </c>
      <c r="P29" s="401">
        <f t="shared" si="0"/>
        <v>172.91200000000001</v>
      </c>
      <c r="Q29" s="122">
        <f>'[1]март 20'!S28</f>
        <v>172.91200000000001</v>
      </c>
      <c r="R29" s="123">
        <f t="shared" si="22"/>
        <v>4.0599999999999996</v>
      </c>
      <c r="S29" s="129">
        <v>4.0999999999999996</v>
      </c>
      <c r="T29" s="125">
        <f t="shared" si="1"/>
        <v>165.89177280000001</v>
      </c>
      <c r="U29" s="147">
        <f t="shared" si="2"/>
        <v>1.4234749682512442</v>
      </c>
      <c r="V29" s="130">
        <v>116.54</v>
      </c>
      <c r="W29" s="130">
        <v>116.54</v>
      </c>
      <c r="X29" s="129">
        <v>0.3</v>
      </c>
      <c r="Y29" s="150">
        <v>516</v>
      </c>
      <c r="Z29" s="150">
        <v>1195</v>
      </c>
      <c r="AA29" s="148" t="s">
        <v>150</v>
      </c>
      <c r="AB29" s="149">
        <v>76.569999999999993</v>
      </c>
      <c r="AC29" s="150">
        <v>113</v>
      </c>
      <c r="AD29" s="151">
        <v>4</v>
      </c>
      <c r="AE29" s="149">
        <v>9.4499999999999993</v>
      </c>
      <c r="AF29" s="134">
        <f t="shared" si="3"/>
        <v>81.088038441736728</v>
      </c>
      <c r="AG29" s="152"/>
      <c r="AH29" s="129">
        <v>96</v>
      </c>
      <c r="AI29" s="134">
        <f t="shared" si="4"/>
        <v>823.75150163034152</v>
      </c>
      <c r="AJ29" s="136">
        <v>15.4</v>
      </c>
      <c r="AK29" s="154"/>
      <c r="AL29" s="155">
        <v>6.17</v>
      </c>
      <c r="AM29" s="156">
        <v>37.5</v>
      </c>
      <c r="AN29" s="126">
        <f t="shared" si="23"/>
        <v>0.23622047244094488</v>
      </c>
      <c r="AO29" s="157" t="s">
        <v>200</v>
      </c>
      <c r="AP29" s="156">
        <v>7.29</v>
      </c>
      <c r="AQ29" s="156">
        <v>6.69</v>
      </c>
      <c r="AR29" s="149"/>
      <c r="AS29" s="149">
        <v>8.91</v>
      </c>
      <c r="AT29" s="149">
        <v>158.75</v>
      </c>
      <c r="AU29" s="149">
        <v>1.46</v>
      </c>
      <c r="AV29" s="164"/>
      <c r="AW29" s="149"/>
      <c r="AX29" s="158">
        <f t="shared" si="5"/>
        <v>0</v>
      </c>
      <c r="AY29" s="125">
        <f t="shared" si="6"/>
        <v>116.54</v>
      </c>
      <c r="AZ29" s="125">
        <f t="shared" si="29"/>
        <v>124.27798123343888</v>
      </c>
      <c r="BA29" s="159">
        <f t="shared" si="7"/>
        <v>6.6260281690140834</v>
      </c>
      <c r="BB29" s="160">
        <f t="shared" si="8"/>
        <v>4.6616</v>
      </c>
      <c r="BC29" s="161">
        <f t="shared" si="9"/>
        <v>0.83230320012904913</v>
      </c>
      <c r="BD29" s="160">
        <f t="shared" si="24"/>
        <v>11.287628169014084</v>
      </c>
      <c r="BE29" s="162">
        <v>0.84799999999999998</v>
      </c>
      <c r="BF29" s="25">
        <f t="shared" si="25"/>
        <v>2777.62</v>
      </c>
      <c r="BG29" s="25">
        <f t="shared" si="10"/>
        <v>124.19354838709677</v>
      </c>
      <c r="BH29" s="25">
        <f t="shared" si="26"/>
        <v>2856.4516129032254</v>
      </c>
      <c r="BI29" s="26">
        <f t="shared" si="11"/>
        <v>1</v>
      </c>
      <c r="BJ29" s="37">
        <f t="shared" si="27"/>
        <v>2856.4516129032254</v>
      </c>
      <c r="BK29" s="328"/>
      <c r="BL29" s="31">
        <v>224.08600000000001</v>
      </c>
      <c r="BM29" s="31"/>
      <c r="BN29" s="31">
        <v>56.04</v>
      </c>
      <c r="BO29" s="40"/>
      <c r="BP29" s="40"/>
      <c r="BQ29" s="32"/>
      <c r="BR29" s="33"/>
      <c r="BS29" s="34">
        <v>2.09</v>
      </c>
      <c r="BT29" s="35"/>
      <c r="BU29" s="35"/>
      <c r="BV29" s="235"/>
      <c r="BW29" s="235"/>
      <c r="BX29" s="36"/>
      <c r="BY29" s="33"/>
      <c r="BZ29" s="34">
        <v>37.729999999999997</v>
      </c>
      <c r="CA29" s="35"/>
      <c r="CB29" s="35">
        <v>43.7</v>
      </c>
      <c r="CC29" s="235"/>
      <c r="CD29" s="235"/>
      <c r="CE29" s="36"/>
      <c r="CF29" s="30">
        <v>172.91200000000001</v>
      </c>
      <c r="CG29" s="30"/>
      <c r="CH29" s="31"/>
      <c r="CI29" s="32"/>
      <c r="CJ29" s="33">
        <v>4.0599999999999996</v>
      </c>
      <c r="CK29" s="33"/>
      <c r="CL29" s="35"/>
      <c r="CM29" s="36"/>
      <c r="CN29" s="286"/>
      <c r="CO29" s="249">
        <f t="shared" si="30"/>
        <v>0</v>
      </c>
      <c r="CP29" s="12">
        <f t="shared" si="30"/>
        <v>219.40260259999999</v>
      </c>
      <c r="CQ29" s="12">
        <f t="shared" si="30"/>
        <v>0</v>
      </c>
      <c r="CR29" s="12">
        <f t="shared" si="30"/>
        <v>56.04</v>
      </c>
      <c r="CS29" s="11">
        <f t="shared" si="30"/>
        <v>0</v>
      </c>
      <c r="CT29" s="11">
        <f t="shared" si="30"/>
        <v>0</v>
      </c>
      <c r="CU29" s="272">
        <f t="shared" si="30"/>
        <v>0</v>
      </c>
      <c r="CV29" s="249">
        <f t="shared" si="13"/>
        <v>165.89177280000001</v>
      </c>
      <c r="CW29" s="12">
        <f t="shared" si="13"/>
        <v>0</v>
      </c>
      <c r="CX29" s="249">
        <f t="shared" si="13"/>
        <v>0</v>
      </c>
      <c r="CY29" s="272">
        <f t="shared" si="13"/>
        <v>0</v>
      </c>
      <c r="CZ29" s="13"/>
      <c r="DA29" s="240">
        <f>(D29+'[2]март 20 '!D29)/(AY29+'[2]март 20 '!AX29)</f>
        <v>2.2820100962973391</v>
      </c>
      <c r="DB29" s="241">
        <f>(T29+'[2]март 20 '!R29)/(AY29+'[2]март 20 '!AX29)</f>
        <v>1.3553196474728986</v>
      </c>
      <c r="DD29" s="292">
        <f t="shared" si="14"/>
        <v>11.39</v>
      </c>
      <c r="DE29" s="291">
        <v>0.21</v>
      </c>
      <c r="DF29" s="291">
        <v>13.74</v>
      </c>
      <c r="DG29" s="145">
        <f t="shared" si="15"/>
        <v>11.366081000000001</v>
      </c>
      <c r="DH29" s="293">
        <f t="shared" si="28"/>
        <v>2.0395710191981196</v>
      </c>
      <c r="DJ29" s="322"/>
    </row>
    <row r="30" spans="1:114" s="76" customFormat="1" ht="16.5" customHeight="1" thickBot="1">
      <c r="A30" s="144">
        <v>24</v>
      </c>
      <c r="B30" s="122">
        <f>'[1]март 20'!K29</f>
        <v>292.85000000000002</v>
      </c>
      <c r="C30" s="123">
        <f t="shared" si="16"/>
        <v>1.8964370155369641</v>
      </c>
      <c r="D30" s="145">
        <f t="shared" si="17"/>
        <v>287.29628420000006</v>
      </c>
      <c r="E30" s="125">
        <f t="shared" si="18"/>
        <v>38.464823561550276</v>
      </c>
      <c r="F30" s="146">
        <f t="shared" si="19"/>
        <v>2.5161699439481522</v>
      </c>
      <c r="G30" s="127">
        <v>11.81</v>
      </c>
      <c r="H30" s="126">
        <f t="shared" si="20"/>
        <v>2.0036808915747062</v>
      </c>
      <c r="I30" s="230">
        <f>'[1]июль 20'!AI29</f>
        <v>0</v>
      </c>
      <c r="J30" s="247">
        <f>'[1]март 20'!AA29</f>
        <v>11.696999999999999</v>
      </c>
      <c r="K30" s="276">
        <f>'[1]сентябрь 20'!AM29</f>
        <v>0</v>
      </c>
      <c r="L30" s="122">
        <f>'[1]март 20'!AE29</f>
        <v>58.515999999999998</v>
      </c>
      <c r="M30" s="128">
        <f t="shared" si="21"/>
        <v>0.51248905237344533</v>
      </c>
      <c r="N30" s="400">
        <f>'[1]март 20'!W29</f>
        <v>0</v>
      </c>
      <c r="O30" s="403">
        <f>'[1]март 20'!AU29</f>
        <v>10.407</v>
      </c>
      <c r="P30" s="401">
        <f t="shared" si="0"/>
        <v>180.137</v>
      </c>
      <c r="Q30" s="122">
        <f>'[1]март 20'!S29</f>
        <v>180.137</v>
      </c>
      <c r="R30" s="123">
        <f t="shared" si="22"/>
        <v>4.34</v>
      </c>
      <c r="S30" s="170">
        <v>10.51</v>
      </c>
      <c r="T30" s="125">
        <f t="shared" si="1"/>
        <v>172.31905420000001</v>
      </c>
      <c r="U30" s="147">
        <f t="shared" si="2"/>
        <v>1.5091877228936765</v>
      </c>
      <c r="V30" s="169">
        <v>114.18</v>
      </c>
      <c r="W30" s="169">
        <v>114.18</v>
      </c>
      <c r="X30" s="170">
        <v>0.36</v>
      </c>
      <c r="Y30" s="166">
        <v>492</v>
      </c>
      <c r="Z30" s="166">
        <v>1178</v>
      </c>
      <c r="AA30" s="148" t="s">
        <v>174</v>
      </c>
      <c r="AB30" s="164">
        <v>77.02</v>
      </c>
      <c r="AC30" s="166">
        <v>117</v>
      </c>
      <c r="AD30" s="171">
        <v>4</v>
      </c>
      <c r="AE30" s="164"/>
      <c r="AF30" s="172">
        <f t="shared" si="3"/>
        <v>0</v>
      </c>
      <c r="AG30" s="173"/>
      <c r="AH30" s="170">
        <v>104.95</v>
      </c>
      <c r="AI30" s="134">
        <f t="shared" si="4"/>
        <v>919.16272552110695</v>
      </c>
      <c r="AJ30" s="174">
        <v>11.92</v>
      </c>
      <c r="AK30" s="175"/>
      <c r="AL30" s="176">
        <v>6.57</v>
      </c>
      <c r="AM30" s="177">
        <v>35.76</v>
      </c>
      <c r="AN30" s="126">
        <f t="shared" si="23"/>
        <v>0.23145631067961164</v>
      </c>
      <c r="AO30" s="178" t="s">
        <v>219</v>
      </c>
      <c r="AP30" s="177">
        <v>7.09</v>
      </c>
      <c r="AQ30" s="177">
        <v>6.61</v>
      </c>
      <c r="AR30" s="171"/>
      <c r="AS30" s="164">
        <v>10.56</v>
      </c>
      <c r="AT30" s="149">
        <v>154.5</v>
      </c>
      <c r="AU30" s="164">
        <v>2.0099999999999998</v>
      </c>
      <c r="AV30" s="164"/>
      <c r="AW30" s="164"/>
      <c r="AX30" s="179">
        <f t="shared" si="5"/>
        <v>0</v>
      </c>
      <c r="AY30" s="125">
        <f t="shared" si="6"/>
        <v>114.18000000000002</v>
      </c>
      <c r="AZ30" s="125">
        <f t="shared" si="29"/>
        <v>128.40459779048911</v>
      </c>
      <c r="BA30" s="159">
        <f t="shared" si="7"/>
        <v>8.5852056338028184</v>
      </c>
      <c r="BB30" s="159">
        <f t="shared" si="8"/>
        <v>4.5672000000000006</v>
      </c>
      <c r="BC30" s="180">
        <f t="shared" si="9"/>
        <v>0.79579242212292089</v>
      </c>
      <c r="BD30" s="159">
        <f t="shared" si="24"/>
        <v>13.152405633802818</v>
      </c>
      <c r="BE30" s="167">
        <v>0.84599999999999997</v>
      </c>
      <c r="BF30" s="25">
        <f t="shared" si="25"/>
        <v>2891.7999999999997</v>
      </c>
      <c r="BG30" s="25">
        <f t="shared" si="10"/>
        <v>124.19354838709677</v>
      </c>
      <c r="BH30" s="25">
        <f t="shared" si="26"/>
        <v>2980.645161290322</v>
      </c>
      <c r="BI30" s="26">
        <f t="shared" si="11"/>
        <v>1</v>
      </c>
      <c r="BJ30" s="37">
        <f t="shared" si="27"/>
        <v>2980.645161290322</v>
      </c>
      <c r="BK30" s="38"/>
      <c r="BL30" s="31">
        <v>234.334</v>
      </c>
      <c r="BM30" s="31"/>
      <c r="BN30" s="31">
        <v>58.515999999999998</v>
      </c>
      <c r="BO30" s="40"/>
      <c r="BP30" s="40"/>
      <c r="BQ30" s="44"/>
      <c r="BR30" s="45"/>
      <c r="BS30" s="46">
        <v>2.37</v>
      </c>
      <c r="BT30" s="47"/>
      <c r="BU30" s="47"/>
      <c r="BV30" s="283"/>
      <c r="BW30" s="283"/>
      <c r="BX30" s="48"/>
      <c r="BY30" s="45"/>
      <c r="BZ30" s="46">
        <v>37.19</v>
      </c>
      <c r="CA30" s="47"/>
      <c r="CB30" s="47">
        <v>43.57</v>
      </c>
      <c r="CC30" s="283"/>
      <c r="CD30" s="283"/>
      <c r="CE30" s="48"/>
      <c r="CF30" s="49">
        <v>180.137</v>
      </c>
      <c r="CG30" s="49"/>
      <c r="CH30" s="43"/>
      <c r="CI30" s="32"/>
      <c r="CJ30" s="33">
        <v>4.34</v>
      </c>
      <c r="CK30" s="33"/>
      <c r="CL30" s="35"/>
      <c r="CM30" s="36"/>
      <c r="CN30" s="286"/>
      <c r="CO30" s="249">
        <f t="shared" si="30"/>
        <v>0</v>
      </c>
      <c r="CP30" s="12">
        <f t="shared" si="30"/>
        <v>228.78028419999998</v>
      </c>
      <c r="CQ30" s="12">
        <f t="shared" si="30"/>
        <v>0</v>
      </c>
      <c r="CR30" s="12">
        <f t="shared" si="30"/>
        <v>58.515999999999998</v>
      </c>
      <c r="CS30" s="11">
        <f t="shared" si="30"/>
        <v>0</v>
      </c>
      <c r="CT30" s="11">
        <f t="shared" si="30"/>
        <v>0</v>
      </c>
      <c r="CU30" s="272">
        <f t="shared" si="30"/>
        <v>0</v>
      </c>
      <c r="CV30" s="249">
        <f t="shared" si="13"/>
        <v>172.31905420000001</v>
      </c>
      <c r="CW30" s="11">
        <f t="shared" si="13"/>
        <v>0</v>
      </c>
      <c r="CX30" s="252">
        <f t="shared" si="13"/>
        <v>0</v>
      </c>
      <c r="CY30" s="272">
        <f t="shared" si="13"/>
        <v>0</v>
      </c>
      <c r="CZ30" s="13"/>
      <c r="DA30" s="240">
        <f>(D30+'[2]март 20 '!D30)/(AY30+'[2]март 20 '!AX30)</f>
        <v>2.3463001620641233</v>
      </c>
      <c r="DB30" s="241">
        <f>(T30+'[2]март 20 '!R30)/(AY30+'[2]март 20 '!AX30)</f>
        <v>1.407907366604259</v>
      </c>
      <c r="DD30" s="292">
        <f t="shared" si="14"/>
        <v>11.696999999999999</v>
      </c>
      <c r="DE30" s="291">
        <v>0.14000000000000001</v>
      </c>
      <c r="DF30" s="291">
        <v>20.75</v>
      </c>
      <c r="DG30" s="145">
        <f t="shared" si="15"/>
        <v>11.6806242</v>
      </c>
      <c r="DH30" s="293">
        <f t="shared" si="28"/>
        <v>3.1468833049857179</v>
      </c>
      <c r="DJ30" s="322"/>
    </row>
    <row r="31" spans="1:114" s="76" customFormat="1" ht="16.5" customHeight="1" thickBot="1">
      <c r="A31" s="144">
        <v>25</v>
      </c>
      <c r="B31" s="122">
        <f>'[1]март 20'!K30</f>
        <v>300.02800000000002</v>
      </c>
      <c r="C31" s="123">
        <f t="shared" si="16"/>
        <v>1.1519836815230577</v>
      </c>
      <c r="D31" s="145">
        <f t="shared" si="17"/>
        <v>296.57172639999999</v>
      </c>
      <c r="E31" s="125">
        <f t="shared" si="18"/>
        <v>38.398074113082778</v>
      </c>
      <c r="F31" s="146">
        <f t="shared" si="19"/>
        <v>2.251360558718591</v>
      </c>
      <c r="G31" s="127"/>
      <c r="H31" s="126">
        <f t="shared" si="20"/>
        <v>1.7958151248766419</v>
      </c>
      <c r="I31" s="230">
        <f>'[1]июль 20'!AI30</f>
        <v>0</v>
      </c>
      <c r="J31" s="247">
        <f>'[1]март 20'!AA30</f>
        <v>11.997999999999999</v>
      </c>
      <c r="K31" s="276">
        <f>'[1]сентябрь 20'!AM30</f>
        <v>0</v>
      </c>
      <c r="L31" s="122">
        <f>'[1]март 20'!AE30</f>
        <v>60.009</v>
      </c>
      <c r="M31" s="128">
        <f t="shared" si="21"/>
        <v>0.45554543384194945</v>
      </c>
      <c r="N31" s="400">
        <f>'[1]март 20'!W30</f>
        <v>0</v>
      </c>
      <c r="O31" s="403">
        <f>'[1]март 20'!AU30</f>
        <v>9.6780000000000008</v>
      </c>
      <c r="P31" s="401">
        <f t="shared" si="0"/>
        <v>188.76499999999999</v>
      </c>
      <c r="Q31" s="122">
        <f>'[1]март 20'!S30</f>
        <v>188.76499999999999</v>
      </c>
      <c r="R31" s="123">
        <f t="shared" si="22"/>
        <v>4.16</v>
      </c>
      <c r="S31" s="129">
        <v>2.13</v>
      </c>
      <c r="T31" s="125">
        <f t="shared" si="1"/>
        <v>180.91237599999999</v>
      </c>
      <c r="U31" s="147">
        <f t="shared" si="2"/>
        <v>1.3733574432551432</v>
      </c>
      <c r="V31" s="130">
        <v>131.72999999999999</v>
      </c>
      <c r="W31" s="130">
        <v>131.72999999999999</v>
      </c>
      <c r="X31" s="129">
        <v>0.28000000000000003</v>
      </c>
      <c r="Y31" s="150">
        <v>500</v>
      </c>
      <c r="Z31" s="150">
        <v>1196</v>
      </c>
      <c r="AA31" s="148" t="s">
        <v>114</v>
      </c>
      <c r="AB31" s="149">
        <v>76.78</v>
      </c>
      <c r="AC31" s="150">
        <v>120</v>
      </c>
      <c r="AD31" s="151">
        <v>4</v>
      </c>
      <c r="AE31" s="149"/>
      <c r="AF31" s="134">
        <f t="shared" si="3"/>
        <v>0</v>
      </c>
      <c r="AG31" s="152"/>
      <c r="AH31" s="129">
        <v>91.1</v>
      </c>
      <c r="AI31" s="134">
        <f t="shared" si="4"/>
        <v>691.56608213770585</v>
      </c>
      <c r="AJ31" s="136">
        <v>10.96</v>
      </c>
      <c r="AK31" s="154"/>
      <c r="AL31" s="155">
        <v>4.7300000000000004</v>
      </c>
      <c r="AM31" s="156">
        <v>37.49</v>
      </c>
      <c r="AN31" s="126">
        <f t="shared" si="23"/>
        <v>0.21802849665600468</v>
      </c>
      <c r="AO31" s="157" t="s">
        <v>216</v>
      </c>
      <c r="AP31" s="156">
        <v>6.86</v>
      </c>
      <c r="AQ31" s="156">
        <v>6.32</v>
      </c>
      <c r="AR31" s="151"/>
      <c r="AS31" s="149">
        <v>12.2</v>
      </c>
      <c r="AT31" s="149">
        <v>171.95</v>
      </c>
      <c r="AU31" s="149">
        <v>2</v>
      </c>
      <c r="AV31" s="164"/>
      <c r="AW31" s="149"/>
      <c r="AX31" s="158">
        <f t="shared" si="5"/>
        <v>0</v>
      </c>
      <c r="AY31" s="125">
        <f t="shared" si="6"/>
        <v>131.72999999999999</v>
      </c>
      <c r="AZ31" s="125">
        <f t="shared" si="29"/>
        <v>132.01707469599884</v>
      </c>
      <c r="BA31" s="159">
        <f t="shared" si="7"/>
        <v>8.6095915492957733</v>
      </c>
      <c r="BB31" s="160">
        <f t="shared" si="8"/>
        <v>5.2691999999999997</v>
      </c>
      <c r="BC31" s="161">
        <f t="shared" si="9"/>
        <v>0.88816491185364743</v>
      </c>
      <c r="BD31" s="160">
        <f t="shared" si="24"/>
        <v>13.878791549295773</v>
      </c>
      <c r="BE31" s="162">
        <v>0.84799999999999998</v>
      </c>
      <c r="BF31" s="25">
        <f t="shared" si="25"/>
        <v>3023.5299999999997</v>
      </c>
      <c r="BG31" s="25">
        <f t="shared" si="10"/>
        <v>124.19354838709677</v>
      </c>
      <c r="BH31" s="25">
        <f t="shared" si="26"/>
        <v>3104.8387096774186</v>
      </c>
      <c r="BI31" s="26">
        <f t="shared" si="11"/>
        <v>1</v>
      </c>
      <c r="BJ31" s="37">
        <f t="shared" si="27"/>
        <v>3104.8387096774186</v>
      </c>
      <c r="BK31" s="38"/>
      <c r="BL31" s="31">
        <v>240.01900000000001</v>
      </c>
      <c r="BM31" s="31"/>
      <c r="BN31" s="31">
        <v>60.009</v>
      </c>
      <c r="BO31" s="40"/>
      <c r="BP31" s="40"/>
      <c r="BQ31" s="32"/>
      <c r="BR31" s="33"/>
      <c r="BS31" s="34">
        <v>1.44</v>
      </c>
      <c r="BT31" s="35"/>
      <c r="BU31" s="35"/>
      <c r="BV31" s="235"/>
      <c r="BW31" s="235"/>
      <c r="BX31" s="36"/>
      <c r="BY31" s="33"/>
      <c r="BZ31" s="34">
        <v>37.090000000000003</v>
      </c>
      <c r="CA31" s="35"/>
      <c r="CB31" s="35">
        <v>43.63</v>
      </c>
      <c r="CC31" s="235"/>
      <c r="CD31" s="235"/>
      <c r="CE31" s="36"/>
      <c r="CF31" s="30">
        <v>188.76499999999999</v>
      </c>
      <c r="CG31" s="30"/>
      <c r="CH31" s="31"/>
      <c r="CI31" s="32"/>
      <c r="CJ31" s="33">
        <v>4.16</v>
      </c>
      <c r="CK31" s="33"/>
      <c r="CL31" s="35"/>
      <c r="CM31" s="36"/>
      <c r="CN31" s="286"/>
      <c r="CO31" s="249">
        <f t="shared" si="30"/>
        <v>0</v>
      </c>
      <c r="CP31" s="12">
        <f t="shared" si="30"/>
        <v>236.5627264</v>
      </c>
      <c r="CQ31" s="12">
        <f t="shared" si="30"/>
        <v>0</v>
      </c>
      <c r="CR31" s="12">
        <f t="shared" si="30"/>
        <v>60.009</v>
      </c>
      <c r="CS31" s="11">
        <f t="shared" si="30"/>
        <v>0</v>
      </c>
      <c r="CT31" s="11">
        <f t="shared" si="30"/>
        <v>0</v>
      </c>
      <c r="CU31" s="272">
        <f t="shared" si="30"/>
        <v>0</v>
      </c>
      <c r="CV31" s="249">
        <f t="shared" si="13"/>
        <v>180.91237599999999</v>
      </c>
      <c r="CW31" s="12">
        <f t="shared" si="13"/>
        <v>0</v>
      </c>
      <c r="CX31" s="249">
        <f t="shared" si="13"/>
        <v>0</v>
      </c>
      <c r="CY31" s="272">
        <f t="shared" si="13"/>
        <v>0</v>
      </c>
      <c r="CZ31" s="13"/>
      <c r="DA31" s="240">
        <f>(D31+'[2]март 20 '!D31)/(AY31+'[2]март 20 '!AX31)</f>
        <v>2.2880837139606518</v>
      </c>
      <c r="DB31" s="241">
        <f>(T31+'[2]март 20 '!R31)/(AY31+'[2]март 20 '!AX31)</f>
        <v>1.3873584815606184</v>
      </c>
      <c r="DD31" s="292">
        <f t="shared" si="14"/>
        <v>11.997999999999999</v>
      </c>
      <c r="DE31" s="291">
        <v>0.18</v>
      </c>
      <c r="DF31" s="291">
        <v>16.260000000000002</v>
      </c>
      <c r="DG31" s="145">
        <f t="shared" si="15"/>
        <v>11.976403599999999</v>
      </c>
      <c r="DH31" s="293">
        <f t="shared" si="28"/>
        <v>2.5362896917947384</v>
      </c>
      <c r="DJ31" s="322"/>
    </row>
    <row r="32" spans="1:114" s="76" customFormat="1" ht="16.5" customHeight="1" thickBot="1">
      <c r="A32" s="144">
        <v>26</v>
      </c>
      <c r="B32" s="122">
        <f>'[1]март 20'!K31</f>
        <v>304.39699999999999</v>
      </c>
      <c r="C32" s="123">
        <f t="shared" si="16"/>
        <v>1.5034404412658469</v>
      </c>
      <c r="D32" s="145">
        <f t="shared" si="17"/>
        <v>299.8205724</v>
      </c>
      <c r="E32" s="125">
        <f t="shared" si="18"/>
        <v>38.302053699609395</v>
      </c>
      <c r="F32" s="146">
        <f t="shared" si="19"/>
        <v>2.5494946632653064</v>
      </c>
      <c r="G32" s="127"/>
      <c r="H32" s="126">
        <f t="shared" si="20"/>
        <v>2.0310422823129253</v>
      </c>
      <c r="I32" s="230">
        <f>'[1]июль 20'!AI31</f>
        <v>0</v>
      </c>
      <c r="J32" s="247">
        <f>'[1]март 20'!AA31</f>
        <v>12.352</v>
      </c>
      <c r="K32" s="276">
        <f>'[1]сентябрь 20'!AM31</f>
        <v>0</v>
      </c>
      <c r="L32" s="122">
        <f>'[1]март 20'!AE31</f>
        <v>60.97</v>
      </c>
      <c r="M32" s="128">
        <f t="shared" si="21"/>
        <v>0.518452380952381</v>
      </c>
      <c r="N32" s="400">
        <f>'[1]март 20'!W31</f>
        <v>0</v>
      </c>
      <c r="O32" s="403">
        <f>'[1]март 20'!AU31</f>
        <v>10.97</v>
      </c>
      <c r="P32" s="401">
        <f t="shared" si="0"/>
        <v>192.15600000000001</v>
      </c>
      <c r="Q32" s="122">
        <f>'[1]март 20'!S31</f>
        <v>192.15600000000001</v>
      </c>
      <c r="R32" s="123">
        <f t="shared" si="22"/>
        <v>4.0199999999999996</v>
      </c>
      <c r="S32" s="129">
        <v>20.78</v>
      </c>
      <c r="T32" s="125">
        <f t="shared" si="1"/>
        <v>184.43132880000002</v>
      </c>
      <c r="U32" s="147">
        <f t="shared" si="2"/>
        <v>1.5682936122448983</v>
      </c>
      <c r="V32" s="130">
        <v>117.6</v>
      </c>
      <c r="W32" s="130">
        <v>61.49</v>
      </c>
      <c r="X32" s="129">
        <v>0.93</v>
      </c>
      <c r="Y32" s="150">
        <v>500</v>
      </c>
      <c r="Z32" s="150">
        <v>1197</v>
      </c>
      <c r="AA32" s="148" t="s">
        <v>136</v>
      </c>
      <c r="AB32" s="149">
        <v>76.540000000000006</v>
      </c>
      <c r="AC32" s="150">
        <v>122</v>
      </c>
      <c r="AD32" s="151">
        <v>4</v>
      </c>
      <c r="AE32" s="149"/>
      <c r="AF32" s="134">
        <f t="shared" si="3"/>
        <v>0</v>
      </c>
      <c r="AG32" s="152"/>
      <c r="AH32" s="129">
        <v>77.3</v>
      </c>
      <c r="AI32" s="134">
        <f t="shared" si="4"/>
        <v>657.31292517006796</v>
      </c>
      <c r="AJ32" s="153">
        <v>13.93</v>
      </c>
      <c r="AK32" s="154"/>
      <c r="AL32" s="155">
        <v>4.9000000000000004</v>
      </c>
      <c r="AM32" s="156">
        <v>36.630000000000003</v>
      </c>
      <c r="AN32" s="126">
        <f t="shared" si="23"/>
        <v>0.23227647431832596</v>
      </c>
      <c r="AO32" s="157" t="s">
        <v>201</v>
      </c>
      <c r="AP32" s="156">
        <v>8.09</v>
      </c>
      <c r="AQ32" s="156">
        <v>6.77</v>
      </c>
      <c r="AR32" s="151"/>
      <c r="AS32" s="149">
        <v>7.78</v>
      </c>
      <c r="AT32" s="149">
        <v>157.69999999999999</v>
      </c>
      <c r="AU32" s="149">
        <v>1.43</v>
      </c>
      <c r="AV32" s="149"/>
      <c r="AW32" s="149"/>
      <c r="AX32" s="158">
        <f t="shared" si="5"/>
        <v>0</v>
      </c>
      <c r="AY32" s="125">
        <f t="shared" si="6"/>
        <v>117.6</v>
      </c>
      <c r="AZ32" s="125">
        <f t="shared" si="29"/>
        <v>134.49092712705445</v>
      </c>
      <c r="BA32" s="159">
        <f t="shared" si="7"/>
        <v>4.6586859154929572</v>
      </c>
      <c r="BB32" s="160">
        <f t="shared" si="8"/>
        <v>4.7039999999999997</v>
      </c>
      <c r="BC32" s="161">
        <f t="shared" si="9"/>
        <v>0.78381268888580069</v>
      </c>
      <c r="BD32" s="160">
        <f t="shared" si="24"/>
        <v>9.3626859154929569</v>
      </c>
      <c r="BE32" s="162">
        <v>0.84499999999999997</v>
      </c>
      <c r="BF32" s="25">
        <f t="shared" si="25"/>
        <v>3141.1299999999997</v>
      </c>
      <c r="BG32" s="25">
        <f t="shared" si="10"/>
        <v>124.19354838709677</v>
      </c>
      <c r="BH32" s="25">
        <f t="shared" si="26"/>
        <v>3229.0322580645152</v>
      </c>
      <c r="BI32" s="26">
        <f t="shared" si="11"/>
        <v>1</v>
      </c>
      <c r="BJ32" s="37">
        <f t="shared" si="27"/>
        <v>3229.0322580645152</v>
      </c>
      <c r="BK32" s="38"/>
      <c r="BL32" s="31">
        <v>243.42699999999999</v>
      </c>
      <c r="BM32" s="31"/>
      <c r="BN32" s="31">
        <v>60.97</v>
      </c>
      <c r="BO32" s="40"/>
      <c r="BP32" s="40"/>
      <c r="BQ32" s="32"/>
      <c r="BR32" s="33"/>
      <c r="BS32" s="34">
        <v>1.88</v>
      </c>
      <c r="BT32" s="35"/>
      <c r="BU32" s="35"/>
      <c r="BV32" s="235"/>
      <c r="BW32" s="235"/>
      <c r="BX32" s="36"/>
      <c r="BY32" s="33"/>
      <c r="BZ32" s="34">
        <v>36.92</v>
      </c>
      <c r="CA32" s="35"/>
      <c r="CB32" s="35">
        <v>43.82</v>
      </c>
      <c r="CC32" s="235"/>
      <c r="CD32" s="235"/>
      <c r="CE32" s="36"/>
      <c r="CF32" s="30">
        <v>192.15600000000001</v>
      </c>
      <c r="CG32" s="30"/>
      <c r="CH32" s="31"/>
      <c r="CI32" s="50"/>
      <c r="CJ32" s="33">
        <v>4.0199999999999996</v>
      </c>
      <c r="CK32" s="33"/>
      <c r="CL32" s="35"/>
      <c r="CM32" s="36"/>
      <c r="CN32" s="286"/>
      <c r="CO32" s="249">
        <f t="shared" si="30"/>
        <v>0</v>
      </c>
      <c r="CP32" s="12">
        <f t="shared" si="30"/>
        <v>238.8505724</v>
      </c>
      <c r="CQ32" s="12">
        <f t="shared" si="30"/>
        <v>0</v>
      </c>
      <c r="CR32" s="12">
        <f t="shared" si="30"/>
        <v>60.97</v>
      </c>
      <c r="CS32" s="11">
        <f t="shared" si="30"/>
        <v>0</v>
      </c>
      <c r="CT32" s="11">
        <f t="shared" si="30"/>
        <v>0</v>
      </c>
      <c r="CU32" s="272">
        <f t="shared" si="30"/>
        <v>0</v>
      </c>
      <c r="CV32" s="249">
        <f t="shared" si="13"/>
        <v>184.43132880000002</v>
      </c>
      <c r="CW32" s="11">
        <f t="shared" si="13"/>
        <v>0</v>
      </c>
      <c r="CX32" s="249">
        <f t="shared" si="13"/>
        <v>0</v>
      </c>
      <c r="CY32" s="272">
        <f t="shared" si="13"/>
        <v>0</v>
      </c>
      <c r="CZ32" s="13"/>
      <c r="DA32" s="240">
        <f>(D32+'[2]март 20 '!D32)/(AY32+'[2]март 20 '!AX32)</f>
        <v>2.2596475802546507</v>
      </c>
      <c r="DB32" s="241">
        <f>(T32+'[2]март 20 '!R32)/(AY32+'[2]март 20 '!AX32)</f>
        <v>1.3768232227191159</v>
      </c>
      <c r="DD32" s="292">
        <f t="shared" si="14"/>
        <v>12.352</v>
      </c>
      <c r="DE32" s="291">
        <v>0.24</v>
      </c>
      <c r="DF32" s="291">
        <v>21.8</v>
      </c>
      <c r="DG32" s="145">
        <f t="shared" si="15"/>
        <v>12.322355200000001</v>
      </c>
      <c r="DH32" s="293">
        <f t="shared" si="28"/>
        <v>3.5096334382022474</v>
      </c>
      <c r="DJ32" s="322"/>
    </row>
    <row r="33" spans="1:114" s="76" customFormat="1" ht="16.5" customHeight="1" thickBot="1">
      <c r="A33" s="144">
        <v>27</v>
      </c>
      <c r="B33" s="122">
        <f>'[1]март 20'!K32</f>
        <v>270.73700000000002</v>
      </c>
      <c r="C33" s="123">
        <f t="shared" si="16"/>
        <v>1.3686909805456955</v>
      </c>
      <c r="D33" s="145">
        <f t="shared" si="17"/>
        <v>267.03144710000004</v>
      </c>
      <c r="E33" s="125">
        <f t="shared" si="18"/>
        <v>38.491183547132458</v>
      </c>
      <c r="F33" s="146">
        <f t="shared" si="19"/>
        <v>2.5910289840869405</v>
      </c>
      <c r="G33" s="127"/>
      <c r="H33" s="126">
        <f t="shared" si="20"/>
        <v>2.0666936454492535</v>
      </c>
      <c r="I33" s="230">
        <f>'[1]июль 20'!AI32</f>
        <v>0</v>
      </c>
      <c r="J33" s="247">
        <f>'[1]март 20'!AA32</f>
        <v>10.759</v>
      </c>
      <c r="K33" s="276">
        <f>'[1]сентябрь 20'!AM32</f>
        <v>0</v>
      </c>
      <c r="L33" s="122">
        <f>'[1]март 20'!AE32</f>
        <v>54.037999999999997</v>
      </c>
      <c r="M33" s="128">
        <f t="shared" si="21"/>
        <v>0.52433533863768678</v>
      </c>
      <c r="N33" s="400">
        <f>'[1]март 20'!W32</f>
        <v>0</v>
      </c>
      <c r="O33" s="403">
        <f>'[1]март 20'!AU32</f>
        <v>9.8569999999999993</v>
      </c>
      <c r="P33" s="401">
        <f t="shared" si="0"/>
        <v>169.47800000000001</v>
      </c>
      <c r="Q33" s="122">
        <f>'[1]март 20'!S32</f>
        <v>169.47800000000001</v>
      </c>
      <c r="R33" s="123">
        <f t="shared" si="22"/>
        <v>4.62</v>
      </c>
      <c r="S33" s="129">
        <v>11.61</v>
      </c>
      <c r="T33" s="125">
        <f t="shared" si="1"/>
        <v>161.64811639999999</v>
      </c>
      <c r="U33" s="147">
        <f t="shared" si="2"/>
        <v>1.5684855074713759</v>
      </c>
      <c r="V33" s="130">
        <v>82.5</v>
      </c>
      <c r="W33" s="130">
        <v>61.73</v>
      </c>
      <c r="X33" s="129">
        <v>1.1000000000000001</v>
      </c>
      <c r="Y33" s="150">
        <v>543</v>
      </c>
      <c r="Z33" s="150">
        <v>1203</v>
      </c>
      <c r="AA33" s="148" t="s">
        <v>212</v>
      </c>
      <c r="AB33" s="149">
        <v>75.5</v>
      </c>
      <c r="AC33" s="150">
        <v>108</v>
      </c>
      <c r="AD33" s="151">
        <v>4</v>
      </c>
      <c r="AE33" s="149"/>
      <c r="AF33" s="134">
        <f t="shared" si="3"/>
        <v>0</v>
      </c>
      <c r="AG33" s="152"/>
      <c r="AH33" s="129">
        <v>75.25</v>
      </c>
      <c r="AI33" s="134">
        <f t="shared" si="4"/>
        <v>730.1571899864158</v>
      </c>
      <c r="AJ33" s="136">
        <v>10.7</v>
      </c>
      <c r="AK33" s="154"/>
      <c r="AL33" s="155">
        <v>4.53</v>
      </c>
      <c r="AM33" s="156">
        <v>37.619999999999997</v>
      </c>
      <c r="AN33" s="126">
        <f t="shared" si="23"/>
        <v>0.26197771587743734</v>
      </c>
      <c r="AO33" s="157" t="s">
        <v>183</v>
      </c>
      <c r="AP33" s="156">
        <v>7.59</v>
      </c>
      <c r="AQ33" s="156">
        <v>6.53</v>
      </c>
      <c r="AR33" s="151"/>
      <c r="AS33" s="149">
        <v>10.65</v>
      </c>
      <c r="AT33" s="149">
        <v>143.6</v>
      </c>
      <c r="AU33" s="149">
        <v>1.61</v>
      </c>
      <c r="AV33" s="149"/>
      <c r="AW33" s="149"/>
      <c r="AX33" s="158">
        <f t="shared" si="5"/>
        <v>0</v>
      </c>
      <c r="AY33" s="125">
        <f t="shared" si="6"/>
        <v>103.05999999999999</v>
      </c>
      <c r="AZ33" s="125">
        <f t="shared" si="29"/>
        <v>121.17726397531544</v>
      </c>
      <c r="BA33" s="159">
        <f t="shared" si="7"/>
        <v>6.2081249999999999</v>
      </c>
      <c r="BB33" s="160">
        <f t="shared" si="8"/>
        <v>4.1223999999999998</v>
      </c>
      <c r="BC33" s="161">
        <f t="shared" si="9"/>
        <v>0.75703056641522293</v>
      </c>
      <c r="BD33" s="160">
        <f t="shared" si="24"/>
        <v>10.330525</v>
      </c>
      <c r="BE33" s="162">
        <v>0.84199999999999997</v>
      </c>
      <c r="BF33" s="25">
        <f t="shared" si="25"/>
        <v>3244.1899999999996</v>
      </c>
      <c r="BG33" s="25">
        <f t="shared" si="10"/>
        <v>124.19354838709677</v>
      </c>
      <c r="BH33" s="25">
        <f t="shared" si="26"/>
        <v>3353.2258064516118</v>
      </c>
      <c r="BI33" s="26">
        <f t="shared" si="11"/>
        <v>1</v>
      </c>
      <c r="BJ33" s="37">
        <f t="shared" si="27"/>
        <v>3353.2258064516118</v>
      </c>
      <c r="BK33" s="38"/>
      <c r="BL33" s="31">
        <v>216.69900000000001</v>
      </c>
      <c r="BM33" s="31"/>
      <c r="BN33" s="31">
        <v>54.037999999999997</v>
      </c>
      <c r="BO33" s="40"/>
      <c r="BP33" s="40"/>
      <c r="BQ33" s="32"/>
      <c r="BR33" s="33"/>
      <c r="BS33" s="34">
        <v>1.71</v>
      </c>
      <c r="BT33" s="35"/>
      <c r="BU33" s="35"/>
      <c r="BV33" s="235"/>
      <c r="BW33" s="235"/>
      <c r="BX33" s="36"/>
      <c r="BY33" s="33"/>
      <c r="BZ33" s="34">
        <v>37.1</v>
      </c>
      <c r="CA33" s="35"/>
      <c r="CB33" s="35">
        <v>44.07</v>
      </c>
      <c r="CC33" s="235"/>
      <c r="CD33" s="235"/>
      <c r="CE33" s="36"/>
      <c r="CF33" s="30">
        <v>169.47800000000001</v>
      </c>
      <c r="CG33" s="30"/>
      <c r="CH33" s="31"/>
      <c r="CI33" s="32"/>
      <c r="CJ33" s="33">
        <v>4.62</v>
      </c>
      <c r="CK33" s="33"/>
      <c r="CL33" s="35"/>
      <c r="CM33" s="36"/>
      <c r="CN33" s="270"/>
      <c r="CO33" s="249">
        <f t="shared" si="30"/>
        <v>0</v>
      </c>
      <c r="CP33" s="12">
        <f t="shared" si="30"/>
        <v>212.99344710000003</v>
      </c>
      <c r="CQ33" s="12">
        <f t="shared" si="30"/>
        <v>0</v>
      </c>
      <c r="CR33" s="12">
        <f t="shared" si="30"/>
        <v>54.037999999999997</v>
      </c>
      <c r="CS33" s="11">
        <f t="shared" si="30"/>
        <v>0</v>
      </c>
      <c r="CT33" s="11">
        <f t="shared" si="30"/>
        <v>0</v>
      </c>
      <c r="CU33" s="272">
        <f t="shared" si="30"/>
        <v>0</v>
      </c>
      <c r="CV33" s="249">
        <f t="shared" si="13"/>
        <v>161.64811639999999</v>
      </c>
      <c r="CW33" s="12">
        <f t="shared" si="13"/>
        <v>0</v>
      </c>
      <c r="CX33" s="254">
        <f t="shared" si="13"/>
        <v>0</v>
      </c>
      <c r="CY33" s="275">
        <f t="shared" si="13"/>
        <v>0</v>
      </c>
      <c r="CZ33" s="13"/>
      <c r="DA33" s="240">
        <f>(D33+'[2]март 20 '!D33)/(AY33+'[2]март 20 '!AX33)</f>
        <v>2.3756865110524585</v>
      </c>
      <c r="DB33" s="241">
        <f>(T33+'[2]март 20 '!R33)/(AY33+'[2]март 20 '!AX33)</f>
        <v>1.4391557782909932</v>
      </c>
      <c r="DD33" s="292">
        <f t="shared" si="14"/>
        <v>10.759</v>
      </c>
      <c r="DE33" s="291">
        <v>0.14000000000000001</v>
      </c>
      <c r="DF33" s="291">
        <v>16.37</v>
      </c>
      <c r="DG33" s="145">
        <f t="shared" si="15"/>
        <v>10.7439374</v>
      </c>
      <c r="DH33" s="293">
        <f t="shared" si="28"/>
        <v>2.3295133144105962</v>
      </c>
      <c r="DJ33" s="322"/>
    </row>
    <row r="34" spans="1:114" s="76" customFormat="1" ht="16.5" customHeight="1" thickBot="1">
      <c r="A34" s="144">
        <v>28</v>
      </c>
      <c r="B34" s="122">
        <f>'[1]март 20'!K33</f>
        <v>228.916</v>
      </c>
      <c r="C34" s="123">
        <f t="shared" si="16"/>
        <v>1.1825336804766813</v>
      </c>
      <c r="D34" s="145">
        <f t="shared" si="17"/>
        <v>226.20899119999999</v>
      </c>
      <c r="E34" s="125">
        <f t="shared" si="18"/>
        <v>38.191054185814885</v>
      </c>
      <c r="F34" s="146">
        <f t="shared" si="19"/>
        <v>2.3551170348776678</v>
      </c>
      <c r="G34" s="127"/>
      <c r="H34" s="126">
        <f t="shared" si="20"/>
        <v>1.8760956918271734</v>
      </c>
      <c r="I34" s="230">
        <f>'[1]июль 20'!AI33</f>
        <v>0</v>
      </c>
      <c r="J34" s="247">
        <f>'[1]март 20'!AA33</f>
        <v>9.1750000000000007</v>
      </c>
      <c r="K34" s="276">
        <f>'[1]сентябрь 20'!AM33</f>
        <v>0</v>
      </c>
      <c r="L34" s="122">
        <f>'[1]март 20'!AE33</f>
        <v>46.01</v>
      </c>
      <c r="M34" s="128">
        <f t="shared" si="21"/>
        <v>0.47902134305049454</v>
      </c>
      <c r="N34" s="400">
        <f>'[1]март 20'!W33</f>
        <v>0</v>
      </c>
      <c r="O34" s="403">
        <f>'[1]март 20'!AU33</f>
        <v>8.4809999999999999</v>
      </c>
      <c r="P34" s="401">
        <f t="shared" si="0"/>
        <v>141.52199999999999</v>
      </c>
      <c r="Q34" s="122">
        <f>'[1]март 20'!S33</f>
        <v>141.52199999999999</v>
      </c>
      <c r="R34" s="123">
        <f t="shared" si="22"/>
        <v>2.86</v>
      </c>
      <c r="S34" s="170">
        <v>9.32</v>
      </c>
      <c r="T34" s="125">
        <f t="shared" si="1"/>
        <v>137.47447080000001</v>
      </c>
      <c r="U34" s="147">
        <f t="shared" si="2"/>
        <v>1.4312802790213432</v>
      </c>
      <c r="V34" s="169">
        <v>96.05</v>
      </c>
      <c r="W34" s="169"/>
      <c r="X34" s="170">
        <v>1.99</v>
      </c>
      <c r="Y34" s="166">
        <v>550</v>
      </c>
      <c r="Z34" s="166">
        <v>1184</v>
      </c>
      <c r="AA34" s="148" t="s">
        <v>220</v>
      </c>
      <c r="AB34" s="164">
        <v>75.73</v>
      </c>
      <c r="AC34" s="166">
        <v>92</v>
      </c>
      <c r="AD34" s="171">
        <v>4</v>
      </c>
      <c r="AE34" s="164"/>
      <c r="AF34" s="172">
        <f t="shared" si="3"/>
        <v>0</v>
      </c>
      <c r="AG34" s="173"/>
      <c r="AH34" s="170">
        <v>53.15</v>
      </c>
      <c r="AI34" s="134">
        <f t="shared" si="4"/>
        <v>553.35762623633525</v>
      </c>
      <c r="AJ34" s="174">
        <v>14.03</v>
      </c>
      <c r="AK34" s="175"/>
      <c r="AL34" s="176">
        <v>8.85</v>
      </c>
      <c r="AM34" s="177">
        <v>34.9</v>
      </c>
      <c r="AN34" s="126">
        <f t="shared" si="23"/>
        <v>0.25180375180375181</v>
      </c>
      <c r="AO34" s="178" t="s">
        <v>205</v>
      </c>
      <c r="AP34" s="177">
        <v>9.42</v>
      </c>
      <c r="AQ34" s="177">
        <v>6.9</v>
      </c>
      <c r="AR34" s="171"/>
      <c r="AS34" s="164">
        <v>4.54</v>
      </c>
      <c r="AT34" s="149">
        <v>138.6</v>
      </c>
      <c r="AU34" s="164">
        <v>1.2</v>
      </c>
      <c r="AV34" s="164"/>
      <c r="AW34" s="164"/>
      <c r="AX34" s="179">
        <f t="shared" si="5"/>
        <v>0</v>
      </c>
      <c r="AY34" s="125">
        <f t="shared" si="6"/>
        <v>96.05</v>
      </c>
      <c r="AZ34" s="125">
        <f t="shared" si="29"/>
        <v>101.54241605080588</v>
      </c>
      <c r="BA34" s="159">
        <f t="shared" si="7"/>
        <v>1.8692330985915491</v>
      </c>
      <c r="BB34" s="159">
        <f t="shared" si="8"/>
        <v>3.8420000000000001</v>
      </c>
      <c r="BC34" s="180">
        <f t="shared" si="9"/>
        <v>0.84196456999455704</v>
      </c>
      <c r="BD34" s="159">
        <f t="shared" si="24"/>
        <v>5.7112330985915492</v>
      </c>
      <c r="BE34" s="167">
        <v>0.84199999999999997</v>
      </c>
      <c r="BF34" s="25">
        <f t="shared" si="25"/>
        <v>3340.24</v>
      </c>
      <c r="BG34" s="25">
        <f t="shared" si="10"/>
        <v>124.19354838709677</v>
      </c>
      <c r="BH34" s="25">
        <f t="shared" si="26"/>
        <v>3477.4193548387084</v>
      </c>
      <c r="BI34" s="26">
        <f t="shared" si="11"/>
        <v>1</v>
      </c>
      <c r="BJ34" s="37">
        <f t="shared" si="27"/>
        <v>3477.4193548387084</v>
      </c>
      <c r="BK34" s="38"/>
      <c r="BL34" s="30">
        <v>182.90600000000001</v>
      </c>
      <c r="BM34" s="43"/>
      <c r="BN34" s="43">
        <v>46.01</v>
      </c>
      <c r="BO34" s="281"/>
      <c r="BP34" s="281"/>
      <c r="BQ34" s="44"/>
      <c r="BR34" s="45"/>
      <c r="BS34" s="46">
        <v>1.48</v>
      </c>
      <c r="BT34" s="47"/>
      <c r="BU34" s="47"/>
      <c r="BV34" s="283"/>
      <c r="BW34" s="283"/>
      <c r="BX34" s="48"/>
      <c r="BY34" s="45"/>
      <c r="BZ34" s="46">
        <v>36.76</v>
      </c>
      <c r="CA34" s="47"/>
      <c r="CB34" s="47">
        <v>43.88</v>
      </c>
      <c r="CC34" s="283"/>
      <c r="CD34" s="283"/>
      <c r="CE34" s="48"/>
      <c r="CF34" s="49">
        <v>141.52199999999999</v>
      </c>
      <c r="CG34" s="49"/>
      <c r="CH34" s="43"/>
      <c r="CI34" s="32"/>
      <c r="CJ34" s="33">
        <v>2.86</v>
      </c>
      <c r="CK34" s="33"/>
      <c r="CL34" s="35"/>
      <c r="CM34" s="36"/>
      <c r="CN34" s="270"/>
      <c r="CO34" s="249">
        <f t="shared" si="30"/>
        <v>0</v>
      </c>
      <c r="CP34" s="12">
        <f t="shared" si="30"/>
        <v>180.19899119999999</v>
      </c>
      <c r="CQ34" s="12">
        <f t="shared" si="30"/>
        <v>0</v>
      </c>
      <c r="CR34" s="12">
        <f t="shared" si="30"/>
        <v>46.01</v>
      </c>
      <c r="CS34" s="11">
        <f t="shared" si="30"/>
        <v>0</v>
      </c>
      <c r="CT34" s="11">
        <f t="shared" si="30"/>
        <v>0</v>
      </c>
      <c r="CU34" s="272">
        <f t="shared" si="30"/>
        <v>0</v>
      </c>
      <c r="CV34" s="249">
        <f t="shared" si="13"/>
        <v>137.47447080000001</v>
      </c>
      <c r="CW34" s="12">
        <f t="shared" si="13"/>
        <v>0</v>
      </c>
      <c r="CX34" s="249">
        <f t="shared" si="13"/>
        <v>0</v>
      </c>
      <c r="CY34" s="272">
        <f t="shared" si="13"/>
        <v>0</v>
      </c>
      <c r="CZ34" s="13"/>
      <c r="DA34" s="240">
        <f>(D34+'[2]март 20 '!D34)/(AY34+'[2]март 20 '!AX34)</f>
        <v>2.2096871639714832</v>
      </c>
      <c r="DB34" s="241">
        <f>(T34+'[2]март 20 '!R34)/(AY34+'[2]март 20 '!AX34)</f>
        <v>1.3228463599374023</v>
      </c>
      <c r="DD34" s="292">
        <f t="shared" si="14"/>
        <v>9.1750000000000007</v>
      </c>
      <c r="DE34" s="291">
        <v>0.24</v>
      </c>
      <c r="DF34" s="291">
        <v>16.149999999999999</v>
      </c>
      <c r="DG34" s="145">
        <f t="shared" si="15"/>
        <v>9.1529800000000012</v>
      </c>
      <c r="DH34" s="293">
        <f t="shared" si="28"/>
        <v>1.9519427835732206</v>
      </c>
      <c r="DJ34" s="322">
        <f t="shared" ref="DJ34:DJ37" si="31">CO34+CP34+CQ34+CR34+CS34+CT34+CU34</f>
        <v>226.20899119999999</v>
      </c>
    </row>
    <row r="35" spans="1:114" s="76" customFormat="1" ht="16.5" customHeight="1" thickBot="1">
      <c r="A35" s="144">
        <v>29</v>
      </c>
      <c r="B35" s="122">
        <f>'[1]март 20'!K34</f>
        <v>205.846</v>
      </c>
      <c r="C35" s="123">
        <f t="shared" si="16"/>
        <v>1.1530437317217725</v>
      </c>
      <c r="D35" s="145">
        <f t="shared" si="17"/>
        <v>203.47250560000001</v>
      </c>
      <c r="E35" s="125">
        <f t="shared" si="18"/>
        <v>38.398839326486787</v>
      </c>
      <c r="F35" s="146">
        <f t="shared" si="19"/>
        <v>2.2133417339279888</v>
      </c>
      <c r="G35" s="127"/>
      <c r="H35" s="126">
        <f t="shared" si="20"/>
        <v>1.7671326618078973</v>
      </c>
      <c r="I35" s="230">
        <f>'[1]июль 20'!AI34</f>
        <v>0</v>
      </c>
      <c r="J35" s="247">
        <f>'[1]март 20'!AA34</f>
        <v>8.1980000000000004</v>
      </c>
      <c r="K35" s="276">
        <f>'[1]сентябрь 20'!AM34</f>
        <v>0</v>
      </c>
      <c r="L35" s="122">
        <f>'[1]март 20'!AE34</f>
        <v>41.02</v>
      </c>
      <c r="M35" s="128">
        <f t="shared" si="21"/>
        <v>0.44620907212009142</v>
      </c>
      <c r="N35" s="400">
        <f>'[1]март 20'!W34</f>
        <v>0</v>
      </c>
      <c r="O35" s="403">
        <f>'[1]март 20'!AU34</f>
        <v>8.1440000000000001</v>
      </c>
      <c r="P35" s="401">
        <f t="shared" si="0"/>
        <v>123.229</v>
      </c>
      <c r="Q35" s="122">
        <f>'[1]март 20'!S34</f>
        <v>123.229</v>
      </c>
      <c r="R35" s="123">
        <f t="shared" si="22"/>
        <v>2.68</v>
      </c>
      <c r="S35" s="129">
        <v>10.35</v>
      </c>
      <c r="T35" s="125">
        <f t="shared" si="1"/>
        <v>119.9264628</v>
      </c>
      <c r="U35" s="147">
        <f t="shared" si="2"/>
        <v>1.3045410943108888</v>
      </c>
      <c r="V35" s="130">
        <v>91.93</v>
      </c>
      <c r="W35" s="130">
        <v>46.99</v>
      </c>
      <c r="X35" s="129">
        <v>1.21</v>
      </c>
      <c r="Y35" s="150">
        <v>597</v>
      </c>
      <c r="Z35" s="150">
        <v>1182</v>
      </c>
      <c r="AA35" s="148" t="s">
        <v>221</v>
      </c>
      <c r="AB35" s="149">
        <v>76.209999999999994</v>
      </c>
      <c r="AC35" s="150">
        <v>82</v>
      </c>
      <c r="AD35" s="151">
        <v>4</v>
      </c>
      <c r="AE35" s="181"/>
      <c r="AF35" s="134">
        <f t="shared" si="3"/>
        <v>0</v>
      </c>
      <c r="AG35" s="182"/>
      <c r="AH35" s="129">
        <v>64.349999999999994</v>
      </c>
      <c r="AI35" s="134">
        <f t="shared" si="4"/>
        <v>699.98912215816381</v>
      </c>
      <c r="AJ35" s="136">
        <v>12.84</v>
      </c>
      <c r="AK35" s="154"/>
      <c r="AL35" s="155">
        <v>8.09</v>
      </c>
      <c r="AM35" s="183">
        <v>30.69</v>
      </c>
      <c r="AN35" s="126">
        <f t="shared" si="23"/>
        <v>0.2391118036618621</v>
      </c>
      <c r="AO35" s="184" t="s">
        <v>222</v>
      </c>
      <c r="AP35" s="183">
        <v>8.77</v>
      </c>
      <c r="AQ35" s="183">
        <v>7.46</v>
      </c>
      <c r="AR35" s="185"/>
      <c r="AS35" s="181">
        <v>6.44</v>
      </c>
      <c r="AT35" s="149">
        <v>128.35</v>
      </c>
      <c r="AU35" s="181">
        <v>2.36</v>
      </c>
      <c r="AV35" s="149"/>
      <c r="AW35" s="149"/>
      <c r="AX35" s="158">
        <f t="shared" si="5"/>
        <v>0</v>
      </c>
      <c r="AY35" s="125">
        <f t="shared" si="6"/>
        <v>91.929999999999993</v>
      </c>
      <c r="AZ35" s="125">
        <f t="shared" si="29"/>
        <v>91.360767974226363</v>
      </c>
      <c r="BA35" s="159">
        <f t="shared" si="7"/>
        <v>3.210249295774648</v>
      </c>
      <c r="BB35" s="160">
        <f t="shared" si="8"/>
        <v>3.6771999999999996</v>
      </c>
      <c r="BC35" s="161">
        <f t="shared" si="9"/>
        <v>0.89669632817848555</v>
      </c>
      <c r="BD35" s="160">
        <f t="shared" si="24"/>
        <v>6.8874492957746476</v>
      </c>
      <c r="BE35" s="162">
        <v>0.84299999999999997</v>
      </c>
      <c r="BF35" s="25">
        <f t="shared" si="25"/>
        <v>3432.1699999999996</v>
      </c>
      <c r="BG35" s="25">
        <f t="shared" si="10"/>
        <v>124.19354838709677</v>
      </c>
      <c r="BH35" s="25">
        <f t="shared" si="26"/>
        <v>3601.612903225805</v>
      </c>
      <c r="BI35" s="26">
        <f t="shared" si="11"/>
        <v>1</v>
      </c>
      <c r="BJ35" s="37">
        <f t="shared" si="27"/>
        <v>3601.612903225805</v>
      </c>
      <c r="BK35" s="38"/>
      <c r="BL35" s="31">
        <v>164.82599999999999</v>
      </c>
      <c r="BM35" s="31"/>
      <c r="BN35" s="31">
        <v>41.02</v>
      </c>
      <c r="BO35" s="40"/>
      <c r="BP35" s="40"/>
      <c r="BQ35" s="32"/>
      <c r="BR35" s="33"/>
      <c r="BS35" s="34">
        <v>1.44</v>
      </c>
      <c r="BT35" s="35"/>
      <c r="BU35" s="35"/>
      <c r="BV35" s="235"/>
      <c r="BW35" s="235"/>
      <c r="BX35" s="36"/>
      <c r="BY35" s="33"/>
      <c r="BZ35" s="34">
        <v>36.979999999999997</v>
      </c>
      <c r="CA35" s="35"/>
      <c r="CB35" s="35">
        <v>44.1</v>
      </c>
      <c r="CC35" s="235"/>
      <c r="CD35" s="235"/>
      <c r="CE35" s="36"/>
      <c r="CF35" s="30">
        <v>123.229</v>
      </c>
      <c r="CG35" s="30"/>
      <c r="CH35" s="31"/>
      <c r="CI35" s="50"/>
      <c r="CJ35" s="33">
        <v>2.68</v>
      </c>
      <c r="CK35" s="33"/>
      <c r="CL35" s="35"/>
      <c r="CM35" s="36"/>
      <c r="CN35" s="270"/>
      <c r="CO35" s="249">
        <f t="shared" si="30"/>
        <v>0</v>
      </c>
      <c r="CP35" s="12">
        <f t="shared" si="30"/>
        <v>162.45250559999999</v>
      </c>
      <c r="CQ35" s="12">
        <f t="shared" si="30"/>
        <v>0</v>
      </c>
      <c r="CR35" s="12">
        <f t="shared" si="30"/>
        <v>41.02</v>
      </c>
      <c r="CS35" s="11">
        <f t="shared" si="30"/>
        <v>0</v>
      </c>
      <c r="CT35" s="11">
        <f t="shared" si="30"/>
        <v>0</v>
      </c>
      <c r="CU35" s="272">
        <f t="shared" si="30"/>
        <v>0</v>
      </c>
      <c r="CV35" s="249">
        <f t="shared" si="13"/>
        <v>119.9264628</v>
      </c>
      <c r="CW35" s="12">
        <f t="shared" si="13"/>
        <v>0</v>
      </c>
      <c r="CX35" s="249">
        <f t="shared" si="13"/>
        <v>0</v>
      </c>
      <c r="CY35" s="272">
        <f t="shared" si="13"/>
        <v>0</v>
      </c>
      <c r="CZ35" s="13"/>
      <c r="DA35" s="240">
        <f>(D35+'[2]март 20 '!D35)/(AY35+'[2]март 20 '!AX35)</f>
        <v>2.3011445508235209</v>
      </c>
      <c r="DB35" s="241">
        <f>(T35+'[2]март 20 '!R35)/(AY35+'[2]март 20 '!AX35)</f>
        <v>1.3531288756832105</v>
      </c>
      <c r="DD35" s="292">
        <f t="shared" si="14"/>
        <v>8.1980000000000004</v>
      </c>
      <c r="DE35" s="291">
        <v>0.62</v>
      </c>
      <c r="DF35" s="291">
        <v>17.399999999999999</v>
      </c>
      <c r="DG35" s="145">
        <f t="shared" si="15"/>
        <v>8.1471723999999988</v>
      </c>
      <c r="DH35" s="293">
        <f t="shared" si="28"/>
        <v>1.8601338375541268</v>
      </c>
      <c r="DJ35" s="322">
        <f t="shared" si="31"/>
        <v>203.47250560000001</v>
      </c>
    </row>
    <row r="36" spans="1:114" s="76" customFormat="1" ht="16.5" customHeight="1" thickBot="1">
      <c r="A36" s="144">
        <v>30</v>
      </c>
      <c r="B36" s="122">
        <f>'[1]март 20'!K35</f>
        <v>240.08600000000001</v>
      </c>
      <c r="C36" s="123">
        <f t="shared" si="16"/>
        <v>1.7202435793840538</v>
      </c>
      <c r="D36" s="145">
        <f t="shared" si="17"/>
        <v>235.95593599999998</v>
      </c>
      <c r="E36" s="125">
        <f t="shared" si="18"/>
        <v>38.127196754496303</v>
      </c>
      <c r="F36" s="146">
        <f t="shared" si="19"/>
        <v>2.2130551116113293</v>
      </c>
      <c r="G36" s="127"/>
      <c r="H36" s="126">
        <f t="shared" si="20"/>
        <v>1.7629519414743948</v>
      </c>
      <c r="I36" s="230">
        <f>'[1]июль 20'!AI35</f>
        <v>0</v>
      </c>
      <c r="J36" s="247">
        <f>'[1]март 20'!AA35</f>
        <v>9.375</v>
      </c>
      <c r="K36" s="276">
        <f>'[1]сентябрь 20'!AM35</f>
        <v>0</v>
      </c>
      <c r="L36" s="122">
        <f>'[1]март 20'!AE35</f>
        <v>47.99</v>
      </c>
      <c r="M36" s="128">
        <f t="shared" si="21"/>
        <v>0.45010317013693485</v>
      </c>
      <c r="N36" s="400">
        <f>'[1]март 20'!W35</f>
        <v>0</v>
      </c>
      <c r="O36" s="403">
        <f>'[1]март 20'!AU35</f>
        <v>9.6989999999999998</v>
      </c>
      <c r="P36" s="401">
        <f t="shared" si="0"/>
        <v>142.49799999999999</v>
      </c>
      <c r="Q36" s="122">
        <f>'[1]март 20'!S35</f>
        <v>142.49799999999999</v>
      </c>
      <c r="R36" s="123">
        <f t="shared" si="22"/>
        <v>1.7</v>
      </c>
      <c r="S36" s="129">
        <v>9.0399999999999991</v>
      </c>
      <c r="T36" s="125">
        <f t="shared" si="1"/>
        <v>140.07553399999998</v>
      </c>
      <c r="U36" s="147">
        <f t="shared" si="2"/>
        <v>1.3137829112736819</v>
      </c>
      <c r="V36" s="130">
        <v>106.62</v>
      </c>
      <c r="W36" s="130">
        <v>27.58</v>
      </c>
      <c r="X36" s="129">
        <v>1.33</v>
      </c>
      <c r="Y36" s="150">
        <v>594</v>
      </c>
      <c r="Z36" s="150">
        <v>1182</v>
      </c>
      <c r="AA36" s="148" t="s">
        <v>223</v>
      </c>
      <c r="AB36" s="149">
        <v>75.900000000000006</v>
      </c>
      <c r="AC36" s="150">
        <v>96</v>
      </c>
      <c r="AD36" s="151">
        <v>4</v>
      </c>
      <c r="AE36" s="149"/>
      <c r="AF36" s="134">
        <f t="shared" si="3"/>
        <v>0</v>
      </c>
      <c r="AG36" s="152"/>
      <c r="AH36" s="129">
        <v>67.900000000000006</v>
      </c>
      <c r="AI36" s="134">
        <f t="shared" si="4"/>
        <v>636.84111798912011</v>
      </c>
      <c r="AJ36" s="153">
        <v>10.77</v>
      </c>
      <c r="AK36" s="154"/>
      <c r="AL36" s="155">
        <v>7.14</v>
      </c>
      <c r="AM36" s="156">
        <v>31.49</v>
      </c>
      <c r="AN36" s="126">
        <f t="shared" si="23"/>
        <v>0.22059544658493868</v>
      </c>
      <c r="AO36" s="157" t="s">
        <v>224</v>
      </c>
      <c r="AP36" s="156">
        <v>9</v>
      </c>
      <c r="AQ36" s="156">
        <v>6.81</v>
      </c>
      <c r="AR36" s="151"/>
      <c r="AS36" s="149">
        <v>6.18</v>
      </c>
      <c r="AT36" s="149">
        <v>142.75</v>
      </c>
      <c r="AU36" s="149">
        <v>2.5</v>
      </c>
      <c r="AV36" s="149"/>
      <c r="AW36" s="149"/>
      <c r="AX36" s="158">
        <f t="shared" si="5"/>
        <v>0</v>
      </c>
      <c r="AY36" s="125">
        <f t="shared" si="6"/>
        <v>106.62000000000002</v>
      </c>
      <c r="AZ36" s="125">
        <f t="shared" si="29"/>
        <v>105.81558418393797</v>
      </c>
      <c r="BA36" s="159">
        <f t="shared" si="7"/>
        <v>3.2505929577464792</v>
      </c>
      <c r="BB36" s="160">
        <f t="shared" si="8"/>
        <v>4.264800000000001</v>
      </c>
      <c r="BC36" s="161">
        <f t="shared" si="9"/>
        <v>0.8995279682300199</v>
      </c>
      <c r="BD36" s="160">
        <f t="shared" si="24"/>
        <v>7.5153929577464798</v>
      </c>
      <c r="BE36" s="162">
        <v>0.84499999999999997</v>
      </c>
      <c r="BF36" s="25">
        <f t="shared" si="25"/>
        <v>3538.7899999999995</v>
      </c>
      <c r="BG36" s="25">
        <f t="shared" si="10"/>
        <v>124.19354838709677</v>
      </c>
      <c r="BH36" s="25">
        <f t="shared" si="26"/>
        <v>3725.8064516129016</v>
      </c>
      <c r="BI36" s="26">
        <f t="shared" si="11"/>
        <v>1</v>
      </c>
      <c r="BJ36" s="37">
        <f t="shared" si="27"/>
        <v>3725.8064516129016</v>
      </c>
      <c r="BK36" s="38"/>
      <c r="BL36" s="31">
        <v>192.096</v>
      </c>
      <c r="BM36" s="31"/>
      <c r="BN36" s="31">
        <v>47.99</v>
      </c>
      <c r="BO36" s="40"/>
      <c r="BP36" s="40"/>
      <c r="BQ36" s="32"/>
      <c r="BR36" s="33"/>
      <c r="BS36" s="34">
        <v>2.15</v>
      </c>
      <c r="BT36" s="35"/>
      <c r="BU36" s="35"/>
      <c r="BV36" s="235"/>
      <c r="BW36" s="235"/>
      <c r="BX36" s="36"/>
      <c r="BY36" s="33"/>
      <c r="BZ36" s="34">
        <v>36.71</v>
      </c>
      <c r="CA36" s="35"/>
      <c r="CB36" s="35">
        <v>43.8</v>
      </c>
      <c r="CC36" s="235"/>
      <c r="CD36" s="235"/>
      <c r="CE36" s="36"/>
      <c r="CF36" s="30">
        <v>142.49799999999999</v>
      </c>
      <c r="CG36" s="30"/>
      <c r="CH36" s="34"/>
      <c r="CI36" s="50"/>
      <c r="CJ36" s="33">
        <v>1.7</v>
      </c>
      <c r="CK36" s="33"/>
      <c r="CL36" s="35"/>
      <c r="CM36" s="36"/>
      <c r="CN36" s="270"/>
      <c r="CO36" s="249">
        <f t="shared" si="30"/>
        <v>0</v>
      </c>
      <c r="CP36" s="12">
        <f t="shared" si="30"/>
        <v>187.965936</v>
      </c>
      <c r="CQ36" s="12">
        <f t="shared" si="30"/>
        <v>0</v>
      </c>
      <c r="CR36" s="12">
        <f t="shared" si="30"/>
        <v>47.99</v>
      </c>
      <c r="CS36" s="11">
        <f t="shared" si="30"/>
        <v>0</v>
      </c>
      <c r="CT36" s="11">
        <f t="shared" si="30"/>
        <v>0</v>
      </c>
      <c r="CU36" s="272">
        <f t="shared" si="30"/>
        <v>0</v>
      </c>
      <c r="CV36" s="249">
        <f t="shared" si="13"/>
        <v>140.07553399999998</v>
      </c>
      <c r="CW36" s="12">
        <f t="shared" si="13"/>
        <v>0</v>
      </c>
      <c r="CX36" s="249">
        <f t="shared" si="13"/>
        <v>0</v>
      </c>
      <c r="CY36" s="274">
        <f t="shared" si="13"/>
        <v>0</v>
      </c>
      <c r="CZ36" s="13"/>
      <c r="DA36" s="240">
        <f>(D36+'[2]март 20 '!D36)/(AY36+'[2]март 20 '!AX36)</f>
        <v>2.196574797949562</v>
      </c>
      <c r="DB36" s="241">
        <f>(T36+'[2]март 20 '!R36)/(AY36+'[2]март 20 '!AX36)</f>
        <v>1.2970722667065775</v>
      </c>
      <c r="DD36" s="292">
        <f t="shared" si="14"/>
        <v>9.375</v>
      </c>
      <c r="DE36" s="291">
        <v>0.19</v>
      </c>
      <c r="DF36" s="291">
        <v>18.98</v>
      </c>
      <c r="DG36" s="145">
        <f t="shared" si="15"/>
        <v>9.3571875000000002</v>
      </c>
      <c r="DH36" s="293">
        <f t="shared" si="28"/>
        <v>2.339913290513834</v>
      </c>
      <c r="DJ36" s="322">
        <f t="shared" si="31"/>
        <v>235.95593600000001</v>
      </c>
    </row>
    <row r="37" spans="1:114" s="76" customFormat="1" ht="16.5" customHeight="1" thickBot="1">
      <c r="A37" s="186">
        <v>31</v>
      </c>
      <c r="B37" s="122">
        <f>'[1]март 20'!K36</f>
        <v>239.97900000000001</v>
      </c>
      <c r="C37" s="123">
        <f t="shared" si="16"/>
        <v>0.97587188879026909</v>
      </c>
      <c r="D37" s="187">
        <f t="shared" si="17"/>
        <v>237.63711240000001</v>
      </c>
      <c r="E37" s="285">
        <f t="shared" si="18"/>
        <v>38.248770767442153</v>
      </c>
      <c r="F37" s="189">
        <f t="shared" si="19"/>
        <v>2.4025590172884441</v>
      </c>
      <c r="G37" s="127"/>
      <c r="H37" s="126">
        <f t="shared" si="20"/>
        <v>1.9170570457992113</v>
      </c>
      <c r="I37" s="230">
        <f>'[1]июль 20'!AI36</f>
        <v>0</v>
      </c>
      <c r="J37" s="277">
        <f>'[1]март 20'!AA36</f>
        <v>9.4939999999999998</v>
      </c>
      <c r="K37" s="276">
        <f>'[1]сентябрь 20'!AM36</f>
        <v>0</v>
      </c>
      <c r="L37" s="122">
        <f>'[1]март 20'!AE36</f>
        <v>48.021000000000001</v>
      </c>
      <c r="M37" s="128">
        <f t="shared" si="21"/>
        <v>0.48550197148923269</v>
      </c>
      <c r="N37" s="128">
        <f>'[1]март 20'!W36</f>
        <v>0</v>
      </c>
      <c r="O37" s="399">
        <f>'[1]март 20'!AU36</f>
        <v>9.4359999999999999</v>
      </c>
      <c r="P37" s="125">
        <f t="shared" si="0"/>
        <v>140.47399999999999</v>
      </c>
      <c r="Q37" s="122">
        <f>'[1]март 20'!S36</f>
        <v>140.47399999999999</v>
      </c>
      <c r="R37" s="123">
        <f t="shared" si="22"/>
        <v>2.65</v>
      </c>
      <c r="S37" s="190">
        <v>6.91</v>
      </c>
      <c r="T37" s="125">
        <f t="shared" si="1"/>
        <v>136.75143899999998</v>
      </c>
      <c r="U37" s="191">
        <f t="shared" si="2"/>
        <v>1.3825845617227781</v>
      </c>
      <c r="V37" s="192">
        <v>98.91</v>
      </c>
      <c r="W37" s="192">
        <v>21.85</v>
      </c>
      <c r="X37" s="190">
        <v>1.03</v>
      </c>
      <c r="Y37" s="193">
        <v>545</v>
      </c>
      <c r="Z37" s="194">
        <v>1180</v>
      </c>
      <c r="AA37" s="195" t="s">
        <v>225</v>
      </c>
      <c r="AB37" s="196">
        <v>75.959999999999994</v>
      </c>
      <c r="AC37" s="194">
        <v>96</v>
      </c>
      <c r="AD37" s="193">
        <v>4</v>
      </c>
      <c r="AE37" s="196">
        <v>4.5999999999999996</v>
      </c>
      <c r="AF37" s="134">
        <f t="shared" si="3"/>
        <v>46.506925487817206</v>
      </c>
      <c r="AG37" s="197"/>
      <c r="AH37" s="190">
        <v>76.650000000000006</v>
      </c>
      <c r="AI37" s="134">
        <f t="shared" si="4"/>
        <v>774.94692144373676</v>
      </c>
      <c r="AJ37" s="196">
        <v>11.8</v>
      </c>
      <c r="AK37" s="198"/>
      <c r="AL37" s="199">
        <v>6.32</v>
      </c>
      <c r="AM37" s="200">
        <v>30.47</v>
      </c>
      <c r="AN37" s="126">
        <f t="shared" si="23"/>
        <v>0.22453942520265291</v>
      </c>
      <c r="AO37" s="201" t="s">
        <v>197</v>
      </c>
      <c r="AP37" s="200">
        <v>9.06</v>
      </c>
      <c r="AQ37" s="201">
        <v>7.03</v>
      </c>
      <c r="AR37" s="193"/>
      <c r="AS37" s="196">
        <v>6.78</v>
      </c>
      <c r="AT37" s="242">
        <v>135.69999999999999</v>
      </c>
      <c r="AU37" s="196"/>
      <c r="AV37" s="196"/>
      <c r="AW37" s="196"/>
      <c r="AX37" s="202">
        <f t="shared" si="5"/>
        <v>0</v>
      </c>
      <c r="AY37" s="188">
        <f t="shared" si="6"/>
        <v>98.91</v>
      </c>
      <c r="AZ37" s="125">
        <f t="shared" si="29"/>
        <v>106.59952876363054</v>
      </c>
      <c r="BA37" s="203">
        <f t="shared" si="7"/>
        <v>4.0257443661971832</v>
      </c>
      <c r="BB37" s="204">
        <f t="shared" si="8"/>
        <v>3.9563999999999999</v>
      </c>
      <c r="BC37" s="205">
        <f t="shared" si="9"/>
        <v>0.82659620871057005</v>
      </c>
      <c r="BD37" s="206">
        <f t="shared" si="24"/>
        <v>7.9821443661971827</v>
      </c>
      <c r="BE37" s="207">
        <v>0.84499999999999997</v>
      </c>
      <c r="BF37" s="25">
        <f t="shared" si="25"/>
        <v>3637.6999999999994</v>
      </c>
      <c r="BG37" s="25">
        <f t="shared" si="10"/>
        <v>124.19354838709677</v>
      </c>
      <c r="BH37" s="25">
        <f t="shared" si="26"/>
        <v>3849.9999999999982</v>
      </c>
      <c r="BI37" s="26">
        <f t="shared" si="11"/>
        <v>1</v>
      </c>
      <c r="BJ37" s="37">
        <f t="shared" si="27"/>
        <v>3849.9999999999982</v>
      </c>
      <c r="BK37" s="51"/>
      <c r="BL37" s="53">
        <v>191.958</v>
      </c>
      <c r="BM37" s="53"/>
      <c r="BN37" s="53">
        <v>48.021000000000001</v>
      </c>
      <c r="BO37" s="282"/>
      <c r="BP37" s="282"/>
      <c r="BQ37" s="54"/>
      <c r="BR37" s="55"/>
      <c r="BS37" s="52">
        <v>1.22</v>
      </c>
      <c r="BT37" s="56"/>
      <c r="BU37" s="56"/>
      <c r="BV37" s="284"/>
      <c r="BW37" s="284"/>
      <c r="BX37" s="57"/>
      <c r="BY37" s="55"/>
      <c r="BZ37" s="52">
        <v>36.78</v>
      </c>
      <c r="CA37" s="56"/>
      <c r="CB37" s="56">
        <v>44.12</v>
      </c>
      <c r="CC37" s="284"/>
      <c r="CD37" s="284"/>
      <c r="CE37" s="57"/>
      <c r="CF37" s="58">
        <v>140.47399999999999</v>
      </c>
      <c r="CG37" s="58"/>
      <c r="CH37" s="52"/>
      <c r="CI37" s="54"/>
      <c r="CJ37" s="33">
        <v>2.65</v>
      </c>
      <c r="CK37" s="265"/>
      <c r="CL37" s="59"/>
      <c r="CM37" s="60"/>
      <c r="CN37" s="270"/>
      <c r="CO37" s="269">
        <f t="shared" si="30"/>
        <v>0</v>
      </c>
      <c r="CP37" s="18">
        <f t="shared" si="30"/>
        <v>189.61611239999999</v>
      </c>
      <c r="CQ37" s="18">
        <f t="shared" si="30"/>
        <v>0</v>
      </c>
      <c r="CR37" s="18">
        <f t="shared" si="30"/>
        <v>48.021000000000001</v>
      </c>
      <c r="CS37" s="251">
        <f t="shared" si="30"/>
        <v>0</v>
      </c>
      <c r="CT37" s="11">
        <f t="shared" si="30"/>
        <v>0</v>
      </c>
      <c r="CU37" s="273">
        <f t="shared" si="30"/>
        <v>0</v>
      </c>
      <c r="CV37" s="269">
        <f t="shared" si="13"/>
        <v>136.75143899999998</v>
      </c>
      <c r="CW37" s="18">
        <f t="shared" si="13"/>
        <v>0</v>
      </c>
      <c r="CX37" s="261">
        <f t="shared" si="13"/>
        <v>0</v>
      </c>
      <c r="CY37" s="273">
        <f t="shared" si="13"/>
        <v>0</v>
      </c>
      <c r="CZ37" s="13"/>
      <c r="DA37" s="240">
        <f>(D37+'[2]март 20 '!D37)/(AY37+'[2]март 20 '!AX37)</f>
        <v>2.3872078148639448</v>
      </c>
      <c r="DB37" s="241">
        <f>(T37+'[2]март 20 '!R37)/(AY37+'[2]март 20 '!AX37)</f>
        <v>1.380172226006525</v>
      </c>
      <c r="DD37" s="292">
        <f t="shared" si="14"/>
        <v>9.4939999999999998</v>
      </c>
      <c r="DE37" s="294">
        <v>0.31</v>
      </c>
      <c r="DF37" s="294">
        <v>17.149999999999999</v>
      </c>
      <c r="DG37" s="323">
        <f t="shared" si="15"/>
        <v>9.4645685999999998</v>
      </c>
      <c r="DH37" s="293">
        <f t="shared" si="28"/>
        <v>2.1368792981832541</v>
      </c>
      <c r="DJ37" s="322">
        <f t="shared" si="31"/>
        <v>237.63711239999998</v>
      </c>
    </row>
    <row r="38" spans="1:114" s="214" customFormat="1" ht="16.5" customHeight="1" thickBot="1">
      <c r="A38" s="91" t="s">
        <v>56</v>
      </c>
      <c r="B38" s="92">
        <f>SUM(B7:B37)</f>
        <v>8451.237000000001</v>
      </c>
      <c r="C38" s="330"/>
      <c r="D38" s="331">
        <f>SUM(D7:D37)</f>
        <v>8291.1274503702389</v>
      </c>
      <c r="E38" s="332"/>
      <c r="F38" s="331"/>
      <c r="G38" s="333">
        <f>SUM(G7:G37)</f>
        <v>102.79999999999998</v>
      </c>
      <c r="H38" s="329"/>
      <c r="I38" s="334">
        <f>SUM(I7:I37)</f>
        <v>0</v>
      </c>
      <c r="J38" s="329">
        <f>SUM(J7:J37)</f>
        <v>326.15199999999993</v>
      </c>
      <c r="K38" s="329">
        <f>SUM(K7:K37)</f>
        <v>0</v>
      </c>
      <c r="L38" s="396">
        <f>SUM(L7:L37)</f>
        <v>2062.8579999999997</v>
      </c>
      <c r="M38" s="335"/>
      <c r="N38" s="329">
        <f>SUM(N7:N37)</f>
        <v>75.426999999999992</v>
      </c>
      <c r="O38" s="396">
        <f>SUM(O7:O37)</f>
        <v>222.89400000000003</v>
      </c>
      <c r="P38" s="330">
        <f>SUM(P7:P37)</f>
        <v>5177.3710020000008</v>
      </c>
      <c r="Q38" s="396">
        <f>SUM(Q7:Q37)</f>
        <v>5177.3711000000003</v>
      </c>
      <c r="R38" s="336">
        <f>IF(Q38=0,0,(CA38*CH38+CE38*CI38+CF38*CJ38)/Q38)</f>
        <v>0</v>
      </c>
      <c r="S38" s="398">
        <f>SUM(S7:S37)</f>
        <v>309.89000000000004</v>
      </c>
      <c r="T38" s="331">
        <f>SUM(T7:T37)</f>
        <v>5013.6402031999996</v>
      </c>
      <c r="U38" s="337"/>
      <c r="V38" s="229">
        <f>SUM(V7:V37)</f>
        <v>3068.9399999999996</v>
      </c>
      <c r="W38" s="229">
        <f>SUM(W7:W37)</f>
        <v>2151.1799999999994</v>
      </c>
      <c r="X38" s="338"/>
      <c r="Y38" s="337"/>
      <c r="Z38" s="339"/>
      <c r="AA38" s="340"/>
      <c r="AB38" s="338"/>
      <c r="AC38" s="339"/>
      <c r="AD38" s="339">
        <f>SUM(AD7:AD37)</f>
        <v>122</v>
      </c>
      <c r="AE38" s="90">
        <f>SUM(AE7:AE37)</f>
        <v>84.5</v>
      </c>
      <c r="AF38" s="341"/>
      <c r="AG38" s="342">
        <f>SUM(AG7:AG37)</f>
        <v>0</v>
      </c>
      <c r="AH38" s="90">
        <f>SUM(AH7:AH37)</f>
        <v>2661.9500000000003</v>
      </c>
      <c r="AI38" s="341"/>
      <c r="AJ38" s="332">
        <f>SUM(AJ7:AJ37)</f>
        <v>394.01999999999992</v>
      </c>
      <c r="AK38" s="343"/>
      <c r="AL38" s="397">
        <f>SUM(AL7:AL37)</f>
        <v>209.67</v>
      </c>
      <c r="AM38" s="417">
        <f>SUM(AM7:AM37)</f>
        <v>1066.1400000000001</v>
      </c>
      <c r="AN38" s="345"/>
      <c r="AO38" s="342"/>
      <c r="AP38" s="332"/>
      <c r="AQ38" s="342"/>
      <c r="AR38" s="342"/>
      <c r="AS38" s="346"/>
      <c r="AT38" s="332">
        <f>SUM(AT7:AT37)</f>
        <v>4850.7000000000007</v>
      </c>
      <c r="AU38" s="332">
        <f>SUM(AU7:AU37)</f>
        <v>62.81</v>
      </c>
      <c r="AV38" s="347">
        <f>SUM(AV7:AV37)</f>
        <v>0</v>
      </c>
      <c r="AW38" s="332">
        <f>SUM(AW7:AW37)</f>
        <v>0</v>
      </c>
      <c r="AX38" s="331"/>
      <c r="AY38" s="90">
        <f>SUM(AY7:AY37)</f>
        <v>3637.6999999999994</v>
      </c>
      <c r="AZ38" s="330">
        <f>SUM(AZ7:AZ37)</f>
        <v>3830.0707050055462</v>
      </c>
      <c r="BA38" s="342">
        <f>SUM(BA7:BA37)</f>
        <v>185.21513767605632</v>
      </c>
      <c r="BB38" s="342">
        <f>SUM(BB7:BB37)</f>
        <v>145.50800000000004</v>
      </c>
      <c r="BC38" s="332"/>
      <c r="BD38" s="89">
        <f>SUM(BD7:BD37)</f>
        <v>330.72313767605641</v>
      </c>
      <c r="BE38" s="348"/>
      <c r="BF38" s="19"/>
      <c r="BG38" s="19">
        <f t="shared" si="10"/>
        <v>0</v>
      </c>
      <c r="BH38" s="19"/>
      <c r="BI38" s="208">
        <f>SUM(BI7:BI37)</f>
        <v>31</v>
      </c>
      <c r="BJ38" s="209"/>
      <c r="BK38" s="278">
        <f t="shared" ref="BK38:BQ38" si="32">SUM(BK7:BK37)</f>
        <v>94.421001000000004</v>
      </c>
      <c r="BL38" s="61">
        <f>SUM(BL7:BL37)</f>
        <v>5954.329999999999</v>
      </c>
      <c r="BM38" s="61">
        <f t="shared" si="32"/>
        <v>9.9999999999999995E-7</v>
      </c>
      <c r="BN38" s="61">
        <f t="shared" si="32"/>
        <v>2062.8579999999997</v>
      </c>
      <c r="BO38" s="61">
        <f t="shared" si="32"/>
        <v>339.62800099999993</v>
      </c>
      <c r="BP38" s="61">
        <f t="shared" si="32"/>
        <v>9.9999999999999995E-7</v>
      </c>
      <c r="BQ38" s="64">
        <f t="shared" si="32"/>
        <v>9.9999999999999995E-7</v>
      </c>
      <c r="BR38" s="63"/>
      <c r="BS38" s="24"/>
      <c r="BT38" s="24"/>
      <c r="BU38" s="24"/>
      <c r="BV38" s="62"/>
      <c r="BW38" s="62"/>
      <c r="BX38" s="65"/>
      <c r="BY38" s="63"/>
      <c r="BZ38" s="24"/>
      <c r="CA38" s="24"/>
      <c r="CB38" s="24"/>
      <c r="CC38" s="62"/>
      <c r="CD38" s="62"/>
      <c r="CE38" s="62"/>
      <c r="CF38" s="66">
        <f>SUM(CF7:CF37)</f>
        <v>4236.2359999999999</v>
      </c>
      <c r="CG38" s="66">
        <f>SUM(CG7:CG37)</f>
        <v>9.9999999999999995E-7</v>
      </c>
      <c r="CH38" s="61">
        <f>SUM(CH7:CH37)</f>
        <v>941.1350000000001</v>
      </c>
      <c r="CI38" s="67">
        <f>SUM(CI7:CI37)</f>
        <v>9.9999999999999995E-7</v>
      </c>
      <c r="CJ38" s="210"/>
      <c r="CK38" s="266"/>
      <c r="CL38" s="211"/>
      <c r="CM38" s="212"/>
      <c r="CN38" s="213"/>
      <c r="CO38" s="68">
        <f t="shared" ref="CO38:CY38" si="33">SUM(CO7:CO37)</f>
        <v>83.832209999999989</v>
      </c>
      <c r="CP38" s="69">
        <f t="shared" si="33"/>
        <v>5818.0028407999989</v>
      </c>
      <c r="CQ38" s="70">
        <f t="shared" si="33"/>
        <v>9.9999998999999992E-7</v>
      </c>
      <c r="CR38" s="69">
        <f t="shared" si="33"/>
        <v>2062.8579993702397</v>
      </c>
      <c r="CS38" s="72">
        <f t="shared" si="33"/>
        <v>326.43440219999997</v>
      </c>
      <c r="CT38" s="72">
        <f t="shared" si="33"/>
        <v>9.9999998999999992E-7</v>
      </c>
      <c r="CU38" s="71">
        <f t="shared" si="33"/>
        <v>9.9999998999999992E-7</v>
      </c>
      <c r="CV38" s="72">
        <f t="shared" si="33"/>
        <v>4102.0112113000005</v>
      </c>
      <c r="CW38" s="72">
        <f t="shared" si="33"/>
        <v>9.9999998999999992E-7</v>
      </c>
      <c r="CX38" s="72">
        <f t="shared" si="33"/>
        <v>911.6288919000001</v>
      </c>
      <c r="CY38" s="72">
        <f t="shared" si="33"/>
        <v>9.9999998999999992E-7</v>
      </c>
      <c r="CZ38" s="70"/>
      <c r="DA38" s="240">
        <f>(D38+'[2]март 20 '!D38)/(AY38+'[2]март 20 '!AX38)</f>
        <v>2.2446501043808089</v>
      </c>
      <c r="DB38" s="241">
        <f>(T38+'[2]март 20 '!R38)/(AY38+'[2]март 20 '!AX38)</f>
        <v>1.3685971152516845</v>
      </c>
      <c r="DD38" s="295">
        <f>SUM(DD7:DD37)</f>
        <v>326.15199999999993</v>
      </c>
      <c r="DE38" s="296">
        <f>(SUMPRODUCT(DD7:DD37,DE7:DE37))/DD38</f>
        <v>0.36025935760013739</v>
      </c>
      <c r="DF38" s="296">
        <f>(SUMPRODUCT(DD7:DD37,DF7:DF37))/DD38</f>
        <v>16.055111757708069</v>
      </c>
      <c r="DG38" s="296">
        <f>(SUMPRODUCT(DE7:DE37,DG7:DG37))/DE38</f>
        <v>324.31750664664889</v>
      </c>
      <c r="DH38" s="324">
        <f>IF(J38=0,0,(DG38*DF38%)/(AB39/100))</f>
        <v>68.697274368840027</v>
      </c>
    </row>
    <row r="39" spans="1:114" s="214" customFormat="1" ht="16.5" customHeight="1" thickBot="1">
      <c r="A39" s="93" t="s">
        <v>57</v>
      </c>
      <c r="B39" s="349">
        <f>B38/AU2</f>
        <v>272.62054838709679</v>
      </c>
      <c r="C39" s="349">
        <f>(BK38*BR39+BM38*BT39+BQ38*BX39+BL38*BS39+BN38*BU39+BO38*BV39+BP38*BW39)/B38</f>
        <v>1.8945102312213005</v>
      </c>
      <c r="D39" s="350">
        <f>D38/AU2</f>
        <v>267.45572420549155</v>
      </c>
      <c r="E39" s="349">
        <f>(BK38*BY39+BM38*CA39+BQ38*CE39+BL38*BZ39+BN38*CB39+BO38*CC39+BP38*CD39)/B38</f>
        <v>39.37614605530527</v>
      </c>
      <c r="F39" s="351">
        <f>IF($AY$38=0,0,$D$38/$AY$38)</f>
        <v>2.2792224346070982</v>
      </c>
      <c r="G39" s="352">
        <f>G38/AU2</f>
        <v>3.3161290322580639</v>
      </c>
      <c r="H39" s="353">
        <f>IF($AY$38=0,0,(CP38+CO38+CS38+CQ38+CT38)/AY38)</f>
        <v>1.7121448868790718</v>
      </c>
      <c r="I39" s="349">
        <f>I38/AU2</f>
        <v>0</v>
      </c>
      <c r="J39" s="349">
        <f>J38/AU2</f>
        <v>10.521032258064514</v>
      </c>
      <c r="K39" s="349">
        <f>K38/AU2</f>
        <v>0</v>
      </c>
      <c r="L39" s="349">
        <f>L38/AU2</f>
        <v>66.543806451612895</v>
      </c>
      <c r="M39" s="354">
        <f>IF($AY$38=0,0,(CR38+CU38)/$AY$38)</f>
        <v>0.56707754910252084</v>
      </c>
      <c r="N39" s="349">
        <f>N38/AU2</f>
        <v>2.4331290322580643</v>
      </c>
      <c r="O39" s="349">
        <f>O38/AU2</f>
        <v>7.1901290322580653</v>
      </c>
      <c r="P39" s="349">
        <f>P38/AU2</f>
        <v>167.01196780645165</v>
      </c>
      <c r="Q39" s="349">
        <f>Q38/AU2</f>
        <v>167.01197096774195</v>
      </c>
      <c r="R39" s="349">
        <f>(SUMPRODUCT(R7:R37,Q7:Q37))/Q38</f>
        <v>3.1624330888701415</v>
      </c>
      <c r="S39" s="355">
        <f>S38/AU2</f>
        <v>9.9964516129032273</v>
      </c>
      <c r="T39" s="356"/>
      <c r="U39" s="354">
        <f>IF($AY$38=0,0,$T$38/$AY$38)</f>
        <v>1.378244551007505</v>
      </c>
      <c r="V39" s="349">
        <f>V38/AU2</f>
        <v>98.99806451612902</v>
      </c>
      <c r="W39" s="349">
        <f>W38/AU2</f>
        <v>69.392903225806435</v>
      </c>
      <c r="X39" s="349">
        <f>(SUMPRODUCT(X7:X37,AY7:AY37))/AY38</f>
        <v>0.88710943728179892</v>
      </c>
      <c r="Y39" s="357">
        <f>AVERAGE(Y7:Y37)</f>
        <v>520</v>
      </c>
      <c r="Z39" s="357">
        <f>AVERAGE(Z7:Z37)</f>
        <v>1175.3870967741937</v>
      </c>
      <c r="AA39" s="357"/>
      <c r="AB39" s="349">
        <f>(SUMPRODUCT(AB7:AB37,AY7:AY37))/AY38</f>
        <v>75.795639085136216</v>
      </c>
      <c r="AC39" s="358">
        <f>AVERAGE(AC7:AC37)</f>
        <v>112.3225806451613</v>
      </c>
      <c r="AD39" s="358">
        <f>AVERAGE(AD7:AD37)</f>
        <v>3.935483870967742</v>
      </c>
      <c r="AE39" s="349">
        <f>AE38/AU2</f>
        <v>2.725806451612903</v>
      </c>
      <c r="AF39" s="355">
        <f>IF(AY38=0,0,AE38/AY38*1000)</f>
        <v>23.228963355966684</v>
      </c>
      <c r="AG39" s="356" t="e">
        <f>AG38/$AW$2</f>
        <v>#DIV/0!</v>
      </c>
      <c r="AH39" s="349">
        <f>AH38/AU2</f>
        <v>85.869354838709683</v>
      </c>
      <c r="AI39" s="355">
        <f>IF(AY38=0,0,AH38/AY38*1000)</f>
        <v>731.76732550787608</v>
      </c>
      <c r="AJ39" s="349">
        <f>AJ38/AU2</f>
        <v>12.710322580645158</v>
      </c>
      <c r="AK39" s="359"/>
      <c r="AL39" s="349">
        <f>AL38/AU2</f>
        <v>6.7635483870967734</v>
      </c>
      <c r="AM39" s="349">
        <f>AM38/AU2</f>
        <v>34.391612903225813</v>
      </c>
      <c r="AN39" s="360">
        <f>IF(AM39=0,0,AM39/AT39)</f>
        <v>0.21979095800606099</v>
      </c>
      <c r="AO39" s="356"/>
      <c r="AP39" s="349">
        <f>AVERAGE(AP7:AP37)</f>
        <v>9.4632258064516108</v>
      </c>
      <c r="AQ39" s="349">
        <f>AVERAGE(AQ7:AQ37)</f>
        <v>6.3570967741935496</v>
      </c>
      <c r="AR39" s="356"/>
      <c r="AS39" s="349">
        <f>AVERAGE(AS7:AS37)</f>
        <v>8.757096774193549</v>
      </c>
      <c r="AT39" s="349">
        <f>AT38/AU2</f>
        <v>156.47419354838712</v>
      </c>
      <c r="AU39" s="349">
        <f>AU38/AU2</f>
        <v>2.0261290322580647</v>
      </c>
      <c r="AV39" s="349" t="e">
        <f>AV38/$AW$2</f>
        <v>#DIV/0!</v>
      </c>
      <c r="AW39" s="349" t="e">
        <f>AW38/$AW$2</f>
        <v>#DIV/0!</v>
      </c>
      <c r="AX39" s="349" t="e">
        <f>IF(AY39=0,0,AW39/AY39*100)</f>
        <v>#DIV/0!</v>
      </c>
      <c r="AY39" s="349">
        <f>AY38/AU2</f>
        <v>117.34516129032257</v>
      </c>
      <c r="AZ39" s="349">
        <f>AZ38/AU2</f>
        <v>123.55066790340472</v>
      </c>
      <c r="BA39" s="356"/>
      <c r="BB39" s="356"/>
      <c r="BC39" s="351">
        <f>(AY38*AB39)/(D38*E39)</f>
        <v>0.84454792811464385</v>
      </c>
      <c r="BD39" s="349">
        <f>BD38/AU2</f>
        <v>10.668488312130853</v>
      </c>
      <c r="BE39" s="361"/>
      <c r="BF39" s="19"/>
      <c r="BG39" s="19"/>
      <c r="BH39" s="19"/>
      <c r="BI39" s="19"/>
      <c r="BJ39" s="215"/>
      <c r="BK39" s="73"/>
      <c r="BL39" s="216"/>
      <c r="BM39" s="216"/>
      <c r="BN39" s="216"/>
      <c r="BO39" s="219"/>
      <c r="BP39" s="219"/>
      <c r="BQ39" s="217"/>
      <c r="BR39" s="73">
        <f t="shared" ref="BR39:BX39" si="34">(SUMPRODUCT(BK7:BK37,BR7:BR37))/BK38</f>
        <v>11.214444761075992</v>
      </c>
      <c r="BS39" s="29">
        <f>(SUMPRODUCT(BL7:BL37,BS7:BS37))/BL38</f>
        <v>2.289546585426069</v>
      </c>
      <c r="BT39" s="29">
        <f t="shared" si="34"/>
        <v>9.9999999999999995E-7</v>
      </c>
      <c r="BU39" s="29">
        <f t="shared" si="34"/>
        <v>3.0528519170975417E-8</v>
      </c>
      <c r="BV39" s="29">
        <f t="shared" si="34"/>
        <v>3.8847205651927426</v>
      </c>
      <c r="BW39" s="29">
        <f t="shared" si="34"/>
        <v>9.9999999999999995E-7</v>
      </c>
      <c r="BX39" s="74">
        <f t="shared" si="34"/>
        <v>9.9999999999999995E-7</v>
      </c>
      <c r="BY39" s="73">
        <f t="shared" ref="BY39:CE39" si="35">(SUMPRODUCT(BK7:BK37,BY7:BY37))/BK38</f>
        <v>42.174763853647356</v>
      </c>
      <c r="BZ39" s="29">
        <f t="shared" si="35"/>
        <v>37.694872083005137</v>
      </c>
      <c r="CA39" s="29">
        <f t="shared" si="35"/>
        <v>9.9999999999999995E-7</v>
      </c>
      <c r="CB39" s="29">
        <f t="shared" si="35"/>
        <v>44.32288230212648</v>
      </c>
      <c r="CC39" s="29">
        <f t="shared" si="35"/>
        <v>38.028192528212671</v>
      </c>
      <c r="CD39" s="29">
        <f t="shared" si="35"/>
        <v>9.9999999999999995E-7</v>
      </c>
      <c r="CE39" s="74">
        <f t="shared" si="35"/>
        <v>9.9999999999999995E-7</v>
      </c>
      <c r="CF39" s="218"/>
      <c r="CG39" s="218"/>
      <c r="CH39" s="216"/>
      <c r="CI39" s="219"/>
      <c r="CJ39" s="75">
        <f>(SUMPRODUCT(CF7:CF37,CJ7:CJ37))/CF38</f>
        <v>3.1684917624985958</v>
      </c>
      <c r="CK39" s="75">
        <f>(SUMPRODUCT(CG7:CG37,CK7:CK37))/CG38</f>
        <v>9.9999999999999995E-7</v>
      </c>
      <c r="CL39" s="29">
        <f>(SUMPRODUCT(CH7:CH37,CL7:CL37))/CH38</f>
        <v>3.1351621287062961</v>
      </c>
      <c r="CM39" s="74">
        <f>(SUMPRODUCT(CI7:CI37,CM7:CM37))/CI38</f>
        <v>9.9999999999999995E-7</v>
      </c>
      <c r="CN39" s="19"/>
      <c r="CO39" s="596">
        <f>CO38+CP38</f>
        <v>5901.8350507999985</v>
      </c>
      <c r="CP39" s="596"/>
      <c r="CQ39" s="597">
        <f>CQ38+CR38+CU38+CS38+CT38</f>
        <v>2389.2924045702393</v>
      </c>
      <c r="CR39" s="597"/>
      <c r="CS39" s="597"/>
      <c r="CT39" s="597"/>
      <c r="CU39" s="597"/>
      <c r="CV39" s="597">
        <f>CV38+CX38+CY38+CW38</f>
        <v>5013.640105200001</v>
      </c>
      <c r="CW39" s="597"/>
      <c r="CX39" s="597"/>
      <c r="CY39" s="597"/>
      <c r="DA39" s="236"/>
      <c r="DB39" s="238"/>
      <c r="DD39" s="297"/>
      <c r="DE39" s="298"/>
      <c r="DF39" s="298"/>
      <c r="DG39" s="299"/>
      <c r="DH39" s="300"/>
    </row>
    <row r="40" spans="1:114" s="214" customFormat="1" ht="16.5" customHeight="1" thickBot="1">
      <c r="A40" s="94" t="s">
        <v>58</v>
      </c>
      <c r="B40" s="362"/>
      <c r="C40" s="362"/>
      <c r="D40" s="363"/>
      <c r="E40" s="364">
        <v>39</v>
      </c>
      <c r="F40" s="363">
        <v>2.08</v>
      </c>
      <c r="G40" s="365"/>
      <c r="H40" s="363">
        <v>1.56</v>
      </c>
      <c r="I40" s="363"/>
      <c r="J40" s="363">
        <v>10.55649</v>
      </c>
      <c r="K40" s="363"/>
      <c r="L40" s="363"/>
      <c r="M40" s="363">
        <v>0.52</v>
      </c>
      <c r="N40" s="363"/>
      <c r="O40" s="363">
        <v>10.059714</v>
      </c>
      <c r="P40" s="366"/>
      <c r="Q40" s="362"/>
      <c r="R40" s="367"/>
      <c r="S40" s="368">
        <v>14.530697999999999</v>
      </c>
      <c r="T40" s="362"/>
      <c r="U40" s="369">
        <v>1.2949999999999999</v>
      </c>
      <c r="V40" s="370">
        <v>3850</v>
      </c>
      <c r="W40" s="370">
        <v>3850</v>
      </c>
      <c r="X40" s="371"/>
      <c r="Y40" s="371"/>
      <c r="Z40" s="372">
        <v>1190</v>
      </c>
      <c r="AA40" s="372"/>
      <c r="AB40" s="362">
        <v>76</v>
      </c>
      <c r="AC40" s="362"/>
      <c r="AD40" s="362"/>
      <c r="AE40" s="362"/>
      <c r="AF40" s="362"/>
      <c r="AG40" s="362"/>
      <c r="AH40" s="362"/>
      <c r="AI40" s="362">
        <v>630</v>
      </c>
      <c r="AJ40" s="373"/>
      <c r="AK40" s="374"/>
      <c r="AL40" s="375"/>
      <c r="AM40" s="362"/>
      <c r="AN40" s="362"/>
      <c r="AO40" s="362"/>
      <c r="AP40" s="362"/>
      <c r="AQ40" s="362"/>
      <c r="AR40" s="362"/>
      <c r="AS40" s="362"/>
      <c r="AT40" s="376">
        <v>3850</v>
      </c>
      <c r="AU40" s="377">
        <v>27</v>
      </c>
      <c r="AV40" s="377"/>
      <c r="AW40" s="378"/>
      <c r="AX40" s="362"/>
      <c r="AY40" s="379">
        <v>124.19</v>
      </c>
      <c r="AZ40" s="362"/>
      <c r="BA40" s="362"/>
      <c r="BB40" s="362"/>
      <c r="BC40" s="363">
        <v>0.9</v>
      </c>
      <c r="BD40" s="362"/>
      <c r="BE40" s="380"/>
      <c r="BF40" s="19"/>
      <c r="BG40" s="19"/>
      <c r="BH40" s="19"/>
      <c r="BI40" s="19"/>
      <c r="BJ40" s="215"/>
      <c r="BK40" s="220"/>
      <c r="BL40" s="221"/>
      <c r="BM40" s="216"/>
      <c r="BN40" s="216"/>
      <c r="BO40" s="219"/>
      <c r="BP40" s="219"/>
      <c r="BQ40" s="217"/>
      <c r="BR40" s="218"/>
      <c r="BS40" s="216"/>
      <c r="BT40" s="216"/>
      <c r="BU40" s="216"/>
      <c r="BV40" s="219"/>
      <c r="BW40" s="219"/>
      <c r="BX40" s="217"/>
      <c r="BY40" s="218"/>
      <c r="BZ40" s="216"/>
      <c r="CA40" s="216"/>
      <c r="CB40" s="216"/>
      <c r="CC40" s="219"/>
      <c r="CD40" s="219"/>
      <c r="CE40" s="217"/>
      <c r="CF40" s="218"/>
      <c r="CG40" s="218"/>
      <c r="CH40" s="216"/>
      <c r="CI40" s="219"/>
      <c r="CJ40" s="220"/>
      <c r="CK40" s="218"/>
      <c r="CL40" s="216"/>
      <c r="CM40" s="217"/>
      <c r="CN40" s="213"/>
      <c r="CO40" s="604">
        <f>CO39+CQ39</f>
        <v>8291.1274553702387</v>
      </c>
      <c r="CP40" s="604"/>
      <c r="CQ40" s="604"/>
      <c r="CR40" s="604"/>
      <c r="CS40" s="604"/>
      <c r="CT40" s="604"/>
      <c r="CU40" s="604"/>
      <c r="DA40" s="237"/>
      <c r="DB40" s="239"/>
      <c r="DD40" s="301"/>
      <c r="DE40" s="302"/>
      <c r="DF40" s="302"/>
      <c r="DG40" s="303"/>
      <c r="DH40" s="304"/>
    </row>
    <row r="41" spans="1:114" s="214" customFormat="1" ht="16.5" customHeight="1" thickBot="1">
      <c r="A41" s="95" t="s">
        <v>59</v>
      </c>
      <c r="B41" s="381"/>
      <c r="C41" s="381"/>
      <c r="D41" s="382"/>
      <c r="E41" s="381"/>
      <c r="F41" s="383">
        <f>F39-F40</f>
        <v>0.1992224346070981</v>
      </c>
      <c r="G41" s="384">
        <f>G39-G40</f>
        <v>3.3161290322580639</v>
      </c>
      <c r="H41" s="383"/>
      <c r="I41" s="385">
        <f>I39-I40</f>
        <v>0</v>
      </c>
      <c r="J41" s="385"/>
      <c r="K41" s="385"/>
      <c r="L41" s="385"/>
      <c r="M41" s="385"/>
      <c r="N41" s="385"/>
      <c r="O41" s="385"/>
      <c r="P41" s="383"/>
      <c r="Q41" s="386"/>
      <c r="R41" s="385">
        <f>R39-R40</f>
        <v>3.1624330888701415</v>
      </c>
      <c r="S41" s="386"/>
      <c r="T41" s="386"/>
      <c r="U41" s="383">
        <f>U39-U40</f>
        <v>8.3244551007505052E-2</v>
      </c>
      <c r="V41" s="383"/>
      <c r="W41" s="383"/>
      <c r="X41" s="383"/>
      <c r="Y41" s="383"/>
      <c r="Z41" s="387">
        <f>Z39-Z40</f>
        <v>-14.612903225806349</v>
      </c>
      <c r="AA41" s="388"/>
      <c r="AB41" s="381"/>
      <c r="AC41" s="381"/>
      <c r="AD41" s="381"/>
      <c r="AE41" s="381"/>
      <c r="AF41" s="381"/>
      <c r="AG41" s="381"/>
      <c r="AH41" s="381"/>
      <c r="AI41" s="381"/>
      <c r="AJ41" s="381"/>
      <c r="AK41" s="389"/>
      <c r="AL41" s="390"/>
      <c r="AM41" s="381"/>
      <c r="AN41" s="381"/>
      <c r="AO41" s="381"/>
      <c r="AP41" s="381"/>
      <c r="AQ41" s="381"/>
      <c r="AR41" s="381"/>
      <c r="AS41" s="381"/>
      <c r="AT41" s="391">
        <f>AT38+AV38-AT40</f>
        <v>1000.7000000000007</v>
      </c>
      <c r="AU41" s="392"/>
      <c r="AV41" s="393"/>
      <c r="AW41" s="390"/>
      <c r="AX41" s="381"/>
      <c r="AY41" s="385"/>
      <c r="AZ41" s="381"/>
      <c r="BA41" s="381"/>
      <c r="BB41" s="381"/>
      <c r="BC41" s="394"/>
      <c r="BD41" s="381"/>
      <c r="BE41" s="395"/>
      <c r="BF41" s="222"/>
      <c r="BG41" s="222"/>
      <c r="BH41" s="222"/>
      <c r="BI41" s="222"/>
      <c r="BJ41" s="222"/>
      <c r="BK41" s="223"/>
      <c r="BL41" s="224"/>
      <c r="BM41" s="225"/>
      <c r="BN41" s="225"/>
      <c r="BO41" s="224"/>
      <c r="BP41" s="224"/>
      <c r="BQ41" s="226"/>
      <c r="BR41" s="227"/>
      <c r="BS41" s="225"/>
      <c r="BT41" s="225"/>
      <c r="BU41" s="225"/>
      <c r="BV41" s="224"/>
      <c r="BW41" s="224"/>
      <c r="BX41" s="224"/>
      <c r="BY41" s="228"/>
      <c r="BZ41" s="225"/>
      <c r="CA41" s="225"/>
      <c r="CB41" s="225"/>
      <c r="CC41" s="224"/>
      <c r="CD41" s="224"/>
      <c r="CE41" s="226"/>
      <c r="CF41" s="227"/>
      <c r="CG41" s="227"/>
      <c r="CH41" s="225"/>
      <c r="CI41" s="224"/>
      <c r="CJ41" s="228"/>
      <c r="CK41" s="227"/>
      <c r="CL41" s="225"/>
      <c r="CM41" s="226"/>
      <c r="CN41" s="213"/>
      <c r="CO41" s="213"/>
      <c r="CP41" s="213"/>
      <c r="CQ41" s="213"/>
      <c r="DA41" s="21"/>
      <c r="DH41" s="309"/>
    </row>
    <row r="42" spans="1:114" ht="15" hidden="1" customHeight="1">
      <c r="A42" s="96"/>
      <c r="B42" s="96"/>
      <c r="C42" s="96"/>
      <c r="D42" s="97"/>
      <c r="E42" s="96"/>
      <c r="F42" s="98"/>
      <c r="G42" s="99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1"/>
      <c r="AF42" s="101"/>
      <c r="AG42" s="100"/>
      <c r="AH42" s="100"/>
      <c r="AI42" s="100"/>
      <c r="AJ42" s="100"/>
      <c r="AK42" s="100"/>
      <c r="AL42" s="100"/>
      <c r="AM42" s="100"/>
      <c r="AN42" s="100"/>
      <c r="AO42" s="100"/>
      <c r="AP42" s="100"/>
      <c r="AQ42" s="100"/>
      <c r="AR42" s="100"/>
      <c r="AS42" s="96"/>
      <c r="AT42" s="612"/>
      <c r="AU42" s="612"/>
      <c r="AV42" s="612"/>
      <c r="AW42" s="96"/>
      <c r="AX42" s="96"/>
      <c r="AY42" s="100"/>
      <c r="AZ42" s="100"/>
      <c r="BA42" s="100"/>
      <c r="BB42" s="100"/>
      <c r="BC42" s="100"/>
      <c r="BD42" s="100"/>
      <c r="BE42" s="100"/>
      <c r="BK42" s="20"/>
      <c r="BL42" s="20"/>
      <c r="BM42" s="20"/>
    </row>
    <row r="43" spans="1:114">
      <c r="A43" s="100"/>
      <c r="B43" s="100"/>
      <c r="C43" s="100"/>
      <c r="D43" s="102"/>
      <c r="E43" s="100"/>
      <c r="F43" s="100"/>
      <c r="G43" s="96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1"/>
      <c r="AF43" s="101"/>
      <c r="AG43" s="100"/>
      <c r="AH43" s="100"/>
      <c r="AI43" s="100"/>
      <c r="AJ43" s="100"/>
      <c r="AK43" s="100"/>
      <c r="AL43" s="100"/>
      <c r="AM43" s="100"/>
      <c r="AN43" s="100"/>
      <c r="AO43" s="100"/>
      <c r="AP43" s="100"/>
      <c r="AQ43" s="100"/>
      <c r="AR43" s="100"/>
      <c r="AS43" s="96" t="s">
        <v>60</v>
      </c>
      <c r="AT43" s="103">
        <f>AT40/BE43</f>
        <v>124.19354838709677</v>
      </c>
      <c r="AU43" s="104"/>
      <c r="AV43" s="96"/>
      <c r="AW43" s="96" t="s">
        <v>61</v>
      </c>
      <c r="AX43" s="96"/>
      <c r="AY43" s="100"/>
      <c r="AZ43" s="100"/>
      <c r="BA43" s="100"/>
      <c r="BB43" s="100"/>
      <c r="BC43" s="100"/>
      <c r="BD43" s="105" t="s">
        <v>62</v>
      </c>
      <c r="BE43" s="100">
        <v>31</v>
      </c>
    </row>
    <row r="44" spans="1:114" ht="12" customHeight="1">
      <c r="A44" s="100"/>
      <c r="B44" s="100"/>
      <c r="C44" s="100"/>
      <c r="D44" s="102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100"/>
      <c r="AG44" s="100"/>
      <c r="AH44" s="100"/>
      <c r="AI44" s="100"/>
      <c r="AJ44" s="100"/>
      <c r="AK44" s="100"/>
      <c r="AL44" s="100"/>
      <c r="AM44" s="100"/>
      <c r="AN44" s="100"/>
      <c r="AO44" s="100"/>
      <c r="AP44" s="100"/>
      <c r="AQ44" s="100"/>
      <c r="AR44" s="100"/>
      <c r="AS44" s="100"/>
      <c r="AT44" s="100"/>
      <c r="AU44" s="100"/>
      <c r="AV44" s="100"/>
      <c r="AW44" s="100"/>
      <c r="AX44" s="100"/>
      <c r="AY44" s="100"/>
      <c r="AZ44" s="100"/>
      <c r="BA44" s="100"/>
      <c r="BB44" s="100"/>
      <c r="BC44" s="100"/>
      <c r="BD44" s="96"/>
      <c r="BE44" s="96"/>
    </row>
    <row r="45" spans="1:114" ht="13.5" thickBot="1">
      <c r="A45" s="100"/>
      <c r="B45" s="100"/>
      <c r="C45" s="100"/>
      <c r="D45" s="102"/>
      <c r="E45" s="100"/>
      <c r="F45" s="100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101"/>
      <c r="AE45" s="101"/>
      <c r="AF45" s="101"/>
      <c r="AG45" s="100"/>
      <c r="AH45" s="100"/>
      <c r="AI45" s="100"/>
      <c r="AJ45" s="100"/>
      <c r="AK45" s="100"/>
      <c r="AL45" s="100"/>
      <c r="AM45" s="106" t="s">
        <v>63</v>
      </c>
      <c r="AN45" s="106"/>
      <c r="AO45" s="106"/>
      <c r="AP45" s="106"/>
      <c r="AQ45" s="106"/>
      <c r="AR45" s="106"/>
      <c r="AS45" s="107" t="s">
        <v>64</v>
      </c>
      <c r="AT45" s="108">
        <v>30</v>
      </c>
      <c r="AU45" s="108"/>
      <c r="AV45" s="100"/>
      <c r="AW45" s="100"/>
      <c r="AX45" s="100"/>
      <c r="AY45" s="100"/>
      <c r="AZ45" s="100"/>
      <c r="BA45" s="100"/>
      <c r="BB45" s="100"/>
      <c r="BC45" s="100"/>
      <c r="BD45" s="96"/>
      <c r="BE45" s="96"/>
      <c r="BS45" s="1"/>
      <c r="CP45" s="1"/>
      <c r="CR45">
        <v>8291.1270000000004</v>
      </c>
    </row>
    <row r="46" spans="1:114" ht="12.75" customHeight="1" thickBot="1">
      <c r="A46" s="100"/>
      <c r="B46" s="100"/>
      <c r="C46" s="109" t="s">
        <v>65</v>
      </c>
      <c r="D46" s="102"/>
      <c r="E46" s="100"/>
      <c r="F46" s="100"/>
      <c r="G46" s="100"/>
      <c r="H46" s="100"/>
      <c r="I46" s="100"/>
      <c r="J46" s="100"/>
      <c r="K46" s="100"/>
      <c r="L46" s="110">
        <f>AT38/AD38</f>
        <v>39.759836065573779</v>
      </c>
      <c r="M46" s="109" t="s">
        <v>88</v>
      </c>
      <c r="N46" s="606"/>
      <c r="O46" s="606"/>
      <c r="P46" s="111"/>
      <c r="Q46" s="100"/>
      <c r="R46" s="100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101"/>
      <c r="AE46" s="101"/>
      <c r="AF46" s="101"/>
      <c r="AG46" s="100"/>
      <c r="AH46" s="100"/>
      <c r="AI46" s="100"/>
      <c r="AJ46" s="100"/>
      <c r="AK46" s="100"/>
      <c r="AL46" s="100"/>
      <c r="AM46" s="100"/>
      <c r="AN46" s="100"/>
      <c r="AO46" s="106"/>
      <c r="AP46" s="106"/>
      <c r="AQ46" s="106"/>
      <c r="AR46" s="106"/>
      <c r="AS46" s="107" t="s">
        <v>66</v>
      </c>
      <c r="AT46" s="112">
        <f>AT40/AT45</f>
        <v>128.33333333333334</v>
      </c>
      <c r="AU46" s="112"/>
      <c r="AV46" s="100"/>
      <c r="AW46" s="100"/>
      <c r="AX46" s="100">
        <v>0</v>
      </c>
      <c r="AY46" s="100"/>
      <c r="AZ46" s="607" t="s">
        <v>67</v>
      </c>
      <c r="BA46" s="607"/>
      <c r="BB46" s="607"/>
      <c r="BC46" s="607"/>
      <c r="BD46" s="607"/>
      <c r="BE46" s="607"/>
    </row>
    <row r="47" spans="1:114">
      <c r="A47" s="100"/>
      <c r="B47" s="100"/>
      <c r="C47" s="100"/>
      <c r="D47" s="102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100"/>
      <c r="AI47" s="100"/>
      <c r="AJ47" s="100"/>
      <c r="AK47" s="100"/>
      <c r="AL47" s="100"/>
      <c r="AM47" s="100"/>
      <c r="AN47" s="100"/>
      <c r="AO47" s="100"/>
      <c r="AP47" s="100"/>
      <c r="AQ47" s="100"/>
      <c r="AR47" s="100"/>
      <c r="AS47" s="100"/>
      <c r="AT47" s="100"/>
      <c r="AU47" s="100"/>
      <c r="AV47" s="100"/>
      <c r="AW47" s="100"/>
      <c r="AX47" s="100"/>
      <c r="AY47" s="100"/>
      <c r="AZ47" s="607"/>
      <c r="BA47" s="607"/>
      <c r="BB47" s="607"/>
      <c r="BC47" s="607"/>
      <c r="BD47" s="607"/>
      <c r="BE47" s="607"/>
    </row>
    <row r="48" spans="1:114">
      <c r="A48" s="100"/>
      <c r="B48" s="100"/>
      <c r="C48" s="100"/>
      <c r="D48" s="102"/>
      <c r="E48" s="100"/>
      <c r="F48" s="100"/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13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  <c r="AE48" s="100"/>
      <c r="AF48" s="100"/>
      <c r="AG48" s="100"/>
      <c r="AH48" s="100"/>
      <c r="AI48" s="100"/>
      <c r="AJ48" s="100"/>
      <c r="AK48" s="100"/>
      <c r="AL48" s="100"/>
      <c r="AM48" s="100"/>
      <c r="AN48" s="100"/>
      <c r="AO48" s="100"/>
      <c r="AP48" s="100"/>
      <c r="AQ48" s="100"/>
      <c r="AR48" s="100"/>
      <c r="AS48" s="100"/>
      <c r="AT48" s="100"/>
      <c r="AU48" s="100"/>
      <c r="AV48" s="100"/>
      <c r="AW48" s="100"/>
      <c r="AX48" s="100"/>
      <c r="AY48" s="100"/>
      <c r="AZ48" s="608">
        <f>BF37-BJ37</f>
        <v>-212.29999999999882</v>
      </c>
      <c r="BA48" s="608"/>
      <c r="BB48" s="608"/>
      <c r="BC48" s="608"/>
      <c r="BD48" s="609" t="s">
        <v>68</v>
      </c>
      <c r="BE48" s="114"/>
    </row>
    <row r="49" spans="1:57" ht="12" customHeight="1">
      <c r="A49" s="100"/>
      <c r="B49" s="100"/>
      <c r="C49" s="100"/>
      <c r="D49" s="102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15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100"/>
      <c r="AI49" s="100"/>
      <c r="AJ49" s="100"/>
      <c r="AK49" s="100"/>
      <c r="AL49" s="100"/>
      <c r="AM49" s="100"/>
      <c r="AN49" s="100"/>
      <c r="AO49" s="100"/>
      <c r="AP49" s="100"/>
      <c r="AQ49" s="100"/>
      <c r="AR49" s="100"/>
      <c r="AS49" s="100"/>
      <c r="AT49" s="100"/>
      <c r="AU49" s="100"/>
      <c r="AV49" s="100"/>
      <c r="AW49" s="100"/>
      <c r="AX49" s="100"/>
      <c r="AY49" s="100"/>
      <c r="AZ49" s="608"/>
      <c r="BA49" s="608"/>
      <c r="BB49" s="608"/>
      <c r="BC49" s="608"/>
      <c r="BD49" s="609"/>
      <c r="BE49" s="114"/>
    </row>
    <row r="50" spans="1:57" ht="13.5" customHeight="1">
      <c r="A50" s="100"/>
      <c r="B50" s="100"/>
      <c r="C50" s="100"/>
      <c r="D50" s="102"/>
      <c r="E50" s="100"/>
      <c r="F50" s="100"/>
      <c r="G50" s="100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100"/>
      <c r="AC50" s="100"/>
      <c r="AD50" s="100"/>
      <c r="AE50" s="100"/>
      <c r="AF50" s="100"/>
      <c r="AG50" s="100"/>
      <c r="AH50" s="100"/>
      <c r="AI50" s="100"/>
      <c r="AJ50" s="100"/>
      <c r="AK50" s="100"/>
      <c r="AL50" s="100"/>
      <c r="AM50" s="100"/>
      <c r="AN50" s="100"/>
      <c r="AO50" s="100"/>
      <c r="AP50" s="100"/>
      <c r="AQ50" s="100"/>
      <c r="AR50" s="100"/>
      <c r="AS50" s="100"/>
      <c r="AT50" s="100"/>
      <c r="AU50" s="100"/>
      <c r="AV50" s="100"/>
      <c r="AW50" s="100"/>
      <c r="AX50" s="100"/>
      <c r="AY50" s="100"/>
      <c r="AZ50" s="116"/>
      <c r="BA50" s="96"/>
      <c r="BB50" s="96"/>
      <c r="BC50" s="96"/>
      <c r="BD50" s="96"/>
      <c r="BE50" s="114"/>
    </row>
    <row r="51" spans="1:57" ht="13.5" customHeight="1" thickBot="1">
      <c r="A51" s="100"/>
      <c r="B51" s="100"/>
      <c r="C51" s="100"/>
      <c r="D51" s="102"/>
      <c r="E51" s="100"/>
      <c r="F51" s="100"/>
      <c r="G51" s="100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0"/>
      <c r="AC51" s="100"/>
      <c r="AD51" s="100"/>
      <c r="AE51" s="100"/>
      <c r="AF51" s="100"/>
      <c r="AG51" s="100"/>
      <c r="AH51" s="100"/>
      <c r="AI51" s="100"/>
      <c r="AJ51" s="100"/>
      <c r="AK51" s="100"/>
      <c r="AL51" s="100"/>
      <c r="AM51" s="100"/>
      <c r="AN51" s="100"/>
      <c r="AO51" s="100"/>
      <c r="AP51" s="100"/>
      <c r="AQ51" s="100"/>
      <c r="AR51" s="100"/>
      <c r="AS51" s="100"/>
      <c r="AT51" s="100"/>
      <c r="AU51" s="100"/>
      <c r="AV51" s="100"/>
      <c r="AW51" s="100"/>
      <c r="AX51" s="100"/>
      <c r="AY51" s="100"/>
      <c r="AZ51" s="610">
        <f>AZ48/AT40*100</f>
        <v>-5.5142857142856831</v>
      </c>
      <c r="BA51" s="610"/>
      <c r="BB51" s="610"/>
      <c r="BC51" s="610"/>
      <c r="BD51" s="611" t="s">
        <v>69</v>
      </c>
      <c r="BE51" s="114"/>
    </row>
    <row r="52" spans="1:57" ht="13.5" thickBot="1">
      <c r="A52" s="100"/>
      <c r="B52" s="100"/>
      <c r="C52" s="100"/>
      <c r="D52" s="102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  <c r="AF52" s="100"/>
      <c r="AG52" s="100"/>
      <c r="AH52" s="100"/>
      <c r="AI52" s="100"/>
      <c r="AJ52" s="100"/>
      <c r="AK52" s="100"/>
      <c r="AL52" s="100"/>
      <c r="AM52" s="100"/>
      <c r="AN52" s="100"/>
      <c r="AO52" s="100"/>
      <c r="AP52" s="100"/>
      <c r="AQ52" s="100"/>
      <c r="AR52" s="100"/>
      <c r="AS52" s="100"/>
      <c r="AT52" s="100"/>
      <c r="AU52" s="100"/>
      <c r="AV52" s="100"/>
      <c r="AW52" s="100"/>
      <c r="AX52" s="100"/>
      <c r="AY52" s="100"/>
      <c r="AZ52" s="610"/>
      <c r="BA52" s="610"/>
      <c r="BB52" s="610"/>
      <c r="BC52" s="610"/>
      <c r="BD52" s="611"/>
      <c r="BE52" s="117"/>
    </row>
    <row r="53" spans="1:57">
      <c r="A53" s="100"/>
      <c r="B53" s="100"/>
      <c r="C53" s="100"/>
      <c r="D53" s="102"/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100"/>
      <c r="AI53" s="100"/>
      <c r="AJ53" s="100"/>
      <c r="AK53" s="100"/>
      <c r="AL53" s="100"/>
      <c r="AM53" s="100"/>
      <c r="AN53" s="100"/>
      <c r="AO53" s="100"/>
      <c r="AP53" s="100"/>
      <c r="AQ53" s="100"/>
      <c r="AR53" s="100"/>
      <c r="AS53" s="100"/>
      <c r="AT53" s="100"/>
      <c r="AU53" s="100"/>
      <c r="AV53" s="100"/>
      <c r="AW53" s="100"/>
      <c r="AX53" s="100"/>
      <c r="AY53" s="100"/>
      <c r="AZ53" s="100"/>
      <c r="BA53" s="100"/>
      <c r="BB53" s="100"/>
      <c r="BC53" s="100"/>
      <c r="BD53" s="100"/>
      <c r="BE53" s="100"/>
    </row>
    <row r="54" spans="1:57">
      <c r="A54" s="100"/>
      <c r="B54" s="100"/>
      <c r="C54" s="100"/>
      <c r="D54" s="102"/>
      <c r="E54" s="100"/>
      <c r="F54" s="100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100"/>
      <c r="AI54" s="100"/>
      <c r="AJ54" s="100"/>
      <c r="AK54" s="100"/>
      <c r="AL54" s="100"/>
      <c r="AM54" s="100"/>
      <c r="AN54" s="100"/>
      <c r="AO54" s="100"/>
      <c r="AP54" s="100"/>
      <c r="AQ54" s="100"/>
      <c r="AR54" s="100"/>
      <c r="AS54" s="100"/>
      <c r="AT54" s="100"/>
      <c r="AU54" s="100"/>
      <c r="AV54" s="100"/>
      <c r="AW54" s="100"/>
      <c r="AX54" s="100"/>
      <c r="AY54" s="100"/>
      <c r="AZ54" s="100"/>
      <c r="BA54" s="100"/>
      <c r="BB54" s="100"/>
      <c r="BC54" s="100"/>
      <c r="BD54" s="100"/>
      <c r="BE54" s="100"/>
    </row>
    <row r="55" spans="1:57">
      <c r="A55" s="100"/>
      <c r="B55" s="100"/>
      <c r="C55" s="100"/>
      <c r="D55" s="102"/>
      <c r="E55" s="100"/>
      <c r="F55" s="100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  <c r="AH55" s="100"/>
      <c r="AI55" s="100"/>
      <c r="AJ55" s="100"/>
      <c r="AK55" s="100"/>
      <c r="AL55" s="100"/>
      <c r="AM55" s="100"/>
      <c r="AN55" s="100"/>
      <c r="AO55" s="100"/>
      <c r="AP55" s="100"/>
      <c r="AQ55" s="100"/>
      <c r="AR55" s="100"/>
      <c r="AS55" s="100"/>
      <c r="AT55" s="100"/>
      <c r="AU55" s="100"/>
      <c r="AV55" s="100"/>
      <c r="AW55" s="100"/>
      <c r="AX55" s="100"/>
      <c r="AY55" s="100"/>
      <c r="AZ55" s="100"/>
      <c r="BA55" s="100"/>
      <c r="BB55" s="100"/>
      <c r="BC55" s="100"/>
      <c r="BD55" s="100"/>
      <c r="BE55" s="100"/>
    </row>
    <row r="56" spans="1:57">
      <c r="A56" s="100"/>
      <c r="B56" s="100"/>
      <c r="C56" s="100"/>
      <c r="D56" s="102"/>
      <c r="E56" s="100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/>
      <c r="AE56" s="100"/>
      <c r="AF56" s="100"/>
      <c r="AG56" s="100"/>
      <c r="AH56" s="100"/>
      <c r="AI56" s="100"/>
      <c r="AJ56" s="100"/>
      <c r="AK56" s="100"/>
      <c r="AL56" s="100"/>
      <c r="AM56" s="100"/>
      <c r="AN56" s="100"/>
      <c r="AO56" s="100"/>
      <c r="AP56" s="100"/>
      <c r="AQ56" s="100"/>
      <c r="AR56" s="100"/>
      <c r="AS56" s="100"/>
      <c r="AT56" s="100"/>
      <c r="AU56" s="100"/>
      <c r="AV56" s="100"/>
      <c r="AW56" s="100"/>
      <c r="AX56" s="100"/>
      <c r="AY56" s="100"/>
      <c r="AZ56" s="100"/>
      <c r="BA56" s="100"/>
      <c r="BB56" s="100"/>
      <c r="BC56" s="100"/>
      <c r="BD56" s="100"/>
      <c r="BE56" s="100"/>
    </row>
    <row r="57" spans="1:57">
      <c r="A57" s="100"/>
      <c r="B57" s="100"/>
      <c r="C57" s="100"/>
      <c r="D57" s="102"/>
      <c r="E57" s="100"/>
      <c r="F57" s="100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100"/>
      <c r="AI57" s="100"/>
      <c r="AJ57" s="100"/>
      <c r="AK57" s="100"/>
      <c r="AL57" s="100"/>
      <c r="AM57" s="100"/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X57" s="100"/>
      <c r="AY57" s="100"/>
      <c r="AZ57" s="100"/>
      <c r="BA57" s="100"/>
      <c r="BB57" s="100"/>
      <c r="BC57" s="100"/>
      <c r="BD57" s="100"/>
      <c r="BE57" s="100"/>
    </row>
    <row r="58" spans="1:57">
      <c r="A58" s="100"/>
      <c r="B58" s="100"/>
      <c r="C58" s="100"/>
      <c r="D58" s="102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  <c r="AA58" s="100"/>
      <c r="AB58" s="100"/>
      <c r="AC58" s="100"/>
      <c r="AD58" s="100"/>
      <c r="AE58" s="100"/>
      <c r="AF58" s="100"/>
      <c r="AG58" s="100"/>
      <c r="AH58" s="100"/>
      <c r="AI58" s="100"/>
      <c r="AJ58" s="100"/>
      <c r="AK58" s="100"/>
      <c r="AL58" s="100"/>
      <c r="AM58" s="100"/>
      <c r="AN58" s="100"/>
      <c r="AO58" s="100"/>
      <c r="AP58" s="100"/>
      <c r="AQ58" s="100"/>
      <c r="AR58" s="100"/>
      <c r="AS58" s="100"/>
      <c r="AT58" s="100"/>
      <c r="AU58" s="100"/>
      <c r="AV58" s="100"/>
      <c r="AW58" s="100"/>
      <c r="AX58" s="100"/>
      <c r="AY58" s="100"/>
      <c r="AZ58" s="100"/>
      <c r="BA58" s="100"/>
      <c r="BB58" s="100"/>
      <c r="BC58" s="100"/>
      <c r="BD58" s="100"/>
      <c r="BE58" s="100"/>
    </row>
    <row r="59" spans="1:57">
      <c r="A59" s="100"/>
      <c r="B59" s="100"/>
      <c r="C59" s="100"/>
      <c r="D59" s="102"/>
      <c r="E59" s="100"/>
      <c r="F59" s="100"/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  <c r="AE59" s="100"/>
      <c r="AF59" s="100"/>
      <c r="AG59" s="100"/>
      <c r="AH59" s="100"/>
      <c r="AI59" s="100"/>
      <c r="AJ59" s="100"/>
      <c r="AK59" s="100"/>
      <c r="AL59" s="100"/>
      <c r="AM59" s="100"/>
      <c r="AN59" s="100"/>
      <c r="AO59" s="100"/>
      <c r="AP59" s="100"/>
      <c r="AQ59" s="100"/>
      <c r="AR59" s="100"/>
      <c r="AS59" s="100"/>
      <c r="AT59" s="100"/>
      <c r="AU59" s="100"/>
      <c r="AV59" s="100"/>
      <c r="AW59" s="100"/>
      <c r="AX59" s="100"/>
      <c r="AY59" s="100"/>
      <c r="AZ59" s="100"/>
      <c r="BA59" s="100"/>
      <c r="BB59" s="100"/>
      <c r="BC59" s="100"/>
      <c r="BD59" s="100"/>
      <c r="BE59" s="100"/>
    </row>
    <row r="60" spans="1:57">
      <c r="A60" s="100"/>
      <c r="B60" s="100"/>
      <c r="C60" s="100"/>
      <c r="D60" s="102"/>
      <c r="E60" s="100"/>
      <c r="F60" s="100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  <c r="AE60" s="100"/>
      <c r="AF60" s="100"/>
      <c r="AG60" s="100"/>
      <c r="AH60" s="100"/>
      <c r="AI60" s="100"/>
      <c r="AJ60" s="100"/>
      <c r="AK60" s="100"/>
      <c r="AL60" s="100"/>
      <c r="AM60" s="100"/>
      <c r="AN60" s="100"/>
      <c r="AO60" s="100"/>
      <c r="AP60" s="100"/>
      <c r="AQ60" s="100"/>
      <c r="AR60" s="100"/>
      <c r="AS60" s="100"/>
      <c r="AT60" s="100"/>
      <c r="AU60" s="100"/>
      <c r="AV60" s="100"/>
      <c r="AW60" s="100"/>
      <c r="AX60" s="100"/>
      <c r="AY60" s="100"/>
      <c r="AZ60" s="100"/>
      <c r="BA60" s="100"/>
      <c r="BB60" s="100"/>
      <c r="BC60" s="100"/>
      <c r="BD60" s="100"/>
      <c r="BE60" s="100"/>
    </row>
    <row r="61" spans="1:57">
      <c r="A61" s="100"/>
      <c r="B61" s="100"/>
      <c r="C61" s="100"/>
      <c r="D61" s="102"/>
      <c r="E61" s="100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/>
      <c r="AE61" s="100"/>
      <c r="AF61" s="100"/>
      <c r="AG61" s="100"/>
      <c r="AH61" s="100"/>
      <c r="AI61" s="100"/>
      <c r="AJ61" s="100"/>
      <c r="AK61" s="100"/>
      <c r="AL61" s="100"/>
      <c r="AM61" s="100"/>
      <c r="AN61" s="100"/>
      <c r="AO61" s="100"/>
      <c r="AP61" s="100"/>
      <c r="AQ61" s="100"/>
      <c r="AR61" s="100"/>
      <c r="AS61" s="100"/>
      <c r="AT61" s="100"/>
      <c r="AU61" s="100"/>
      <c r="AV61" s="100"/>
      <c r="AW61" s="100"/>
      <c r="AX61" s="100"/>
      <c r="AY61" s="100"/>
      <c r="AZ61" s="100"/>
      <c r="BA61" s="100"/>
      <c r="BB61" s="100"/>
      <c r="BC61" s="100"/>
      <c r="BD61" s="100"/>
      <c r="BE61" s="100"/>
    </row>
    <row r="62" spans="1:57">
      <c r="A62" s="100"/>
      <c r="B62" s="100"/>
      <c r="C62" s="100"/>
      <c r="D62" s="102"/>
      <c r="E62" s="100"/>
      <c r="F62" s="100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100"/>
      <c r="AC62" s="100"/>
      <c r="AD62" s="100"/>
      <c r="AE62" s="100"/>
      <c r="AF62" s="100"/>
      <c r="AG62" s="100"/>
      <c r="AH62" s="100"/>
      <c r="AI62" s="100"/>
      <c r="AJ62" s="100"/>
      <c r="AK62" s="100"/>
      <c r="AL62" s="100"/>
      <c r="AM62" s="100"/>
      <c r="AN62" s="100"/>
      <c r="AO62" s="100"/>
      <c r="AP62" s="100"/>
      <c r="AQ62" s="100"/>
      <c r="AR62" s="100"/>
      <c r="AS62" s="100"/>
      <c r="AT62" s="100"/>
      <c r="AU62" s="100"/>
      <c r="AV62" s="100"/>
      <c r="AW62" s="100"/>
      <c r="AX62" s="100"/>
      <c r="AY62" s="100"/>
      <c r="AZ62" s="100"/>
      <c r="BA62" s="100"/>
      <c r="BB62" s="100"/>
      <c r="BC62" s="100"/>
      <c r="BD62" s="100"/>
      <c r="BE62" s="100"/>
    </row>
    <row r="63" spans="1:57">
      <c r="A63" s="100"/>
      <c r="B63" s="100"/>
      <c r="C63" s="100"/>
      <c r="D63" s="102"/>
      <c r="E63" s="100"/>
      <c r="F63" s="100"/>
      <c r="G63" s="100"/>
      <c r="H63" s="100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  <c r="AA63" s="100"/>
      <c r="AB63" s="100"/>
      <c r="AC63" s="100"/>
      <c r="AD63" s="100"/>
      <c r="AE63" s="100"/>
      <c r="AF63" s="100"/>
      <c r="AG63" s="100"/>
      <c r="AH63" s="100"/>
      <c r="AI63" s="100"/>
      <c r="AJ63" s="100"/>
      <c r="AK63" s="100"/>
      <c r="AL63" s="100"/>
      <c r="AM63" s="100"/>
      <c r="AN63" s="100"/>
      <c r="AO63" s="100"/>
      <c r="AP63" s="100"/>
      <c r="AQ63" s="100"/>
      <c r="AR63" s="100"/>
      <c r="AS63" s="100"/>
      <c r="AT63" s="100"/>
      <c r="AU63" s="100"/>
      <c r="AV63" s="100"/>
      <c r="AW63" s="100"/>
      <c r="AX63" s="100"/>
      <c r="AY63" s="100"/>
      <c r="AZ63" s="100"/>
      <c r="BA63" s="100"/>
      <c r="BB63" s="100"/>
      <c r="BC63" s="100"/>
      <c r="BD63" s="100"/>
      <c r="BE63" s="100"/>
    </row>
    <row r="64" spans="1:57">
      <c r="A64" s="100"/>
      <c r="B64" s="100"/>
      <c r="C64" s="100"/>
      <c r="D64" s="102"/>
      <c r="E64" s="100"/>
      <c r="F64" s="100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  <c r="AE64" s="100"/>
      <c r="AF64" s="100"/>
      <c r="AG64" s="100"/>
      <c r="AH64" s="100"/>
      <c r="AI64" s="100"/>
      <c r="AJ64" s="100"/>
      <c r="AK64" s="100"/>
      <c r="AL64" s="100"/>
      <c r="AM64" s="100"/>
      <c r="AN64" s="100"/>
      <c r="AO64" s="100"/>
      <c r="AP64" s="100"/>
      <c r="AQ64" s="100"/>
      <c r="AR64" s="100"/>
      <c r="AS64" s="100"/>
      <c r="AT64" s="100"/>
      <c r="AU64" s="100"/>
      <c r="AV64" s="100"/>
      <c r="AW64" s="100"/>
      <c r="AX64" s="100"/>
      <c r="AY64" s="100"/>
      <c r="AZ64" s="100"/>
      <c r="BA64" s="100"/>
      <c r="BB64" s="100"/>
      <c r="BC64" s="100"/>
      <c r="BD64" s="100"/>
      <c r="BE64" s="100"/>
    </row>
    <row r="65" spans="1:57">
      <c r="A65" s="100"/>
      <c r="B65" s="100"/>
      <c r="C65" s="100"/>
      <c r="D65" s="102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/>
      <c r="AE65" s="100"/>
      <c r="AF65" s="100"/>
      <c r="AG65" s="100"/>
      <c r="AH65" s="100"/>
      <c r="AI65" s="100"/>
      <c r="AJ65" s="100"/>
      <c r="AK65" s="100"/>
      <c r="AL65" s="100"/>
      <c r="AM65" s="100"/>
      <c r="AN65" s="100"/>
      <c r="AO65" s="100"/>
      <c r="AP65" s="100"/>
      <c r="AQ65" s="100"/>
      <c r="AR65" s="100"/>
      <c r="AS65" s="100"/>
      <c r="AT65" s="100"/>
      <c r="AU65" s="100"/>
      <c r="AV65" s="100"/>
      <c r="AW65" s="100"/>
      <c r="AX65" s="100"/>
      <c r="AY65" s="100"/>
      <c r="AZ65" s="100"/>
      <c r="BA65" s="100"/>
      <c r="BB65" s="100"/>
      <c r="BC65" s="100"/>
      <c r="BD65" s="100"/>
      <c r="BE65" s="100"/>
    </row>
    <row r="66" spans="1:57">
      <c r="A66" s="100"/>
      <c r="B66" s="100"/>
      <c r="C66" s="100"/>
      <c r="D66" s="102"/>
      <c r="E66" s="100"/>
      <c r="F66" s="100"/>
      <c r="G66" s="100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/>
      <c r="AE66" s="100"/>
      <c r="AF66" s="100"/>
      <c r="AG66" s="100"/>
      <c r="AH66" s="100"/>
      <c r="AI66" s="100"/>
      <c r="AJ66" s="100"/>
      <c r="AK66" s="100"/>
      <c r="AL66" s="100"/>
      <c r="AM66" s="100"/>
      <c r="AN66" s="100"/>
      <c r="AO66" s="100"/>
      <c r="AP66" s="100"/>
      <c r="AQ66" s="100"/>
      <c r="AR66" s="100"/>
      <c r="AS66" s="100"/>
      <c r="AT66" s="100"/>
      <c r="AU66" s="100"/>
      <c r="AV66" s="100"/>
      <c r="AW66" s="100"/>
      <c r="AX66" s="100"/>
      <c r="AY66" s="100"/>
      <c r="AZ66" s="100"/>
      <c r="BA66" s="100"/>
      <c r="BB66" s="100"/>
      <c r="BC66" s="100"/>
      <c r="BD66" s="100"/>
      <c r="BE66" s="100"/>
    </row>
    <row r="67" spans="1:57">
      <c r="A67" s="100"/>
      <c r="B67" s="100"/>
      <c r="C67" s="100"/>
      <c r="D67" s="102"/>
      <c r="E67" s="100"/>
      <c r="F67" s="100"/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  <c r="AD67" s="100"/>
      <c r="AE67" s="100"/>
      <c r="AF67" s="100"/>
      <c r="AG67" s="100"/>
      <c r="AH67" s="100"/>
      <c r="AI67" s="100"/>
      <c r="AJ67" s="100"/>
      <c r="AK67" s="100"/>
      <c r="AL67" s="100"/>
      <c r="AM67" s="100"/>
      <c r="AN67" s="100"/>
      <c r="AO67" s="100"/>
      <c r="AP67" s="100"/>
      <c r="AQ67" s="100"/>
      <c r="AR67" s="100"/>
      <c r="AS67" s="100"/>
      <c r="AT67" s="100"/>
      <c r="AU67" s="100"/>
      <c r="AV67" s="100"/>
      <c r="AW67" s="100"/>
      <c r="AX67" s="100"/>
      <c r="AY67" s="100"/>
      <c r="AZ67" s="100"/>
      <c r="BA67" s="100"/>
      <c r="BB67" s="100"/>
      <c r="BC67" s="100"/>
      <c r="BD67" s="100"/>
      <c r="BE67" s="100"/>
    </row>
    <row r="68" spans="1:57">
      <c r="A68" s="100"/>
      <c r="B68" s="100"/>
      <c r="C68" s="100"/>
      <c r="D68" s="102"/>
      <c r="E68" s="100"/>
      <c r="F68" s="100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  <c r="AI68" s="100"/>
      <c r="AJ68" s="100"/>
      <c r="AK68" s="100"/>
      <c r="AL68" s="100"/>
      <c r="AM68" s="100"/>
      <c r="AN68" s="100"/>
      <c r="AO68" s="100"/>
      <c r="AP68" s="100"/>
      <c r="AQ68" s="100"/>
      <c r="AR68" s="100"/>
      <c r="AS68" s="100"/>
      <c r="AT68" s="100"/>
      <c r="AU68" s="100"/>
      <c r="AV68" s="100"/>
      <c r="AW68" s="100"/>
      <c r="AX68" s="100"/>
      <c r="AY68" s="100"/>
      <c r="AZ68" s="100"/>
      <c r="BA68" s="100"/>
      <c r="BB68" s="100"/>
      <c r="BC68" s="100"/>
      <c r="BD68" s="100"/>
      <c r="BE68" s="100"/>
    </row>
    <row r="69" spans="1:57">
      <c r="A69" s="100"/>
      <c r="B69" s="100"/>
      <c r="C69" s="100"/>
      <c r="D69" s="102"/>
      <c r="E69" s="100"/>
      <c r="F69" s="100"/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100"/>
      <c r="AC69" s="100"/>
      <c r="AD69" s="100"/>
      <c r="AE69" s="100"/>
      <c r="AF69" s="100"/>
      <c r="AG69" s="100"/>
      <c r="AH69" s="100"/>
      <c r="AI69" s="100"/>
      <c r="AJ69" s="100"/>
      <c r="AK69" s="100"/>
      <c r="AL69" s="100"/>
      <c r="AM69" s="100"/>
      <c r="AN69" s="100"/>
      <c r="AO69" s="100"/>
      <c r="AP69" s="100"/>
      <c r="AQ69" s="100"/>
      <c r="AR69" s="100"/>
      <c r="AS69" s="100"/>
      <c r="AT69" s="100"/>
      <c r="AU69" s="100"/>
      <c r="AV69" s="100"/>
      <c r="AW69" s="100"/>
      <c r="AX69" s="100"/>
      <c r="AY69" s="100"/>
      <c r="AZ69" s="100"/>
      <c r="BA69" s="100"/>
      <c r="BB69" s="100"/>
      <c r="BC69" s="100"/>
      <c r="BD69" s="100"/>
      <c r="BE69" s="100"/>
    </row>
    <row r="70" spans="1:57">
      <c r="A70" s="100"/>
      <c r="B70" s="100"/>
      <c r="C70" s="100"/>
      <c r="D70" s="102"/>
      <c r="E70" s="100"/>
      <c r="F70" s="100"/>
      <c r="G70" s="100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  <c r="AE70" s="100"/>
      <c r="AF70" s="100"/>
      <c r="AG70" s="100"/>
      <c r="AH70" s="100"/>
      <c r="AI70" s="100"/>
      <c r="AJ70" s="100"/>
      <c r="AK70" s="100"/>
      <c r="AL70" s="100"/>
      <c r="AM70" s="100"/>
      <c r="AN70" s="100"/>
      <c r="AO70" s="100"/>
      <c r="AP70" s="100"/>
      <c r="AQ70" s="100"/>
      <c r="AR70" s="100"/>
      <c r="AS70" s="100"/>
      <c r="AT70" s="100"/>
      <c r="AU70" s="100"/>
      <c r="AV70" s="100"/>
      <c r="AW70" s="100"/>
      <c r="AX70" s="100"/>
      <c r="AY70" s="100"/>
      <c r="AZ70" s="100"/>
      <c r="BA70" s="100"/>
      <c r="BB70" s="100"/>
      <c r="BC70" s="100"/>
      <c r="BD70" s="100"/>
      <c r="BE70" s="100"/>
    </row>
    <row r="71" spans="1:57" ht="18" customHeight="1">
      <c r="A71" s="318" t="s">
        <v>70</v>
      </c>
      <c r="B71" s="319"/>
      <c r="C71" s="318"/>
      <c r="D71" s="318"/>
      <c r="E71" s="318"/>
      <c r="F71" s="318"/>
      <c r="G71" s="318"/>
      <c r="H71" s="318"/>
      <c r="I71" s="318"/>
      <c r="J71" s="320"/>
      <c r="K71" s="320"/>
      <c r="L71" s="605" t="s">
        <v>158</v>
      </c>
      <c r="M71" s="605"/>
      <c r="N71" s="605"/>
      <c r="O71" s="605"/>
      <c r="P71" s="605"/>
      <c r="Q71" s="605"/>
      <c r="R71" s="109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/>
      <c r="AE71" s="100"/>
      <c r="AF71" s="100"/>
      <c r="AG71" s="100"/>
      <c r="AH71" s="100"/>
      <c r="AI71" s="100"/>
      <c r="AJ71" s="100"/>
      <c r="AK71" s="100"/>
      <c r="AL71" s="100"/>
      <c r="AM71" s="100"/>
      <c r="AN71" s="100"/>
      <c r="AO71" s="100"/>
      <c r="AP71" s="100"/>
      <c r="AQ71" s="100"/>
      <c r="AR71" s="100"/>
      <c r="AS71" s="100"/>
      <c r="AT71" s="100"/>
      <c r="AU71" s="100"/>
      <c r="AV71" s="100"/>
      <c r="AW71" s="100"/>
      <c r="AX71" s="100"/>
      <c r="AY71" s="100"/>
      <c r="AZ71" s="100"/>
      <c r="BA71" s="100"/>
      <c r="BB71" s="100"/>
      <c r="BC71" s="100"/>
      <c r="BD71" s="100"/>
      <c r="BE71" s="100"/>
    </row>
    <row r="72" spans="1:57" ht="15">
      <c r="A72" s="118"/>
      <c r="B72" s="118"/>
      <c r="C72" s="119"/>
      <c r="D72" s="120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  <c r="AE72" s="100"/>
      <c r="AF72" s="100"/>
      <c r="AG72" s="100"/>
      <c r="AH72" s="100"/>
      <c r="AI72" s="100"/>
      <c r="AJ72" s="100"/>
      <c r="AK72" s="100"/>
      <c r="AL72" s="100"/>
      <c r="AM72" s="100"/>
      <c r="AN72" s="100"/>
      <c r="AO72" s="100"/>
      <c r="AP72" s="100"/>
      <c r="AQ72" s="100"/>
      <c r="AR72" s="100"/>
      <c r="AS72" s="100"/>
      <c r="AT72" s="100"/>
      <c r="AU72" s="100"/>
      <c r="AV72" s="100"/>
      <c r="AW72" s="100"/>
      <c r="AX72" s="100"/>
      <c r="AY72" s="100"/>
      <c r="AZ72" s="100"/>
      <c r="BA72" s="100"/>
      <c r="BB72" s="100"/>
      <c r="BC72" s="100"/>
      <c r="BD72" s="100"/>
      <c r="BE72" s="100"/>
    </row>
    <row r="73" spans="1:57" ht="15.75">
      <c r="A73" s="100"/>
      <c r="B73" s="100"/>
      <c r="C73" s="100"/>
      <c r="D73" s="102"/>
      <c r="E73" s="100"/>
      <c r="F73" s="100"/>
      <c r="G73" s="100"/>
      <c r="H73" s="100"/>
      <c r="I73" s="100"/>
      <c r="J73" s="100"/>
      <c r="K73" s="100"/>
      <c r="L73" s="111"/>
      <c r="M73" s="111"/>
      <c r="N73" s="111"/>
      <c r="O73" s="111"/>
      <c r="P73" s="111"/>
      <c r="Q73" s="111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00"/>
      <c r="AK73" s="100"/>
      <c r="AL73" s="100"/>
      <c r="AM73" s="100"/>
      <c r="AN73" s="100"/>
      <c r="AO73" s="100"/>
      <c r="AP73" s="100"/>
      <c r="AQ73" s="100"/>
      <c r="AR73" s="100"/>
      <c r="AS73" s="100"/>
      <c r="AT73" s="100"/>
      <c r="AU73" s="100"/>
      <c r="AV73" s="100"/>
      <c r="AW73" s="100"/>
      <c r="AX73" s="100"/>
      <c r="AY73" s="100"/>
      <c r="AZ73" s="100"/>
      <c r="BA73" s="100"/>
      <c r="BB73" s="100"/>
      <c r="BC73" s="100"/>
      <c r="BD73" s="100"/>
      <c r="BE73" s="100"/>
    </row>
    <row r="74" spans="1:57">
      <c r="A74" s="100"/>
      <c r="B74" s="100"/>
      <c r="C74" s="100"/>
      <c r="D74" s="102"/>
      <c r="E74" s="100"/>
      <c r="F74" s="100"/>
      <c r="G74" s="100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00"/>
      <c r="AK74" s="100"/>
      <c r="AL74" s="100"/>
      <c r="AM74" s="100"/>
      <c r="AN74" s="100"/>
      <c r="AO74" s="100"/>
      <c r="AP74" s="100"/>
      <c r="AQ74" s="100"/>
      <c r="AR74" s="100"/>
      <c r="AS74" s="100"/>
      <c r="AT74" s="100"/>
      <c r="AU74" s="100"/>
      <c r="AV74" s="100"/>
      <c r="AW74" s="100"/>
      <c r="AX74" s="100"/>
      <c r="AY74" s="100"/>
      <c r="AZ74" s="100"/>
      <c r="BA74" s="100"/>
      <c r="BB74" s="100"/>
      <c r="BC74" s="100"/>
      <c r="BD74" s="100"/>
      <c r="BE74" s="100"/>
    </row>
    <row r="75" spans="1:57">
      <c r="A75" s="100"/>
      <c r="B75" s="100"/>
      <c r="C75" s="100"/>
      <c r="D75" s="102"/>
      <c r="E75" s="100"/>
      <c r="F75" s="100"/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  <c r="AD75" s="100"/>
      <c r="AE75" s="100"/>
      <c r="AF75" s="100"/>
      <c r="AG75" s="100"/>
      <c r="AH75" s="100"/>
      <c r="AI75" s="100"/>
      <c r="AJ75" s="100"/>
      <c r="AK75" s="100"/>
      <c r="AL75" s="100"/>
      <c r="AM75" s="100"/>
      <c r="AN75" s="100"/>
      <c r="AO75" s="100"/>
      <c r="AP75" s="100"/>
      <c r="AQ75" s="100"/>
      <c r="AR75" s="100"/>
      <c r="AS75" s="100"/>
      <c r="AT75" s="100"/>
      <c r="AU75" s="100"/>
      <c r="AV75" s="100"/>
      <c r="AW75" s="100"/>
      <c r="AX75" s="100"/>
      <c r="AY75" s="100"/>
      <c r="AZ75" s="100"/>
      <c r="BA75" s="100"/>
      <c r="BB75" s="100"/>
      <c r="BC75" s="100"/>
      <c r="BD75" s="100"/>
      <c r="BE75" s="100"/>
    </row>
  </sheetData>
  <sheetProtection selectLockedCells="1" selectUnlockedCells="1"/>
  <mergeCells count="78">
    <mergeCell ref="AE3:AF4"/>
    <mergeCell ref="AG3:AI4"/>
    <mergeCell ref="AI5:AI6"/>
    <mergeCell ref="AY2:BC2"/>
    <mergeCell ref="A3:A6"/>
    <mergeCell ref="B3:G3"/>
    <mergeCell ref="H3:P3"/>
    <mergeCell ref="Q3:U3"/>
    <mergeCell ref="V3:V6"/>
    <mergeCell ref="W3:W6"/>
    <mergeCell ref="X3:X6"/>
    <mergeCell ref="Y3:Y6"/>
    <mergeCell ref="Z3:Z6"/>
    <mergeCell ref="P4:P6"/>
    <mergeCell ref="L4:L6"/>
    <mergeCell ref="M4:M6"/>
    <mergeCell ref="CJ3:CM5"/>
    <mergeCell ref="B4:B6"/>
    <mergeCell ref="C4:C6"/>
    <mergeCell ref="D4:D6"/>
    <mergeCell ref="E4:E6"/>
    <mergeCell ref="F4:F6"/>
    <mergeCell ref="G4:G6"/>
    <mergeCell ref="H4:H6"/>
    <mergeCell ref="I4:I6"/>
    <mergeCell ref="J4:J6"/>
    <mergeCell ref="BD3:BD6"/>
    <mergeCell ref="BE3:BE6"/>
    <mergeCell ref="BK3:BQ5"/>
    <mergeCell ref="BR3:BX5"/>
    <mergeCell ref="BY3:CE5"/>
    <mergeCell ref="K4:K6"/>
    <mergeCell ref="AA3:AA6"/>
    <mergeCell ref="AB3:AB6"/>
    <mergeCell ref="N4:N6"/>
    <mergeCell ref="O4:O6"/>
    <mergeCell ref="DD4:DH4"/>
    <mergeCell ref="AE5:AE6"/>
    <mergeCell ref="AF5:AF6"/>
    <mergeCell ref="AG5:AG6"/>
    <mergeCell ref="AH5:AH6"/>
    <mergeCell ref="CF3:CI5"/>
    <mergeCell ref="AQ3:AQ6"/>
    <mergeCell ref="AS3:AS6"/>
    <mergeCell ref="AT3:AY4"/>
    <mergeCell ref="AZ3:AZ6"/>
    <mergeCell ref="BA3:BB4"/>
    <mergeCell ref="BC3:BC6"/>
    <mergeCell ref="Q4:Q6"/>
    <mergeCell ref="R4:R6"/>
    <mergeCell ref="S4:S6"/>
    <mergeCell ref="T4:T6"/>
    <mergeCell ref="U4:U6"/>
    <mergeCell ref="AC3:AC6"/>
    <mergeCell ref="AD3:AD6"/>
    <mergeCell ref="DA5:DB5"/>
    <mergeCell ref="CO39:CP39"/>
    <mergeCell ref="CQ39:CU39"/>
    <mergeCell ref="CV39:CY39"/>
    <mergeCell ref="AX5:AX6"/>
    <mergeCell ref="AY5:AY6"/>
    <mergeCell ref="AJ3:AK6"/>
    <mergeCell ref="AL3:AL6"/>
    <mergeCell ref="AM3:AM6"/>
    <mergeCell ref="AN3:AN6"/>
    <mergeCell ref="AO3:AO6"/>
    <mergeCell ref="AP3:AP6"/>
    <mergeCell ref="AT5:AT6"/>
    <mergeCell ref="AW5:AW6"/>
    <mergeCell ref="CO40:CU40"/>
    <mergeCell ref="L71:Q71"/>
    <mergeCell ref="N46:O46"/>
    <mergeCell ref="AZ46:BE47"/>
    <mergeCell ref="AZ48:BC49"/>
    <mergeCell ref="BD48:BD49"/>
    <mergeCell ref="AZ51:BC52"/>
    <mergeCell ref="BD51:BD52"/>
    <mergeCell ref="AT42:AV42"/>
  </mergeCells>
  <printOptions horizontalCentered="1" verticalCentered="1"/>
  <pageMargins left="0" right="0" top="0" bottom="0" header="0" footer="0"/>
  <pageSetup paperSize="9" scale="46" firstPageNumber="0" orientation="landscape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DL80"/>
  <sheetViews>
    <sheetView showZeros="0" zoomScale="90" zoomScaleNormal="90" workbookViewId="0">
      <pane xSplit="1" ySplit="6" topLeftCell="B19" activePane="bottomRight" state="frozen"/>
      <selection pane="topRight" activeCell="B1" sqref="B1"/>
      <selection pane="bottomLeft" activeCell="A7" sqref="A7"/>
      <selection pane="bottomRight" activeCell="L19" sqref="L19"/>
    </sheetView>
  </sheetViews>
  <sheetFormatPr defaultColWidth="8.7109375" defaultRowHeight="12.75"/>
  <cols>
    <col min="1" max="1" width="3.5703125" customWidth="1"/>
    <col min="2" max="2" width="9" customWidth="1"/>
    <col min="3" max="3" width="6" customWidth="1"/>
    <col min="4" max="4" width="12" style="1" hidden="1" customWidth="1"/>
    <col min="5" max="5" width="7.140625" customWidth="1"/>
    <col min="6" max="6" width="7.5703125" customWidth="1"/>
    <col min="7" max="7" width="8" customWidth="1"/>
    <col min="8" max="8" width="7.28515625" customWidth="1"/>
    <col min="9" max="9" width="7.42578125" hidden="1" customWidth="1"/>
    <col min="10" max="10" width="9.140625" customWidth="1"/>
    <col min="11" max="11" width="5.5703125" hidden="1" customWidth="1"/>
    <col min="12" max="12" width="8.42578125" customWidth="1"/>
    <col min="13" max="13" width="7" customWidth="1"/>
    <col min="14" max="14" width="8.42578125" customWidth="1"/>
    <col min="15" max="15" width="7.28515625" customWidth="1"/>
    <col min="16" max="16" width="9.85546875" hidden="1" customWidth="1"/>
    <col min="17" max="17" width="9.28515625" customWidth="1"/>
    <col min="18" max="18" width="6" customWidth="1"/>
    <col min="19" max="19" width="6.7109375" customWidth="1"/>
    <col min="20" max="20" width="9.140625" hidden="1" customWidth="1"/>
    <col min="21" max="21" width="7.140625" customWidth="1"/>
    <col min="22" max="22" width="7.85546875" customWidth="1"/>
    <col min="23" max="23" width="8.28515625" customWidth="1"/>
    <col min="24" max="24" width="6" customWidth="1"/>
    <col min="25" max="25" width="5.42578125" customWidth="1"/>
    <col min="26" max="26" width="6.85546875" customWidth="1"/>
    <col min="27" max="27" width="6.5703125" customWidth="1"/>
    <col min="28" max="28" width="7.5703125" customWidth="1"/>
    <col min="29" max="29" width="6.5703125" customWidth="1"/>
    <col min="30" max="30" width="4.28515625" customWidth="1"/>
    <col min="31" max="32" width="6.85546875" customWidth="1"/>
    <col min="33" max="33" width="0" hidden="1" customWidth="1"/>
    <col min="34" max="34" width="8.42578125" customWidth="1"/>
    <col min="35" max="35" width="7" customWidth="1"/>
    <col min="36" max="36" width="7.85546875" customWidth="1"/>
    <col min="37" max="37" width="0" hidden="1" customWidth="1"/>
    <col min="38" max="38" width="6.7109375" customWidth="1"/>
    <col min="39" max="39" width="7.7109375" customWidth="1"/>
    <col min="40" max="40" width="7" customWidth="1"/>
    <col min="41" max="41" width="9.42578125" customWidth="1"/>
    <col min="42" max="42" width="6.28515625" customWidth="1"/>
    <col min="43" max="43" width="6.85546875" customWidth="1"/>
    <col min="44" max="44" width="0" hidden="1" customWidth="1"/>
    <col min="45" max="45" width="6.7109375" customWidth="1"/>
    <col min="46" max="46" width="9.7109375" customWidth="1"/>
    <col min="47" max="47" width="7" customWidth="1"/>
    <col min="48" max="48" width="0" hidden="1" customWidth="1"/>
    <col min="49" max="49" width="6.140625" hidden="1" customWidth="1"/>
    <col min="50" max="50" width="5.140625" hidden="1" customWidth="1"/>
    <col min="51" max="51" width="8.42578125" customWidth="1"/>
    <col min="52" max="52" width="10" customWidth="1"/>
    <col min="53" max="53" width="8.7109375" hidden="1" customWidth="1"/>
    <col min="54" max="54" width="3.85546875" hidden="1" customWidth="1"/>
    <col min="55" max="55" width="6.5703125" customWidth="1"/>
    <col min="56" max="56" width="6.140625" customWidth="1"/>
    <col min="57" max="57" width="6.7109375" customWidth="1"/>
    <col min="58" max="58" width="8.85546875" customWidth="1"/>
    <col min="59" max="59" width="7.85546875" customWidth="1"/>
    <col min="60" max="60" width="9.85546875" customWidth="1"/>
    <col min="61" max="62" width="8.7109375" customWidth="1"/>
    <col min="63" max="63" width="10.28515625" customWidth="1"/>
    <col min="64" max="64" width="10.85546875" customWidth="1"/>
    <col min="65" max="65" width="10.7109375" customWidth="1"/>
    <col min="66" max="66" width="11.28515625" customWidth="1"/>
    <col min="67" max="68" width="8.85546875" customWidth="1"/>
    <col min="69" max="69" width="11.28515625" customWidth="1"/>
    <col min="70" max="70" width="7.7109375" customWidth="1"/>
    <col min="71" max="71" width="10" customWidth="1"/>
    <col min="72" max="72" width="8.85546875" customWidth="1"/>
    <col min="73" max="73" width="10.140625" customWidth="1"/>
    <col min="74" max="75" width="8.85546875" customWidth="1"/>
    <col min="76" max="76" width="10.85546875" customWidth="1"/>
    <col min="77" max="78" width="8.7109375" customWidth="1"/>
    <col min="79" max="79" width="10" customWidth="1"/>
    <col min="80" max="80" width="10.42578125" customWidth="1"/>
    <col min="81" max="82" width="8.42578125" customWidth="1"/>
    <col min="83" max="83" width="9.85546875" customWidth="1"/>
    <col min="84" max="85" width="11.42578125" customWidth="1"/>
    <col min="86" max="86" width="11.140625" customWidth="1"/>
    <col min="87" max="87" width="11.28515625" customWidth="1"/>
    <col min="88" max="89" width="10" customWidth="1"/>
    <col min="90" max="90" width="8.7109375" customWidth="1"/>
    <col min="91" max="91" width="11.85546875" customWidth="1"/>
    <col min="92" max="92" width="8.7109375" customWidth="1"/>
    <col min="93" max="93" width="12.140625" customWidth="1"/>
    <col min="94" max="94" width="12.5703125" customWidth="1"/>
    <col min="95" max="95" width="11.7109375" customWidth="1"/>
    <col min="96" max="98" width="12.28515625" customWidth="1"/>
    <col min="99" max="99" width="13.28515625" customWidth="1"/>
    <col min="100" max="100" width="12.85546875" customWidth="1"/>
    <col min="101" max="101" width="13.42578125" customWidth="1"/>
    <col min="102" max="103" width="12.5703125" customWidth="1"/>
    <col min="104" max="104" width="9.5703125" customWidth="1"/>
    <col min="105" max="105" width="19.140625" customWidth="1"/>
    <col min="106" max="106" width="19.42578125" customWidth="1"/>
    <col min="111" max="111" width="8.7109375" hidden="1" customWidth="1"/>
    <col min="112" max="112" width="9" bestFit="1" customWidth="1"/>
    <col min="114" max="114" width="9.5703125" bestFit="1" customWidth="1"/>
    <col min="116" max="116" width="11.5703125" bestFit="1" customWidth="1"/>
  </cols>
  <sheetData>
    <row r="1" spans="1:116" ht="17.25" customHeight="1">
      <c r="A1" s="310" t="s">
        <v>0</v>
      </c>
      <c r="B1" s="310"/>
      <c r="C1" s="310"/>
      <c r="D1" s="311"/>
      <c r="E1" s="310"/>
      <c r="F1" s="310"/>
      <c r="G1" s="310"/>
      <c r="H1" s="310"/>
      <c r="I1" s="310"/>
      <c r="J1" s="310"/>
      <c r="K1" s="310"/>
      <c r="L1" s="310"/>
      <c r="M1" s="310"/>
      <c r="N1" s="310"/>
      <c r="O1" s="310"/>
      <c r="P1" s="77"/>
      <c r="Q1" s="77"/>
      <c r="R1" s="77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</row>
    <row r="2" spans="1:116" ht="19.5" customHeight="1" thickBot="1">
      <c r="A2" s="22"/>
      <c r="B2" s="78"/>
      <c r="C2" s="78"/>
      <c r="D2" s="79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80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80"/>
      <c r="AT2" s="312" t="s">
        <v>1</v>
      </c>
      <c r="AU2" s="313">
        <v>31</v>
      </c>
      <c r="AV2" s="314"/>
      <c r="AW2" s="314"/>
      <c r="AX2" s="315" t="s">
        <v>81</v>
      </c>
      <c r="AY2" s="556" t="s">
        <v>182</v>
      </c>
      <c r="AZ2" s="556"/>
      <c r="BA2" s="556"/>
      <c r="BB2" s="556"/>
      <c r="BC2" s="556"/>
      <c r="BD2" s="316" t="s">
        <v>107</v>
      </c>
      <c r="BE2" s="317"/>
    </row>
    <row r="3" spans="1:116" ht="39.75" customHeight="1" thickBot="1">
      <c r="A3" s="557" t="s">
        <v>3</v>
      </c>
      <c r="B3" s="558" t="s">
        <v>71</v>
      </c>
      <c r="C3" s="558"/>
      <c r="D3" s="558"/>
      <c r="E3" s="558"/>
      <c r="F3" s="558"/>
      <c r="G3" s="558"/>
      <c r="H3" s="554" t="s">
        <v>4</v>
      </c>
      <c r="I3" s="554"/>
      <c r="J3" s="554"/>
      <c r="K3" s="554"/>
      <c r="L3" s="554"/>
      <c r="M3" s="554"/>
      <c r="N3" s="554"/>
      <c r="O3" s="554"/>
      <c r="P3" s="559"/>
      <c r="Q3" s="560" t="s">
        <v>5</v>
      </c>
      <c r="R3" s="561"/>
      <c r="S3" s="561"/>
      <c r="T3" s="561"/>
      <c r="U3" s="562"/>
      <c r="V3" s="563" t="s">
        <v>6</v>
      </c>
      <c r="W3" s="563" t="s">
        <v>7</v>
      </c>
      <c r="X3" s="564" t="s">
        <v>8</v>
      </c>
      <c r="Y3" s="564" t="s">
        <v>9</v>
      </c>
      <c r="Z3" s="564" t="s">
        <v>10</v>
      </c>
      <c r="AA3" s="564" t="s">
        <v>11</v>
      </c>
      <c r="AB3" s="564" t="s">
        <v>12</v>
      </c>
      <c r="AC3" s="564" t="s">
        <v>13</v>
      </c>
      <c r="AD3" s="564" t="s">
        <v>14</v>
      </c>
      <c r="AE3" s="554" t="s">
        <v>15</v>
      </c>
      <c r="AF3" s="554"/>
      <c r="AG3" s="554" t="s">
        <v>16</v>
      </c>
      <c r="AH3" s="554"/>
      <c r="AI3" s="554"/>
      <c r="AJ3" s="593" t="s">
        <v>17</v>
      </c>
      <c r="AK3" s="593"/>
      <c r="AL3" s="564" t="s">
        <v>18</v>
      </c>
      <c r="AM3" s="599" t="s">
        <v>19</v>
      </c>
      <c r="AN3" s="600" t="s">
        <v>95</v>
      </c>
      <c r="AO3" s="603" t="s">
        <v>20</v>
      </c>
      <c r="AP3" s="564" t="s">
        <v>105</v>
      </c>
      <c r="AQ3" s="564" t="s">
        <v>21</v>
      </c>
      <c r="AR3" s="81"/>
      <c r="AS3" s="593" t="s">
        <v>22</v>
      </c>
      <c r="AT3" s="554" t="s">
        <v>23</v>
      </c>
      <c r="AU3" s="554"/>
      <c r="AV3" s="554"/>
      <c r="AW3" s="554"/>
      <c r="AX3" s="554"/>
      <c r="AY3" s="554"/>
      <c r="AZ3" s="564" t="s">
        <v>24</v>
      </c>
      <c r="BA3" s="594" t="s">
        <v>25</v>
      </c>
      <c r="BB3" s="594"/>
      <c r="BC3" s="564" t="s">
        <v>26</v>
      </c>
      <c r="BD3" s="564" t="s">
        <v>27</v>
      </c>
      <c r="BE3" s="572" t="s">
        <v>28</v>
      </c>
      <c r="BF3" s="3"/>
      <c r="BG3" s="3"/>
      <c r="BH3" s="3"/>
      <c r="BI3" s="3"/>
      <c r="BJ3" s="3"/>
      <c r="BK3" s="573" t="s">
        <v>29</v>
      </c>
      <c r="BL3" s="574"/>
      <c r="BM3" s="574"/>
      <c r="BN3" s="574"/>
      <c r="BO3" s="575"/>
      <c r="BP3" s="575"/>
      <c r="BQ3" s="576"/>
      <c r="BR3" s="573" t="s">
        <v>30</v>
      </c>
      <c r="BS3" s="585"/>
      <c r="BT3" s="585"/>
      <c r="BU3" s="585"/>
      <c r="BV3" s="585"/>
      <c r="BW3" s="585"/>
      <c r="BX3" s="586"/>
      <c r="BY3" s="566" t="s">
        <v>31</v>
      </c>
      <c r="BZ3" s="566"/>
      <c r="CA3" s="566"/>
      <c r="CB3" s="566"/>
      <c r="CC3" s="566"/>
      <c r="CD3" s="566"/>
      <c r="CE3" s="566"/>
      <c r="CF3" s="566" t="s">
        <v>87</v>
      </c>
      <c r="CG3" s="566"/>
      <c r="CH3" s="566"/>
      <c r="CI3" s="566"/>
      <c r="CJ3" s="566" t="s">
        <v>32</v>
      </c>
      <c r="CK3" s="566"/>
      <c r="CL3" s="566"/>
      <c r="CM3" s="566"/>
      <c r="CN3" s="4"/>
      <c r="CO3" s="5"/>
      <c r="CP3" s="6"/>
      <c r="CQ3" s="6"/>
    </row>
    <row r="4" spans="1:116" s="7" customFormat="1" ht="30.75" customHeight="1" thickBot="1">
      <c r="A4" s="557"/>
      <c r="B4" s="565" t="s">
        <v>72</v>
      </c>
      <c r="C4" s="565" t="s">
        <v>73</v>
      </c>
      <c r="D4" s="568" t="s">
        <v>33</v>
      </c>
      <c r="E4" s="565" t="s">
        <v>74</v>
      </c>
      <c r="F4" s="569" t="s">
        <v>75</v>
      </c>
      <c r="G4" s="569" t="s">
        <v>34</v>
      </c>
      <c r="H4" s="555" t="s">
        <v>76</v>
      </c>
      <c r="I4" s="570" t="s">
        <v>101</v>
      </c>
      <c r="J4" s="555" t="s">
        <v>89</v>
      </c>
      <c r="K4" s="565" t="s">
        <v>35</v>
      </c>
      <c r="L4" s="565" t="s">
        <v>77</v>
      </c>
      <c r="M4" s="565" t="s">
        <v>78</v>
      </c>
      <c r="N4" s="565" t="s">
        <v>101</v>
      </c>
      <c r="O4" s="565" t="s">
        <v>96</v>
      </c>
      <c r="P4" s="555" t="s">
        <v>79</v>
      </c>
      <c r="Q4" s="555" t="s">
        <v>36</v>
      </c>
      <c r="R4" s="555" t="s">
        <v>32</v>
      </c>
      <c r="S4" s="555" t="s">
        <v>37</v>
      </c>
      <c r="T4" s="555" t="s">
        <v>38</v>
      </c>
      <c r="U4" s="555" t="s">
        <v>39</v>
      </c>
      <c r="V4" s="563"/>
      <c r="W4" s="563"/>
      <c r="X4" s="564"/>
      <c r="Y4" s="564"/>
      <c r="Z4" s="564"/>
      <c r="AA4" s="564"/>
      <c r="AB4" s="564"/>
      <c r="AC4" s="564"/>
      <c r="AD4" s="564"/>
      <c r="AE4" s="554"/>
      <c r="AF4" s="554"/>
      <c r="AG4" s="554"/>
      <c r="AH4" s="554"/>
      <c r="AI4" s="554"/>
      <c r="AJ4" s="593"/>
      <c r="AK4" s="593"/>
      <c r="AL4" s="564"/>
      <c r="AM4" s="599"/>
      <c r="AN4" s="601"/>
      <c r="AO4" s="603"/>
      <c r="AP4" s="564"/>
      <c r="AQ4" s="564"/>
      <c r="AR4" s="82"/>
      <c r="AS4" s="593"/>
      <c r="AT4" s="554"/>
      <c r="AU4" s="554"/>
      <c r="AV4" s="554"/>
      <c r="AW4" s="554"/>
      <c r="AX4" s="554"/>
      <c r="AY4" s="554"/>
      <c r="AZ4" s="564"/>
      <c r="BA4" s="594"/>
      <c r="BB4" s="594"/>
      <c r="BC4" s="564"/>
      <c r="BD4" s="564"/>
      <c r="BE4" s="572"/>
      <c r="BF4" s="3"/>
      <c r="BG4" s="3"/>
      <c r="BH4" s="3"/>
      <c r="BI4" s="3"/>
      <c r="BJ4" s="3"/>
      <c r="BK4" s="577"/>
      <c r="BL4" s="578"/>
      <c r="BM4" s="578"/>
      <c r="BN4" s="578"/>
      <c r="BO4" s="579"/>
      <c r="BP4" s="579"/>
      <c r="BQ4" s="580"/>
      <c r="BR4" s="577"/>
      <c r="BS4" s="566"/>
      <c r="BT4" s="566"/>
      <c r="BU4" s="566"/>
      <c r="BV4" s="566"/>
      <c r="BW4" s="566"/>
      <c r="BX4" s="587"/>
      <c r="BY4" s="566"/>
      <c r="BZ4" s="566"/>
      <c r="CA4" s="566"/>
      <c r="CB4" s="566"/>
      <c r="CC4" s="566"/>
      <c r="CD4" s="566"/>
      <c r="CE4" s="566"/>
      <c r="CF4" s="566"/>
      <c r="CG4" s="566"/>
      <c r="CH4" s="566"/>
      <c r="CI4" s="566"/>
      <c r="CJ4" s="566"/>
      <c r="CK4" s="566"/>
      <c r="CL4" s="566"/>
      <c r="CM4" s="566"/>
      <c r="CN4" s="4"/>
      <c r="CO4" s="6"/>
      <c r="CP4" s="6"/>
      <c r="CQ4" s="262"/>
      <c r="CR4" s="231"/>
      <c r="CS4" s="231"/>
      <c r="CT4" s="231"/>
      <c r="CU4" s="231"/>
      <c r="CV4" s="231"/>
      <c r="CW4" s="231"/>
      <c r="CX4" s="231"/>
      <c r="CY4" s="231"/>
      <c r="DD4" s="590" t="s">
        <v>90</v>
      </c>
      <c r="DE4" s="591"/>
      <c r="DF4" s="591"/>
      <c r="DG4" s="591"/>
      <c r="DH4" s="592"/>
    </row>
    <row r="5" spans="1:116" s="7" customFormat="1" ht="8.25" hidden="1" customHeight="1">
      <c r="A5" s="557"/>
      <c r="B5" s="565"/>
      <c r="C5" s="565"/>
      <c r="D5" s="568"/>
      <c r="E5" s="565"/>
      <c r="F5" s="569"/>
      <c r="G5" s="569"/>
      <c r="H5" s="555"/>
      <c r="I5" s="570"/>
      <c r="J5" s="565"/>
      <c r="K5" s="565"/>
      <c r="L5" s="565"/>
      <c r="M5" s="565"/>
      <c r="N5" s="565"/>
      <c r="O5" s="565"/>
      <c r="P5" s="555"/>
      <c r="Q5" s="555"/>
      <c r="R5" s="555"/>
      <c r="S5" s="555"/>
      <c r="T5" s="555"/>
      <c r="U5" s="555"/>
      <c r="V5" s="563"/>
      <c r="W5" s="563"/>
      <c r="X5" s="564"/>
      <c r="Y5" s="564"/>
      <c r="Z5" s="564"/>
      <c r="AA5" s="564"/>
      <c r="AB5" s="564"/>
      <c r="AC5" s="564"/>
      <c r="AD5" s="564"/>
      <c r="AE5" s="555" t="s">
        <v>40</v>
      </c>
      <c r="AF5" s="555" t="s">
        <v>41</v>
      </c>
      <c r="AG5" s="555" t="s">
        <v>42</v>
      </c>
      <c r="AH5" s="555" t="s">
        <v>40</v>
      </c>
      <c r="AI5" s="555" t="s">
        <v>41</v>
      </c>
      <c r="AJ5" s="593"/>
      <c r="AK5" s="593"/>
      <c r="AL5" s="564"/>
      <c r="AM5" s="599"/>
      <c r="AN5" s="601"/>
      <c r="AO5" s="603"/>
      <c r="AP5" s="564"/>
      <c r="AQ5" s="564"/>
      <c r="AR5" s="83"/>
      <c r="AS5" s="593"/>
      <c r="AT5" s="555" t="s">
        <v>43</v>
      </c>
      <c r="AU5" s="84"/>
      <c r="AV5" s="85"/>
      <c r="AW5" s="598" t="s">
        <v>44</v>
      </c>
      <c r="AX5" s="598" t="s">
        <v>45</v>
      </c>
      <c r="AY5" s="555" t="s">
        <v>46</v>
      </c>
      <c r="AZ5" s="564"/>
      <c r="BA5" s="86" t="s">
        <v>47</v>
      </c>
      <c r="BB5" s="86" t="s">
        <v>48</v>
      </c>
      <c r="BC5" s="564"/>
      <c r="BD5" s="564"/>
      <c r="BE5" s="572"/>
      <c r="BF5" s="3"/>
      <c r="BG5" s="3"/>
      <c r="BH5" s="3"/>
      <c r="BI5" s="3"/>
      <c r="BJ5" s="3"/>
      <c r="BK5" s="581"/>
      <c r="BL5" s="582"/>
      <c r="BM5" s="582"/>
      <c r="BN5" s="582"/>
      <c r="BO5" s="583"/>
      <c r="BP5" s="583"/>
      <c r="BQ5" s="584"/>
      <c r="BR5" s="581"/>
      <c r="BS5" s="588"/>
      <c r="BT5" s="588"/>
      <c r="BU5" s="588"/>
      <c r="BV5" s="588"/>
      <c r="BW5" s="588"/>
      <c r="BX5" s="589"/>
      <c r="BY5" s="567"/>
      <c r="BZ5" s="566"/>
      <c r="CA5" s="566"/>
      <c r="CB5" s="566"/>
      <c r="CC5" s="566"/>
      <c r="CD5" s="566"/>
      <c r="CE5" s="566"/>
      <c r="CF5" s="567"/>
      <c r="CG5" s="567"/>
      <c r="CH5" s="567"/>
      <c r="CI5" s="567"/>
      <c r="CJ5" s="567"/>
      <c r="CK5" s="567"/>
      <c r="CL5" s="567"/>
      <c r="CM5" s="567"/>
      <c r="CN5" s="4"/>
      <c r="CO5"/>
      <c r="CP5"/>
      <c r="CQ5" s="255"/>
      <c r="CR5" s="256"/>
      <c r="CS5" s="256"/>
      <c r="CT5" s="256"/>
      <c r="CU5" s="256"/>
      <c r="CV5" s="257"/>
      <c r="CW5" s="257"/>
      <c r="CX5" s="257"/>
      <c r="CY5" s="258"/>
      <c r="DA5" s="595" t="s">
        <v>49</v>
      </c>
      <c r="DB5" s="595"/>
    </row>
    <row r="6" spans="1:116" s="7" customFormat="1" ht="106.5" customHeight="1" thickBot="1">
      <c r="A6" s="557"/>
      <c r="B6" s="565"/>
      <c r="C6" s="565"/>
      <c r="D6" s="568"/>
      <c r="E6" s="565"/>
      <c r="F6" s="569"/>
      <c r="G6" s="569"/>
      <c r="H6" s="555"/>
      <c r="I6" s="570"/>
      <c r="J6" s="571"/>
      <c r="K6" s="565"/>
      <c r="L6" s="565"/>
      <c r="M6" s="565"/>
      <c r="N6" s="565"/>
      <c r="O6" s="565"/>
      <c r="P6" s="565"/>
      <c r="Q6" s="565"/>
      <c r="R6" s="565"/>
      <c r="S6" s="565"/>
      <c r="T6" s="555"/>
      <c r="U6" s="555"/>
      <c r="V6" s="563"/>
      <c r="W6" s="563"/>
      <c r="X6" s="564"/>
      <c r="Y6" s="564"/>
      <c r="Z6" s="564"/>
      <c r="AA6" s="564"/>
      <c r="AB6" s="564"/>
      <c r="AC6" s="564"/>
      <c r="AD6" s="564"/>
      <c r="AE6" s="555"/>
      <c r="AF6" s="555"/>
      <c r="AG6" s="555"/>
      <c r="AH6" s="555"/>
      <c r="AI6" s="555"/>
      <c r="AJ6" s="593"/>
      <c r="AK6" s="593"/>
      <c r="AL6" s="564"/>
      <c r="AM6" s="599"/>
      <c r="AN6" s="602"/>
      <c r="AO6" s="603"/>
      <c r="AP6" s="564"/>
      <c r="AQ6" s="564"/>
      <c r="AR6" s="430"/>
      <c r="AS6" s="593"/>
      <c r="AT6" s="555"/>
      <c r="AU6" s="429" t="s">
        <v>50</v>
      </c>
      <c r="AV6" s="429" t="s">
        <v>51</v>
      </c>
      <c r="AW6" s="598"/>
      <c r="AX6" s="598"/>
      <c r="AY6" s="555"/>
      <c r="AZ6" s="555"/>
      <c r="BA6" s="87"/>
      <c r="BB6" s="88">
        <v>0.04</v>
      </c>
      <c r="BC6" s="564"/>
      <c r="BD6" s="564"/>
      <c r="BE6" s="572"/>
      <c r="BF6" s="8" t="s">
        <v>52</v>
      </c>
      <c r="BG6" s="8" t="s">
        <v>53</v>
      </c>
      <c r="BH6" s="8" t="s">
        <v>54</v>
      </c>
      <c r="BI6" s="3"/>
      <c r="BJ6" s="3"/>
      <c r="BK6" s="308" t="s">
        <v>104</v>
      </c>
      <c r="BL6" s="280" t="s">
        <v>82</v>
      </c>
      <c r="BM6" s="279" t="s">
        <v>100</v>
      </c>
      <c r="BN6" s="307" t="s">
        <v>102</v>
      </c>
      <c r="BO6" s="308" t="s">
        <v>97</v>
      </c>
      <c r="BP6" s="326" t="s">
        <v>99</v>
      </c>
      <c r="BQ6" s="306" t="s">
        <v>86</v>
      </c>
      <c r="BR6" s="308" t="s">
        <v>104</v>
      </c>
      <c r="BS6" s="280" t="s">
        <v>82</v>
      </c>
      <c r="BT6" s="279" t="s">
        <v>100</v>
      </c>
      <c r="BU6" s="327"/>
      <c r="BV6" s="308" t="s">
        <v>97</v>
      </c>
      <c r="BW6" s="326" t="s">
        <v>99</v>
      </c>
      <c r="BX6" s="306"/>
      <c r="BY6" s="308" t="s">
        <v>104</v>
      </c>
      <c r="BZ6" s="280" t="s">
        <v>82</v>
      </c>
      <c r="CA6" s="279" t="s">
        <v>100</v>
      </c>
      <c r="CB6" s="307" t="s">
        <v>102</v>
      </c>
      <c r="CC6" s="308" t="s">
        <v>97</v>
      </c>
      <c r="CD6" s="326" t="s">
        <v>99</v>
      </c>
      <c r="CE6" s="306" t="s">
        <v>86</v>
      </c>
      <c r="CF6" s="267" t="s">
        <v>106</v>
      </c>
      <c r="CG6" s="268" t="s">
        <v>85</v>
      </c>
      <c r="CH6" s="244" t="s">
        <v>109</v>
      </c>
      <c r="CI6" s="245" t="s">
        <v>103</v>
      </c>
      <c r="CJ6" s="267" t="s">
        <v>106</v>
      </c>
      <c r="CK6" s="268" t="s">
        <v>85</v>
      </c>
      <c r="CL6" s="244" t="s">
        <v>109</v>
      </c>
      <c r="CM6" s="245" t="s">
        <v>103</v>
      </c>
      <c r="CN6" s="243"/>
      <c r="CO6" s="248" t="s">
        <v>104</v>
      </c>
      <c r="CP6" s="10" t="s">
        <v>82</v>
      </c>
      <c r="CQ6" s="264" t="s">
        <v>100</v>
      </c>
      <c r="CR6" s="23" t="s">
        <v>102</v>
      </c>
      <c r="CS6" s="248" t="s">
        <v>98</v>
      </c>
      <c r="CT6" s="248" t="s">
        <v>99</v>
      </c>
      <c r="CU6" s="9" t="s">
        <v>83</v>
      </c>
      <c r="CV6" s="259" t="s">
        <v>106</v>
      </c>
      <c r="CW6" s="248" t="s">
        <v>84</v>
      </c>
      <c r="CX6" s="232" t="s">
        <v>108</v>
      </c>
      <c r="CY6" s="263" t="s">
        <v>103</v>
      </c>
      <c r="CZ6" s="253"/>
      <c r="DA6" s="321" t="s">
        <v>80</v>
      </c>
      <c r="DB6" s="321" t="s">
        <v>55</v>
      </c>
      <c r="DD6" s="288" t="s">
        <v>91</v>
      </c>
      <c r="DE6" s="289" t="s">
        <v>92</v>
      </c>
      <c r="DF6" s="290" t="s">
        <v>93</v>
      </c>
      <c r="DG6" s="290"/>
      <c r="DH6" s="289" t="s">
        <v>94</v>
      </c>
    </row>
    <row r="7" spans="1:116" s="76" customFormat="1" ht="16.5" customHeight="1" thickBot="1">
      <c r="A7" s="121">
        <v>1</v>
      </c>
      <c r="B7" s="122">
        <f>BK7+BL7+BM7+BN7+BO7</f>
        <v>258.53500300000002</v>
      </c>
      <c r="C7" s="123">
        <f>IF(B7=0,0,(BK7*BR7+BL7*BS7+BM7*BT7+BN7*BU7+BQ7*BX7+BO7*BV7+BP7*BW7)/B7)</f>
        <v>1.7790012761483021</v>
      </c>
      <c r="D7" s="124">
        <f>B7*((100-C7)/100)</f>
        <v>253.93566199733996</v>
      </c>
      <c r="E7" s="125">
        <f>IF(B7=0,0,(BK7*BY7+BL7*BZ7+BM7*CA7+BQ7*CE7+BN7*CB7+BO7*CC7+BP7*CD7)/B7)</f>
        <v>40.617694656997784</v>
      </c>
      <c r="F7" s="126">
        <f>IF(AY7=0,0,D7/AY7)</f>
        <v>1.9625601823737533</v>
      </c>
      <c r="G7" s="127"/>
      <c r="H7" s="126">
        <f>IF(AY7=0,0,(CP7+CO7+CS7+CQ7+CT7)/AY7)</f>
        <v>1.3422185933997988</v>
      </c>
      <c r="I7" s="230">
        <f>'[1]июль 20'!AI6</f>
        <v>0</v>
      </c>
      <c r="J7" s="246">
        <f>'[1]март 20'!AA6</f>
        <v>5.2380000000000004</v>
      </c>
      <c r="K7" s="276">
        <f>'[1]сентябрь 20'!AM6</f>
        <v>0</v>
      </c>
      <c r="L7" s="122">
        <f>BN7</f>
        <v>80.266000000000005</v>
      </c>
      <c r="M7" s="128">
        <f>IF(AY7=0,0,(CR7+CU7)/AY7)</f>
        <v>0.62034160443109965</v>
      </c>
      <c r="N7" s="128">
        <f>'[1]март 20'!W6</f>
        <v>0</v>
      </c>
      <c r="O7" s="402">
        <f>'[1]март 20'!AU6</f>
        <v>10.507999999999999</v>
      </c>
      <c r="P7" s="125">
        <f t="shared" ref="P7:P37" si="0">CF7+CH7+CI7+CG7</f>
        <v>163.72600199999999</v>
      </c>
      <c r="Q7" s="122">
        <f>'[1]март 20'!S6</f>
        <v>163.726</v>
      </c>
      <c r="R7" s="123">
        <f>IF(Q7=0,0,(CI7*CM7+CG7*CK7+CH7*CL7+CF7*CJ7)/Q7)</f>
        <v>3.2200000000000117</v>
      </c>
      <c r="S7" s="129">
        <v>6.19</v>
      </c>
      <c r="T7" s="125">
        <f t="shared" ref="T7:T37" si="1">Q7*((100-R7)/100)</f>
        <v>158.45402279999999</v>
      </c>
      <c r="U7" s="128">
        <f t="shared" ref="U7:U37" si="2">IF(AY7=0,0,T7/AY7)</f>
        <v>1.2246234083004868</v>
      </c>
      <c r="V7" s="130">
        <v>129.38999999999999</v>
      </c>
      <c r="W7" s="130">
        <v>29.88</v>
      </c>
      <c r="X7" s="129">
        <v>1.18</v>
      </c>
      <c r="Y7" s="131">
        <v>555</v>
      </c>
      <c r="Z7" s="131">
        <v>1185</v>
      </c>
      <c r="AA7" s="132" t="s">
        <v>167</v>
      </c>
      <c r="AB7" s="129">
        <v>76.400000000000006</v>
      </c>
      <c r="AC7" s="131">
        <v>105</v>
      </c>
      <c r="AD7" s="133">
        <v>4</v>
      </c>
      <c r="AE7" s="129"/>
      <c r="AF7" s="134">
        <f t="shared" ref="AF7:AF37" si="3">IF(AY7=0,0,AE7/AY7*1000)</f>
        <v>0</v>
      </c>
      <c r="AG7" s="135"/>
      <c r="AH7" s="129">
        <v>81.25</v>
      </c>
      <c r="AI7" s="134">
        <f t="shared" ref="AI7:AI37" si="4">IF(AY7=0,0,AH7/AY7*1000)</f>
        <v>627.946518278074</v>
      </c>
      <c r="AJ7" s="136">
        <v>15.18</v>
      </c>
      <c r="AK7" s="127"/>
      <c r="AL7" s="137">
        <v>5.69</v>
      </c>
      <c r="AM7" s="138">
        <v>34.79</v>
      </c>
      <c r="AN7" s="126">
        <f>IF(AM7=0,0,AM7/AT7)</f>
        <v>0.20920024052916414</v>
      </c>
      <c r="AO7" s="139" t="s">
        <v>184</v>
      </c>
      <c r="AP7" s="138">
        <v>8.9700000000000006</v>
      </c>
      <c r="AQ7" s="138">
        <v>6.82</v>
      </c>
      <c r="AR7" s="129"/>
      <c r="AS7" s="129">
        <v>8.34</v>
      </c>
      <c r="AT7" s="129">
        <v>166.3</v>
      </c>
      <c r="AU7" s="129">
        <v>3.57</v>
      </c>
      <c r="AV7" s="129"/>
      <c r="AW7" s="129"/>
      <c r="AX7" s="140">
        <f t="shared" ref="AX7:AX37" si="5">IF(AY7=0,0,AW7/AY7*100)</f>
        <v>0</v>
      </c>
      <c r="AY7" s="125">
        <f t="shared" ref="AY7:AY37" si="6">AT7-AL7-AM7+AV7+AW7+AU7</f>
        <v>129.39000000000001</v>
      </c>
      <c r="AZ7" s="125">
        <f>IF(AB7=0,0,((D7*0.97)*(E7/100)*0.9)/(AB7/100))+DH7</f>
        <v>118.96388950811739</v>
      </c>
      <c r="BA7" s="141">
        <f t="shared" ref="BA7:BA37" si="7">(AH7*AS7)/100*(55/71)</f>
        <v>5.2492077464788727</v>
      </c>
      <c r="BB7" s="142">
        <f t="shared" ref="BB7:BB37" si="8">AY7*$BB$6</f>
        <v>5.1756000000000011</v>
      </c>
      <c r="BC7" s="122">
        <f t="shared" ref="BC7:BC37" si="9">IF((D7*E7)=0,0,(AY7*AB7)/(D7*E7))</f>
        <v>0.95841831592699467</v>
      </c>
      <c r="BD7" s="142">
        <f>BA7+BB7</f>
        <v>10.424807746478873</v>
      </c>
      <c r="BE7" s="143">
        <v>0.95799999999999996</v>
      </c>
      <c r="BF7" s="25">
        <f>AY7</f>
        <v>129.39000000000001</v>
      </c>
      <c r="BG7" s="25">
        <f t="shared" ref="BG7:BG38" si="10">IF(A7&lt;=$BE$43,$AT$43,0)</f>
        <v>124.19354838709677</v>
      </c>
      <c r="BH7" s="25">
        <f>BG7</f>
        <v>124.19354838709677</v>
      </c>
      <c r="BI7" s="26">
        <f t="shared" ref="BI7:BI37" si="11">IF(AY7&lt;&gt;0,1,0)</f>
        <v>1</v>
      </c>
      <c r="BJ7" s="27">
        <f>BG7*BI7</f>
        <v>124.19354838709677</v>
      </c>
      <c r="BK7" s="28">
        <v>9.9999999999999995E-7</v>
      </c>
      <c r="BL7" s="28">
        <v>178.26900000000001</v>
      </c>
      <c r="BM7" s="28">
        <v>9.9999999999999995E-7</v>
      </c>
      <c r="BN7" s="28">
        <v>80.266000000000005</v>
      </c>
      <c r="BO7" s="28">
        <v>9.9999999999999995E-7</v>
      </c>
      <c r="BP7" s="28">
        <v>9.9999999999999995E-7</v>
      </c>
      <c r="BQ7" s="28">
        <v>9.9999999999999995E-7</v>
      </c>
      <c r="BR7" s="28">
        <v>9.9999999999999995E-7</v>
      </c>
      <c r="BS7" s="28">
        <v>2.58</v>
      </c>
      <c r="BT7" s="28">
        <v>9.9999999999999995E-7</v>
      </c>
      <c r="BU7" s="28">
        <v>9.9999999999999995E-7</v>
      </c>
      <c r="BV7" s="28">
        <v>9.9999999999999995E-7</v>
      </c>
      <c r="BW7" s="28">
        <v>9.9999999999999995E-7</v>
      </c>
      <c r="BX7" s="28">
        <v>9.9999999999999995E-7</v>
      </c>
      <c r="BY7" s="28">
        <v>9.9999999999999995E-7</v>
      </c>
      <c r="BZ7" s="28">
        <v>38.549999999999997</v>
      </c>
      <c r="CA7" s="28">
        <v>9.9999999999999995E-7</v>
      </c>
      <c r="CB7" s="28">
        <v>45.21</v>
      </c>
      <c r="CC7" s="28">
        <v>9.9999999999999995E-7</v>
      </c>
      <c r="CD7" s="28">
        <v>9.9999999999999995E-7</v>
      </c>
      <c r="CE7" s="28">
        <v>9.9999999999999995E-7</v>
      </c>
      <c r="CF7" s="28">
        <v>80.727000000000004</v>
      </c>
      <c r="CG7" s="28">
        <v>9.9999999999999995E-7</v>
      </c>
      <c r="CH7" s="28">
        <v>82.998999999999995</v>
      </c>
      <c r="CI7" s="28">
        <v>9.9999999999999995E-7</v>
      </c>
      <c r="CJ7" s="28">
        <v>3.22</v>
      </c>
      <c r="CK7" s="28">
        <v>9.9999999999999995E-7</v>
      </c>
      <c r="CL7" s="28">
        <v>3.22</v>
      </c>
      <c r="CM7" s="28">
        <v>9.9999999999999995E-7</v>
      </c>
      <c r="CN7" s="286"/>
      <c r="CO7" s="252">
        <f t="shared" ref="CO7:CU22" si="12">BK7*((100-BR7)/100)</f>
        <v>9.9999998999999992E-7</v>
      </c>
      <c r="CP7" s="11">
        <f t="shared" si="12"/>
        <v>173.66965980000001</v>
      </c>
      <c r="CQ7" s="11">
        <f t="shared" si="12"/>
        <v>9.9999998999999992E-7</v>
      </c>
      <c r="CR7" s="11">
        <f t="shared" si="12"/>
        <v>80.265999197340008</v>
      </c>
      <c r="CS7" s="11">
        <f t="shared" si="12"/>
        <v>9.9999998999999992E-7</v>
      </c>
      <c r="CT7" s="11">
        <f t="shared" si="12"/>
        <v>9.9999998999999992E-7</v>
      </c>
      <c r="CU7" s="271">
        <f t="shared" si="12"/>
        <v>9.9999998999999992E-7</v>
      </c>
      <c r="CV7" s="260">
        <f t="shared" ref="CV7:CY37" si="13">CF7*((100-CJ7)/100)</f>
        <v>78.127590600000005</v>
      </c>
      <c r="CW7" s="250">
        <f t="shared" si="13"/>
        <v>9.9999998999999992E-7</v>
      </c>
      <c r="CX7" s="260">
        <f t="shared" si="13"/>
        <v>80.326432199999999</v>
      </c>
      <c r="CY7" s="271">
        <f t="shared" si="13"/>
        <v>9.9999998999999992E-7</v>
      </c>
      <c r="CZ7" s="13"/>
      <c r="DA7" s="240">
        <f>(D7+'[2]март 20 '!D7)/(AY7+'[2]март 20 '!AX7)</f>
        <v>2.1444971322993633</v>
      </c>
      <c r="DB7" s="241">
        <f>(T7+'[2]март 20 '!R7)/(AY7+'[2]март 20 '!AX7)</f>
        <v>1.3728683071962478</v>
      </c>
      <c r="DD7" s="292">
        <f t="shared" ref="DD7:DD37" si="14">J7</f>
        <v>5.2380000000000004</v>
      </c>
      <c r="DE7" s="291">
        <v>0.08</v>
      </c>
      <c r="DF7" s="291">
        <v>16.14</v>
      </c>
      <c r="DG7" s="145">
        <f t="shared" ref="DG7:DG37" si="15">DD7*((100-DE7)/100)</f>
        <v>5.2338096000000007</v>
      </c>
      <c r="DH7" s="293">
        <f>IF(AB7=0,0,(DG7*DF7%)/(AB7/100))</f>
        <v>1.1056765306806284</v>
      </c>
      <c r="DJ7" s="431"/>
      <c r="DL7" s="322"/>
    </row>
    <row r="8" spans="1:116" s="76" customFormat="1" ht="16.5" customHeight="1" thickBot="1">
      <c r="A8" s="144">
        <v>2</v>
      </c>
      <c r="B8" s="122">
        <f t="shared" ref="B8:B37" si="16">BK8+BL8+BM8+BN8+BO8</f>
        <v>303.37400000000002</v>
      </c>
      <c r="C8" s="123">
        <f t="shared" ref="C8:C37" si="17">IF(B8=0,0,(BK8*BR8+BL8*BS8+BM8*BT8+BN8*BU8+BQ8*BX8+BO8*BV8+BP8*BW8)/B8)</f>
        <v>2.2674895014075034</v>
      </c>
      <c r="D8" s="145">
        <f t="shared" ref="D8:D37" si="18">B8*((100-C8)/100)</f>
        <v>296.49502639999997</v>
      </c>
      <c r="E8" s="125">
        <f t="shared" ref="E8:E37" si="19">IF(B8=0,0,(BK8*BY8+BL8*BZ8+BM8*CA8+BQ8*CE8+BN8*CB8+BO8*CC8+BP8*CD8)/B8)</f>
        <v>40.561024148410866</v>
      </c>
      <c r="F8" s="146">
        <f t="shared" ref="F8:F37" si="20">IF(AY8=0,0,D8/AY8)</f>
        <v>2.4453198053608247</v>
      </c>
      <c r="G8" s="127"/>
      <c r="H8" s="126">
        <f t="shared" ref="H8:H37" si="21">IF(AY8=0,0,(CP8+CO8+CS8+CQ8+CT8)/AY8)</f>
        <v>1.6943094960824745</v>
      </c>
      <c r="I8" s="230">
        <f>'[1]июль 20'!AI7</f>
        <v>0</v>
      </c>
      <c r="J8" s="247">
        <f>'[1]март 20'!AA7</f>
        <v>7.7649999999999997</v>
      </c>
      <c r="K8" s="276">
        <f>'[1]сентябрь 20'!AM7</f>
        <v>0</v>
      </c>
      <c r="L8" s="122">
        <f t="shared" ref="L8:L37" si="22">BN8</f>
        <v>91.06</v>
      </c>
      <c r="M8" s="128">
        <f t="shared" ref="M8:M37" si="23">IF(AY8=0,0,(CR8+CU8)/AY8)</f>
        <v>0.75101030927835066</v>
      </c>
      <c r="N8" s="400">
        <f>'[1]март 20'!W7</f>
        <v>0</v>
      </c>
      <c r="O8" s="403">
        <f>'[1]март 20'!AU7</f>
        <v>12.239000000000001</v>
      </c>
      <c r="P8" s="401">
        <f t="shared" si="0"/>
        <v>189.20099999999999</v>
      </c>
      <c r="Q8" s="122">
        <f>'[1]март 20'!S7</f>
        <v>189.20099999999999</v>
      </c>
      <c r="R8" s="123">
        <f t="shared" ref="R8:R37" si="24">IF(Q8=0,0,(CI8*CM8+CG8*CK8+CH8*CL8+CF8*CJ8)/Q8)</f>
        <v>3.31</v>
      </c>
      <c r="S8" s="129">
        <v>12.57</v>
      </c>
      <c r="T8" s="125">
        <f t="shared" si="1"/>
        <v>182.9384469</v>
      </c>
      <c r="U8" s="147">
        <f t="shared" si="2"/>
        <v>1.5087706960824745</v>
      </c>
      <c r="V8" s="130">
        <v>121.25</v>
      </c>
      <c r="W8" s="130">
        <v>35.28</v>
      </c>
      <c r="X8" s="129">
        <v>1.26</v>
      </c>
      <c r="Y8" s="131">
        <v>531</v>
      </c>
      <c r="Z8" s="131">
        <v>1190</v>
      </c>
      <c r="AA8" s="148" t="s">
        <v>174</v>
      </c>
      <c r="AB8" s="149">
        <v>76.05</v>
      </c>
      <c r="AC8" s="150">
        <v>123</v>
      </c>
      <c r="AD8" s="151">
        <v>4</v>
      </c>
      <c r="AE8" s="149">
        <v>0.45</v>
      </c>
      <c r="AF8" s="134">
        <f t="shared" si="3"/>
        <v>3.7113402061855671</v>
      </c>
      <c r="AG8" s="152"/>
      <c r="AH8" s="129">
        <v>74.95</v>
      </c>
      <c r="AI8" s="134">
        <f t="shared" si="4"/>
        <v>618.14432989690727</v>
      </c>
      <c r="AJ8" s="153">
        <v>12.28</v>
      </c>
      <c r="AK8" s="154"/>
      <c r="AL8" s="155">
        <v>5.96</v>
      </c>
      <c r="AM8" s="156">
        <v>35.880000000000003</v>
      </c>
      <c r="AN8" s="126">
        <f t="shared" ref="AN8:AN37" si="25">IF(AM8=0,0,AM8/AT8)</f>
        <v>0.22189239332096478</v>
      </c>
      <c r="AO8" s="157" t="s">
        <v>197</v>
      </c>
      <c r="AP8" s="156">
        <v>9.3000000000000007</v>
      </c>
      <c r="AQ8" s="156">
        <v>6.83</v>
      </c>
      <c r="AR8" s="149"/>
      <c r="AS8" s="149">
        <v>6.43</v>
      </c>
      <c r="AT8" s="149">
        <v>161.69999999999999</v>
      </c>
      <c r="AU8" s="149">
        <v>1.39</v>
      </c>
      <c r="AV8" s="149"/>
      <c r="AW8" s="149"/>
      <c r="AX8" s="158">
        <f t="shared" si="5"/>
        <v>0</v>
      </c>
      <c r="AY8" s="125">
        <f t="shared" si="6"/>
        <v>121.24999999999999</v>
      </c>
      <c r="AZ8" s="125">
        <f>IF(AB8=0,0,((D8*0.97)*(E8/100)*0.9)/(AB8/100))+DH8</f>
        <v>139.06638048824411</v>
      </c>
      <c r="BA8" s="159">
        <f t="shared" si="7"/>
        <v>3.7332489436619714</v>
      </c>
      <c r="BB8" s="160">
        <f t="shared" si="8"/>
        <v>4.8499999999999996</v>
      </c>
      <c r="BC8" s="161">
        <f t="shared" si="9"/>
        <v>0.76675151157986887</v>
      </c>
      <c r="BD8" s="160">
        <f t="shared" ref="BD8:BD37" si="26">BA8+BB8</f>
        <v>8.583248943661971</v>
      </c>
      <c r="BE8" s="162">
        <v>0.85499999999999998</v>
      </c>
      <c r="BF8" s="25">
        <f t="shared" ref="BF8:BF37" si="27">BF7+AY8</f>
        <v>250.64</v>
      </c>
      <c r="BG8" s="25">
        <f t="shared" si="10"/>
        <v>124.19354838709677</v>
      </c>
      <c r="BH8" s="25">
        <f t="shared" ref="BH8:BH37" si="28">BG8+BH7</f>
        <v>248.38709677419354</v>
      </c>
      <c r="BI8" s="26">
        <f t="shared" si="11"/>
        <v>1</v>
      </c>
      <c r="BJ8" s="27">
        <f t="shared" ref="BJ8:BJ37" si="29">BG8*BI8+BJ7</f>
        <v>248.38709677419354</v>
      </c>
      <c r="BK8" s="30"/>
      <c r="BL8" s="31">
        <v>212.31399999999999</v>
      </c>
      <c r="BM8" s="31"/>
      <c r="BN8" s="31">
        <v>91.06</v>
      </c>
      <c r="BO8" s="40"/>
      <c r="BP8" s="40"/>
      <c r="BQ8" s="32"/>
      <c r="BR8" s="33"/>
      <c r="BS8" s="34">
        <v>3.24</v>
      </c>
      <c r="BT8" s="35"/>
      <c r="BU8" s="28"/>
      <c r="BV8" s="287"/>
      <c r="BW8" s="28"/>
      <c r="BX8" s="36"/>
      <c r="BY8" s="33"/>
      <c r="BZ8" s="34">
        <v>38.61</v>
      </c>
      <c r="CA8" s="35"/>
      <c r="CB8" s="35">
        <v>45.11</v>
      </c>
      <c r="CC8" s="235"/>
      <c r="CD8" s="235"/>
      <c r="CE8" s="36"/>
      <c r="CF8" s="30">
        <v>91.99</v>
      </c>
      <c r="CG8" s="30"/>
      <c r="CH8" s="31">
        <v>97.210999999999999</v>
      </c>
      <c r="CI8" s="32"/>
      <c r="CJ8" s="33">
        <v>3.31</v>
      </c>
      <c r="CK8" s="33"/>
      <c r="CL8" s="35">
        <v>3.31</v>
      </c>
      <c r="CM8" s="28"/>
      <c r="CN8" s="286"/>
      <c r="CO8" s="249">
        <f t="shared" si="12"/>
        <v>0</v>
      </c>
      <c r="CP8" s="12">
        <f t="shared" si="12"/>
        <v>205.4350264</v>
      </c>
      <c r="CQ8" s="12">
        <f t="shared" si="12"/>
        <v>0</v>
      </c>
      <c r="CR8" s="12">
        <f t="shared" si="12"/>
        <v>91.06</v>
      </c>
      <c r="CS8" s="11">
        <f t="shared" si="12"/>
        <v>0</v>
      </c>
      <c r="CT8" s="11">
        <f t="shared" si="12"/>
        <v>0</v>
      </c>
      <c r="CU8" s="272">
        <f t="shared" si="12"/>
        <v>0</v>
      </c>
      <c r="CV8" s="249">
        <f t="shared" si="13"/>
        <v>88.945130999999989</v>
      </c>
      <c r="CW8" s="12">
        <f t="shared" si="13"/>
        <v>0</v>
      </c>
      <c r="CX8" s="254">
        <f t="shared" si="13"/>
        <v>93.993315899999999</v>
      </c>
      <c r="CY8" s="272">
        <f t="shared" si="13"/>
        <v>0</v>
      </c>
      <c r="CZ8" s="13"/>
      <c r="DA8" s="240">
        <f>(D8+'[2]март 20 '!D8)/(AY8+'[2]март 20 '!AX8)</f>
        <v>2.1259498336257487</v>
      </c>
      <c r="DB8" s="241">
        <f>(T8+'[2]март 20 '!R8)/(AY8+'[2]март 20 '!AX8)</f>
        <v>1.3542514577409404</v>
      </c>
      <c r="DD8" s="292">
        <f t="shared" si="14"/>
        <v>7.7649999999999997</v>
      </c>
      <c r="DE8" s="291">
        <v>0.61</v>
      </c>
      <c r="DF8" s="291">
        <v>10</v>
      </c>
      <c r="DG8" s="145">
        <f t="shared" si="15"/>
        <v>7.7176334999999998</v>
      </c>
      <c r="DH8" s="293">
        <f t="shared" ref="DH8:DH37" si="30">IF(AB8=0,0,(DG8*DF8%)/(AB8/100))</f>
        <v>1.0148104536489153</v>
      </c>
      <c r="DJ8" s="431"/>
      <c r="DL8" s="322"/>
    </row>
    <row r="9" spans="1:116" s="76" customFormat="1" ht="16.5" customHeight="1" thickBot="1">
      <c r="A9" s="144">
        <v>3</v>
      </c>
      <c r="B9" s="122">
        <f t="shared" si="16"/>
        <v>278.90100000000001</v>
      </c>
      <c r="C9" s="123">
        <f t="shared" si="17"/>
        <v>1.9344914503712787</v>
      </c>
      <c r="D9" s="145">
        <f>B9*((100-C9)/100)</f>
        <v>273.50568400000003</v>
      </c>
      <c r="E9" s="125">
        <f t="shared" si="19"/>
        <v>40.736373372630432</v>
      </c>
      <c r="F9" s="146">
        <f t="shared" si="20"/>
        <v>2.2074712187247778</v>
      </c>
      <c r="G9" s="127"/>
      <c r="H9" s="126">
        <f t="shared" si="21"/>
        <v>1.473653623890234</v>
      </c>
      <c r="I9" s="230">
        <f>'[1]июль 20'!AI8</f>
        <v>0</v>
      </c>
      <c r="J9" s="247">
        <f>'[1]март 20'!AA8</f>
        <v>11.128</v>
      </c>
      <c r="K9" s="276">
        <f>'[1]сентябрь 20'!AM8</f>
        <v>0</v>
      </c>
      <c r="L9" s="122">
        <f t="shared" si="22"/>
        <v>90.92</v>
      </c>
      <c r="M9" s="128">
        <f t="shared" si="23"/>
        <v>0.7338175948345439</v>
      </c>
      <c r="N9" s="400">
        <f>'[1]март 20'!W8</f>
        <v>0</v>
      </c>
      <c r="O9" s="403">
        <f>'[1]март 20'!AU8</f>
        <v>8.5719999999999992</v>
      </c>
      <c r="P9" s="401">
        <f t="shared" si="0"/>
        <v>171.79599999999999</v>
      </c>
      <c r="Q9" s="122">
        <f>'[1]март 20'!S8</f>
        <v>171.79599999999999</v>
      </c>
      <c r="R9" s="123">
        <f t="shared" si="24"/>
        <v>3.0600000000000005</v>
      </c>
      <c r="S9" s="129">
        <v>9.1999999999999993</v>
      </c>
      <c r="T9" s="125">
        <f t="shared" si="1"/>
        <v>166.53904239999997</v>
      </c>
      <c r="U9" s="147">
        <f>IF(AY9=0,0,T9/AY9)</f>
        <v>1.3441407780468115</v>
      </c>
      <c r="V9" s="130">
        <v>123.9</v>
      </c>
      <c r="W9" s="130">
        <v>123.9</v>
      </c>
      <c r="X9" s="129">
        <v>0.59</v>
      </c>
      <c r="Y9" s="131">
        <v>529</v>
      </c>
      <c r="Z9" s="131">
        <v>1192</v>
      </c>
      <c r="AA9" s="148" t="s">
        <v>130</v>
      </c>
      <c r="AB9" s="149">
        <v>75.88</v>
      </c>
      <c r="AC9" s="150">
        <v>113</v>
      </c>
      <c r="AD9" s="151">
        <v>4</v>
      </c>
      <c r="AE9" s="149"/>
      <c r="AF9" s="134">
        <f t="shared" si="3"/>
        <v>0</v>
      </c>
      <c r="AG9" s="152"/>
      <c r="AH9" s="129">
        <v>93.65</v>
      </c>
      <c r="AI9" s="134">
        <f t="shared" si="4"/>
        <v>755.85149313962859</v>
      </c>
      <c r="AJ9" s="153">
        <v>14.15</v>
      </c>
      <c r="AK9" s="154"/>
      <c r="AL9" s="155">
        <v>8.16</v>
      </c>
      <c r="AM9" s="156">
        <v>35.72</v>
      </c>
      <c r="AN9" s="126">
        <f t="shared" si="25"/>
        <v>0.21511592893706713</v>
      </c>
      <c r="AO9" s="157" t="s">
        <v>198</v>
      </c>
      <c r="AP9" s="156">
        <v>8.6199999999999992</v>
      </c>
      <c r="AQ9" s="156">
        <v>6.47</v>
      </c>
      <c r="AR9" s="149"/>
      <c r="AS9" s="149">
        <v>10.3</v>
      </c>
      <c r="AT9" s="149">
        <v>166.05</v>
      </c>
      <c r="AU9" s="149">
        <v>1.73</v>
      </c>
      <c r="AV9" s="149"/>
      <c r="AW9" s="149"/>
      <c r="AX9" s="158">
        <f t="shared" si="5"/>
        <v>0</v>
      </c>
      <c r="AY9" s="125">
        <f t="shared" si="6"/>
        <v>123.90000000000002</v>
      </c>
      <c r="AZ9" s="125">
        <f t="shared" ref="AZ9:AZ37" si="31">IF(AB9=0,0,((D9*0.97)*(E9/100)*0.9)/(AB9/100))+DH9</f>
        <v>130.31560216664033</v>
      </c>
      <c r="BA9" s="159">
        <f t="shared" si="7"/>
        <v>7.4722147887323951</v>
      </c>
      <c r="BB9" s="160">
        <f t="shared" si="8"/>
        <v>4.9560000000000013</v>
      </c>
      <c r="BC9" s="161">
        <f t="shared" si="9"/>
        <v>0.84382018469475173</v>
      </c>
      <c r="BD9" s="160">
        <f t="shared" si="26"/>
        <v>12.428214788732397</v>
      </c>
      <c r="BE9" s="162">
        <v>0.85099999999999998</v>
      </c>
      <c r="BF9" s="25">
        <f t="shared" si="27"/>
        <v>374.54</v>
      </c>
      <c r="BG9" s="25">
        <f t="shared" si="10"/>
        <v>124.19354838709677</v>
      </c>
      <c r="BH9" s="25">
        <f t="shared" si="28"/>
        <v>372.58064516129031</v>
      </c>
      <c r="BI9" s="26">
        <f t="shared" si="11"/>
        <v>1</v>
      </c>
      <c r="BJ9" s="37">
        <f t="shared" si="29"/>
        <v>372.58064516129031</v>
      </c>
      <c r="BK9" s="38"/>
      <c r="BL9" s="31">
        <v>181.88900000000001</v>
      </c>
      <c r="BM9" s="31"/>
      <c r="BN9" s="31">
        <v>90.92</v>
      </c>
      <c r="BO9" s="40">
        <v>6.0919999999999996</v>
      </c>
      <c r="BP9" s="40"/>
      <c r="BQ9" s="32"/>
      <c r="BR9" s="33"/>
      <c r="BS9" s="34">
        <v>2.84</v>
      </c>
      <c r="BT9" s="35"/>
      <c r="BU9" s="28"/>
      <c r="BV9" s="287">
        <v>3.77</v>
      </c>
      <c r="BW9" s="287"/>
      <c r="BX9" s="36"/>
      <c r="BY9" s="33"/>
      <c r="BZ9" s="34">
        <v>38.630000000000003</v>
      </c>
      <c r="CA9" s="35"/>
      <c r="CB9" s="35">
        <v>45.08</v>
      </c>
      <c r="CC9" s="235">
        <v>38.799999999999997</v>
      </c>
      <c r="CD9" s="235"/>
      <c r="CE9" s="36"/>
      <c r="CF9" s="30">
        <v>82.561000000000007</v>
      </c>
      <c r="CG9" s="30"/>
      <c r="CH9" s="31">
        <v>89.234999999999999</v>
      </c>
      <c r="CI9" s="32"/>
      <c r="CJ9" s="33">
        <v>3.06</v>
      </c>
      <c r="CK9" s="33"/>
      <c r="CL9" s="35">
        <v>3.06</v>
      </c>
      <c r="CM9" s="36"/>
      <c r="CN9" s="286"/>
      <c r="CO9" s="249">
        <f t="shared" si="12"/>
        <v>0</v>
      </c>
      <c r="CP9" s="12">
        <f t="shared" si="12"/>
        <v>176.72335240000001</v>
      </c>
      <c r="CQ9" s="12">
        <f t="shared" si="12"/>
        <v>0</v>
      </c>
      <c r="CR9" s="12">
        <f t="shared" si="12"/>
        <v>90.92</v>
      </c>
      <c r="CS9" s="11">
        <f t="shared" si="12"/>
        <v>5.8623316000000001</v>
      </c>
      <c r="CT9" s="11">
        <f t="shared" si="12"/>
        <v>0</v>
      </c>
      <c r="CU9" s="272">
        <f t="shared" si="12"/>
        <v>0</v>
      </c>
      <c r="CV9" s="249">
        <f t="shared" si="13"/>
        <v>80.034633400000004</v>
      </c>
      <c r="CW9" s="251">
        <f t="shared" si="13"/>
        <v>0</v>
      </c>
      <c r="CX9" s="249">
        <f t="shared" si="13"/>
        <v>86.504408999999995</v>
      </c>
      <c r="CY9" s="272">
        <f t="shared" si="13"/>
        <v>0</v>
      </c>
      <c r="CZ9" s="13"/>
      <c r="DA9" s="240">
        <f>(D9+'[2]март 20 '!D9)/(AY9+'[2]март 20 '!AX9)</f>
        <v>2.266761445330177</v>
      </c>
      <c r="DB9" s="241">
        <f>(T9+'[2]март 20 '!R9)/(AY9+'[2]март 20 '!AX9)</f>
        <v>1.4143803474083612</v>
      </c>
      <c r="DD9" s="292">
        <f t="shared" si="14"/>
        <v>11.128</v>
      </c>
      <c r="DE9" s="291">
        <v>0.47</v>
      </c>
      <c r="DF9" s="291">
        <v>14.6</v>
      </c>
      <c r="DG9" s="145">
        <f t="shared" si="15"/>
        <v>11.0756984</v>
      </c>
      <c r="DH9" s="293">
        <f t="shared" si="30"/>
        <v>2.1310647949393782</v>
      </c>
      <c r="DJ9" s="431"/>
      <c r="DL9" s="322"/>
    </row>
    <row r="10" spans="1:116" s="76" customFormat="1" ht="16.5" customHeight="1" thickBot="1">
      <c r="A10" s="144">
        <v>4</v>
      </c>
      <c r="B10" s="122">
        <f t="shared" si="16"/>
        <v>285.49799999999999</v>
      </c>
      <c r="C10" s="123">
        <f t="shared" si="17"/>
        <v>2.3165993457046987</v>
      </c>
      <c r="D10" s="145">
        <f t="shared" si="18"/>
        <v>278.88415519999995</v>
      </c>
      <c r="E10" s="125">
        <f>IF(B10=0,0,(BK10*BY10+BL10*BZ10+BM10*CA10+BQ10*CE10+BN10*CB10+BO10*CC10+BP10*CD10)/B10)</f>
        <v>40.712096126767968</v>
      </c>
      <c r="F10" s="146">
        <f t="shared" si="20"/>
        <v>2.0456550663830404</v>
      </c>
      <c r="G10" s="127"/>
      <c r="H10" s="126">
        <f t="shared" si="21"/>
        <v>1.2802622694931416</v>
      </c>
      <c r="I10" s="230">
        <f>'[1]июль 20'!AI9</f>
        <v>0</v>
      </c>
      <c r="J10" s="247">
        <f>'[1]март 20'!AA9</f>
        <v>11.236000000000001</v>
      </c>
      <c r="K10" s="276">
        <f>'[1]сентябрь 20'!AM9</f>
        <v>0</v>
      </c>
      <c r="L10" s="122">
        <f t="shared" si="22"/>
        <v>104.346</v>
      </c>
      <c r="M10" s="128">
        <f t="shared" si="23"/>
        <v>0.76539279688989947</v>
      </c>
      <c r="N10" s="400">
        <f>'[1]март 20'!W9</f>
        <v>0</v>
      </c>
      <c r="O10" s="403">
        <f>'[1]март 20'!AU9</f>
        <v>2.8319999999999999</v>
      </c>
      <c r="P10" s="401">
        <f t="shared" si="0"/>
        <v>177.751</v>
      </c>
      <c r="Q10" s="122">
        <f>'[1]март 20'!S9</f>
        <v>177.751</v>
      </c>
      <c r="R10" s="123">
        <f t="shared" si="24"/>
        <v>3.4</v>
      </c>
      <c r="S10" s="129">
        <v>21.64</v>
      </c>
      <c r="T10" s="125">
        <f t="shared" si="1"/>
        <v>171.70746600000001</v>
      </c>
      <c r="U10" s="147">
        <f t="shared" si="2"/>
        <v>1.2594987603608889</v>
      </c>
      <c r="V10" s="130">
        <v>136.33000000000001</v>
      </c>
      <c r="W10" s="130">
        <v>136.33000000000001</v>
      </c>
      <c r="X10" s="129">
        <v>0.19</v>
      </c>
      <c r="Y10" s="131">
        <v>497</v>
      </c>
      <c r="Z10" s="131">
        <v>1182</v>
      </c>
      <c r="AA10" s="148" t="s">
        <v>122</v>
      </c>
      <c r="AB10" s="149">
        <v>75.91</v>
      </c>
      <c r="AC10" s="150">
        <v>116</v>
      </c>
      <c r="AD10" s="151">
        <v>4</v>
      </c>
      <c r="AE10" s="149"/>
      <c r="AF10" s="134">
        <f t="shared" si="3"/>
        <v>0</v>
      </c>
      <c r="AG10" s="152"/>
      <c r="AH10" s="129">
        <v>102.65</v>
      </c>
      <c r="AI10" s="134">
        <f t="shared" si="4"/>
        <v>752.95239492408132</v>
      </c>
      <c r="AJ10" s="153">
        <v>13.76</v>
      </c>
      <c r="AK10" s="154"/>
      <c r="AL10" s="155">
        <v>10.57</v>
      </c>
      <c r="AM10" s="156">
        <v>35.14</v>
      </c>
      <c r="AN10" s="126">
        <f t="shared" si="25"/>
        <v>0.19686274509803922</v>
      </c>
      <c r="AO10" s="157" t="s">
        <v>199</v>
      </c>
      <c r="AP10" s="156">
        <v>8.69</v>
      </c>
      <c r="AQ10" s="156">
        <v>6.51</v>
      </c>
      <c r="AR10" s="149"/>
      <c r="AS10" s="149">
        <v>12.57</v>
      </c>
      <c r="AT10" s="149">
        <v>178.5</v>
      </c>
      <c r="AU10" s="149">
        <v>3.54</v>
      </c>
      <c r="AV10" s="149"/>
      <c r="AW10" s="149"/>
      <c r="AX10" s="158">
        <f t="shared" si="5"/>
        <v>0</v>
      </c>
      <c r="AY10" s="125">
        <f>AT10-AL10-AM10+AV10+AW10+AU10</f>
        <v>136.33000000000001</v>
      </c>
      <c r="AZ10" s="125">
        <f>IF(AB10=0,0,((D10*0.97)*(E10/100)*0.9)/(AB10/100))+DH10</f>
        <v>133.03555892572183</v>
      </c>
      <c r="BA10" s="159">
        <f t="shared" si="7"/>
        <v>9.9953630281690131</v>
      </c>
      <c r="BB10" s="160">
        <f t="shared" si="8"/>
        <v>5.4532000000000007</v>
      </c>
      <c r="BC10" s="161">
        <f t="shared" si="9"/>
        <v>0.91147156019111308</v>
      </c>
      <c r="BD10" s="160">
        <f t="shared" si="26"/>
        <v>15.448563028169014</v>
      </c>
      <c r="BE10" s="162">
        <v>0.86699999999999999</v>
      </c>
      <c r="BF10" s="25">
        <f t="shared" si="27"/>
        <v>510.87</v>
      </c>
      <c r="BG10" s="25">
        <f t="shared" si="10"/>
        <v>124.19354838709677</v>
      </c>
      <c r="BH10" s="25">
        <f t="shared" si="28"/>
        <v>496.77419354838707</v>
      </c>
      <c r="BI10" s="26">
        <f t="shared" si="11"/>
        <v>1</v>
      </c>
      <c r="BJ10" s="37">
        <f t="shared" si="29"/>
        <v>496.77419354838707</v>
      </c>
      <c r="BK10" s="38"/>
      <c r="BL10" s="31">
        <v>161.24</v>
      </c>
      <c r="BM10" s="31"/>
      <c r="BN10" s="31">
        <v>104.346</v>
      </c>
      <c r="BO10" s="40">
        <v>19.911999999999999</v>
      </c>
      <c r="BP10" s="40"/>
      <c r="BQ10" s="32"/>
      <c r="BR10" s="33"/>
      <c r="BS10" s="34">
        <v>3.64</v>
      </c>
      <c r="BT10" s="35"/>
      <c r="BU10" s="28"/>
      <c r="BV10" s="287">
        <v>3.74</v>
      </c>
      <c r="BW10" s="287"/>
      <c r="BX10" s="36"/>
      <c r="BY10" s="33"/>
      <c r="BZ10" s="34">
        <v>38.22</v>
      </c>
      <c r="CA10" s="35"/>
      <c r="CB10" s="35">
        <v>45.05</v>
      </c>
      <c r="CC10" s="235">
        <v>38.159999999999997</v>
      </c>
      <c r="CD10" s="235"/>
      <c r="CE10" s="36"/>
      <c r="CF10" s="30">
        <v>86.043000000000006</v>
      </c>
      <c r="CG10" s="30"/>
      <c r="CH10" s="31">
        <v>91.707999999999998</v>
      </c>
      <c r="CI10" s="32"/>
      <c r="CJ10" s="33">
        <v>3.4</v>
      </c>
      <c r="CK10" s="33"/>
      <c r="CL10" s="35">
        <v>3.4</v>
      </c>
      <c r="CM10" s="36"/>
      <c r="CN10" s="286"/>
      <c r="CO10" s="249">
        <f t="shared" si="12"/>
        <v>0</v>
      </c>
      <c r="CP10" s="12">
        <f t="shared" si="12"/>
        <v>155.37086400000001</v>
      </c>
      <c r="CQ10" s="12">
        <f t="shared" si="12"/>
        <v>0</v>
      </c>
      <c r="CR10" s="14">
        <f t="shared" si="12"/>
        <v>104.346</v>
      </c>
      <c r="CS10" s="11">
        <f t="shared" si="12"/>
        <v>19.167291199999998</v>
      </c>
      <c r="CT10" s="11">
        <f t="shared" si="12"/>
        <v>0</v>
      </c>
      <c r="CU10" s="272">
        <f t="shared" si="12"/>
        <v>0</v>
      </c>
      <c r="CV10" s="249">
        <f t="shared" si="13"/>
        <v>83.11753800000001</v>
      </c>
      <c r="CW10" s="12">
        <f t="shared" si="13"/>
        <v>0</v>
      </c>
      <c r="CX10" s="249">
        <f t="shared" si="13"/>
        <v>88.589928</v>
      </c>
      <c r="CY10" s="272">
        <f t="shared" si="13"/>
        <v>0</v>
      </c>
      <c r="CZ10" s="13"/>
      <c r="DA10" s="240">
        <f>(D10+'[2]март 20 '!D10)/(AY10+'[2]март 20 '!AX10)</f>
        <v>2.1214196797966958</v>
      </c>
      <c r="DB10" s="241">
        <f>(T10+'[2]март 20 '!R10)/(AY10+'[2]март 20 '!AX10)</f>
        <v>1.3357791867852604</v>
      </c>
      <c r="DD10" s="292">
        <f t="shared" si="14"/>
        <v>11.236000000000001</v>
      </c>
      <c r="DE10" s="291">
        <v>0.31</v>
      </c>
      <c r="DF10" s="291">
        <v>16.670000000000002</v>
      </c>
      <c r="DG10" s="145">
        <f t="shared" si="15"/>
        <v>11.2011684</v>
      </c>
      <c r="DH10" s="293">
        <f t="shared" si="30"/>
        <v>2.4598007802397581</v>
      </c>
      <c r="DJ10" s="431"/>
      <c r="DL10" s="322"/>
    </row>
    <row r="11" spans="1:116" s="76" customFormat="1" ht="16.5" customHeight="1" thickBot="1">
      <c r="A11" s="144">
        <v>5</v>
      </c>
      <c r="B11" s="122">
        <f t="shared" si="16"/>
        <v>301.71199999999993</v>
      </c>
      <c r="C11" s="123">
        <f t="shared" si="17"/>
        <v>1.941548430291139</v>
      </c>
      <c r="D11" s="145">
        <f t="shared" si="18"/>
        <v>295.85411539999996</v>
      </c>
      <c r="E11" s="125">
        <f t="shared" si="19"/>
        <v>40.566569145410199</v>
      </c>
      <c r="F11" s="146">
        <f t="shared" si="20"/>
        <v>1.9749940947930573</v>
      </c>
      <c r="G11" s="127"/>
      <c r="H11" s="126">
        <f t="shared" si="21"/>
        <v>1.2487924926568759</v>
      </c>
      <c r="I11" s="230">
        <f>'[1]июль 20'!AI10</f>
        <v>0</v>
      </c>
      <c r="J11" s="247">
        <f>'[1]март 20'!AA10</f>
        <v>12.449</v>
      </c>
      <c r="K11" s="276">
        <f>'[1]сентябрь 20'!AM10</f>
        <v>0</v>
      </c>
      <c r="L11" s="122">
        <f t="shared" si="22"/>
        <v>108.785</v>
      </c>
      <c r="M11" s="128">
        <f t="shared" si="23"/>
        <v>0.72620160213618168</v>
      </c>
      <c r="N11" s="400">
        <f>'[1]март 20'!W10</f>
        <v>0</v>
      </c>
      <c r="O11" s="403">
        <f>'[1]март 20'!AU10</f>
        <v>3.7429999999999999</v>
      </c>
      <c r="P11" s="401">
        <f t="shared" si="0"/>
        <v>190.39600000000002</v>
      </c>
      <c r="Q11" s="122">
        <f>'[1]март 20'!S10</f>
        <v>190.39599999999999</v>
      </c>
      <c r="R11" s="123">
        <f t="shared" si="24"/>
        <v>3.19</v>
      </c>
      <c r="S11" s="129">
        <v>2.38</v>
      </c>
      <c r="T11" s="125">
        <f t="shared" si="1"/>
        <v>184.32236760000001</v>
      </c>
      <c r="U11" s="147">
        <f t="shared" si="2"/>
        <v>1.2304563925233647</v>
      </c>
      <c r="V11" s="130">
        <v>149.80000000000001</v>
      </c>
      <c r="W11" s="130">
        <v>149.80000000000001</v>
      </c>
      <c r="X11" s="129">
        <v>0.17</v>
      </c>
      <c r="Y11" s="131">
        <v>483</v>
      </c>
      <c r="Z11" s="131">
        <v>1188</v>
      </c>
      <c r="AA11" s="148" t="s">
        <v>195</v>
      </c>
      <c r="AB11" s="149">
        <v>76.09</v>
      </c>
      <c r="AC11" s="150">
        <v>122</v>
      </c>
      <c r="AD11" s="151">
        <v>4</v>
      </c>
      <c r="AE11" s="149"/>
      <c r="AF11" s="134">
        <f t="shared" si="3"/>
        <v>0</v>
      </c>
      <c r="AG11" s="152"/>
      <c r="AH11" s="129">
        <v>94.8</v>
      </c>
      <c r="AI11" s="134">
        <f t="shared" si="4"/>
        <v>632.84379172229649</v>
      </c>
      <c r="AJ11" s="163">
        <v>14.96</v>
      </c>
      <c r="AK11" s="154"/>
      <c r="AL11" s="155">
        <v>6.49</v>
      </c>
      <c r="AM11" s="156">
        <v>34.229999999999997</v>
      </c>
      <c r="AN11" s="126">
        <f t="shared" si="25"/>
        <v>0.18221985626829917</v>
      </c>
      <c r="AO11" s="157" t="s">
        <v>200</v>
      </c>
      <c r="AP11" s="156">
        <v>9.33</v>
      </c>
      <c r="AQ11" s="156">
        <v>6.51</v>
      </c>
      <c r="AR11" s="149"/>
      <c r="AS11" s="149">
        <v>7.17</v>
      </c>
      <c r="AT11" s="149">
        <v>187.85</v>
      </c>
      <c r="AU11" s="149">
        <v>2.67</v>
      </c>
      <c r="AV11" s="149"/>
      <c r="AW11" s="149"/>
      <c r="AX11" s="158">
        <f t="shared" si="5"/>
        <v>0</v>
      </c>
      <c r="AY11" s="125">
        <f t="shared" si="6"/>
        <v>149.79999999999998</v>
      </c>
      <c r="AZ11" s="125">
        <f t="shared" si="31"/>
        <v>140.80408219660373</v>
      </c>
      <c r="BA11" s="159">
        <f t="shared" si="7"/>
        <v>5.2654056338028168</v>
      </c>
      <c r="BB11" s="160">
        <f t="shared" si="8"/>
        <v>5.9919999999999991</v>
      </c>
      <c r="BC11" s="161">
        <f t="shared" si="9"/>
        <v>0.94971545003887847</v>
      </c>
      <c r="BD11" s="160">
        <f t="shared" si="26"/>
        <v>11.257405633802815</v>
      </c>
      <c r="BE11" s="162">
        <v>0.88400000000000001</v>
      </c>
      <c r="BF11" s="25">
        <f t="shared" si="27"/>
        <v>660.67</v>
      </c>
      <c r="BG11" s="25">
        <f t="shared" si="10"/>
        <v>124.19354838709677</v>
      </c>
      <c r="BH11" s="25">
        <f t="shared" si="28"/>
        <v>620.9677419354839</v>
      </c>
      <c r="BI11" s="26">
        <f t="shared" si="11"/>
        <v>1</v>
      </c>
      <c r="BJ11" s="37">
        <f t="shared" si="29"/>
        <v>620.9677419354839</v>
      </c>
      <c r="BK11" s="38"/>
      <c r="BL11" s="31">
        <v>171.83699999999999</v>
      </c>
      <c r="BM11" s="31"/>
      <c r="BN11" s="31">
        <v>108.785</v>
      </c>
      <c r="BO11" s="40">
        <v>21.09</v>
      </c>
      <c r="BP11" s="40"/>
      <c r="BQ11" s="32"/>
      <c r="BR11" s="33"/>
      <c r="BS11" s="34">
        <v>2.88</v>
      </c>
      <c r="BT11" s="35"/>
      <c r="BU11" s="28"/>
      <c r="BV11" s="287">
        <v>4.3099999999999996</v>
      </c>
      <c r="BW11" s="287"/>
      <c r="BX11" s="36"/>
      <c r="BY11" s="33"/>
      <c r="BZ11" s="34">
        <v>38.229999999999997</v>
      </c>
      <c r="CA11" s="35"/>
      <c r="CB11" s="35">
        <v>44.66</v>
      </c>
      <c r="CC11" s="235">
        <v>38.49</v>
      </c>
      <c r="CD11" s="235"/>
      <c r="CE11" s="36"/>
      <c r="CF11" s="30">
        <v>94.027000000000001</v>
      </c>
      <c r="CG11" s="30"/>
      <c r="CH11" s="31">
        <v>96.369</v>
      </c>
      <c r="CI11" s="32"/>
      <c r="CJ11" s="33">
        <v>3.19</v>
      </c>
      <c r="CK11" s="33"/>
      <c r="CL11" s="35">
        <v>3.19</v>
      </c>
      <c r="CM11" s="36"/>
      <c r="CN11" s="286"/>
      <c r="CO11" s="249">
        <f t="shared" si="12"/>
        <v>0</v>
      </c>
      <c r="CP11" s="12">
        <f t="shared" si="12"/>
        <v>166.8880944</v>
      </c>
      <c r="CQ11" s="15">
        <f t="shared" si="12"/>
        <v>0</v>
      </c>
      <c r="CR11" s="16">
        <f t="shared" si="12"/>
        <v>108.785</v>
      </c>
      <c r="CS11" s="11">
        <f t="shared" si="12"/>
        <v>20.181020999999998</v>
      </c>
      <c r="CT11" s="11">
        <f t="shared" si="12"/>
        <v>0</v>
      </c>
      <c r="CU11" s="272">
        <f t="shared" si="12"/>
        <v>0</v>
      </c>
      <c r="CV11" s="249">
        <f t="shared" si="13"/>
        <v>91.027538700000008</v>
      </c>
      <c r="CW11" s="12">
        <f t="shared" si="13"/>
        <v>0</v>
      </c>
      <c r="CX11" s="249">
        <f t="shared" si="13"/>
        <v>93.294828900000013</v>
      </c>
      <c r="CY11" s="272">
        <f t="shared" si="13"/>
        <v>0</v>
      </c>
      <c r="CZ11" s="13"/>
      <c r="DA11" s="240">
        <f>(D11+'[2]март 20 '!D11)/(AY11+'[2]март 20 '!AX11)</f>
        <v>2.0943802676870633</v>
      </c>
      <c r="DB11" s="241">
        <f>(T11+'[2]март 20 '!R11)/(AY11+'[2]март 20 '!AX11)</f>
        <v>1.3198388116164823</v>
      </c>
      <c r="DD11" s="292">
        <f t="shared" si="14"/>
        <v>12.449</v>
      </c>
      <c r="DE11" s="291">
        <v>0.34</v>
      </c>
      <c r="DF11" s="407">
        <v>19.04</v>
      </c>
      <c r="DG11" s="145">
        <f t="shared" si="15"/>
        <v>12.406673399999999</v>
      </c>
      <c r="DH11" s="293">
        <f t="shared" si="30"/>
        <v>3.1045217707451696</v>
      </c>
      <c r="DJ11" s="431"/>
      <c r="DL11" s="322"/>
    </row>
    <row r="12" spans="1:116" s="76" customFormat="1" ht="16.5" customHeight="1" thickBot="1">
      <c r="A12" s="144">
        <v>6</v>
      </c>
      <c r="B12" s="122">
        <f t="shared" si="16"/>
        <v>295.95699999999999</v>
      </c>
      <c r="C12" s="123">
        <f t="shared" si="17"/>
        <v>1.1999768885344833</v>
      </c>
      <c r="D12" s="145">
        <f t="shared" si="18"/>
        <v>292.40558440000001</v>
      </c>
      <c r="E12" s="125">
        <f t="shared" si="19"/>
        <v>41.006503681278026</v>
      </c>
      <c r="F12" s="146">
        <f t="shared" si="20"/>
        <v>2.0129807545091558</v>
      </c>
      <c r="G12" s="127"/>
      <c r="H12" s="126">
        <f t="shared" si="21"/>
        <v>1.27402302354399</v>
      </c>
      <c r="I12" s="230">
        <f>'[1]июль 20'!AI11</f>
        <v>0</v>
      </c>
      <c r="J12" s="247">
        <f>'[1]март 20'!AA11</f>
        <v>11.79</v>
      </c>
      <c r="K12" s="276">
        <f>'[1]сентябрь 20'!AM11</f>
        <v>0</v>
      </c>
      <c r="L12" s="122">
        <f t="shared" si="22"/>
        <v>107.34099999999999</v>
      </c>
      <c r="M12" s="128">
        <f t="shared" si="23"/>
        <v>0.73895773096516582</v>
      </c>
      <c r="N12" s="400">
        <f>'[1]март 20'!W11</f>
        <v>0</v>
      </c>
      <c r="O12" s="403">
        <f>'[1]март 20'!AU11</f>
        <v>4.2569999999999997</v>
      </c>
      <c r="P12" s="401">
        <f t="shared" si="0"/>
        <v>188.65699999999998</v>
      </c>
      <c r="Q12" s="122">
        <f>'[1]март 20'!S11</f>
        <v>188.65700000000001</v>
      </c>
      <c r="R12" s="123">
        <f t="shared" si="24"/>
        <v>3.06</v>
      </c>
      <c r="S12" s="129">
        <v>15.82</v>
      </c>
      <c r="T12" s="125">
        <f t="shared" si="1"/>
        <v>182.88409579999998</v>
      </c>
      <c r="U12" s="147">
        <f t="shared" si="2"/>
        <v>1.2590120872917525</v>
      </c>
      <c r="V12" s="130">
        <v>145.26</v>
      </c>
      <c r="W12" s="130">
        <v>72.94</v>
      </c>
      <c r="X12" s="129">
        <v>0.92</v>
      </c>
      <c r="Y12" s="131">
        <v>500</v>
      </c>
      <c r="Z12" s="150">
        <v>1194</v>
      </c>
      <c r="AA12" s="148" t="s">
        <v>165</v>
      </c>
      <c r="AB12" s="149">
        <v>76.12</v>
      </c>
      <c r="AC12" s="150">
        <v>120</v>
      </c>
      <c r="AD12" s="151">
        <v>4</v>
      </c>
      <c r="AE12" s="149"/>
      <c r="AF12" s="134">
        <f t="shared" si="3"/>
        <v>0</v>
      </c>
      <c r="AG12" s="152"/>
      <c r="AH12" s="129">
        <v>90.8</v>
      </c>
      <c r="AI12" s="134">
        <f t="shared" si="4"/>
        <v>625.08605259534625</v>
      </c>
      <c r="AJ12" s="153">
        <v>15.91</v>
      </c>
      <c r="AK12" s="154"/>
      <c r="AL12" s="155">
        <v>5.67</v>
      </c>
      <c r="AM12" s="156">
        <v>35</v>
      </c>
      <c r="AN12" s="126">
        <f t="shared" si="25"/>
        <v>0.18980477223427331</v>
      </c>
      <c r="AO12" s="157" t="s">
        <v>201</v>
      </c>
      <c r="AP12" s="156">
        <v>10.050000000000001</v>
      </c>
      <c r="AQ12" s="156">
        <v>6.56</v>
      </c>
      <c r="AR12" s="149"/>
      <c r="AS12" s="149">
        <v>8.8800000000000008</v>
      </c>
      <c r="AT12" s="149">
        <v>184.4</v>
      </c>
      <c r="AU12" s="149">
        <v>1.53</v>
      </c>
      <c r="AV12" s="164"/>
      <c r="AW12" s="164"/>
      <c r="AX12" s="158">
        <f t="shared" si="5"/>
        <v>0</v>
      </c>
      <c r="AY12" s="125">
        <f t="shared" si="6"/>
        <v>145.26000000000002</v>
      </c>
      <c r="AZ12" s="125">
        <f t="shared" si="31"/>
        <v>140.16937242877029</v>
      </c>
      <c r="BA12" s="159">
        <f t="shared" si="7"/>
        <v>6.246016901408451</v>
      </c>
      <c r="BB12" s="160">
        <f t="shared" si="8"/>
        <v>5.8104000000000005</v>
      </c>
      <c r="BC12" s="161">
        <f t="shared" si="9"/>
        <v>0.92216028643195891</v>
      </c>
      <c r="BD12" s="160">
        <f t="shared" si="26"/>
        <v>12.056416901408451</v>
      </c>
      <c r="BE12" s="162">
        <v>0.89100000000000001</v>
      </c>
      <c r="BF12" s="25">
        <f t="shared" si="27"/>
        <v>805.93</v>
      </c>
      <c r="BG12" s="25">
        <f t="shared" si="10"/>
        <v>124.19354838709677</v>
      </c>
      <c r="BH12" s="25">
        <f t="shared" si="28"/>
        <v>745.16129032258073</v>
      </c>
      <c r="BI12" s="26">
        <f t="shared" si="11"/>
        <v>1</v>
      </c>
      <c r="BJ12" s="37">
        <f t="shared" si="29"/>
        <v>745.16129032258073</v>
      </c>
      <c r="BK12" s="38"/>
      <c r="BL12" s="31">
        <v>168.57400000000001</v>
      </c>
      <c r="BM12" s="31"/>
      <c r="BN12" s="31">
        <v>107.34099999999999</v>
      </c>
      <c r="BO12" s="40">
        <v>20.042000000000002</v>
      </c>
      <c r="BP12" s="40"/>
      <c r="BQ12" s="32"/>
      <c r="BR12" s="33"/>
      <c r="BS12" s="34">
        <v>1.8</v>
      </c>
      <c r="BT12" s="33"/>
      <c r="BU12" s="28"/>
      <c r="BV12" s="287">
        <v>2.58</v>
      </c>
      <c r="BW12" s="287"/>
      <c r="BX12" s="36"/>
      <c r="BY12" s="33"/>
      <c r="BZ12" s="34">
        <v>38.57</v>
      </c>
      <c r="CA12" s="33"/>
      <c r="CB12" s="35">
        <v>45.37</v>
      </c>
      <c r="CC12" s="235">
        <v>38.130000000000003</v>
      </c>
      <c r="CD12" s="235"/>
      <c r="CE12" s="36"/>
      <c r="CF12" s="30">
        <v>93.811999999999998</v>
      </c>
      <c r="CG12" s="30"/>
      <c r="CH12" s="31">
        <v>94.844999999999999</v>
      </c>
      <c r="CI12" s="32"/>
      <c r="CJ12" s="33">
        <v>3.06</v>
      </c>
      <c r="CK12" s="33"/>
      <c r="CL12" s="35">
        <v>3.06</v>
      </c>
      <c r="CM12" s="36"/>
      <c r="CN12" s="286"/>
      <c r="CO12" s="249">
        <f t="shared" si="12"/>
        <v>0</v>
      </c>
      <c r="CP12" s="12">
        <f t="shared" si="12"/>
        <v>165.53966800000001</v>
      </c>
      <c r="CQ12" s="12">
        <f t="shared" si="12"/>
        <v>0</v>
      </c>
      <c r="CR12" s="12">
        <f t="shared" si="12"/>
        <v>107.34099999999999</v>
      </c>
      <c r="CS12" s="11">
        <f t="shared" si="12"/>
        <v>19.524916400000002</v>
      </c>
      <c r="CT12" s="11">
        <f t="shared" si="12"/>
        <v>0</v>
      </c>
      <c r="CU12" s="272">
        <f t="shared" si="12"/>
        <v>0</v>
      </c>
      <c r="CV12" s="249">
        <f t="shared" si="13"/>
        <v>90.94135279999999</v>
      </c>
      <c r="CW12" s="12">
        <f t="shared" si="13"/>
        <v>0</v>
      </c>
      <c r="CX12" s="252">
        <f t="shared" si="13"/>
        <v>91.942742999999993</v>
      </c>
      <c r="CY12" s="272">
        <f t="shared" si="13"/>
        <v>0</v>
      </c>
      <c r="CZ12" s="13"/>
      <c r="DA12" s="240">
        <f>(D12+'[2]март 20 '!D12)/(AY12+'[2]март 20 '!AX12)</f>
        <v>2.013639004967279</v>
      </c>
      <c r="DB12" s="241">
        <f>(T12+'[2]март 20 '!R12)/(AY12+'[2]март 20 '!AX12)</f>
        <v>1.2687431885200662</v>
      </c>
      <c r="DD12" s="292">
        <f t="shared" si="14"/>
        <v>11.79</v>
      </c>
      <c r="DE12" s="291">
        <v>0.06</v>
      </c>
      <c r="DF12" s="291">
        <v>17.14</v>
      </c>
      <c r="DG12" s="145">
        <f t="shared" si="15"/>
        <v>11.782925999999998</v>
      </c>
      <c r="DH12" s="293">
        <f t="shared" si="30"/>
        <v>2.6531706731476605</v>
      </c>
      <c r="DJ12" s="431"/>
      <c r="DL12" s="322"/>
    </row>
    <row r="13" spans="1:116" s="76" customFormat="1" ht="16.5" customHeight="1" thickBot="1">
      <c r="A13" s="144">
        <v>7</v>
      </c>
      <c r="B13" s="122">
        <f t="shared" si="16"/>
        <v>306.26600000000002</v>
      </c>
      <c r="C13" s="123">
        <f t="shared" si="17"/>
        <v>1.6543441975276394</v>
      </c>
      <c r="D13" s="145">
        <f t="shared" si="18"/>
        <v>301.19930620000002</v>
      </c>
      <c r="E13" s="125">
        <f t="shared" si="19"/>
        <v>40.768535913225755</v>
      </c>
      <c r="F13" s="146">
        <f t="shared" si="20"/>
        <v>2.3099877766699906</v>
      </c>
      <c r="G13" s="127"/>
      <c r="H13" s="126">
        <f t="shared" si="21"/>
        <v>1.4781755211289209</v>
      </c>
      <c r="I13" s="230">
        <f>'[1]июль 20'!AI12</f>
        <v>0</v>
      </c>
      <c r="J13" s="247">
        <f>'[1]март 20'!AA12</f>
        <v>12.452</v>
      </c>
      <c r="K13" s="276">
        <f>'[1]сентябрь 20'!AM12</f>
        <v>0</v>
      </c>
      <c r="L13" s="122">
        <f t="shared" si="22"/>
        <v>108.46</v>
      </c>
      <c r="M13" s="128">
        <f t="shared" si="23"/>
        <v>0.83181225554106919</v>
      </c>
      <c r="N13" s="400">
        <f>'[1]март 20'!W12</f>
        <v>0</v>
      </c>
      <c r="O13" s="403">
        <f>'[1]март 20'!AU12</f>
        <v>5.3540000000000001</v>
      </c>
      <c r="P13" s="401">
        <f t="shared" si="0"/>
        <v>193.16800000000001</v>
      </c>
      <c r="Q13" s="122">
        <f>'[1]март 20'!S12</f>
        <v>193.16800000000001</v>
      </c>
      <c r="R13" s="123">
        <f t="shared" si="24"/>
        <v>2.8099999999999996</v>
      </c>
      <c r="S13" s="129"/>
      <c r="T13" s="125">
        <f t="shared" si="1"/>
        <v>187.73997919999999</v>
      </c>
      <c r="U13" s="147">
        <f t="shared" si="2"/>
        <v>1.4398341836030371</v>
      </c>
      <c r="V13" s="130">
        <v>130.38999999999999</v>
      </c>
      <c r="W13" s="130"/>
      <c r="X13" s="129">
        <v>1.55</v>
      </c>
      <c r="Y13" s="165">
        <v>503</v>
      </c>
      <c r="Z13" s="166">
        <v>1186</v>
      </c>
      <c r="AA13" s="148" t="s">
        <v>134</v>
      </c>
      <c r="AB13" s="149">
        <v>75.430000000000007</v>
      </c>
      <c r="AC13" s="150">
        <v>124</v>
      </c>
      <c r="AD13" s="151">
        <v>4</v>
      </c>
      <c r="AE13" s="149">
        <v>1.1499999999999999</v>
      </c>
      <c r="AF13" s="134">
        <f t="shared" si="3"/>
        <v>8.8196947618682415</v>
      </c>
      <c r="AG13" s="152"/>
      <c r="AH13" s="129">
        <v>64.25</v>
      </c>
      <c r="AI13" s="134">
        <f t="shared" si="4"/>
        <v>492.75251169568224</v>
      </c>
      <c r="AJ13" s="136">
        <v>12.29</v>
      </c>
      <c r="AK13" s="154"/>
      <c r="AL13" s="155">
        <v>8.7799999999999994</v>
      </c>
      <c r="AM13" s="156">
        <v>35.51</v>
      </c>
      <c r="AN13" s="126">
        <f t="shared" si="25"/>
        <v>0.20472758720092246</v>
      </c>
      <c r="AO13" s="157" t="s">
        <v>202</v>
      </c>
      <c r="AP13" s="156">
        <v>11.6</v>
      </c>
      <c r="AQ13" s="156">
        <v>6.14</v>
      </c>
      <c r="AR13" s="149"/>
      <c r="AS13" s="149">
        <v>6.12</v>
      </c>
      <c r="AT13" s="149">
        <v>173.45</v>
      </c>
      <c r="AU13" s="149">
        <v>1.23</v>
      </c>
      <c r="AV13" s="149"/>
      <c r="AW13" s="149"/>
      <c r="AX13" s="158">
        <f t="shared" si="5"/>
        <v>0</v>
      </c>
      <c r="AY13" s="125">
        <f t="shared" si="6"/>
        <v>130.38999999999999</v>
      </c>
      <c r="AZ13" s="125">
        <f t="shared" si="31"/>
        <v>143.9959574300411</v>
      </c>
      <c r="BA13" s="159">
        <f t="shared" si="7"/>
        <v>3.0459929577464786</v>
      </c>
      <c r="BB13" s="160">
        <f t="shared" si="8"/>
        <v>5.2155999999999993</v>
      </c>
      <c r="BC13" s="161">
        <f t="shared" si="9"/>
        <v>0.80095720166521756</v>
      </c>
      <c r="BD13" s="160">
        <f t="shared" si="26"/>
        <v>8.2615929577464779</v>
      </c>
      <c r="BE13" s="162">
        <v>0.877</v>
      </c>
      <c r="BF13" s="25">
        <f t="shared" si="27"/>
        <v>936.31999999999994</v>
      </c>
      <c r="BG13" s="25">
        <f t="shared" si="10"/>
        <v>124.19354838709677</v>
      </c>
      <c r="BH13" s="25">
        <f t="shared" si="28"/>
        <v>869.35483870967755</v>
      </c>
      <c r="BI13" s="26">
        <f t="shared" si="11"/>
        <v>1</v>
      </c>
      <c r="BJ13" s="37">
        <f t="shared" si="29"/>
        <v>869.35483870967755</v>
      </c>
      <c r="BK13" s="39"/>
      <c r="BL13" s="40">
        <v>176.74199999999999</v>
      </c>
      <c r="BM13" s="325"/>
      <c r="BN13" s="31">
        <v>108.46</v>
      </c>
      <c r="BO13" s="40">
        <v>21.064</v>
      </c>
      <c r="BP13" s="40"/>
      <c r="BQ13" s="32"/>
      <c r="BR13" s="33"/>
      <c r="BS13" s="34">
        <v>2.39</v>
      </c>
      <c r="BT13" s="33"/>
      <c r="BU13" s="28"/>
      <c r="BV13" s="287">
        <v>4</v>
      </c>
      <c r="BW13" s="287"/>
      <c r="BX13" s="36"/>
      <c r="BY13" s="33"/>
      <c r="BZ13" s="34">
        <v>38.75</v>
      </c>
      <c r="CA13" s="33"/>
      <c r="CB13" s="35">
        <v>44.58</v>
      </c>
      <c r="CC13" s="235">
        <v>38.08</v>
      </c>
      <c r="CD13" s="235"/>
      <c r="CE13" s="36"/>
      <c r="CF13" s="30">
        <v>95.204999999999998</v>
      </c>
      <c r="CG13" s="30"/>
      <c r="CH13" s="30">
        <v>97.962999999999994</v>
      </c>
      <c r="CI13" s="32"/>
      <c r="CJ13" s="33">
        <v>2.81</v>
      </c>
      <c r="CK13" s="33"/>
      <c r="CL13" s="33">
        <v>2.81</v>
      </c>
      <c r="CM13" s="36"/>
      <c r="CN13" s="286"/>
      <c r="CO13" s="249">
        <f t="shared" si="12"/>
        <v>0</v>
      </c>
      <c r="CP13" s="12">
        <f t="shared" si="12"/>
        <v>172.51786619999999</v>
      </c>
      <c r="CQ13" s="12">
        <f t="shared" si="12"/>
        <v>0</v>
      </c>
      <c r="CR13" s="12">
        <f t="shared" si="12"/>
        <v>108.46</v>
      </c>
      <c r="CS13" s="11">
        <f t="shared" si="12"/>
        <v>20.221439999999998</v>
      </c>
      <c r="CT13" s="11">
        <f t="shared" si="12"/>
        <v>0</v>
      </c>
      <c r="CU13" s="272">
        <f t="shared" si="12"/>
        <v>0</v>
      </c>
      <c r="CV13" s="249">
        <f t="shared" si="13"/>
        <v>92.529739499999991</v>
      </c>
      <c r="CW13" s="251">
        <f t="shared" si="13"/>
        <v>0</v>
      </c>
      <c r="CX13" s="249">
        <f t="shared" si="13"/>
        <v>95.210239699999988</v>
      </c>
      <c r="CY13" s="272">
        <f t="shared" si="13"/>
        <v>0</v>
      </c>
      <c r="CZ13" s="13"/>
      <c r="DA13" s="240">
        <f>(D13+'[2]март 20 '!D13)/(AY13+'[2]март 20 '!AX13)</f>
        <v>2.2081660033843762</v>
      </c>
      <c r="DB13" s="241">
        <f>(T13+'[2]март 20 '!R13)/(AY13+'[2]март 20 '!AX13)</f>
        <v>1.379133320017754</v>
      </c>
      <c r="DD13" s="292">
        <f t="shared" si="14"/>
        <v>12.452</v>
      </c>
      <c r="DE13" s="291">
        <v>0.3</v>
      </c>
      <c r="DF13" s="291">
        <v>11.41</v>
      </c>
      <c r="DG13" s="145">
        <f t="shared" si="15"/>
        <v>12.414643999999999</v>
      </c>
      <c r="DH13" s="293">
        <f t="shared" si="30"/>
        <v>1.8779144642715098</v>
      </c>
      <c r="DJ13" s="431"/>
      <c r="DL13" s="322"/>
    </row>
    <row r="14" spans="1:116" s="76" customFormat="1" ht="16.5" customHeight="1" thickBot="1">
      <c r="A14" s="144">
        <v>8</v>
      </c>
      <c r="B14" s="122">
        <f t="shared" si="16"/>
        <v>271.11700000000002</v>
      </c>
      <c r="C14" s="123">
        <f t="shared" si="17"/>
        <v>1.4993184123459613</v>
      </c>
      <c r="D14" s="145">
        <f t="shared" si="18"/>
        <v>267.05209289999999</v>
      </c>
      <c r="E14" s="125">
        <f t="shared" si="19"/>
        <v>39.859466982889309</v>
      </c>
      <c r="F14" s="146">
        <f t="shared" si="20"/>
        <v>2.0144232699705817</v>
      </c>
      <c r="G14" s="127"/>
      <c r="H14" s="126">
        <f t="shared" si="21"/>
        <v>1.3027539631892584</v>
      </c>
      <c r="I14" s="230">
        <f>'[1]июль 20'!AI13</f>
        <v>0</v>
      </c>
      <c r="J14" s="247">
        <f>'[1]март 20'!AA13</f>
        <v>11.151</v>
      </c>
      <c r="K14" s="276">
        <f>'[1]сентябрь 20'!AM13</f>
        <v>0</v>
      </c>
      <c r="L14" s="122">
        <f t="shared" si="22"/>
        <v>94.346000000000004</v>
      </c>
      <c r="M14" s="128">
        <f t="shared" si="23"/>
        <v>0.71166930678132312</v>
      </c>
      <c r="N14" s="400">
        <f>'[1]март 20'!W13</f>
        <v>0</v>
      </c>
      <c r="O14" s="403">
        <f>'[1]март 20'!AU13</f>
        <v>6.4580000000000002</v>
      </c>
      <c r="P14" s="401">
        <f t="shared" si="0"/>
        <v>167.86500000000001</v>
      </c>
      <c r="Q14" s="122">
        <f>'[1]март 20'!S13</f>
        <v>167.86500000000001</v>
      </c>
      <c r="R14" s="123">
        <f t="shared" si="24"/>
        <v>3.08</v>
      </c>
      <c r="S14" s="129">
        <v>10.44</v>
      </c>
      <c r="T14" s="125">
        <f t="shared" si="1"/>
        <v>162.69475800000001</v>
      </c>
      <c r="U14" s="147">
        <f t="shared" si="2"/>
        <v>1.2272366146186922</v>
      </c>
      <c r="V14" s="130">
        <v>96.88</v>
      </c>
      <c r="W14" s="130">
        <v>101.15</v>
      </c>
      <c r="X14" s="129">
        <v>1.08</v>
      </c>
      <c r="Y14" s="131">
        <v>535</v>
      </c>
      <c r="Z14" s="150">
        <v>1185</v>
      </c>
      <c r="AA14" s="148" t="s">
        <v>145</v>
      </c>
      <c r="AB14" s="149">
        <v>75.739999999999995</v>
      </c>
      <c r="AC14" s="150">
        <v>110</v>
      </c>
      <c r="AD14" s="151">
        <v>4</v>
      </c>
      <c r="AE14" s="149"/>
      <c r="AF14" s="134">
        <f t="shared" si="3"/>
        <v>0</v>
      </c>
      <c r="AG14" s="152"/>
      <c r="AH14" s="129">
        <v>95.1</v>
      </c>
      <c r="AI14" s="134">
        <f t="shared" si="4"/>
        <v>717.35686806969898</v>
      </c>
      <c r="AJ14" s="153">
        <v>13.26</v>
      </c>
      <c r="AK14" s="154"/>
      <c r="AL14" s="155">
        <v>6.75</v>
      </c>
      <c r="AM14" s="156">
        <v>36.479999999999997</v>
      </c>
      <c r="AN14" s="126">
        <f t="shared" si="25"/>
        <v>0.21031997693859902</v>
      </c>
      <c r="AO14" s="157" t="s">
        <v>203</v>
      </c>
      <c r="AP14" s="156">
        <v>10.38</v>
      </c>
      <c r="AQ14" s="156">
        <v>6.5</v>
      </c>
      <c r="AR14" s="149"/>
      <c r="AS14" s="149">
        <v>7.89</v>
      </c>
      <c r="AT14" s="149">
        <v>173.45</v>
      </c>
      <c r="AU14" s="149">
        <v>2.35</v>
      </c>
      <c r="AV14" s="149"/>
      <c r="AW14" s="149"/>
      <c r="AX14" s="158">
        <f t="shared" si="5"/>
        <v>0</v>
      </c>
      <c r="AY14" s="125">
        <f t="shared" si="6"/>
        <v>132.57</v>
      </c>
      <c r="AZ14" s="125">
        <f t="shared" si="31"/>
        <v>124.51108728611489</v>
      </c>
      <c r="BA14" s="159">
        <f t="shared" si="7"/>
        <v>5.8124852112676049</v>
      </c>
      <c r="BB14" s="160">
        <f t="shared" si="8"/>
        <v>5.3027999999999995</v>
      </c>
      <c r="BC14" s="161">
        <f t="shared" si="9"/>
        <v>0.94328533866790443</v>
      </c>
      <c r="BD14" s="159">
        <f t="shared" si="26"/>
        <v>11.115285211267604</v>
      </c>
      <c r="BE14" s="167">
        <v>0.88500000000000001</v>
      </c>
      <c r="BF14" s="25">
        <f t="shared" si="27"/>
        <v>1068.8899999999999</v>
      </c>
      <c r="BG14" s="25">
        <f t="shared" si="10"/>
        <v>124.19354838709677</v>
      </c>
      <c r="BH14" s="25">
        <f t="shared" si="28"/>
        <v>993.54838709677438</v>
      </c>
      <c r="BI14" s="26">
        <f t="shared" si="11"/>
        <v>1</v>
      </c>
      <c r="BJ14" s="37">
        <f t="shared" si="29"/>
        <v>993.54838709677438</v>
      </c>
      <c r="BK14" s="39"/>
      <c r="BL14" s="40">
        <v>158.268</v>
      </c>
      <c r="BM14" s="325"/>
      <c r="BN14" s="31">
        <v>94.346000000000004</v>
      </c>
      <c r="BO14" s="40">
        <v>18.503</v>
      </c>
      <c r="BP14" s="40"/>
      <c r="BQ14" s="32"/>
      <c r="BR14" s="33"/>
      <c r="BS14" s="34">
        <v>2.31</v>
      </c>
      <c r="BT14" s="33"/>
      <c r="BU14" s="28"/>
      <c r="BV14" s="287">
        <v>2.21</v>
      </c>
      <c r="BW14" s="287"/>
      <c r="BX14" s="36"/>
      <c r="BY14" s="33"/>
      <c r="BZ14" s="34">
        <v>37.49</v>
      </c>
      <c r="CA14" s="33"/>
      <c r="CB14" s="35">
        <v>44.35</v>
      </c>
      <c r="CC14" s="235">
        <v>37.229999999999997</v>
      </c>
      <c r="CD14" s="235"/>
      <c r="CE14" s="36"/>
      <c r="CF14" s="30">
        <v>80.977000000000004</v>
      </c>
      <c r="CG14" s="30"/>
      <c r="CH14" s="30">
        <v>86.888000000000005</v>
      </c>
      <c r="CI14" s="32"/>
      <c r="CJ14" s="33">
        <v>3.08</v>
      </c>
      <c r="CK14" s="33"/>
      <c r="CL14" s="33">
        <v>3.08</v>
      </c>
      <c r="CM14" s="36"/>
      <c r="CN14" s="286"/>
      <c r="CO14" s="249">
        <f t="shared" si="12"/>
        <v>0</v>
      </c>
      <c r="CP14" s="12">
        <f t="shared" si="12"/>
        <v>154.61200919999999</v>
      </c>
      <c r="CQ14" s="12">
        <f t="shared" si="12"/>
        <v>0</v>
      </c>
      <c r="CR14" s="12">
        <f t="shared" si="12"/>
        <v>94.346000000000004</v>
      </c>
      <c r="CS14" s="11">
        <f t="shared" si="12"/>
        <v>18.094083700000002</v>
      </c>
      <c r="CT14" s="11">
        <f t="shared" si="12"/>
        <v>0</v>
      </c>
      <c r="CU14" s="272">
        <f t="shared" si="12"/>
        <v>0</v>
      </c>
      <c r="CV14" s="249">
        <f t="shared" si="13"/>
        <v>78.482908400000014</v>
      </c>
      <c r="CW14" s="12">
        <f t="shared" si="13"/>
        <v>0</v>
      </c>
      <c r="CX14" s="252">
        <f t="shared" si="13"/>
        <v>84.211849600000008</v>
      </c>
      <c r="CY14" s="272">
        <f t="shared" si="13"/>
        <v>0</v>
      </c>
      <c r="CZ14" s="13"/>
      <c r="DA14" s="240">
        <f>(D14+'[2]март 20 '!D14)/(AY14+'[2]март 20 '!AX14)</f>
        <v>2.0136725262937576</v>
      </c>
      <c r="DB14" s="241">
        <f>(T14+'[2]март 20 '!R14)/(AY14+'[2]март 20 '!AX14)</f>
        <v>1.2351388153419496</v>
      </c>
      <c r="DD14" s="292">
        <f t="shared" si="14"/>
        <v>11.151</v>
      </c>
      <c r="DE14" s="291">
        <v>0.28000000000000003</v>
      </c>
      <c r="DF14" s="291">
        <v>12.39</v>
      </c>
      <c r="DG14" s="145">
        <f t="shared" si="15"/>
        <v>11.1197772</v>
      </c>
      <c r="DH14" s="293">
        <f t="shared" si="30"/>
        <v>1.8190393386321628</v>
      </c>
      <c r="DJ14" s="431"/>
      <c r="DL14" s="322"/>
    </row>
    <row r="15" spans="1:116" s="76" customFormat="1" ht="16.5" customHeight="1" thickBot="1">
      <c r="A15" s="144">
        <v>9</v>
      </c>
      <c r="B15" s="122">
        <f t="shared" si="16"/>
        <v>291.14000000000004</v>
      </c>
      <c r="C15" s="123">
        <f t="shared" si="17"/>
        <v>2.3686923816720471</v>
      </c>
      <c r="D15" s="145">
        <f t="shared" si="18"/>
        <v>284.24378900000005</v>
      </c>
      <c r="E15" s="125">
        <f t="shared" si="19"/>
        <v>39.970206395548523</v>
      </c>
      <c r="F15" s="146">
        <f t="shared" si="20"/>
        <v>2.2452116034755139</v>
      </c>
      <c r="G15" s="127"/>
      <c r="H15" s="126">
        <f t="shared" si="21"/>
        <v>1.4993743206951029</v>
      </c>
      <c r="I15" s="230">
        <f>'[1]июль 20'!AI14</f>
        <v>0</v>
      </c>
      <c r="J15" s="247">
        <f>'[1]март 20'!AA14</f>
        <v>11.663</v>
      </c>
      <c r="K15" s="276">
        <f>'[1]сентябрь 20'!AM14</f>
        <v>0</v>
      </c>
      <c r="L15" s="122">
        <f t="shared" si="22"/>
        <v>94.423000000000002</v>
      </c>
      <c r="M15" s="128">
        <f t="shared" si="23"/>
        <v>0.74583728278041084</v>
      </c>
      <c r="N15" s="400">
        <f>'[1]март 20'!W14</f>
        <v>0</v>
      </c>
      <c r="O15" s="403">
        <f>'[1]март 20'!AU14</f>
        <v>5.5949999999999998</v>
      </c>
      <c r="P15" s="401">
        <f t="shared" si="0"/>
        <v>179.648</v>
      </c>
      <c r="Q15" s="122">
        <f>'[1]март 20'!S14</f>
        <v>179.648</v>
      </c>
      <c r="R15" s="123">
        <f t="shared" si="24"/>
        <v>3.2200000000000006</v>
      </c>
      <c r="S15" s="129">
        <v>9.25</v>
      </c>
      <c r="T15" s="125">
        <f t="shared" si="1"/>
        <v>173.86333439999999</v>
      </c>
      <c r="U15" s="147">
        <f t="shared" si="2"/>
        <v>1.3733280758293838</v>
      </c>
      <c r="V15" s="130">
        <v>94.5</v>
      </c>
      <c r="W15" s="130">
        <v>34.22</v>
      </c>
      <c r="X15" s="129">
        <v>1.21</v>
      </c>
      <c r="Y15" s="131">
        <v>495</v>
      </c>
      <c r="Z15" s="150">
        <v>1188</v>
      </c>
      <c r="AA15" s="148" t="s">
        <v>145</v>
      </c>
      <c r="AB15" s="149">
        <v>75.34</v>
      </c>
      <c r="AC15" s="150">
        <v>118</v>
      </c>
      <c r="AD15" s="151">
        <v>4</v>
      </c>
      <c r="AE15" s="149"/>
      <c r="AF15" s="134">
        <f t="shared" si="3"/>
        <v>0</v>
      </c>
      <c r="AG15" s="152"/>
      <c r="AH15" s="129">
        <v>81.3</v>
      </c>
      <c r="AI15" s="134">
        <f t="shared" si="4"/>
        <v>642.18009478672991</v>
      </c>
      <c r="AJ15" s="136">
        <v>11.67</v>
      </c>
      <c r="AK15" s="154"/>
      <c r="AL15" s="155">
        <v>6.17</v>
      </c>
      <c r="AM15" s="156">
        <v>36.43</v>
      </c>
      <c r="AN15" s="126">
        <f t="shared" si="25"/>
        <v>0.21801316576900059</v>
      </c>
      <c r="AO15" s="157" t="s">
        <v>204</v>
      </c>
      <c r="AP15" s="156">
        <v>10.3</v>
      </c>
      <c r="AQ15" s="156">
        <v>6.14</v>
      </c>
      <c r="AR15" s="149"/>
      <c r="AS15" s="149">
        <v>6.64</v>
      </c>
      <c r="AT15" s="149">
        <v>167.1</v>
      </c>
      <c r="AU15" s="149">
        <v>2.1</v>
      </c>
      <c r="AV15" s="149"/>
      <c r="AW15" s="149"/>
      <c r="AX15" s="158">
        <f t="shared" si="5"/>
        <v>0</v>
      </c>
      <c r="AY15" s="125">
        <f t="shared" si="6"/>
        <v>126.6</v>
      </c>
      <c r="AZ15" s="125">
        <f t="shared" si="31"/>
        <v>133.85206624085396</v>
      </c>
      <c r="BA15" s="159">
        <f t="shared" si="7"/>
        <v>4.1817971830985909</v>
      </c>
      <c r="BB15" s="160">
        <f t="shared" si="8"/>
        <v>5.0640000000000001</v>
      </c>
      <c r="BC15" s="161">
        <f t="shared" si="9"/>
        <v>0.8395217400229249</v>
      </c>
      <c r="BD15" s="159">
        <f t="shared" si="26"/>
        <v>9.2457971830985919</v>
      </c>
      <c r="BE15" s="167">
        <v>0.88</v>
      </c>
      <c r="BF15" s="25">
        <f t="shared" si="27"/>
        <v>1195.4899999999998</v>
      </c>
      <c r="BG15" s="25">
        <f t="shared" si="10"/>
        <v>124.19354838709677</v>
      </c>
      <c r="BH15" s="25">
        <f t="shared" si="28"/>
        <v>1117.7419354838712</v>
      </c>
      <c r="BI15" s="26">
        <f t="shared" si="11"/>
        <v>1</v>
      </c>
      <c r="BJ15" s="37">
        <f t="shared" si="29"/>
        <v>1117.7419354838712</v>
      </c>
      <c r="BK15" s="38">
        <v>14.472</v>
      </c>
      <c r="BL15" s="42">
        <v>169.185</v>
      </c>
      <c r="BM15" s="31"/>
      <c r="BN15" s="31">
        <v>94.423000000000002</v>
      </c>
      <c r="BO15" s="40">
        <v>13.06</v>
      </c>
      <c r="BP15" s="40"/>
      <c r="BQ15" s="32"/>
      <c r="BR15" s="33">
        <v>15.15</v>
      </c>
      <c r="BS15" s="35">
        <v>2.5</v>
      </c>
      <c r="BT15" s="35"/>
      <c r="BU15" s="28"/>
      <c r="BV15" s="287">
        <v>3.63</v>
      </c>
      <c r="BW15" s="287"/>
      <c r="BX15" s="36"/>
      <c r="BY15" s="33">
        <v>39.17</v>
      </c>
      <c r="BZ15" s="34">
        <v>37.6</v>
      </c>
      <c r="CA15" s="35"/>
      <c r="CB15" s="35">
        <v>44.55</v>
      </c>
      <c r="CC15" s="35">
        <v>38.450000000000003</v>
      </c>
      <c r="CD15" s="35"/>
      <c r="CE15" s="35"/>
      <c r="CF15" s="38">
        <v>86.367999999999995</v>
      </c>
      <c r="CG15" s="30"/>
      <c r="CH15" s="30">
        <v>93.28</v>
      </c>
      <c r="CI15" s="32"/>
      <c r="CJ15" s="33">
        <v>3.22</v>
      </c>
      <c r="CK15" s="33"/>
      <c r="CL15" s="33">
        <v>3.22</v>
      </c>
      <c r="CM15" s="36"/>
      <c r="CN15" s="286"/>
      <c r="CO15" s="249">
        <f t="shared" si="12"/>
        <v>12.279491999999998</v>
      </c>
      <c r="CP15" s="12">
        <f t="shared" si="12"/>
        <v>164.955375</v>
      </c>
      <c r="CQ15" s="12">
        <f t="shared" si="12"/>
        <v>0</v>
      </c>
      <c r="CR15" s="17">
        <f t="shared" si="12"/>
        <v>94.423000000000002</v>
      </c>
      <c r="CS15" s="11">
        <f t="shared" si="12"/>
        <v>12.585922</v>
      </c>
      <c r="CT15" s="11">
        <f t="shared" si="12"/>
        <v>0</v>
      </c>
      <c r="CU15" s="272">
        <f t="shared" si="12"/>
        <v>0</v>
      </c>
      <c r="CV15" s="249">
        <f t="shared" si="13"/>
        <v>83.586950399999992</v>
      </c>
      <c r="CW15" s="12">
        <f t="shared" si="13"/>
        <v>0</v>
      </c>
      <c r="CX15" s="249">
        <f t="shared" si="13"/>
        <v>90.276384000000007</v>
      </c>
      <c r="CY15" s="274">
        <f t="shared" si="13"/>
        <v>0</v>
      </c>
      <c r="CZ15" s="13"/>
      <c r="DA15" s="240">
        <f>(D15+'[2]март 20 '!D15)/(AY15+'[2]март 20 '!AX15)</f>
        <v>2.1616992200078817</v>
      </c>
      <c r="DB15" s="241">
        <f>(T15+'[2]март 20 '!R15)/(AY15+'[2]март 20 '!AX15)</f>
        <v>1.3438702201204751</v>
      </c>
      <c r="DD15" s="292">
        <f t="shared" si="14"/>
        <v>11.663</v>
      </c>
      <c r="DE15" s="291">
        <v>0.32</v>
      </c>
      <c r="DF15" s="291">
        <v>14.28</v>
      </c>
      <c r="DG15" s="145">
        <f t="shared" si="15"/>
        <v>11.6256784</v>
      </c>
      <c r="DH15" s="293">
        <f t="shared" si="30"/>
        <v>2.2035397869923008</v>
      </c>
      <c r="DJ15" s="431"/>
      <c r="DL15" s="322"/>
    </row>
    <row r="16" spans="1:116" s="76" customFormat="1" ht="16.5" customHeight="1" thickBot="1">
      <c r="A16" s="144">
        <v>10</v>
      </c>
      <c r="B16" s="122">
        <f t="shared" si="16"/>
        <v>306.339</v>
      </c>
      <c r="C16" s="123">
        <f t="shared" si="17"/>
        <v>3.1753502492336918</v>
      </c>
      <c r="D16" s="145">
        <f t="shared" si="18"/>
        <v>296.61166380000003</v>
      </c>
      <c r="E16" s="125">
        <f t="shared" si="19"/>
        <v>40.928298192525268</v>
      </c>
      <c r="F16" s="146">
        <f t="shared" si="20"/>
        <v>2.3479115317026831</v>
      </c>
      <c r="G16" s="127"/>
      <c r="H16" s="126">
        <f t="shared" si="21"/>
        <v>1.5730995313860523</v>
      </c>
      <c r="I16" s="230">
        <f>'[1]июль 20'!AI15</f>
        <v>0</v>
      </c>
      <c r="J16" s="247">
        <f>'[1]март 20'!AA15</f>
        <v>13.42</v>
      </c>
      <c r="K16" s="276">
        <f>'[1]сентябрь 20'!AM15</f>
        <v>0</v>
      </c>
      <c r="L16" s="122">
        <f t="shared" si="22"/>
        <v>97.882000000000005</v>
      </c>
      <c r="M16" s="128">
        <f t="shared" si="23"/>
        <v>0.77481200031663089</v>
      </c>
      <c r="N16" s="400">
        <f>'[1]март 20'!W15</f>
        <v>0</v>
      </c>
      <c r="O16" s="403">
        <f>'[1]март 20'!AU15</f>
        <v>9.8000000000000004E-2</v>
      </c>
      <c r="P16" s="401">
        <f t="shared" si="0"/>
        <v>185.47800000000001</v>
      </c>
      <c r="Q16" s="122">
        <f>'[1]март 20'!S15</f>
        <v>185.47800000000001</v>
      </c>
      <c r="R16" s="123">
        <f t="shared" si="24"/>
        <v>3.2</v>
      </c>
      <c r="S16" s="129">
        <v>11.84</v>
      </c>
      <c r="T16" s="125">
        <f t="shared" si="1"/>
        <v>179.54270400000001</v>
      </c>
      <c r="U16" s="147">
        <f t="shared" si="2"/>
        <v>1.4212198527665636</v>
      </c>
      <c r="V16" s="130">
        <v>95.43</v>
      </c>
      <c r="W16" s="130">
        <v>29.36</v>
      </c>
      <c r="X16" s="129">
        <v>1.38</v>
      </c>
      <c r="Y16" s="131">
        <v>500</v>
      </c>
      <c r="Z16" s="150">
        <v>1179</v>
      </c>
      <c r="AA16" s="148" t="s">
        <v>112</v>
      </c>
      <c r="AB16" s="149">
        <v>75.38</v>
      </c>
      <c r="AC16" s="150">
        <v>124</v>
      </c>
      <c r="AD16" s="151">
        <v>4</v>
      </c>
      <c r="AE16" s="149">
        <v>3.1</v>
      </c>
      <c r="AF16" s="134">
        <f t="shared" si="3"/>
        <v>24.538906039737192</v>
      </c>
      <c r="AG16" s="152"/>
      <c r="AH16" s="129">
        <v>78.2</v>
      </c>
      <c r="AI16" s="134">
        <f t="shared" si="4"/>
        <v>619.0136942927254</v>
      </c>
      <c r="AJ16" s="153">
        <v>14.04</v>
      </c>
      <c r="AK16" s="154"/>
      <c r="AL16" s="155">
        <v>7.51</v>
      </c>
      <c r="AM16" s="156">
        <v>36.33</v>
      </c>
      <c r="AN16" s="126">
        <f t="shared" si="25"/>
        <v>0.2158645276292335</v>
      </c>
      <c r="AO16" s="157" t="s">
        <v>205</v>
      </c>
      <c r="AP16" s="156">
        <v>13.93</v>
      </c>
      <c r="AQ16" s="156">
        <v>6.06</v>
      </c>
      <c r="AR16" s="149"/>
      <c r="AS16" s="149">
        <v>8</v>
      </c>
      <c r="AT16" s="149">
        <v>168.3</v>
      </c>
      <c r="AU16" s="149">
        <v>1.87</v>
      </c>
      <c r="AV16" s="149"/>
      <c r="AW16" s="149"/>
      <c r="AX16" s="158">
        <f t="shared" si="5"/>
        <v>0</v>
      </c>
      <c r="AY16" s="125">
        <f t="shared" si="6"/>
        <v>126.33000000000003</v>
      </c>
      <c r="AZ16" s="125">
        <f t="shared" si="31"/>
        <v>143.75525659667349</v>
      </c>
      <c r="BA16" s="159">
        <f t="shared" si="7"/>
        <v>4.8461971830985915</v>
      </c>
      <c r="BB16" s="160">
        <f t="shared" si="8"/>
        <v>5.0532000000000012</v>
      </c>
      <c r="BC16" s="161">
        <f t="shared" si="9"/>
        <v>0.78442371923449361</v>
      </c>
      <c r="BD16" s="160">
        <f t="shared" si="26"/>
        <v>9.8993971830985927</v>
      </c>
      <c r="BE16" s="162">
        <v>0.87</v>
      </c>
      <c r="BF16" s="25">
        <f t="shared" si="27"/>
        <v>1321.8199999999997</v>
      </c>
      <c r="BG16" s="25">
        <f t="shared" si="10"/>
        <v>124.19354838709677</v>
      </c>
      <c r="BH16" s="25">
        <f t="shared" si="28"/>
        <v>1241.935483870968</v>
      </c>
      <c r="BI16" s="26">
        <f t="shared" si="11"/>
        <v>1</v>
      </c>
      <c r="BJ16" s="37">
        <f t="shared" si="29"/>
        <v>1241.935483870968</v>
      </c>
      <c r="BK16" s="38">
        <v>61.893000000000001</v>
      </c>
      <c r="BL16" s="31">
        <v>146.56399999999999</v>
      </c>
      <c r="BM16" s="31"/>
      <c r="BN16" s="234">
        <v>97.882000000000005</v>
      </c>
      <c r="BO16" s="42"/>
      <c r="BP16" s="40"/>
      <c r="BQ16" s="32"/>
      <c r="BR16" s="33">
        <v>9.82</v>
      </c>
      <c r="BS16" s="34">
        <v>2.4900000000000002</v>
      </c>
      <c r="BT16" s="35"/>
      <c r="BU16" s="28"/>
      <c r="BV16" s="287"/>
      <c r="BW16" s="287"/>
      <c r="BX16" s="36"/>
      <c r="BY16" s="33">
        <v>42.94</v>
      </c>
      <c r="BZ16" s="34">
        <v>37.64</v>
      </c>
      <c r="CA16" s="35"/>
      <c r="CB16" s="405">
        <v>44.58</v>
      </c>
      <c r="CC16" s="404"/>
      <c r="CD16" s="235"/>
      <c r="CE16" s="36"/>
      <c r="CF16" s="38">
        <v>87.49</v>
      </c>
      <c r="CG16" s="30"/>
      <c r="CH16" s="30">
        <v>97.988</v>
      </c>
      <c r="CI16" s="32"/>
      <c r="CJ16" s="33">
        <v>3.2</v>
      </c>
      <c r="CK16" s="33"/>
      <c r="CL16" s="33">
        <v>3.2</v>
      </c>
      <c r="CM16" s="36"/>
      <c r="CN16" s="286"/>
      <c r="CO16" s="249">
        <f t="shared" si="12"/>
        <v>55.815107400000002</v>
      </c>
      <c r="CP16" s="12">
        <f t="shared" si="12"/>
        <v>142.91455640000001</v>
      </c>
      <c r="CQ16" s="12">
        <f t="shared" si="12"/>
        <v>0</v>
      </c>
      <c r="CR16" s="11">
        <f t="shared" si="12"/>
        <v>97.882000000000005</v>
      </c>
      <c r="CS16" s="11">
        <f t="shared" si="12"/>
        <v>0</v>
      </c>
      <c r="CT16" s="11">
        <f t="shared" si="12"/>
        <v>0</v>
      </c>
      <c r="CU16" s="272">
        <f t="shared" si="12"/>
        <v>0</v>
      </c>
      <c r="CV16" s="249">
        <f t="shared" si="13"/>
        <v>84.690319999999986</v>
      </c>
      <c r="CW16" s="12">
        <f t="shared" si="13"/>
        <v>0</v>
      </c>
      <c r="CX16" s="249">
        <f t="shared" si="13"/>
        <v>94.852384000000001</v>
      </c>
      <c r="CY16" s="272">
        <f t="shared" si="13"/>
        <v>0</v>
      </c>
      <c r="CZ16" s="13"/>
      <c r="DA16" s="240">
        <f>(D16+'[2]март 20 '!D16)/(AY16+'[2]март 20 '!AX16)</f>
        <v>2.3649785080020651</v>
      </c>
      <c r="DB16" s="241">
        <f>(T16+'[2]март 20 '!R16)/(AY16+'[2]март 20 '!AX16)</f>
        <v>1.4762145950378085</v>
      </c>
      <c r="DD16" s="292">
        <f t="shared" si="14"/>
        <v>13.42</v>
      </c>
      <c r="DE16" s="291">
        <v>0.22</v>
      </c>
      <c r="DF16" s="291">
        <v>17.79</v>
      </c>
      <c r="DG16" s="145">
        <f t="shared" si="15"/>
        <v>13.390476</v>
      </c>
      <c r="DH16" s="293">
        <f t="shared" si="30"/>
        <v>3.1602091806845318</v>
      </c>
      <c r="DJ16" s="431"/>
      <c r="DL16" s="322"/>
    </row>
    <row r="17" spans="1:116" s="76" customFormat="1" ht="16.5" customHeight="1" thickBot="1">
      <c r="A17" s="144">
        <v>11</v>
      </c>
      <c r="B17" s="122">
        <f t="shared" si="16"/>
        <v>108.684</v>
      </c>
      <c r="C17" s="123">
        <f t="shared" si="17"/>
        <v>3.0484872658348978</v>
      </c>
      <c r="D17" s="145">
        <f t="shared" si="18"/>
        <v>105.3707821</v>
      </c>
      <c r="E17" s="125">
        <f t="shared" si="19"/>
        <v>41.666884177983881</v>
      </c>
      <c r="F17" s="146">
        <f t="shared" si="20"/>
        <v>1.8005943626110732</v>
      </c>
      <c r="G17" s="127"/>
      <c r="H17" s="126">
        <f t="shared" si="21"/>
        <v>0.9514658595352018</v>
      </c>
      <c r="I17" s="230">
        <f>'[1]июль 20'!AI16</f>
        <v>0</v>
      </c>
      <c r="J17" s="247">
        <f>'[1]март 20'!AA16</f>
        <v>1.042</v>
      </c>
      <c r="K17" s="276">
        <f>'[1]сентябрь 20'!AM16</f>
        <v>0</v>
      </c>
      <c r="L17" s="122">
        <f t="shared" si="22"/>
        <v>49.691000000000003</v>
      </c>
      <c r="M17" s="128">
        <f t="shared" si="23"/>
        <v>0.84912850307587162</v>
      </c>
      <c r="N17" s="400">
        <f>'[1]март 20'!W16</f>
        <v>2.948</v>
      </c>
      <c r="O17" s="403">
        <f>'[1]март 20'!AU16</f>
        <v>0.36199999999999999</v>
      </c>
      <c r="P17" s="401">
        <f t="shared" si="0"/>
        <v>78.058000000000007</v>
      </c>
      <c r="Q17" s="122">
        <f>'[1]март 20'!S16</f>
        <v>78.058000000000007</v>
      </c>
      <c r="R17" s="123">
        <f t="shared" si="24"/>
        <v>1.7599999999999998</v>
      </c>
      <c r="S17" s="129">
        <v>11.42</v>
      </c>
      <c r="T17" s="125">
        <f t="shared" si="1"/>
        <v>76.684179200000003</v>
      </c>
      <c r="U17" s="147">
        <f t="shared" si="2"/>
        <v>1.3103926725905675</v>
      </c>
      <c r="V17" s="130">
        <v>58.52</v>
      </c>
      <c r="W17" s="130">
        <v>58.52</v>
      </c>
      <c r="X17" s="129">
        <v>0.23</v>
      </c>
      <c r="Y17" s="131">
        <v>500</v>
      </c>
      <c r="Z17" s="150">
        <v>1084</v>
      </c>
      <c r="AA17" s="148" t="s">
        <v>206</v>
      </c>
      <c r="AB17" s="149">
        <v>75.459999999999994</v>
      </c>
      <c r="AC17" s="150">
        <v>147</v>
      </c>
      <c r="AD17" s="151">
        <v>2</v>
      </c>
      <c r="AE17" s="149">
        <v>5</v>
      </c>
      <c r="AF17" s="134">
        <f t="shared" si="3"/>
        <v>85.440874914559132</v>
      </c>
      <c r="AG17" s="152"/>
      <c r="AH17" s="129">
        <v>43.35</v>
      </c>
      <c r="AI17" s="134">
        <f t="shared" si="4"/>
        <v>740.77238550922766</v>
      </c>
      <c r="AJ17" s="136">
        <v>5.98</v>
      </c>
      <c r="AK17" s="154"/>
      <c r="AL17" s="155">
        <v>3.83</v>
      </c>
      <c r="AM17" s="156">
        <v>11.41</v>
      </c>
      <c r="AN17" s="126">
        <f t="shared" si="25"/>
        <v>0.15825242718446603</v>
      </c>
      <c r="AO17" s="157" t="s">
        <v>207</v>
      </c>
      <c r="AP17" s="156">
        <v>12.93</v>
      </c>
      <c r="AQ17" s="156">
        <v>6.08</v>
      </c>
      <c r="AR17" s="149"/>
      <c r="AS17" s="149">
        <v>13.17</v>
      </c>
      <c r="AT17" s="149">
        <v>72.099999999999994</v>
      </c>
      <c r="AU17" s="149">
        <v>1.66</v>
      </c>
      <c r="AV17" s="149"/>
      <c r="AW17" s="149"/>
      <c r="AX17" s="158">
        <f t="shared" si="5"/>
        <v>0</v>
      </c>
      <c r="AY17" s="125">
        <f t="shared" si="6"/>
        <v>58.519999999999996</v>
      </c>
      <c r="AZ17" s="125">
        <f t="shared" si="31"/>
        <v>50.983578918701753</v>
      </c>
      <c r="BA17" s="159">
        <f t="shared" si="7"/>
        <v>4.422615845070422</v>
      </c>
      <c r="BB17" s="160">
        <f t="shared" si="8"/>
        <v>2.3407999999999998</v>
      </c>
      <c r="BC17" s="161">
        <f t="shared" si="9"/>
        <v>1.0057959657845665</v>
      </c>
      <c r="BD17" s="160">
        <f t="shared" si="26"/>
        <v>6.7634158450704218</v>
      </c>
      <c r="BE17" s="162">
        <v>0.875</v>
      </c>
      <c r="BF17" s="25">
        <f t="shared" si="27"/>
        <v>1380.3399999999997</v>
      </c>
      <c r="BG17" s="25">
        <f t="shared" si="10"/>
        <v>124.19354838709677</v>
      </c>
      <c r="BH17" s="25">
        <f t="shared" si="28"/>
        <v>1366.1290322580649</v>
      </c>
      <c r="BI17" s="26">
        <f t="shared" si="11"/>
        <v>1</v>
      </c>
      <c r="BJ17" s="37">
        <f t="shared" si="29"/>
        <v>1366.1290322580649</v>
      </c>
      <c r="BK17" s="39">
        <v>18.056000000000001</v>
      </c>
      <c r="BL17" s="31">
        <v>34.191000000000003</v>
      </c>
      <c r="BM17" s="31"/>
      <c r="BN17" s="234">
        <v>49.691000000000003</v>
      </c>
      <c r="BO17" s="42">
        <v>6.7460000000000004</v>
      </c>
      <c r="BP17" s="40"/>
      <c r="BQ17" s="32"/>
      <c r="BR17" s="33">
        <v>12.84</v>
      </c>
      <c r="BS17" s="34">
        <v>2.15</v>
      </c>
      <c r="BT17" s="35"/>
      <c r="BU17" s="28"/>
      <c r="BV17" s="287">
        <v>3.85</v>
      </c>
      <c r="BW17" s="287"/>
      <c r="BX17" s="36"/>
      <c r="BY17" s="33">
        <v>41.96</v>
      </c>
      <c r="BZ17" s="34">
        <v>37.979999999999997</v>
      </c>
      <c r="CA17" s="35"/>
      <c r="CB17" s="405">
        <v>44.5</v>
      </c>
      <c r="CC17" s="404">
        <v>38.700000000000003</v>
      </c>
      <c r="CD17" s="235"/>
      <c r="CE17" s="36"/>
      <c r="CF17" s="38">
        <v>65.409000000000006</v>
      </c>
      <c r="CG17" s="42"/>
      <c r="CH17" s="234">
        <v>12.648999999999999</v>
      </c>
      <c r="CI17" s="233"/>
      <c r="CJ17" s="33">
        <v>1.76</v>
      </c>
      <c r="CK17" s="33"/>
      <c r="CL17" s="33">
        <v>1.76</v>
      </c>
      <c r="CM17" s="36"/>
      <c r="CN17" s="286"/>
      <c r="CO17" s="249">
        <f t="shared" si="12"/>
        <v>15.737609599999999</v>
      </c>
      <c r="CP17" s="12">
        <f t="shared" si="12"/>
        <v>33.455893500000002</v>
      </c>
      <c r="CQ17" s="12">
        <f t="shared" si="12"/>
        <v>0</v>
      </c>
      <c r="CR17" s="12">
        <f t="shared" si="12"/>
        <v>49.691000000000003</v>
      </c>
      <c r="CS17" s="11">
        <f t="shared" si="12"/>
        <v>6.4862790000000006</v>
      </c>
      <c r="CT17" s="11">
        <f t="shared" si="12"/>
        <v>0</v>
      </c>
      <c r="CU17" s="272">
        <f t="shared" si="12"/>
        <v>0</v>
      </c>
      <c r="CV17" s="249">
        <f t="shared" si="13"/>
        <v>64.257801600000008</v>
      </c>
      <c r="CW17" s="12">
        <f t="shared" si="13"/>
        <v>0</v>
      </c>
      <c r="CX17" s="254">
        <f t="shared" si="13"/>
        <v>12.426377599999999</v>
      </c>
      <c r="CY17" s="272">
        <f t="shared" si="13"/>
        <v>0</v>
      </c>
      <c r="CZ17" s="13"/>
      <c r="DA17" s="240">
        <f>(D17+'[2]март 20 '!D17)/(AY17+'[2]март 20 '!AX17)</f>
        <v>2.2009391494184056</v>
      </c>
      <c r="DB17" s="241">
        <f>(T17+'[2]март 20 '!R17)/(AY17+'[2]март 20 '!AX17)</f>
        <v>1.4788923161135821</v>
      </c>
      <c r="DD17" s="292">
        <f t="shared" si="14"/>
        <v>1.042</v>
      </c>
      <c r="DE17" s="291">
        <v>0.14000000000000001</v>
      </c>
      <c r="DF17" s="291">
        <v>13.78</v>
      </c>
      <c r="DG17" s="145">
        <f t="shared" si="15"/>
        <v>1.0405412000000001</v>
      </c>
      <c r="DH17" s="293">
        <f t="shared" si="30"/>
        <v>0.19001666758547578</v>
      </c>
      <c r="DJ17" s="431"/>
      <c r="DL17" s="322"/>
    </row>
    <row r="18" spans="1:116" s="76" customFormat="1" ht="16.5" customHeight="1" thickBot="1">
      <c r="A18" s="144">
        <v>12</v>
      </c>
      <c r="B18" s="122">
        <f t="shared" si="16"/>
        <v>216.17099999999999</v>
      </c>
      <c r="C18" s="123">
        <f t="shared" si="17"/>
        <v>1.8233183914586137</v>
      </c>
      <c r="D18" s="145">
        <f t="shared" si="18"/>
        <v>212.2295144</v>
      </c>
      <c r="E18" s="125">
        <f t="shared" si="19"/>
        <v>40.978285338921509</v>
      </c>
      <c r="F18" s="146">
        <f t="shared" si="20"/>
        <v>2.5650170945129322</v>
      </c>
      <c r="G18" s="127"/>
      <c r="H18" s="126">
        <f t="shared" si="21"/>
        <v>1.2924886922890984</v>
      </c>
      <c r="I18" s="230">
        <f>'[1]июль 20'!AI17</f>
        <v>0</v>
      </c>
      <c r="J18" s="247">
        <f>'[1]март 20'!AA17</f>
        <v>9.0129999999999999</v>
      </c>
      <c r="K18" s="276">
        <f>'[1]сентябрь 20'!AM17</f>
        <v>0</v>
      </c>
      <c r="L18" s="122">
        <f t="shared" si="22"/>
        <v>105.289</v>
      </c>
      <c r="M18" s="128">
        <f t="shared" si="23"/>
        <v>1.2725284022238339</v>
      </c>
      <c r="N18" s="400">
        <f>'[1]март 20'!W17</f>
        <v>28.242999999999999</v>
      </c>
      <c r="O18" s="403">
        <f>'[1]март 20'!AU17</f>
        <v>0</v>
      </c>
      <c r="P18" s="401">
        <f t="shared" si="0"/>
        <v>139.60499999999999</v>
      </c>
      <c r="Q18" s="122">
        <f>'[1]март 20'!S17</f>
        <v>139.60499999999999</v>
      </c>
      <c r="R18" s="123">
        <f t="shared" si="24"/>
        <v>1.53</v>
      </c>
      <c r="S18" s="129">
        <v>29.77</v>
      </c>
      <c r="T18" s="125">
        <f t="shared" si="1"/>
        <v>137.4690435</v>
      </c>
      <c r="U18" s="147">
        <f t="shared" si="2"/>
        <v>1.6614581036983322</v>
      </c>
      <c r="V18" s="130"/>
      <c r="W18" s="130">
        <v>15.42</v>
      </c>
      <c r="X18" s="129">
        <v>1.25</v>
      </c>
      <c r="Y18" s="131">
        <v>500</v>
      </c>
      <c r="Z18" s="150">
        <v>1110</v>
      </c>
      <c r="AA18" s="148" t="s">
        <v>208</v>
      </c>
      <c r="AB18" s="149">
        <v>74.66</v>
      </c>
      <c r="AC18" s="150">
        <v>88</v>
      </c>
      <c r="AD18" s="151">
        <v>4</v>
      </c>
      <c r="AE18" s="149">
        <v>2.4</v>
      </c>
      <c r="AF18" s="134">
        <f t="shared" si="3"/>
        <v>29.006526468455405</v>
      </c>
      <c r="AG18" s="152"/>
      <c r="AH18" s="129">
        <v>71.5</v>
      </c>
      <c r="AI18" s="134">
        <f t="shared" si="4"/>
        <v>864.15276770606727</v>
      </c>
      <c r="AJ18" s="153">
        <v>12.53</v>
      </c>
      <c r="AK18" s="154"/>
      <c r="AL18" s="155">
        <v>9.4499999999999993</v>
      </c>
      <c r="AM18" s="156">
        <v>37.57</v>
      </c>
      <c r="AN18" s="126">
        <f t="shared" si="25"/>
        <v>0.29723101265822782</v>
      </c>
      <c r="AO18" s="157" t="s">
        <v>209</v>
      </c>
      <c r="AP18" s="156">
        <v>14.81</v>
      </c>
      <c r="AQ18" s="156">
        <v>5.17</v>
      </c>
      <c r="AR18" s="151"/>
      <c r="AS18" s="149">
        <v>9.14</v>
      </c>
      <c r="AT18" s="149">
        <v>126.4</v>
      </c>
      <c r="AU18" s="149">
        <v>3.36</v>
      </c>
      <c r="AV18" s="149"/>
      <c r="AW18" s="149"/>
      <c r="AX18" s="158">
        <f t="shared" si="5"/>
        <v>0</v>
      </c>
      <c r="AY18" s="125">
        <f t="shared" si="6"/>
        <v>82.74</v>
      </c>
      <c r="AZ18" s="125">
        <f t="shared" si="31"/>
        <v>103.63984163439743</v>
      </c>
      <c r="BA18" s="159">
        <f t="shared" si="7"/>
        <v>5.0624014084507039</v>
      </c>
      <c r="BB18" s="160">
        <f t="shared" si="8"/>
        <v>3.3095999999999997</v>
      </c>
      <c r="BC18" s="161">
        <f t="shared" si="9"/>
        <v>0.71030347537415039</v>
      </c>
      <c r="BD18" s="160">
        <f t="shared" si="26"/>
        <v>8.3720014084507035</v>
      </c>
      <c r="BE18" s="162">
        <v>0.86399999999999999</v>
      </c>
      <c r="BF18" s="25">
        <f t="shared" si="27"/>
        <v>1463.0799999999997</v>
      </c>
      <c r="BG18" s="25">
        <f t="shared" si="10"/>
        <v>124.19354838709677</v>
      </c>
      <c r="BH18" s="25">
        <f t="shared" si="28"/>
        <v>1490.3225806451617</v>
      </c>
      <c r="BI18" s="26">
        <f t="shared" si="11"/>
        <v>1</v>
      </c>
      <c r="BJ18" s="37">
        <f t="shared" si="29"/>
        <v>1490.3225806451617</v>
      </c>
      <c r="BK18" s="38"/>
      <c r="BL18" s="31">
        <v>44.915999999999997</v>
      </c>
      <c r="BM18" s="31"/>
      <c r="BN18" s="234">
        <v>105.289</v>
      </c>
      <c r="BO18" s="42">
        <v>65.965999999999994</v>
      </c>
      <c r="BP18" s="40"/>
      <c r="BQ18" s="411"/>
      <c r="BR18" s="41"/>
      <c r="BS18" s="34">
        <v>2.93</v>
      </c>
      <c r="BT18" s="35"/>
      <c r="BU18" s="28"/>
      <c r="BV18" s="287">
        <v>3.98</v>
      </c>
      <c r="BW18" s="287"/>
      <c r="BX18" s="36"/>
      <c r="BY18" s="34"/>
      <c r="BZ18" s="34">
        <v>37.380000000000003</v>
      </c>
      <c r="CA18" s="35"/>
      <c r="CB18" s="405">
        <v>44.68</v>
      </c>
      <c r="CC18" s="404">
        <v>37.520000000000003</v>
      </c>
      <c r="CD18" s="235"/>
      <c r="CE18" s="405"/>
      <c r="CF18" s="38">
        <v>139.60499999999999</v>
      </c>
      <c r="CG18" s="42"/>
      <c r="CH18" s="234"/>
      <c r="CI18" s="233"/>
      <c r="CJ18" s="33">
        <v>1.53</v>
      </c>
      <c r="CK18" s="33"/>
      <c r="CL18" s="33"/>
      <c r="CM18" s="36"/>
      <c r="CN18" s="286"/>
      <c r="CO18" s="249">
        <f t="shared" si="12"/>
        <v>0</v>
      </c>
      <c r="CP18" s="12">
        <f t="shared" si="12"/>
        <v>43.599961199999996</v>
      </c>
      <c r="CQ18" s="12">
        <f t="shared" si="12"/>
        <v>0</v>
      </c>
      <c r="CR18" s="12">
        <f t="shared" si="12"/>
        <v>105.289</v>
      </c>
      <c r="CS18" s="11">
        <f t="shared" si="12"/>
        <v>63.340553199999988</v>
      </c>
      <c r="CT18" s="11">
        <f t="shared" si="12"/>
        <v>0</v>
      </c>
      <c r="CU18" s="272">
        <f t="shared" si="12"/>
        <v>0</v>
      </c>
      <c r="CV18" s="249">
        <f t="shared" si="13"/>
        <v>137.4690435</v>
      </c>
      <c r="CW18" s="11">
        <f t="shared" si="13"/>
        <v>0</v>
      </c>
      <c r="CX18" s="249">
        <f t="shared" si="13"/>
        <v>0</v>
      </c>
      <c r="CY18" s="272">
        <f t="shared" si="13"/>
        <v>0</v>
      </c>
      <c r="CZ18" s="13"/>
      <c r="DA18" s="240">
        <f>(D18+'[2]март 20 '!D18)/(AY18+'[2]март 20 '!AX18)</f>
        <v>2.0328943924028375</v>
      </c>
      <c r="DB18" s="241">
        <f>(T18+'[2]март 20 '!R18)/(AY18+'[2]март 20 '!AX18)</f>
        <v>1.3524183334310338</v>
      </c>
      <c r="DD18" s="292">
        <f t="shared" si="14"/>
        <v>9.0129999999999999</v>
      </c>
      <c r="DE18" s="291">
        <v>1</v>
      </c>
      <c r="DF18" s="291">
        <v>16.3</v>
      </c>
      <c r="DG18" s="145">
        <f t="shared" si="15"/>
        <v>8.9228699999999996</v>
      </c>
      <c r="DH18" s="293">
        <f t="shared" si="30"/>
        <v>1.9480683230645597</v>
      </c>
      <c r="DJ18" s="431"/>
      <c r="DL18" s="322"/>
    </row>
    <row r="19" spans="1:116" s="76" customFormat="1" ht="16.5" customHeight="1" thickBot="1">
      <c r="A19" s="144">
        <v>13</v>
      </c>
      <c r="B19" s="122">
        <f t="shared" si="16"/>
        <v>208.70499999999998</v>
      </c>
      <c r="C19" s="123">
        <f t="shared" si="17"/>
        <v>2.3680477228624133</v>
      </c>
      <c r="D19" s="145">
        <f t="shared" si="18"/>
        <v>203.762766</v>
      </c>
      <c r="E19" s="125">
        <f t="shared" si="19"/>
        <v>41.10664924175272</v>
      </c>
      <c r="F19" s="146">
        <f t="shared" si="20"/>
        <v>2.216499140650495</v>
      </c>
      <c r="G19" s="127"/>
      <c r="H19" s="126">
        <f t="shared" si="21"/>
        <v>1.1036850429674754</v>
      </c>
      <c r="I19" s="230">
        <f>'[1]июль 20'!AI18</f>
        <v>0</v>
      </c>
      <c r="J19" s="247">
        <f>'[1]март 20'!AA18</f>
        <v>8.8439999999999994</v>
      </c>
      <c r="K19" s="276">
        <f>'[1]сентябрь 20'!AM18</f>
        <v>0</v>
      </c>
      <c r="L19" s="122">
        <f t="shared" si="22"/>
        <v>102.301</v>
      </c>
      <c r="M19" s="128">
        <f t="shared" si="23"/>
        <v>1.1128140976830199</v>
      </c>
      <c r="N19" s="400">
        <f>'[1]март 20'!W18</f>
        <v>26.285</v>
      </c>
      <c r="O19" s="403">
        <f>'[1]март 20'!AU18</f>
        <v>0</v>
      </c>
      <c r="P19" s="401">
        <f t="shared" si="0"/>
        <v>131.14699999999999</v>
      </c>
      <c r="Q19" s="122">
        <f>'[1]март 20'!S18</f>
        <v>131.14699999999999</v>
      </c>
      <c r="R19" s="123">
        <f t="shared" si="24"/>
        <v>1.49</v>
      </c>
      <c r="S19" s="129">
        <v>2.11</v>
      </c>
      <c r="T19" s="125">
        <f t="shared" si="1"/>
        <v>129.1929097</v>
      </c>
      <c r="U19" s="147">
        <f t="shared" si="2"/>
        <v>1.4053400380724466</v>
      </c>
      <c r="V19" s="130"/>
      <c r="W19" s="130">
        <v>24.78</v>
      </c>
      <c r="X19" s="129">
        <v>1.21</v>
      </c>
      <c r="Y19" s="131">
        <v>486</v>
      </c>
      <c r="Z19" s="150">
        <v>1131</v>
      </c>
      <c r="AA19" s="148" t="s">
        <v>210</v>
      </c>
      <c r="AB19" s="149">
        <v>74.23</v>
      </c>
      <c r="AC19" s="150">
        <v>85</v>
      </c>
      <c r="AD19" s="151">
        <v>4</v>
      </c>
      <c r="AE19" s="149">
        <v>2.2000000000000002</v>
      </c>
      <c r="AF19" s="134">
        <f t="shared" si="3"/>
        <v>23.931252039595346</v>
      </c>
      <c r="AG19" s="152"/>
      <c r="AH19" s="129">
        <v>81.25</v>
      </c>
      <c r="AI19" s="134">
        <f t="shared" si="4"/>
        <v>883.8246491896009</v>
      </c>
      <c r="AJ19" s="136">
        <v>11.11</v>
      </c>
      <c r="AK19" s="154"/>
      <c r="AL19" s="155">
        <v>9.7799999999999994</v>
      </c>
      <c r="AM19" s="156">
        <v>29.12</v>
      </c>
      <c r="AN19" s="126">
        <f t="shared" si="25"/>
        <v>0.22705653021442496</v>
      </c>
      <c r="AO19" s="157" t="s">
        <v>211</v>
      </c>
      <c r="AP19" s="156">
        <v>13.1</v>
      </c>
      <c r="AQ19" s="156">
        <v>4.51</v>
      </c>
      <c r="AR19" s="151"/>
      <c r="AS19" s="149">
        <v>8.65</v>
      </c>
      <c r="AT19" s="149">
        <v>128.25</v>
      </c>
      <c r="AU19" s="149">
        <v>2.58</v>
      </c>
      <c r="AV19" s="164"/>
      <c r="AW19" s="149"/>
      <c r="AX19" s="158">
        <f t="shared" si="5"/>
        <v>0</v>
      </c>
      <c r="AY19" s="125">
        <f t="shared" si="6"/>
        <v>91.929999999999993</v>
      </c>
      <c r="AZ19" s="125">
        <f t="shared" si="31"/>
        <v>100.56904996258839</v>
      </c>
      <c r="BA19" s="159">
        <f t="shared" si="7"/>
        <v>5.4443221830985911</v>
      </c>
      <c r="BB19" s="160">
        <f t="shared" si="8"/>
        <v>3.6771999999999996</v>
      </c>
      <c r="BC19" s="161">
        <f t="shared" si="9"/>
        <v>0.81470393895615834</v>
      </c>
      <c r="BD19" s="160">
        <f t="shared" si="26"/>
        <v>9.1215221830985911</v>
      </c>
      <c r="BE19" s="162">
        <v>0.86099999999999999</v>
      </c>
      <c r="BF19" s="25">
        <f t="shared" si="27"/>
        <v>1555.0099999999998</v>
      </c>
      <c r="BG19" s="25">
        <f t="shared" si="10"/>
        <v>124.19354838709677</v>
      </c>
      <c r="BH19" s="25">
        <f t="shared" si="28"/>
        <v>1614.5161290322585</v>
      </c>
      <c r="BI19" s="26">
        <f t="shared" si="11"/>
        <v>1</v>
      </c>
      <c r="BJ19" s="37">
        <f t="shared" si="29"/>
        <v>1614.5161290322585</v>
      </c>
      <c r="BK19" s="38"/>
      <c r="BL19" s="31">
        <v>42.643999999999998</v>
      </c>
      <c r="BM19" s="31"/>
      <c r="BN19" s="234">
        <v>102.301</v>
      </c>
      <c r="BO19" s="42">
        <v>63.76</v>
      </c>
      <c r="BP19" s="40"/>
      <c r="BQ19" s="411"/>
      <c r="BR19" s="33"/>
      <c r="BS19" s="34">
        <v>5.25</v>
      </c>
      <c r="BT19" s="35"/>
      <c r="BU19" s="28"/>
      <c r="BV19" s="287">
        <v>4.24</v>
      </c>
      <c r="BW19" s="287"/>
      <c r="BX19" s="36"/>
      <c r="BY19" s="33"/>
      <c r="BZ19" s="34">
        <v>37.9</v>
      </c>
      <c r="CA19" s="35"/>
      <c r="CB19" s="405">
        <v>44.23</v>
      </c>
      <c r="CC19" s="404">
        <v>38.24</v>
      </c>
      <c r="CD19" s="235"/>
      <c r="CE19" s="413"/>
      <c r="CF19" s="41">
        <v>131.14699999999999</v>
      </c>
      <c r="CG19" s="41"/>
      <c r="CH19" s="30"/>
      <c r="CI19" s="32"/>
      <c r="CJ19" s="33">
        <v>1.49</v>
      </c>
      <c r="CK19" s="33"/>
      <c r="CL19" s="33"/>
      <c r="CM19" s="36"/>
      <c r="CN19" s="286"/>
      <c r="CO19" s="249">
        <f t="shared" si="12"/>
        <v>0</v>
      </c>
      <c r="CP19" s="12">
        <f t="shared" si="12"/>
        <v>40.405189999999997</v>
      </c>
      <c r="CQ19" s="12">
        <f t="shared" si="12"/>
        <v>0</v>
      </c>
      <c r="CR19" s="12">
        <f t="shared" si="12"/>
        <v>102.301</v>
      </c>
      <c r="CS19" s="11">
        <f t="shared" si="12"/>
        <v>61.056576</v>
      </c>
      <c r="CT19" s="11">
        <f t="shared" si="12"/>
        <v>0</v>
      </c>
      <c r="CU19" s="272">
        <f t="shared" si="12"/>
        <v>0</v>
      </c>
      <c r="CV19" s="249">
        <f t="shared" si="13"/>
        <v>129.1929097</v>
      </c>
      <c r="CW19" s="251">
        <f t="shared" si="13"/>
        <v>0</v>
      </c>
      <c r="CX19" s="249">
        <f t="shared" si="13"/>
        <v>0</v>
      </c>
      <c r="CY19" s="272">
        <f t="shared" si="13"/>
        <v>0</v>
      </c>
      <c r="CZ19" s="13"/>
      <c r="DA19" s="240">
        <f>(D19+'[2]март 20 '!D19)/(AY19+'[2]март 20 '!AX19)</f>
        <v>2.6398025216221419</v>
      </c>
      <c r="DB19" s="241">
        <f>(T19+'[2]март 20 '!R19)/(AY19+'[2]март 20 '!AX19)</f>
        <v>1.6835345614709465</v>
      </c>
      <c r="DD19" s="292">
        <f t="shared" si="14"/>
        <v>8.8439999999999994</v>
      </c>
      <c r="DE19" s="291">
        <v>0.64</v>
      </c>
      <c r="DF19" s="291">
        <v>17.41</v>
      </c>
      <c r="DG19" s="145">
        <f t="shared" si="15"/>
        <v>8.7873983999999989</v>
      </c>
      <c r="DH19" s="293">
        <f t="shared" si="30"/>
        <v>2.0610077616058193</v>
      </c>
      <c r="DJ19" s="431"/>
      <c r="DL19" s="322"/>
    </row>
    <row r="20" spans="1:116" s="76" customFormat="1" ht="16.5" customHeight="1" thickBot="1">
      <c r="A20" s="144">
        <v>14</v>
      </c>
      <c r="B20" s="122">
        <f t="shared" si="16"/>
        <v>256.18200000000002</v>
      </c>
      <c r="C20" s="123">
        <f t="shared" si="17"/>
        <v>1.6495373211232638</v>
      </c>
      <c r="D20" s="145">
        <f t="shared" si="18"/>
        <v>251.95618230000002</v>
      </c>
      <c r="E20" s="125">
        <f t="shared" si="19"/>
        <v>40.9301168700377</v>
      </c>
      <c r="F20" s="146">
        <f t="shared" si="20"/>
        <v>2.4426193145904023</v>
      </c>
      <c r="G20" s="127"/>
      <c r="H20" s="126">
        <f t="shared" si="21"/>
        <v>1.3757361347552106</v>
      </c>
      <c r="I20" s="230">
        <f>'[1]июль 20'!AI19</f>
        <v>0</v>
      </c>
      <c r="J20" s="247">
        <f>'[1]март 20'!AA19</f>
        <v>10.614000000000001</v>
      </c>
      <c r="K20" s="276">
        <f>'[1]сентябрь 20'!AM19</f>
        <v>0</v>
      </c>
      <c r="L20" s="122">
        <f t="shared" si="22"/>
        <v>110.04900000000001</v>
      </c>
      <c r="M20" s="128">
        <f t="shared" si="23"/>
        <v>1.0668831798351914</v>
      </c>
      <c r="N20" s="400">
        <f>'[1]март 20'!W19</f>
        <v>17.951000000000001</v>
      </c>
      <c r="O20" s="403">
        <f>'[1]март 20'!AU19</f>
        <v>0</v>
      </c>
      <c r="P20" s="401">
        <f t="shared" si="0"/>
        <v>156.88200000000001</v>
      </c>
      <c r="Q20" s="122">
        <f>'[1]март 20'!S19</f>
        <v>156.88200000000001</v>
      </c>
      <c r="R20" s="123">
        <f t="shared" si="24"/>
        <v>1.68</v>
      </c>
      <c r="S20" s="129">
        <v>10.45</v>
      </c>
      <c r="T20" s="125">
        <f t="shared" si="1"/>
        <v>154.24638239999999</v>
      </c>
      <c r="U20" s="147">
        <f t="shared" si="2"/>
        <v>1.4953599844886085</v>
      </c>
      <c r="V20" s="130">
        <v>54.67</v>
      </c>
      <c r="W20" s="130">
        <v>21.82</v>
      </c>
      <c r="X20" s="129">
        <v>1.27</v>
      </c>
      <c r="Y20" s="131">
        <v>496</v>
      </c>
      <c r="Z20" s="150">
        <v>1146</v>
      </c>
      <c r="AA20" s="168" t="s">
        <v>212</v>
      </c>
      <c r="AB20" s="149">
        <v>74.69</v>
      </c>
      <c r="AC20" s="150">
        <v>104</v>
      </c>
      <c r="AD20" s="151">
        <v>4</v>
      </c>
      <c r="AE20" s="149">
        <v>2.25</v>
      </c>
      <c r="AF20" s="134">
        <f t="shared" si="3"/>
        <v>21.812893843916623</v>
      </c>
      <c r="AG20" s="152"/>
      <c r="AH20" s="129">
        <v>98.15</v>
      </c>
      <c r="AI20" s="134">
        <f t="shared" si="4"/>
        <v>951.52690256907408</v>
      </c>
      <c r="AJ20" s="153">
        <v>10.29</v>
      </c>
      <c r="AK20" s="154"/>
      <c r="AL20" s="155">
        <v>8.11</v>
      </c>
      <c r="AM20" s="156">
        <v>30.38</v>
      </c>
      <c r="AN20" s="126">
        <f t="shared" si="25"/>
        <v>0.21848256023013302</v>
      </c>
      <c r="AO20" s="157" t="s">
        <v>213</v>
      </c>
      <c r="AP20" s="156">
        <v>11.64</v>
      </c>
      <c r="AQ20" s="156">
        <v>4.43</v>
      </c>
      <c r="AR20" s="149"/>
      <c r="AS20" s="149">
        <v>9.1199999999999992</v>
      </c>
      <c r="AT20" s="149">
        <v>139.05000000000001</v>
      </c>
      <c r="AU20" s="149">
        <v>2.59</v>
      </c>
      <c r="AV20" s="149"/>
      <c r="AW20" s="149"/>
      <c r="AX20" s="158">
        <f t="shared" si="5"/>
        <v>0</v>
      </c>
      <c r="AY20" s="125">
        <f t="shared" si="6"/>
        <v>103.15</v>
      </c>
      <c r="AZ20" s="125">
        <f t="shared" si="31"/>
        <v>122.92019123237046</v>
      </c>
      <c r="BA20" s="159">
        <f t="shared" si="7"/>
        <v>6.9340901408450693</v>
      </c>
      <c r="BB20" s="160">
        <f t="shared" si="8"/>
        <v>4.1260000000000003</v>
      </c>
      <c r="BC20" s="161">
        <f t="shared" si="9"/>
        <v>0.74707411297924131</v>
      </c>
      <c r="BD20" s="160">
        <f t="shared" si="26"/>
        <v>11.06009014084507</v>
      </c>
      <c r="BE20" s="162">
        <v>0.85299999999999998</v>
      </c>
      <c r="BF20" s="25">
        <f t="shared" si="27"/>
        <v>1658.1599999999999</v>
      </c>
      <c r="BG20" s="25">
        <f t="shared" si="10"/>
        <v>124.19354838709677</v>
      </c>
      <c r="BH20" s="25">
        <f t="shared" si="28"/>
        <v>1738.7096774193553</v>
      </c>
      <c r="BI20" s="26">
        <f t="shared" si="11"/>
        <v>1</v>
      </c>
      <c r="BJ20" s="37">
        <f t="shared" si="29"/>
        <v>1738.7096774193553</v>
      </c>
      <c r="BK20" s="38"/>
      <c r="BL20" s="31">
        <v>85.137</v>
      </c>
      <c r="BM20" s="31"/>
      <c r="BN20" s="234">
        <v>110.04900000000001</v>
      </c>
      <c r="BO20" s="42">
        <v>60.996000000000002</v>
      </c>
      <c r="BP20" s="40"/>
      <c r="BQ20" s="411"/>
      <c r="BR20" s="33"/>
      <c r="BS20" s="34">
        <v>1.89</v>
      </c>
      <c r="BT20" s="35"/>
      <c r="BU20" s="28"/>
      <c r="BV20" s="287">
        <v>4.29</v>
      </c>
      <c r="BW20" s="287"/>
      <c r="BX20" s="36"/>
      <c r="BY20" s="33"/>
      <c r="BZ20" s="34">
        <v>38.630000000000003</v>
      </c>
      <c r="CA20" s="35"/>
      <c r="CB20" s="405">
        <v>44.45</v>
      </c>
      <c r="CC20" s="404">
        <v>37.79</v>
      </c>
      <c r="CD20" s="235"/>
      <c r="CE20" s="413"/>
      <c r="CF20" s="30">
        <v>156.88200000000001</v>
      </c>
      <c r="CG20" s="30"/>
      <c r="CH20" s="31"/>
      <c r="CI20" s="32"/>
      <c r="CJ20" s="33">
        <v>1.68</v>
      </c>
      <c r="CK20" s="33"/>
      <c r="CL20" s="35"/>
      <c r="CM20" s="36"/>
      <c r="CN20" s="286"/>
      <c r="CO20" s="249">
        <f t="shared" si="12"/>
        <v>0</v>
      </c>
      <c r="CP20" s="12">
        <f t="shared" si="12"/>
        <v>83.527910699999993</v>
      </c>
      <c r="CQ20" s="12">
        <f t="shared" si="12"/>
        <v>0</v>
      </c>
      <c r="CR20" s="12">
        <f t="shared" si="12"/>
        <v>110.04900000000001</v>
      </c>
      <c r="CS20" s="11">
        <f t="shared" si="12"/>
        <v>58.379271599999996</v>
      </c>
      <c r="CT20" s="11">
        <f t="shared" si="12"/>
        <v>0</v>
      </c>
      <c r="CU20" s="272">
        <f t="shared" si="12"/>
        <v>0</v>
      </c>
      <c r="CV20" s="249">
        <f t="shared" si="13"/>
        <v>154.24638239999999</v>
      </c>
      <c r="CW20" s="12">
        <f t="shared" si="13"/>
        <v>0</v>
      </c>
      <c r="CX20" s="249">
        <f t="shared" si="13"/>
        <v>0</v>
      </c>
      <c r="CY20" s="272">
        <f t="shared" si="13"/>
        <v>0</v>
      </c>
      <c r="CZ20" s="13"/>
      <c r="DA20" s="240">
        <f>(D20+'[2]март 20 '!D20)/(AY20+'[2]март 20 '!AX20)</f>
        <v>2.3735605933310113</v>
      </c>
      <c r="DB20" s="241">
        <f>(T20+'[2]март 20 '!R20)/(AY20+'[2]март 20 '!AX20)</f>
        <v>1.4749973115096637</v>
      </c>
      <c r="DD20" s="292">
        <f t="shared" si="14"/>
        <v>10.614000000000001</v>
      </c>
      <c r="DE20" s="291">
        <v>1.46</v>
      </c>
      <c r="DF20" s="291">
        <v>17.02</v>
      </c>
      <c r="DG20" s="145">
        <f t="shared" si="15"/>
        <v>10.459035600000002</v>
      </c>
      <c r="DH20" s="293">
        <f t="shared" si="30"/>
        <v>2.3833550128799041</v>
      </c>
      <c r="DJ20" s="431"/>
      <c r="DL20" s="322"/>
    </row>
    <row r="21" spans="1:116" s="76" customFormat="1" ht="16.5" customHeight="1" thickBot="1">
      <c r="A21" s="144">
        <v>15</v>
      </c>
      <c r="B21" s="122">
        <f t="shared" si="16"/>
        <v>271.26499999999999</v>
      </c>
      <c r="C21" s="123">
        <f t="shared" si="17"/>
        <v>1.4067140250308741</v>
      </c>
      <c r="D21" s="145">
        <f t="shared" si="18"/>
        <v>267.44907719999998</v>
      </c>
      <c r="E21" s="125">
        <f t="shared" si="19"/>
        <v>39.643360145982719</v>
      </c>
      <c r="F21" s="146">
        <f t="shared" si="20"/>
        <v>2.4413425577361929</v>
      </c>
      <c r="G21" s="127"/>
      <c r="H21" s="126">
        <f t="shared" si="21"/>
        <v>1.6429217453217706</v>
      </c>
      <c r="I21" s="230">
        <f>'[1]июль 20'!AI20</f>
        <v>0</v>
      </c>
      <c r="J21" s="247">
        <f>'[1]март 20'!AA20</f>
        <v>11.323</v>
      </c>
      <c r="K21" s="276">
        <f>'[1]сентябрь 20'!AM20</f>
        <v>0</v>
      </c>
      <c r="L21" s="122">
        <f t="shared" si="22"/>
        <v>87.466999999999999</v>
      </c>
      <c r="M21" s="128">
        <f t="shared" si="23"/>
        <v>0.79842081241442242</v>
      </c>
      <c r="N21" s="400">
        <f>'[1]март 20'!W20</f>
        <v>0</v>
      </c>
      <c r="O21" s="403">
        <f>'[1]март 20'!AU20</f>
        <v>5.6120000000000001</v>
      </c>
      <c r="P21" s="401">
        <f t="shared" si="0"/>
        <v>168.02099999999999</v>
      </c>
      <c r="Q21" s="122">
        <f>'[1]март 20'!S20</f>
        <v>168.02099999999999</v>
      </c>
      <c r="R21" s="123">
        <f t="shared" si="24"/>
        <v>1.6399999999999997</v>
      </c>
      <c r="S21" s="129">
        <v>8.24</v>
      </c>
      <c r="T21" s="125">
        <f t="shared" si="1"/>
        <v>165.2654556</v>
      </c>
      <c r="U21" s="147">
        <f t="shared" si="2"/>
        <v>1.5085847156549517</v>
      </c>
      <c r="V21" s="130"/>
      <c r="W21" s="130">
        <v>54.3</v>
      </c>
      <c r="X21" s="129">
        <v>1.1200000000000001</v>
      </c>
      <c r="Y21" s="131">
        <v>550</v>
      </c>
      <c r="Z21" s="150">
        <v>1149</v>
      </c>
      <c r="AA21" s="168" t="s">
        <v>188</v>
      </c>
      <c r="AB21" s="149">
        <v>73.53</v>
      </c>
      <c r="AC21" s="150">
        <v>110</v>
      </c>
      <c r="AD21" s="151">
        <v>4</v>
      </c>
      <c r="AE21" s="149">
        <v>1.65</v>
      </c>
      <c r="AF21" s="134">
        <f t="shared" si="3"/>
        <v>15.061615700593332</v>
      </c>
      <c r="AG21" s="152"/>
      <c r="AH21" s="129">
        <v>85.8</v>
      </c>
      <c r="AI21" s="134">
        <f t="shared" si="4"/>
        <v>783.20401643085324</v>
      </c>
      <c r="AJ21" s="136">
        <v>12.42</v>
      </c>
      <c r="AK21" s="154"/>
      <c r="AL21" s="155">
        <v>7.95</v>
      </c>
      <c r="AM21" s="156">
        <v>37.340000000000003</v>
      </c>
      <c r="AN21" s="126">
        <f t="shared" si="25"/>
        <v>0.24477220583415274</v>
      </c>
      <c r="AO21" s="157" t="s">
        <v>214</v>
      </c>
      <c r="AP21" s="156">
        <v>11</v>
      </c>
      <c r="AQ21" s="156">
        <v>5.5</v>
      </c>
      <c r="AR21" s="149"/>
      <c r="AS21" s="149">
        <v>7.14</v>
      </c>
      <c r="AT21" s="149">
        <v>152.55000000000001</v>
      </c>
      <c r="AU21" s="149">
        <v>2.29</v>
      </c>
      <c r="AV21" s="149"/>
      <c r="AW21" s="149"/>
      <c r="AX21" s="158">
        <f t="shared" si="5"/>
        <v>0</v>
      </c>
      <c r="AY21" s="125">
        <f t="shared" si="6"/>
        <v>109.55000000000003</v>
      </c>
      <c r="AZ21" s="125">
        <f t="shared" si="31"/>
        <v>127.58121104046296</v>
      </c>
      <c r="BA21" s="159">
        <f t="shared" si="7"/>
        <v>4.7455859154929572</v>
      </c>
      <c r="BB21" s="160">
        <f t="shared" si="8"/>
        <v>4.3820000000000014</v>
      </c>
      <c r="BC21" s="161">
        <f t="shared" si="9"/>
        <v>0.75974068887276547</v>
      </c>
      <c r="BD21" s="160">
        <f t="shared" si="26"/>
        <v>9.1275859154929577</v>
      </c>
      <c r="BE21" s="162">
        <v>0.84599999999999997</v>
      </c>
      <c r="BF21" s="25">
        <f t="shared" si="27"/>
        <v>1767.7099999999998</v>
      </c>
      <c r="BG21" s="25">
        <f t="shared" si="10"/>
        <v>124.19354838709677</v>
      </c>
      <c r="BH21" s="25">
        <f t="shared" si="28"/>
        <v>1862.9032258064522</v>
      </c>
      <c r="BI21" s="26">
        <f t="shared" si="11"/>
        <v>1</v>
      </c>
      <c r="BJ21" s="37">
        <f t="shared" si="29"/>
        <v>1862.9032258064522</v>
      </c>
      <c r="BK21" s="38"/>
      <c r="BL21" s="31">
        <v>161.40100000000001</v>
      </c>
      <c r="BM21" s="31"/>
      <c r="BN21" s="234">
        <v>87.466999999999999</v>
      </c>
      <c r="BO21" s="42">
        <v>22.396999999999998</v>
      </c>
      <c r="BP21" s="40"/>
      <c r="BQ21" s="411"/>
      <c r="BR21" s="33"/>
      <c r="BS21" s="34">
        <v>1.83</v>
      </c>
      <c r="BT21" s="35"/>
      <c r="BU21" s="35"/>
      <c r="BV21" s="235">
        <v>3.85</v>
      </c>
      <c r="BW21" s="235"/>
      <c r="BX21" s="36"/>
      <c r="BY21" s="33"/>
      <c r="BZ21" s="34">
        <v>37.409999999999997</v>
      </c>
      <c r="CA21" s="35"/>
      <c r="CB21" s="405">
        <v>43.96</v>
      </c>
      <c r="CC21" s="404">
        <v>38.880000000000003</v>
      </c>
      <c r="CD21" s="235"/>
      <c r="CE21" s="413"/>
      <c r="CF21" s="30">
        <v>168.02099999999999</v>
      </c>
      <c r="CG21" s="30"/>
      <c r="CH21" s="31"/>
      <c r="CI21" s="32"/>
      <c r="CJ21" s="33">
        <v>1.64</v>
      </c>
      <c r="CK21" s="33"/>
      <c r="CL21" s="35"/>
      <c r="CM21" s="36"/>
      <c r="CN21" s="286"/>
      <c r="CO21" s="249">
        <f t="shared" si="12"/>
        <v>0</v>
      </c>
      <c r="CP21" s="12">
        <f t="shared" si="12"/>
        <v>158.44736170000002</v>
      </c>
      <c r="CQ21" s="12">
        <f t="shared" si="12"/>
        <v>0</v>
      </c>
      <c r="CR21" s="12">
        <f t="shared" si="12"/>
        <v>87.466999999999999</v>
      </c>
      <c r="CS21" s="11">
        <f t="shared" si="12"/>
        <v>21.534715499999997</v>
      </c>
      <c r="CT21" s="11">
        <f t="shared" si="12"/>
        <v>0</v>
      </c>
      <c r="CU21" s="272">
        <f t="shared" si="12"/>
        <v>0</v>
      </c>
      <c r="CV21" s="249">
        <f t="shared" si="13"/>
        <v>165.2654556</v>
      </c>
      <c r="CW21" s="12">
        <f t="shared" si="13"/>
        <v>0</v>
      </c>
      <c r="CX21" s="249">
        <f t="shared" si="13"/>
        <v>0</v>
      </c>
      <c r="CY21" s="272">
        <f t="shared" si="13"/>
        <v>0</v>
      </c>
      <c r="CZ21" s="13"/>
      <c r="DA21" s="240">
        <f>(D21+'[2]март 20 '!D21)/(AY21+'[2]март 20 '!AX21)</f>
        <v>2.416259529070758</v>
      </c>
      <c r="DB21" s="241">
        <f>(T21+'[2]март 20 '!R21)/(AY21+'[2]март 20 '!AX21)</f>
        <v>1.5010245715260015</v>
      </c>
      <c r="DD21" s="292">
        <f t="shared" si="14"/>
        <v>11.323</v>
      </c>
      <c r="DE21" s="291">
        <v>0.55000000000000004</v>
      </c>
      <c r="DF21" s="291">
        <v>11.1</v>
      </c>
      <c r="DG21" s="145">
        <f t="shared" si="15"/>
        <v>11.260723500000001</v>
      </c>
      <c r="DH21" s="293">
        <f t="shared" si="30"/>
        <v>1.6999052203182374</v>
      </c>
      <c r="DJ21" s="431"/>
      <c r="DL21" s="322"/>
    </row>
    <row r="22" spans="1:116" s="76" customFormat="1" ht="16.5" customHeight="1" thickBot="1">
      <c r="A22" s="144">
        <v>16</v>
      </c>
      <c r="B22" s="122">
        <f t="shared" si="16"/>
        <v>273.16700000000003</v>
      </c>
      <c r="C22" s="123">
        <f t="shared" si="17"/>
        <v>1.3557937818257695</v>
      </c>
      <c r="D22" s="145">
        <f t="shared" si="18"/>
        <v>269.46341880000006</v>
      </c>
      <c r="E22" s="125">
        <f t="shared" si="19"/>
        <v>39.513568439818862</v>
      </c>
      <c r="F22" s="146">
        <f t="shared" si="20"/>
        <v>2.3068523140142116</v>
      </c>
      <c r="G22" s="127"/>
      <c r="H22" s="126">
        <f t="shared" si="21"/>
        <v>1.6547848540364698</v>
      </c>
      <c r="I22" s="230">
        <f>'[1]июль 20'!AI21</f>
        <v>0</v>
      </c>
      <c r="J22" s="247">
        <f>'[1]март 20'!AA21</f>
        <v>10.778</v>
      </c>
      <c r="K22" s="276">
        <f>'[1]сентябрь 20'!AM21</f>
        <v>0</v>
      </c>
      <c r="L22" s="122">
        <f t="shared" si="22"/>
        <v>76.168000000000006</v>
      </c>
      <c r="M22" s="128">
        <f t="shared" si="23"/>
        <v>0.65206745997774174</v>
      </c>
      <c r="N22" s="400">
        <f>'[1]март 20'!W21</f>
        <v>0</v>
      </c>
      <c r="O22" s="403">
        <f>'[1]март 20'!AU21</f>
        <v>9.23</v>
      </c>
      <c r="P22" s="401">
        <f t="shared" si="0"/>
        <v>168.654</v>
      </c>
      <c r="Q22" s="122">
        <f>'[1]март 20'!S21</f>
        <v>168.654</v>
      </c>
      <c r="R22" s="123">
        <f t="shared" si="24"/>
        <v>1.56</v>
      </c>
      <c r="S22" s="129">
        <v>5.53</v>
      </c>
      <c r="T22" s="125">
        <f t="shared" si="1"/>
        <v>166.0229976</v>
      </c>
      <c r="U22" s="147">
        <f t="shared" si="2"/>
        <v>1.4213080866364183</v>
      </c>
      <c r="V22" s="130"/>
      <c r="W22" s="130"/>
      <c r="X22" s="129">
        <v>1.59</v>
      </c>
      <c r="Y22" s="131">
        <v>566</v>
      </c>
      <c r="Z22" s="150">
        <v>1157</v>
      </c>
      <c r="AA22" s="148" t="s">
        <v>141</v>
      </c>
      <c r="AB22" s="149">
        <v>73.78</v>
      </c>
      <c r="AC22" s="150">
        <v>111</v>
      </c>
      <c r="AD22" s="151">
        <v>4</v>
      </c>
      <c r="AE22" s="149">
        <v>6.1</v>
      </c>
      <c r="AF22" s="134">
        <f t="shared" si="3"/>
        <v>52.221556373598155</v>
      </c>
      <c r="AG22" s="152"/>
      <c r="AH22" s="129">
        <v>78.25</v>
      </c>
      <c r="AI22" s="134">
        <f t="shared" si="4"/>
        <v>669.89127643181246</v>
      </c>
      <c r="AJ22" s="153">
        <v>11.44</v>
      </c>
      <c r="AK22" s="154"/>
      <c r="AL22" s="155">
        <v>5.03</v>
      </c>
      <c r="AM22" s="156">
        <v>36.93</v>
      </c>
      <c r="AN22" s="126">
        <f t="shared" si="25"/>
        <v>0.23522292993630572</v>
      </c>
      <c r="AO22" s="157" t="s">
        <v>215</v>
      </c>
      <c r="AP22" s="156">
        <v>10.68</v>
      </c>
      <c r="AQ22" s="156">
        <v>6.36</v>
      </c>
      <c r="AR22" s="151"/>
      <c r="AS22" s="149">
        <v>6.05</v>
      </c>
      <c r="AT22" s="149">
        <v>157</v>
      </c>
      <c r="AU22" s="149">
        <v>1.77</v>
      </c>
      <c r="AV22" s="149"/>
      <c r="AW22" s="149"/>
      <c r="AX22" s="158">
        <f t="shared" si="5"/>
        <v>0</v>
      </c>
      <c r="AY22" s="125">
        <f t="shared" si="6"/>
        <v>116.80999999999999</v>
      </c>
      <c r="AZ22" s="125">
        <f t="shared" si="31"/>
        <v>127.87236681165817</v>
      </c>
      <c r="BA22" s="159">
        <f t="shared" si="7"/>
        <v>3.6672799295774645</v>
      </c>
      <c r="BB22" s="160">
        <f t="shared" si="8"/>
        <v>4.6723999999999997</v>
      </c>
      <c r="BC22" s="161">
        <f t="shared" si="9"/>
        <v>0.80941753203954758</v>
      </c>
      <c r="BD22" s="160">
        <f t="shared" si="26"/>
        <v>8.3396799295774642</v>
      </c>
      <c r="BE22" s="162">
        <v>0.84399999999999997</v>
      </c>
      <c r="BF22" s="25">
        <f t="shared" si="27"/>
        <v>1884.5199999999998</v>
      </c>
      <c r="BG22" s="25">
        <f t="shared" si="10"/>
        <v>124.19354838709677</v>
      </c>
      <c r="BH22" s="25">
        <f t="shared" si="28"/>
        <v>1987.096774193549</v>
      </c>
      <c r="BI22" s="26">
        <f t="shared" si="11"/>
        <v>1</v>
      </c>
      <c r="BJ22" s="37">
        <f t="shared" si="29"/>
        <v>1987.096774193549</v>
      </c>
      <c r="BK22" s="38"/>
      <c r="BL22" s="31">
        <v>196.999</v>
      </c>
      <c r="BM22" s="31"/>
      <c r="BN22" s="234">
        <v>76.168000000000006</v>
      </c>
      <c r="BO22" s="42"/>
      <c r="BP22" s="40"/>
      <c r="BQ22" s="411"/>
      <c r="BR22" s="33"/>
      <c r="BS22" s="34">
        <v>1.88</v>
      </c>
      <c r="BT22" s="35"/>
      <c r="BU22" s="35"/>
      <c r="BV22" s="235"/>
      <c r="BW22" s="235"/>
      <c r="BX22" s="36"/>
      <c r="BY22" s="33"/>
      <c r="BZ22" s="34">
        <v>37.69</v>
      </c>
      <c r="CA22" s="35"/>
      <c r="CB22" s="405">
        <v>44.23</v>
      </c>
      <c r="CC22" s="404"/>
      <c r="CD22" s="235"/>
      <c r="CE22" s="413"/>
      <c r="CF22" s="30">
        <v>168.654</v>
      </c>
      <c r="CG22" s="30"/>
      <c r="CH22" s="31"/>
      <c r="CI22" s="32"/>
      <c r="CJ22" s="33">
        <v>1.56</v>
      </c>
      <c r="CK22" s="33"/>
      <c r="CL22" s="35"/>
      <c r="CM22" s="36"/>
      <c r="CN22" s="286"/>
      <c r="CO22" s="249">
        <f t="shared" si="12"/>
        <v>0</v>
      </c>
      <c r="CP22" s="12">
        <f t="shared" si="12"/>
        <v>193.29541880000002</v>
      </c>
      <c r="CQ22" s="12">
        <f t="shared" si="12"/>
        <v>0</v>
      </c>
      <c r="CR22" s="12">
        <f t="shared" si="12"/>
        <v>76.168000000000006</v>
      </c>
      <c r="CS22" s="11">
        <f t="shared" si="12"/>
        <v>0</v>
      </c>
      <c r="CT22" s="11">
        <f t="shared" si="12"/>
        <v>0</v>
      </c>
      <c r="CU22" s="272">
        <f t="shared" si="12"/>
        <v>0</v>
      </c>
      <c r="CV22" s="249">
        <f t="shared" si="13"/>
        <v>166.0229976</v>
      </c>
      <c r="CW22" s="12">
        <f t="shared" si="13"/>
        <v>0</v>
      </c>
      <c r="CX22" s="249">
        <f t="shared" si="13"/>
        <v>0</v>
      </c>
      <c r="CY22" s="272">
        <f t="shared" si="13"/>
        <v>0</v>
      </c>
      <c r="CZ22" s="13"/>
      <c r="DA22" s="240">
        <f>(D22+'[2]март 20 '!D22)/(AY22+'[2]март 20 '!AX22)</f>
        <v>2.1406449317382128</v>
      </c>
      <c r="DB22" s="241">
        <f>(T22+'[2]март 20 '!R22)/(AY22+'[2]март 20 '!AX22)</f>
        <v>1.3015425688951443</v>
      </c>
      <c r="DD22" s="292">
        <f t="shared" si="14"/>
        <v>10.778</v>
      </c>
      <c r="DE22" s="291">
        <v>0.43</v>
      </c>
      <c r="DF22" s="291">
        <v>12.97</v>
      </c>
      <c r="DG22" s="145">
        <f t="shared" si="15"/>
        <v>10.731654599999999</v>
      </c>
      <c r="DH22" s="293">
        <f t="shared" si="30"/>
        <v>1.8865486603686634</v>
      </c>
      <c r="DJ22" s="431"/>
      <c r="DL22" s="322"/>
    </row>
    <row r="23" spans="1:116" s="76" customFormat="1" ht="16.5" customHeight="1" thickBot="1">
      <c r="A23" s="144">
        <v>17</v>
      </c>
      <c r="B23" s="122">
        <f t="shared" si="16"/>
        <v>258.80799999999999</v>
      </c>
      <c r="C23" s="123">
        <f t="shared" si="17"/>
        <v>1.1682235479583323</v>
      </c>
      <c r="D23" s="145">
        <f t="shared" si="18"/>
        <v>255.78454399999998</v>
      </c>
      <c r="E23" s="125">
        <f t="shared" si="19"/>
        <v>39.155832354486726</v>
      </c>
      <c r="F23" s="146">
        <f t="shared" si="20"/>
        <v>2.0535046885035326</v>
      </c>
      <c r="G23" s="127"/>
      <c r="H23" s="126">
        <f t="shared" si="21"/>
        <v>1.4927949903660891</v>
      </c>
      <c r="I23" s="230">
        <f>'[1]июль 20'!AI22</f>
        <v>0</v>
      </c>
      <c r="J23" s="247">
        <f>'[1]март 20'!AA22</f>
        <v>10.395</v>
      </c>
      <c r="K23" s="276">
        <f>'[1]сентябрь 20'!AM22</f>
        <v>0</v>
      </c>
      <c r="L23" s="122">
        <f t="shared" si="22"/>
        <v>69.841999999999999</v>
      </c>
      <c r="M23" s="128">
        <f t="shared" si="23"/>
        <v>0.56070969813744387</v>
      </c>
      <c r="N23" s="400">
        <f>'[1]март 20'!W22</f>
        <v>0</v>
      </c>
      <c r="O23" s="403">
        <f>'[1]март 20'!AU22</f>
        <v>10.236000000000001</v>
      </c>
      <c r="P23" s="401">
        <f t="shared" si="0"/>
        <v>158.721</v>
      </c>
      <c r="Q23" s="122">
        <f>'[1]март 20'!S22</f>
        <v>158.721</v>
      </c>
      <c r="R23" s="123">
        <f t="shared" si="24"/>
        <v>2.66</v>
      </c>
      <c r="S23" s="129">
        <v>3.41</v>
      </c>
      <c r="T23" s="125">
        <f t="shared" si="1"/>
        <v>154.4990214</v>
      </c>
      <c r="U23" s="147">
        <f t="shared" si="2"/>
        <v>1.2403582321772642</v>
      </c>
      <c r="V23" s="130">
        <v>124.56</v>
      </c>
      <c r="W23" s="130">
        <v>124.56</v>
      </c>
      <c r="X23" s="129">
        <v>0.55000000000000004</v>
      </c>
      <c r="Y23" s="131">
        <v>531</v>
      </c>
      <c r="Z23" s="150">
        <v>1157</v>
      </c>
      <c r="AA23" s="148" t="s">
        <v>155</v>
      </c>
      <c r="AB23" s="149">
        <v>75.78</v>
      </c>
      <c r="AC23" s="150">
        <v>105</v>
      </c>
      <c r="AD23" s="151">
        <v>4</v>
      </c>
      <c r="AE23" s="149">
        <v>4.7</v>
      </c>
      <c r="AF23" s="134">
        <f t="shared" si="3"/>
        <v>37.732819524727049</v>
      </c>
      <c r="AG23" s="152"/>
      <c r="AH23" s="129">
        <v>107.3</v>
      </c>
      <c r="AI23" s="134">
        <f t="shared" si="4"/>
        <v>861.43224149004504</v>
      </c>
      <c r="AJ23" s="136">
        <v>16.43</v>
      </c>
      <c r="AK23" s="154"/>
      <c r="AL23" s="155">
        <v>5.49</v>
      </c>
      <c r="AM23" s="156">
        <v>36.46</v>
      </c>
      <c r="AN23" s="126">
        <f t="shared" si="25"/>
        <v>0.22090275674038171</v>
      </c>
      <c r="AO23" s="157" t="s">
        <v>184</v>
      </c>
      <c r="AP23" s="156">
        <v>8.56</v>
      </c>
      <c r="AQ23" s="156">
        <v>6.77</v>
      </c>
      <c r="AR23" s="151"/>
      <c r="AS23" s="149">
        <v>8.41</v>
      </c>
      <c r="AT23" s="149">
        <v>165.05</v>
      </c>
      <c r="AU23" s="149">
        <v>1.46</v>
      </c>
      <c r="AV23" s="149"/>
      <c r="AW23" s="149"/>
      <c r="AX23" s="158">
        <f t="shared" si="5"/>
        <v>0</v>
      </c>
      <c r="AY23" s="125">
        <f t="shared" si="6"/>
        <v>124.55999999999999</v>
      </c>
      <c r="AZ23" s="125">
        <f t="shared" si="31"/>
        <v>117.4138979586799</v>
      </c>
      <c r="BA23" s="159">
        <f t="shared" si="7"/>
        <v>6.9903683098591545</v>
      </c>
      <c r="BB23" s="160">
        <f t="shared" si="8"/>
        <v>4.9823999999999993</v>
      </c>
      <c r="BC23" s="161">
        <f>IF((D23*E23)=0,0,(AY23*AB23)/(D23*E23))</f>
        <v>0.94245894724229373</v>
      </c>
      <c r="BD23" s="160">
        <f t="shared" si="26"/>
        <v>11.972768309859154</v>
      </c>
      <c r="BE23" s="162">
        <v>0.85</v>
      </c>
      <c r="BF23" s="25">
        <f t="shared" si="27"/>
        <v>2009.0799999999997</v>
      </c>
      <c r="BG23" s="25">
        <f t="shared" si="10"/>
        <v>124.19354838709677</v>
      </c>
      <c r="BH23" s="25">
        <f t="shared" si="28"/>
        <v>2111.2903225806458</v>
      </c>
      <c r="BI23" s="26">
        <f t="shared" si="11"/>
        <v>1</v>
      </c>
      <c r="BJ23" s="37">
        <f t="shared" si="29"/>
        <v>2111.2903225806458</v>
      </c>
      <c r="BK23" s="38"/>
      <c r="BL23" s="31">
        <v>188.96600000000001</v>
      </c>
      <c r="BM23" s="31"/>
      <c r="BN23" s="234">
        <v>69.841999999999999</v>
      </c>
      <c r="BO23" s="42"/>
      <c r="BP23" s="40"/>
      <c r="BQ23" s="411"/>
      <c r="BR23" s="33"/>
      <c r="BS23" s="34">
        <v>1.6</v>
      </c>
      <c r="BT23" s="35"/>
      <c r="BU23" s="35"/>
      <c r="BV23" s="235"/>
      <c r="BW23" s="235"/>
      <c r="BX23" s="36"/>
      <c r="BY23" s="33"/>
      <c r="BZ23" s="34">
        <v>37.479999999999997</v>
      </c>
      <c r="CA23" s="35"/>
      <c r="CB23" s="405">
        <v>43.69</v>
      </c>
      <c r="CC23" s="404"/>
      <c r="CD23" s="235"/>
      <c r="CE23" s="413"/>
      <c r="CF23" s="30">
        <v>158.721</v>
      </c>
      <c r="CG23" s="30"/>
      <c r="CH23" s="31"/>
      <c r="CI23" s="32"/>
      <c r="CJ23" s="33">
        <v>2.66</v>
      </c>
      <c r="CK23" s="33"/>
      <c r="CL23" s="35"/>
      <c r="CM23" s="36"/>
      <c r="CN23" s="286"/>
      <c r="CO23" s="249">
        <f t="shared" ref="CO23:CU37" si="32">BK23*((100-BR23)/100)</f>
        <v>0</v>
      </c>
      <c r="CP23" s="12">
        <f t="shared" si="32"/>
        <v>185.94254400000003</v>
      </c>
      <c r="CQ23" s="12">
        <f t="shared" si="32"/>
        <v>0</v>
      </c>
      <c r="CR23" s="12">
        <f t="shared" si="32"/>
        <v>69.841999999999999</v>
      </c>
      <c r="CS23" s="11">
        <f t="shared" si="32"/>
        <v>0</v>
      </c>
      <c r="CT23" s="11">
        <f t="shared" si="32"/>
        <v>0</v>
      </c>
      <c r="CU23" s="272">
        <f t="shared" si="32"/>
        <v>0</v>
      </c>
      <c r="CV23" s="249">
        <f t="shared" si="13"/>
        <v>154.4990214</v>
      </c>
      <c r="CW23" s="11">
        <f t="shared" si="13"/>
        <v>0</v>
      </c>
      <c r="CX23" s="249">
        <f t="shared" si="13"/>
        <v>0</v>
      </c>
      <c r="CY23" s="272">
        <f t="shared" si="13"/>
        <v>0</v>
      </c>
      <c r="CZ23" s="13"/>
      <c r="DA23" s="240">
        <f>(D23+'[2]март 20 '!D23)/(AY23+'[2]март 20 '!AX23)</f>
        <v>2.1219030499748168</v>
      </c>
      <c r="DB23" s="241">
        <f>(T23+'[2]март 20 '!R23)/(AY23+'[2]март 20 '!AX23)</f>
        <v>1.2791678924394201</v>
      </c>
      <c r="DD23" s="292">
        <f t="shared" si="14"/>
        <v>10.395</v>
      </c>
      <c r="DE23" s="291">
        <v>0.42</v>
      </c>
      <c r="DF23" s="291">
        <v>14.89</v>
      </c>
      <c r="DG23" s="145">
        <f t="shared" si="15"/>
        <v>10.351341</v>
      </c>
      <c r="DH23" s="293">
        <f t="shared" si="30"/>
        <v>2.0339333266033255</v>
      </c>
      <c r="DJ23" s="431"/>
      <c r="DL23" s="322"/>
    </row>
    <row r="24" spans="1:116" s="76" customFormat="1" ht="16.5" customHeight="1" thickBot="1">
      <c r="A24" s="144">
        <v>18</v>
      </c>
      <c r="B24" s="122">
        <f t="shared" si="16"/>
        <v>298.56900000000002</v>
      </c>
      <c r="C24" s="123">
        <f t="shared" si="17"/>
        <v>1.1239800515123806</v>
      </c>
      <c r="D24" s="145">
        <f t="shared" si="18"/>
        <v>295.21314400000006</v>
      </c>
      <c r="E24" s="125">
        <f t="shared" si="19"/>
        <v>38.752932923377848</v>
      </c>
      <c r="F24" s="146">
        <f t="shared" si="20"/>
        <v>2.2554293223317297</v>
      </c>
      <c r="G24" s="127"/>
      <c r="H24" s="126">
        <f t="shared" si="21"/>
        <v>1.6611211246084501</v>
      </c>
      <c r="I24" s="230">
        <f>'[1]июль 20'!AI23</f>
        <v>0</v>
      </c>
      <c r="J24" s="247">
        <f>'[1]март 20'!AA23</f>
        <v>11.84</v>
      </c>
      <c r="K24" s="276">
        <f>'[1]сентябрь 20'!AM23</f>
        <v>0</v>
      </c>
      <c r="L24" s="122">
        <f t="shared" si="22"/>
        <v>77.789000000000001</v>
      </c>
      <c r="M24" s="128">
        <f t="shared" si="23"/>
        <v>0.59430819772327914</v>
      </c>
      <c r="N24" s="400">
        <f>'[1]март 20'!W23</f>
        <v>0</v>
      </c>
      <c r="O24" s="403">
        <f>'[1]март 20'!AU23</f>
        <v>11.19</v>
      </c>
      <c r="P24" s="401">
        <f t="shared" si="0"/>
        <v>183.875</v>
      </c>
      <c r="Q24" s="122">
        <f>'[1]март 20'!S23</f>
        <v>183.875</v>
      </c>
      <c r="R24" s="123">
        <f t="shared" si="24"/>
        <v>4.08</v>
      </c>
      <c r="S24" s="129">
        <v>18.54</v>
      </c>
      <c r="T24" s="125">
        <f t="shared" si="1"/>
        <v>176.37290000000002</v>
      </c>
      <c r="U24" s="147">
        <f t="shared" si="2"/>
        <v>1.3474894949957983</v>
      </c>
      <c r="V24" s="130">
        <v>130.88999999999999</v>
      </c>
      <c r="W24" s="130">
        <v>98.26</v>
      </c>
      <c r="X24" s="129">
        <v>0.78</v>
      </c>
      <c r="Y24" s="150">
        <v>514</v>
      </c>
      <c r="Z24" s="150">
        <v>1170</v>
      </c>
      <c r="AA24" s="148" t="s">
        <v>187</v>
      </c>
      <c r="AB24" s="149">
        <v>76.260000000000005</v>
      </c>
      <c r="AC24" s="150">
        <v>121</v>
      </c>
      <c r="AD24" s="151">
        <v>4</v>
      </c>
      <c r="AE24" s="149">
        <v>7.55</v>
      </c>
      <c r="AF24" s="134">
        <f t="shared" si="3"/>
        <v>57.682023072809237</v>
      </c>
      <c r="AG24" s="152"/>
      <c r="AH24" s="129">
        <v>101.9</v>
      </c>
      <c r="AI24" s="134">
        <f t="shared" si="4"/>
        <v>778.51631140652466</v>
      </c>
      <c r="AJ24" s="153">
        <v>13.4</v>
      </c>
      <c r="AK24" s="154"/>
      <c r="AL24" s="155">
        <v>8.24</v>
      </c>
      <c r="AM24" s="156">
        <v>35.75</v>
      </c>
      <c r="AN24" s="126">
        <f t="shared" si="25"/>
        <v>0.20611127125972903</v>
      </c>
      <c r="AO24" s="157" t="s">
        <v>181</v>
      </c>
      <c r="AP24" s="156">
        <v>7.74</v>
      </c>
      <c r="AQ24" s="156">
        <v>6.64</v>
      </c>
      <c r="AR24" s="151"/>
      <c r="AS24" s="149">
        <v>8.25</v>
      </c>
      <c r="AT24" s="149">
        <v>173.45</v>
      </c>
      <c r="AU24" s="149">
        <v>1.43</v>
      </c>
      <c r="AV24" s="164"/>
      <c r="AW24" s="149"/>
      <c r="AX24" s="158">
        <f t="shared" si="5"/>
        <v>0</v>
      </c>
      <c r="AY24" s="125">
        <f t="shared" si="6"/>
        <v>130.88999999999999</v>
      </c>
      <c r="AZ24" s="125">
        <f t="shared" si="31"/>
        <v>133.09301878802768</v>
      </c>
      <c r="BA24" s="159">
        <f t="shared" si="7"/>
        <v>6.512271126760564</v>
      </c>
      <c r="BB24" s="160">
        <f t="shared" si="8"/>
        <v>5.2355999999999998</v>
      </c>
      <c r="BC24" s="161">
        <f t="shared" si="9"/>
        <v>0.87249511085341136</v>
      </c>
      <c r="BD24" s="160">
        <f t="shared" si="26"/>
        <v>11.747871126760565</v>
      </c>
      <c r="BE24" s="162">
        <v>0.85099999999999998</v>
      </c>
      <c r="BF24" s="25">
        <f t="shared" si="27"/>
        <v>2139.9699999999998</v>
      </c>
      <c r="BG24" s="25">
        <f t="shared" si="10"/>
        <v>124.19354838709677</v>
      </c>
      <c r="BH24" s="25">
        <f t="shared" si="28"/>
        <v>2235.4838709677424</v>
      </c>
      <c r="BI24" s="26">
        <f t="shared" si="11"/>
        <v>1</v>
      </c>
      <c r="BJ24" s="37">
        <f t="shared" si="29"/>
        <v>2235.4838709677424</v>
      </c>
      <c r="BK24" s="38"/>
      <c r="BL24" s="31">
        <v>220.78</v>
      </c>
      <c r="BM24" s="31"/>
      <c r="BN24" s="234">
        <v>77.789000000000001</v>
      </c>
      <c r="BO24" s="42"/>
      <c r="BP24" s="40"/>
      <c r="BQ24" s="411"/>
      <c r="BR24" s="33"/>
      <c r="BS24" s="34">
        <v>1.52</v>
      </c>
      <c r="BT24" s="35"/>
      <c r="BU24" s="35"/>
      <c r="BV24" s="235"/>
      <c r="BW24" s="235"/>
      <c r="BX24" s="36"/>
      <c r="BY24" s="33"/>
      <c r="BZ24" s="34">
        <v>36.950000000000003</v>
      </c>
      <c r="CA24" s="35"/>
      <c r="CB24" s="405">
        <v>43.87</v>
      </c>
      <c r="CC24" s="404"/>
      <c r="CD24" s="235"/>
      <c r="CE24" s="413"/>
      <c r="CF24" s="30">
        <v>183.875</v>
      </c>
      <c r="CG24" s="30"/>
      <c r="CH24" s="31"/>
      <c r="CI24" s="32"/>
      <c r="CJ24" s="33">
        <v>4.08</v>
      </c>
      <c r="CK24" s="33"/>
      <c r="CL24" s="35"/>
      <c r="CM24" s="36"/>
      <c r="CN24" s="286"/>
      <c r="CO24" s="249">
        <f t="shared" si="32"/>
        <v>0</v>
      </c>
      <c r="CP24" s="12">
        <f t="shared" si="32"/>
        <v>217.42414400000001</v>
      </c>
      <c r="CQ24" s="12">
        <f t="shared" si="32"/>
        <v>0</v>
      </c>
      <c r="CR24" s="12">
        <f t="shared" si="32"/>
        <v>77.789000000000001</v>
      </c>
      <c r="CS24" s="11">
        <f t="shared" si="32"/>
        <v>0</v>
      </c>
      <c r="CT24" s="11">
        <f t="shared" si="32"/>
        <v>0</v>
      </c>
      <c r="CU24" s="272">
        <f t="shared" si="32"/>
        <v>0</v>
      </c>
      <c r="CV24" s="249">
        <f t="shared" si="13"/>
        <v>176.37290000000002</v>
      </c>
      <c r="CW24" s="12">
        <f t="shared" si="13"/>
        <v>0</v>
      </c>
      <c r="CX24" s="249">
        <f t="shared" si="13"/>
        <v>0</v>
      </c>
      <c r="CY24" s="272">
        <f t="shared" si="13"/>
        <v>0</v>
      </c>
      <c r="CZ24" s="13"/>
      <c r="DA24" s="240">
        <f>(D24+'[2]март 20 '!D24)/(AY24+'[2]март 20 '!AX24)</f>
        <v>2.2612371788853105</v>
      </c>
      <c r="DB24" s="241">
        <f>(T24+'[2]март 20 '!R24)/(AY24+'[2]март 20 '!AX24)</f>
        <v>1.3540392488672963</v>
      </c>
      <c r="DD24" s="292">
        <f t="shared" si="14"/>
        <v>11.84</v>
      </c>
      <c r="DE24" s="291">
        <v>0.28000000000000003</v>
      </c>
      <c r="DF24" s="291">
        <v>13.74</v>
      </c>
      <c r="DG24" s="145">
        <f t="shared" si="15"/>
        <v>11.806847999999999</v>
      </c>
      <c r="DH24" s="293">
        <f t="shared" si="30"/>
        <v>2.1272763115656961</v>
      </c>
      <c r="DJ24" s="431"/>
      <c r="DL24" s="322"/>
    </row>
    <row r="25" spans="1:116" s="76" customFormat="1" ht="16.5" customHeight="1" thickBot="1">
      <c r="A25" s="144">
        <v>19</v>
      </c>
      <c r="B25" s="122">
        <f t="shared" si="16"/>
        <v>306.31</v>
      </c>
      <c r="C25" s="123">
        <f t="shared" si="17"/>
        <v>1.1486577323626392</v>
      </c>
      <c r="D25" s="145">
        <f t="shared" si="18"/>
        <v>302.79154650000004</v>
      </c>
      <c r="E25" s="125">
        <f t="shared" si="19"/>
        <v>39.447332702164481</v>
      </c>
      <c r="F25" s="146">
        <f t="shared" si="20"/>
        <v>2.2862545039263065</v>
      </c>
      <c r="G25" s="127">
        <v>32.619999999999997</v>
      </c>
      <c r="H25" s="126">
        <f t="shared" si="21"/>
        <v>1.6873946428571431</v>
      </c>
      <c r="I25" s="230">
        <f>'[1]июль 20'!AI24</f>
        <v>0</v>
      </c>
      <c r="J25" s="247">
        <f>'[1]март 20'!AA24</f>
        <v>12.141</v>
      </c>
      <c r="K25" s="276">
        <f>'[1]сентябрь 20'!AM24</f>
        <v>0</v>
      </c>
      <c r="L25" s="122">
        <f t="shared" si="22"/>
        <v>79.313000000000002</v>
      </c>
      <c r="M25" s="128">
        <f t="shared" si="23"/>
        <v>0.59885986106916345</v>
      </c>
      <c r="N25" s="400">
        <f>'[1]март 20'!W24</f>
        <v>0</v>
      </c>
      <c r="O25" s="403">
        <f>'[1]март 20'!AU24</f>
        <v>9.9580000000000002</v>
      </c>
      <c r="P25" s="401">
        <f t="shared" si="0"/>
        <v>186.00299999999999</v>
      </c>
      <c r="Q25" s="122">
        <f>'[1]март 20'!S24</f>
        <v>186.00299999999999</v>
      </c>
      <c r="R25" s="123">
        <f>IF(Q25=0,0,(CI25*CM25+CG25*CK25+CH25*CL25+CF25*CJ25)/Q25)</f>
        <v>3.96</v>
      </c>
      <c r="S25" s="129">
        <v>11.92</v>
      </c>
      <c r="T25" s="125">
        <f t="shared" si="1"/>
        <v>178.63728119999999</v>
      </c>
      <c r="U25" s="147">
        <f t="shared" si="2"/>
        <v>1.3488166807610993</v>
      </c>
      <c r="V25" s="130">
        <v>132.44</v>
      </c>
      <c r="W25" s="130">
        <v>102.23</v>
      </c>
      <c r="X25" s="129">
        <v>0.5</v>
      </c>
      <c r="Y25" s="150">
        <v>495</v>
      </c>
      <c r="Z25" s="150">
        <v>1188</v>
      </c>
      <c r="AA25" s="148" t="s">
        <v>159</v>
      </c>
      <c r="AB25" s="149">
        <v>76.040000000000006</v>
      </c>
      <c r="AC25" s="150">
        <v>124</v>
      </c>
      <c r="AD25" s="151">
        <v>4</v>
      </c>
      <c r="AE25" s="149">
        <v>7.15</v>
      </c>
      <c r="AF25" s="134">
        <f t="shared" si="3"/>
        <v>53.98671096345516</v>
      </c>
      <c r="AG25" s="152"/>
      <c r="AH25" s="129">
        <v>110.45</v>
      </c>
      <c r="AI25" s="134">
        <f t="shared" si="4"/>
        <v>833.96254907882815</v>
      </c>
      <c r="AJ25" s="136">
        <v>10.78</v>
      </c>
      <c r="AK25" s="154"/>
      <c r="AL25" s="155">
        <v>7.43</v>
      </c>
      <c r="AM25" s="156">
        <v>34.67</v>
      </c>
      <c r="AN25" s="126">
        <f t="shared" si="25"/>
        <v>0.20203962703962705</v>
      </c>
      <c r="AO25" s="157" t="s">
        <v>199</v>
      </c>
      <c r="AP25" s="156">
        <v>7.12</v>
      </c>
      <c r="AQ25" s="156">
        <v>6.53</v>
      </c>
      <c r="AR25" s="152"/>
      <c r="AS25" s="149">
        <v>11.71</v>
      </c>
      <c r="AT25" s="149">
        <v>171.6</v>
      </c>
      <c r="AU25" s="149">
        <v>2.94</v>
      </c>
      <c r="AV25" s="164"/>
      <c r="AW25" s="149"/>
      <c r="AX25" s="158">
        <f t="shared" si="5"/>
        <v>0</v>
      </c>
      <c r="AY25" s="125">
        <f t="shared" si="6"/>
        <v>132.44</v>
      </c>
      <c r="AZ25" s="125">
        <f t="shared" si="31"/>
        <v>139.23075603743399</v>
      </c>
      <c r="BA25" s="159">
        <f t="shared" si="7"/>
        <v>10.019059507042254</v>
      </c>
      <c r="BB25" s="160">
        <f t="shared" si="8"/>
        <v>5.2976000000000001</v>
      </c>
      <c r="BC25" s="161">
        <f t="shared" si="9"/>
        <v>0.84314038381567291</v>
      </c>
      <c r="BD25" s="160">
        <f t="shared" si="26"/>
        <v>15.316659507042253</v>
      </c>
      <c r="BE25" s="162">
        <v>0.85</v>
      </c>
      <c r="BF25" s="25">
        <f t="shared" si="27"/>
        <v>2272.41</v>
      </c>
      <c r="BG25" s="25">
        <f t="shared" si="10"/>
        <v>124.19354838709677</v>
      </c>
      <c r="BH25" s="25">
        <f t="shared" si="28"/>
        <v>2359.677419354839</v>
      </c>
      <c r="BI25" s="26">
        <f t="shared" si="11"/>
        <v>1</v>
      </c>
      <c r="BJ25" s="37">
        <f t="shared" si="29"/>
        <v>2359.677419354839</v>
      </c>
      <c r="BK25" s="38"/>
      <c r="BL25" s="31">
        <v>226.99700000000001</v>
      </c>
      <c r="BM25" s="31"/>
      <c r="BN25" s="234">
        <v>79.313000000000002</v>
      </c>
      <c r="BO25" s="42"/>
      <c r="BP25" s="40"/>
      <c r="BQ25" s="411"/>
      <c r="BR25" s="33"/>
      <c r="BS25" s="34">
        <v>1.55</v>
      </c>
      <c r="BT25" s="35"/>
      <c r="BU25" s="35"/>
      <c r="BV25" s="235"/>
      <c r="BW25" s="235"/>
      <c r="BX25" s="36"/>
      <c r="BY25" s="33"/>
      <c r="BZ25" s="34">
        <v>37.93</v>
      </c>
      <c r="CA25" s="35"/>
      <c r="CB25" s="405">
        <v>43.79</v>
      </c>
      <c r="CC25" s="404"/>
      <c r="CD25" s="235"/>
      <c r="CE25" s="413"/>
      <c r="CF25" s="30">
        <v>186.00299999999999</v>
      </c>
      <c r="CG25" s="30"/>
      <c r="CH25" s="31"/>
      <c r="CI25" s="32"/>
      <c r="CJ25" s="33">
        <v>3.96</v>
      </c>
      <c r="CK25" s="33"/>
      <c r="CL25" s="35"/>
      <c r="CM25" s="36"/>
      <c r="CN25" s="286"/>
      <c r="CO25" s="249">
        <f t="shared" si="32"/>
        <v>0</v>
      </c>
      <c r="CP25" s="12">
        <f t="shared" si="32"/>
        <v>223.47854650000002</v>
      </c>
      <c r="CQ25" s="12">
        <f t="shared" si="32"/>
        <v>0</v>
      </c>
      <c r="CR25" s="12">
        <f t="shared" si="32"/>
        <v>79.313000000000002</v>
      </c>
      <c r="CS25" s="11">
        <f t="shared" si="32"/>
        <v>0</v>
      </c>
      <c r="CT25" s="11">
        <f t="shared" si="32"/>
        <v>0</v>
      </c>
      <c r="CU25" s="272">
        <f t="shared" si="32"/>
        <v>0</v>
      </c>
      <c r="CV25" s="249">
        <f t="shared" si="13"/>
        <v>178.63728119999999</v>
      </c>
      <c r="CW25" s="251">
        <f t="shared" si="13"/>
        <v>0</v>
      </c>
      <c r="CX25" s="249">
        <f t="shared" si="13"/>
        <v>0</v>
      </c>
      <c r="CY25" s="272">
        <f t="shared" si="13"/>
        <v>0</v>
      </c>
      <c r="CZ25" s="13"/>
      <c r="DA25" s="240">
        <f>(D25+'[2]март 20 '!D25)/(AY25+'[2]март 20 '!AX25)</f>
        <v>2.3809176754482455</v>
      </c>
      <c r="DB25" s="241">
        <f>(T25+'[2]март 20 '!R25)/(AY25+'[2]март 20 '!AX25)</f>
        <v>1.3988485348146518</v>
      </c>
      <c r="DD25" s="292">
        <f t="shared" si="14"/>
        <v>12.141</v>
      </c>
      <c r="DE25" s="291">
        <v>0.34</v>
      </c>
      <c r="DF25" s="291">
        <v>13.2</v>
      </c>
      <c r="DG25" s="145">
        <f t="shared" si="15"/>
        <v>12.099720599999999</v>
      </c>
      <c r="DH25" s="293">
        <f t="shared" si="30"/>
        <v>2.100424933193056</v>
      </c>
      <c r="DJ25" s="431"/>
      <c r="DL25" s="322"/>
    </row>
    <row r="26" spans="1:116" s="76" customFormat="1" ht="16.5" customHeight="1" thickBot="1">
      <c r="A26" s="144">
        <v>20</v>
      </c>
      <c r="B26" s="122">
        <f t="shared" si="16"/>
        <v>298.654</v>
      </c>
      <c r="C26" s="123">
        <f t="shared" si="17"/>
        <v>2.4477047352454679</v>
      </c>
      <c r="D26" s="145">
        <f t="shared" si="18"/>
        <v>291.3438319</v>
      </c>
      <c r="E26" s="125">
        <f t="shared" si="19"/>
        <v>39.376180797846338</v>
      </c>
      <c r="F26" s="146">
        <f t="shared" si="20"/>
        <v>2.1495044407554968</v>
      </c>
      <c r="G26" s="127">
        <v>12.72</v>
      </c>
      <c r="H26" s="126">
        <f t="shared" si="21"/>
        <v>1.5754820119521913</v>
      </c>
      <c r="I26" s="230">
        <f>'[1]июль 20'!AI25</f>
        <v>0</v>
      </c>
      <c r="J26" s="247">
        <f>'[1]март 20'!AA25</f>
        <v>12.48</v>
      </c>
      <c r="K26" s="276">
        <f>'[1]сентябрь 20'!AM25</f>
        <v>0</v>
      </c>
      <c r="L26" s="122">
        <f t="shared" si="22"/>
        <v>77.802999999999997</v>
      </c>
      <c r="M26" s="128">
        <f t="shared" si="23"/>
        <v>0.57402242880330534</v>
      </c>
      <c r="N26" s="400">
        <f>'[1]март 20'!W25</f>
        <v>0</v>
      </c>
      <c r="O26" s="403">
        <f>'[1]март 20'!AU25</f>
        <v>10.301</v>
      </c>
      <c r="P26" s="401">
        <f t="shared" si="0"/>
        <v>180.774</v>
      </c>
      <c r="Q26" s="122">
        <f>'[1]март 20'!S25</f>
        <v>180.7741</v>
      </c>
      <c r="R26" s="123">
        <f t="shared" si="24"/>
        <v>3.9699978038889419</v>
      </c>
      <c r="S26" s="129">
        <v>7.67</v>
      </c>
      <c r="T26" s="125">
        <f t="shared" si="1"/>
        <v>173.5973722</v>
      </c>
      <c r="U26" s="147">
        <f t="shared" si="2"/>
        <v>1.2807833274310167</v>
      </c>
      <c r="V26" s="169">
        <v>135.54</v>
      </c>
      <c r="W26" s="169">
        <v>103.21</v>
      </c>
      <c r="X26" s="170">
        <v>0.48</v>
      </c>
      <c r="Y26" s="166">
        <v>498</v>
      </c>
      <c r="Z26" s="166">
        <v>1189</v>
      </c>
      <c r="AA26" s="148" t="s">
        <v>130</v>
      </c>
      <c r="AB26" s="164">
        <v>76.260000000000005</v>
      </c>
      <c r="AC26" s="166">
        <v>121</v>
      </c>
      <c r="AD26" s="171">
        <v>4</v>
      </c>
      <c r="AE26" s="164">
        <v>6.85</v>
      </c>
      <c r="AF26" s="172">
        <f t="shared" si="3"/>
        <v>50.538586395160102</v>
      </c>
      <c r="AG26" s="173"/>
      <c r="AH26" s="170">
        <v>116.2</v>
      </c>
      <c r="AI26" s="134">
        <f t="shared" si="4"/>
        <v>857.31149476169401</v>
      </c>
      <c r="AJ26" s="174">
        <v>11.83</v>
      </c>
      <c r="AK26" s="175"/>
      <c r="AL26" s="176">
        <v>5.48</v>
      </c>
      <c r="AM26" s="177">
        <v>35.71</v>
      </c>
      <c r="AN26" s="126">
        <f t="shared" si="25"/>
        <v>0.20528887611382582</v>
      </c>
      <c r="AO26" s="178" t="s">
        <v>216</v>
      </c>
      <c r="AP26" s="177">
        <v>6.89</v>
      </c>
      <c r="AQ26" s="177">
        <v>6.32</v>
      </c>
      <c r="AR26" s="171"/>
      <c r="AS26" s="164">
        <v>13.53</v>
      </c>
      <c r="AT26" s="149">
        <v>173.95</v>
      </c>
      <c r="AU26" s="164">
        <v>2.78</v>
      </c>
      <c r="AV26" s="164"/>
      <c r="AW26" s="164"/>
      <c r="AX26" s="179">
        <f t="shared" si="5"/>
        <v>0</v>
      </c>
      <c r="AY26" s="125">
        <f t="shared" si="6"/>
        <v>135.54</v>
      </c>
      <c r="AZ26" s="125">
        <f t="shared" si="31"/>
        <v>134.76418176146495</v>
      </c>
      <c r="BA26" s="159">
        <f t="shared" si="7"/>
        <v>12.178905633802817</v>
      </c>
      <c r="BB26" s="159">
        <f t="shared" si="8"/>
        <v>5.4215999999999998</v>
      </c>
      <c r="BC26" s="180">
        <f t="shared" si="9"/>
        <v>0.90100015108883136</v>
      </c>
      <c r="BD26" s="159">
        <f t="shared" si="26"/>
        <v>17.600505633802818</v>
      </c>
      <c r="BE26" s="167">
        <v>0.85299999999999998</v>
      </c>
      <c r="BF26" s="25">
        <f t="shared" si="27"/>
        <v>2407.9499999999998</v>
      </c>
      <c r="BG26" s="25">
        <f t="shared" si="10"/>
        <v>124.19354838709677</v>
      </c>
      <c r="BH26" s="25">
        <f t="shared" si="28"/>
        <v>2483.8709677419356</v>
      </c>
      <c r="BI26" s="26">
        <f t="shared" si="11"/>
        <v>1</v>
      </c>
      <c r="BJ26" s="37">
        <f t="shared" si="29"/>
        <v>2483.8709677419356</v>
      </c>
      <c r="BK26" s="38"/>
      <c r="BL26" s="43">
        <v>220.851</v>
      </c>
      <c r="BM26" s="31"/>
      <c r="BN26" s="406">
        <v>77.802999999999997</v>
      </c>
      <c r="BO26" s="42"/>
      <c r="BP26" s="40"/>
      <c r="BQ26" s="412"/>
      <c r="BR26" s="33"/>
      <c r="BS26" s="34">
        <v>3.31</v>
      </c>
      <c r="BT26" s="35"/>
      <c r="BU26" s="35"/>
      <c r="BV26" s="235"/>
      <c r="BW26" s="235"/>
      <c r="BX26" s="36"/>
      <c r="BY26" s="33"/>
      <c r="BZ26" s="34">
        <v>37.86</v>
      </c>
      <c r="CA26" s="35"/>
      <c r="CB26" s="405">
        <v>43.68</v>
      </c>
      <c r="CC26" s="404"/>
      <c r="CD26" s="235"/>
      <c r="CE26" s="413"/>
      <c r="CF26" s="30">
        <v>180.774</v>
      </c>
      <c r="CG26" s="30"/>
      <c r="CH26" s="43"/>
      <c r="CI26" s="32"/>
      <c r="CJ26" s="33">
        <v>3.97</v>
      </c>
      <c r="CK26" s="33"/>
      <c r="CL26" s="35"/>
      <c r="CM26" s="36"/>
      <c r="CN26" s="286"/>
      <c r="CO26" s="249">
        <f t="shared" si="32"/>
        <v>0</v>
      </c>
      <c r="CP26" s="12">
        <f t="shared" si="32"/>
        <v>213.5408319</v>
      </c>
      <c r="CQ26" s="12">
        <f t="shared" si="32"/>
        <v>0</v>
      </c>
      <c r="CR26" s="12">
        <f t="shared" si="32"/>
        <v>77.802999999999997</v>
      </c>
      <c r="CS26" s="11">
        <f t="shared" si="32"/>
        <v>0</v>
      </c>
      <c r="CT26" s="11">
        <f t="shared" si="32"/>
        <v>0</v>
      </c>
      <c r="CU26" s="272">
        <f t="shared" si="32"/>
        <v>0</v>
      </c>
      <c r="CV26" s="249">
        <f t="shared" si="13"/>
        <v>173.59727220000002</v>
      </c>
      <c r="CW26" s="12">
        <f t="shared" si="13"/>
        <v>0</v>
      </c>
      <c r="CX26" s="249">
        <f t="shared" si="13"/>
        <v>0</v>
      </c>
      <c r="CY26" s="274">
        <f t="shared" si="13"/>
        <v>0</v>
      </c>
      <c r="CZ26" s="13"/>
      <c r="DA26" s="240">
        <f>(D26+'[2]март 20 '!D26)/(AY26+'[2]март 20 '!AX26)</f>
        <v>2.2198896197455751</v>
      </c>
      <c r="DB26" s="241">
        <f>(T26+'[2]март 20 '!R26)/(AY26+'[2]март 20 '!AX26)</f>
        <v>1.3148710514380533</v>
      </c>
      <c r="DD26" s="292">
        <f t="shared" si="14"/>
        <v>12.48</v>
      </c>
      <c r="DE26" s="291">
        <v>0.2</v>
      </c>
      <c r="DF26" s="291">
        <v>21.04</v>
      </c>
      <c r="DG26" s="145">
        <f t="shared" si="15"/>
        <v>12.45504</v>
      </c>
      <c r="DH26" s="293">
        <f t="shared" si="30"/>
        <v>3.4363236506687649</v>
      </c>
      <c r="DJ26" s="432"/>
      <c r="DL26" s="322"/>
    </row>
    <row r="27" spans="1:116" s="76" customFormat="1" ht="16.5" customHeight="1" thickBot="1">
      <c r="A27" s="144">
        <v>21</v>
      </c>
      <c r="B27" s="122">
        <f t="shared" si="16"/>
        <v>306.28500000000003</v>
      </c>
      <c r="C27" s="123">
        <f t="shared" si="17"/>
        <v>2.4083435362489185</v>
      </c>
      <c r="D27" s="145">
        <f t="shared" si="18"/>
        <v>298.90860500000002</v>
      </c>
      <c r="E27" s="125">
        <f t="shared" si="19"/>
        <v>39.748444585924872</v>
      </c>
      <c r="F27" s="146">
        <f t="shared" si="20"/>
        <v>2.5004902543081817</v>
      </c>
      <c r="G27" s="127">
        <v>14.98</v>
      </c>
      <c r="H27" s="126">
        <f t="shared" si="21"/>
        <v>1.8369550359712232</v>
      </c>
      <c r="I27" s="230">
        <f>'[1]июль 20'!AI26</f>
        <v>0</v>
      </c>
      <c r="J27" s="247">
        <f>'[1]март 20'!AA26</f>
        <v>12.714</v>
      </c>
      <c r="K27" s="276">
        <f>'[1]сентябрь 20'!AM26</f>
        <v>0</v>
      </c>
      <c r="L27" s="122">
        <f t="shared" si="22"/>
        <v>79.319000000000003</v>
      </c>
      <c r="M27" s="128">
        <f t="shared" si="23"/>
        <v>0.66353521833695839</v>
      </c>
      <c r="N27" s="400">
        <f>'[1]март 20'!W26</f>
        <v>0</v>
      </c>
      <c r="O27" s="403">
        <f>'[1]март 20'!AU26</f>
        <v>10.11</v>
      </c>
      <c r="P27" s="401">
        <f t="shared" si="0"/>
        <v>185.31299999999999</v>
      </c>
      <c r="Q27" s="122">
        <f>'[1]март 20'!S26</f>
        <v>185.31299999999999</v>
      </c>
      <c r="R27" s="123">
        <f t="shared" si="24"/>
        <v>4.12</v>
      </c>
      <c r="S27" s="129">
        <v>8.68</v>
      </c>
      <c r="T27" s="125">
        <f t="shared" si="1"/>
        <v>177.6781044</v>
      </c>
      <c r="U27" s="147">
        <f t="shared" si="2"/>
        <v>1.4863485394010374</v>
      </c>
      <c r="V27" s="130">
        <v>119.54</v>
      </c>
      <c r="W27" s="130">
        <v>119.54</v>
      </c>
      <c r="X27" s="129">
        <v>0.72</v>
      </c>
      <c r="Y27" s="150">
        <v>519</v>
      </c>
      <c r="Z27" s="150">
        <v>1192</v>
      </c>
      <c r="AA27" s="148" t="s">
        <v>122</v>
      </c>
      <c r="AB27" s="149">
        <v>76.37</v>
      </c>
      <c r="AC27" s="150">
        <v>124</v>
      </c>
      <c r="AD27" s="151">
        <v>4</v>
      </c>
      <c r="AE27" s="149">
        <v>11.1</v>
      </c>
      <c r="AF27" s="134">
        <f t="shared" si="3"/>
        <v>92.85594779989961</v>
      </c>
      <c r="AG27" s="152"/>
      <c r="AH27" s="129">
        <v>86.05</v>
      </c>
      <c r="AI27" s="134">
        <f t="shared" si="4"/>
        <v>719.84273046678936</v>
      </c>
      <c r="AJ27" s="136">
        <v>16.55</v>
      </c>
      <c r="AK27" s="154"/>
      <c r="AL27" s="155">
        <v>4.87</v>
      </c>
      <c r="AM27" s="156">
        <v>36.520000000000003</v>
      </c>
      <c r="AN27" s="126">
        <f t="shared" si="25"/>
        <v>0.22983008181246067</v>
      </c>
      <c r="AO27" s="157" t="s">
        <v>204</v>
      </c>
      <c r="AP27" s="156">
        <v>7.73</v>
      </c>
      <c r="AQ27" s="156">
        <v>6.6</v>
      </c>
      <c r="AR27" s="151"/>
      <c r="AS27" s="149">
        <v>7.58</v>
      </c>
      <c r="AT27" s="149">
        <v>158.9</v>
      </c>
      <c r="AU27" s="149">
        <v>2.0299999999999998</v>
      </c>
      <c r="AV27" s="164"/>
      <c r="AW27" s="149"/>
      <c r="AX27" s="158">
        <f t="shared" si="5"/>
        <v>0</v>
      </c>
      <c r="AY27" s="125">
        <f t="shared" si="6"/>
        <v>119.53999999999999</v>
      </c>
      <c r="AZ27" s="125">
        <f t="shared" si="31"/>
        <v>138.62906371208697</v>
      </c>
      <c r="BA27" s="159">
        <f t="shared" si="7"/>
        <v>5.0527105633802814</v>
      </c>
      <c r="BB27" s="160">
        <f t="shared" si="8"/>
        <v>4.7816000000000001</v>
      </c>
      <c r="BC27" s="161">
        <f t="shared" si="9"/>
        <v>0.76838253615319141</v>
      </c>
      <c r="BD27" s="160">
        <f t="shared" si="26"/>
        <v>9.8343105633802814</v>
      </c>
      <c r="BE27" s="162">
        <v>0.84899999999999998</v>
      </c>
      <c r="BF27" s="25">
        <f t="shared" si="27"/>
        <v>2527.4899999999998</v>
      </c>
      <c r="BG27" s="25">
        <f t="shared" si="10"/>
        <v>124.19354838709677</v>
      </c>
      <c r="BH27" s="25">
        <f t="shared" si="28"/>
        <v>2608.0645161290322</v>
      </c>
      <c r="BI27" s="26">
        <f t="shared" si="11"/>
        <v>1</v>
      </c>
      <c r="BJ27" s="37">
        <f t="shared" si="29"/>
        <v>2608.0645161290322</v>
      </c>
      <c r="BK27" s="38"/>
      <c r="BL27" s="31">
        <v>226.96600000000001</v>
      </c>
      <c r="BM27" s="31"/>
      <c r="BN27" s="234">
        <v>79.319000000000003</v>
      </c>
      <c r="BO27" s="42"/>
      <c r="BP27" s="40"/>
      <c r="BQ27" s="411"/>
      <c r="BR27" s="33"/>
      <c r="BS27" s="34">
        <v>3.25</v>
      </c>
      <c r="BT27" s="35"/>
      <c r="BU27" s="35"/>
      <c r="BV27" s="235"/>
      <c r="BW27" s="235"/>
      <c r="BX27" s="36"/>
      <c r="BY27" s="33"/>
      <c r="BZ27" s="34">
        <v>38.35</v>
      </c>
      <c r="CA27" s="35"/>
      <c r="CB27" s="405">
        <v>43.75</v>
      </c>
      <c r="CC27" s="404"/>
      <c r="CD27" s="235"/>
      <c r="CE27" s="413"/>
      <c r="CF27" s="30">
        <v>185.31299999999999</v>
      </c>
      <c r="CG27" s="30"/>
      <c r="CH27" s="31"/>
      <c r="CI27" s="32"/>
      <c r="CJ27" s="33">
        <v>4.12</v>
      </c>
      <c r="CK27" s="33"/>
      <c r="CL27" s="35"/>
      <c r="CM27" s="36"/>
      <c r="CN27" s="286"/>
      <c r="CO27" s="249">
        <f t="shared" si="32"/>
        <v>0</v>
      </c>
      <c r="CP27" s="12">
        <f t="shared" si="32"/>
        <v>219.58960500000001</v>
      </c>
      <c r="CQ27" s="12">
        <f t="shared" si="32"/>
        <v>0</v>
      </c>
      <c r="CR27" s="12">
        <f t="shared" si="32"/>
        <v>79.319000000000003</v>
      </c>
      <c r="CS27" s="11">
        <f t="shared" si="32"/>
        <v>0</v>
      </c>
      <c r="CT27" s="11">
        <f t="shared" si="32"/>
        <v>0</v>
      </c>
      <c r="CU27" s="272">
        <f t="shared" si="32"/>
        <v>0</v>
      </c>
      <c r="CV27" s="249">
        <f t="shared" si="13"/>
        <v>177.6781044</v>
      </c>
      <c r="CW27" s="11">
        <f t="shared" si="13"/>
        <v>0</v>
      </c>
      <c r="CX27" s="249">
        <f t="shared" si="13"/>
        <v>0</v>
      </c>
      <c r="CY27" s="272">
        <f t="shared" si="13"/>
        <v>0</v>
      </c>
      <c r="CZ27" s="13"/>
      <c r="DA27" s="240">
        <f>(D27+'[2]март 20 '!D27)/(AY27+'[2]март 20 '!AX27)</f>
        <v>2.4634837753486845</v>
      </c>
      <c r="DB27" s="241">
        <f>(T27+'[2]март 20 '!R27)/(AY27+'[2]март 20 '!AX27)</f>
        <v>1.4606758785055101</v>
      </c>
      <c r="DD27" s="292">
        <f t="shared" si="14"/>
        <v>12.714</v>
      </c>
      <c r="DE27" s="291">
        <v>0.3</v>
      </c>
      <c r="DF27" s="291">
        <v>16.95</v>
      </c>
      <c r="DG27" s="145">
        <f t="shared" si="15"/>
        <v>12.675858</v>
      </c>
      <c r="DH27" s="293">
        <f t="shared" si="30"/>
        <v>2.8133533206756574</v>
      </c>
      <c r="DJ27" s="431"/>
      <c r="DL27" s="322"/>
    </row>
    <row r="28" spans="1:116" s="76" customFormat="1" ht="16.5" customHeight="1" thickBot="1">
      <c r="A28" s="144">
        <v>22</v>
      </c>
      <c r="B28" s="122">
        <f t="shared" si="16"/>
        <v>298.613</v>
      </c>
      <c r="C28" s="123">
        <f t="shared" si="17"/>
        <v>2.4258311593935962</v>
      </c>
      <c r="D28" s="145">
        <f t="shared" si="18"/>
        <v>291.36915279999999</v>
      </c>
      <c r="E28" s="125">
        <f t="shared" si="19"/>
        <v>39.430837204006515</v>
      </c>
      <c r="F28" s="146">
        <f t="shared" si="20"/>
        <v>2.1810700860842878</v>
      </c>
      <c r="G28" s="127">
        <v>14.57</v>
      </c>
      <c r="H28" s="126">
        <f t="shared" si="21"/>
        <v>1.5989606467549964</v>
      </c>
      <c r="I28" s="230">
        <f>'[1]июль 20'!AI27</f>
        <v>0</v>
      </c>
      <c r="J28" s="247">
        <f>'[1]март 20'!AA27</f>
        <v>12.238</v>
      </c>
      <c r="K28" s="276">
        <f>'[1]сентябрь 20'!AM27</f>
        <v>0</v>
      </c>
      <c r="L28" s="122">
        <f t="shared" si="22"/>
        <v>77.763999999999996</v>
      </c>
      <c r="M28" s="128">
        <f t="shared" si="23"/>
        <v>0.58210943932929105</v>
      </c>
      <c r="N28" s="400">
        <f>'[1]март 20'!W27</f>
        <v>0</v>
      </c>
      <c r="O28" s="403">
        <f>'[1]март 20'!AU27</f>
        <v>9.8640000000000008</v>
      </c>
      <c r="P28" s="401">
        <f t="shared" si="0"/>
        <v>181.46100000000001</v>
      </c>
      <c r="Q28" s="122">
        <f>'[1]март 20'!S27</f>
        <v>181.46100000000001</v>
      </c>
      <c r="R28" s="123">
        <f t="shared" si="24"/>
        <v>4.1900000000000004</v>
      </c>
      <c r="S28" s="129">
        <v>8.07</v>
      </c>
      <c r="T28" s="125">
        <f t="shared" si="1"/>
        <v>173.85778410000003</v>
      </c>
      <c r="U28" s="147">
        <f t="shared" si="2"/>
        <v>1.3014281315966767</v>
      </c>
      <c r="V28" s="130">
        <v>133.59</v>
      </c>
      <c r="W28" s="130">
        <v>133.59</v>
      </c>
      <c r="X28" s="129">
        <v>0.4</v>
      </c>
      <c r="Y28" s="150">
        <v>500</v>
      </c>
      <c r="Z28" s="150">
        <v>1198</v>
      </c>
      <c r="AA28" s="148" t="s">
        <v>165</v>
      </c>
      <c r="AB28" s="149">
        <v>76.510000000000005</v>
      </c>
      <c r="AC28" s="150">
        <v>121</v>
      </c>
      <c r="AD28" s="151">
        <v>4</v>
      </c>
      <c r="AE28" s="149">
        <v>8.8000000000000007</v>
      </c>
      <c r="AF28" s="134">
        <f t="shared" si="3"/>
        <v>65.873194101354898</v>
      </c>
      <c r="AG28" s="152"/>
      <c r="AH28" s="129">
        <v>118.15</v>
      </c>
      <c r="AI28" s="134">
        <f t="shared" si="4"/>
        <v>884.42248671307732</v>
      </c>
      <c r="AJ28" s="153">
        <v>11.41</v>
      </c>
      <c r="AK28" s="154"/>
      <c r="AL28" s="155">
        <v>4.96</v>
      </c>
      <c r="AM28" s="156">
        <v>36.22</v>
      </c>
      <c r="AN28" s="126">
        <f t="shared" si="25"/>
        <v>0.20888119953863898</v>
      </c>
      <c r="AO28" s="157" t="s">
        <v>217</v>
      </c>
      <c r="AP28" s="156">
        <v>6.82</v>
      </c>
      <c r="AQ28" s="156">
        <v>6.5</v>
      </c>
      <c r="AR28" s="151"/>
      <c r="AS28" s="149">
        <v>12.34</v>
      </c>
      <c r="AT28" s="149">
        <v>173.4</v>
      </c>
      <c r="AU28" s="149">
        <v>1.37</v>
      </c>
      <c r="AV28" s="164"/>
      <c r="AW28" s="149"/>
      <c r="AX28" s="158">
        <f t="shared" si="5"/>
        <v>0</v>
      </c>
      <c r="AY28" s="125">
        <f t="shared" si="6"/>
        <v>133.59</v>
      </c>
      <c r="AZ28" s="125">
        <f t="shared" si="31"/>
        <v>133.84703067048338</v>
      </c>
      <c r="BA28" s="159">
        <f t="shared" si="7"/>
        <v>11.294141549295775</v>
      </c>
      <c r="BB28" s="160">
        <f t="shared" si="8"/>
        <v>5.3436000000000003</v>
      </c>
      <c r="BC28" s="161">
        <f t="shared" si="9"/>
        <v>0.8896364786690657</v>
      </c>
      <c r="BD28" s="160">
        <f t="shared" si="26"/>
        <v>16.637741549295775</v>
      </c>
      <c r="BE28" s="162">
        <v>0.85099999999999998</v>
      </c>
      <c r="BF28" s="25">
        <f t="shared" si="27"/>
        <v>2661.08</v>
      </c>
      <c r="BG28" s="25">
        <f t="shared" si="10"/>
        <v>124.19354838709677</v>
      </c>
      <c r="BH28" s="25">
        <f t="shared" si="28"/>
        <v>2732.2580645161288</v>
      </c>
      <c r="BI28" s="26">
        <f t="shared" si="11"/>
        <v>1</v>
      </c>
      <c r="BJ28" s="37">
        <f t="shared" si="29"/>
        <v>2732.2580645161288</v>
      </c>
      <c r="BK28" s="38"/>
      <c r="BL28" s="31">
        <v>220.84899999999999</v>
      </c>
      <c r="BM28" s="31"/>
      <c r="BN28" s="234">
        <v>77.763999999999996</v>
      </c>
      <c r="BO28" s="42"/>
      <c r="BP28" s="40"/>
      <c r="BQ28" s="411"/>
      <c r="BR28" s="33"/>
      <c r="BS28" s="34">
        <v>3.28</v>
      </c>
      <c r="BT28" s="35"/>
      <c r="BU28" s="35"/>
      <c r="BV28" s="235"/>
      <c r="BW28" s="235"/>
      <c r="BX28" s="36"/>
      <c r="BY28" s="33"/>
      <c r="BZ28" s="34">
        <v>37.909999999999997</v>
      </c>
      <c r="CA28" s="35"/>
      <c r="CB28" s="405">
        <v>43.75</v>
      </c>
      <c r="CC28" s="404"/>
      <c r="CD28" s="235"/>
      <c r="CE28" s="36"/>
      <c r="CF28" s="30">
        <v>181.46100000000001</v>
      </c>
      <c r="CG28" s="30"/>
      <c r="CH28" s="31"/>
      <c r="CI28" s="32"/>
      <c r="CJ28" s="33">
        <v>4.1900000000000004</v>
      </c>
      <c r="CK28" s="33"/>
      <c r="CL28" s="35"/>
      <c r="CM28" s="36"/>
      <c r="CN28" s="286"/>
      <c r="CO28" s="249">
        <f t="shared" si="32"/>
        <v>0</v>
      </c>
      <c r="CP28" s="12">
        <f t="shared" si="32"/>
        <v>213.60515279999998</v>
      </c>
      <c r="CQ28" s="12">
        <f t="shared" si="32"/>
        <v>0</v>
      </c>
      <c r="CR28" s="12">
        <f t="shared" si="32"/>
        <v>77.763999999999996</v>
      </c>
      <c r="CS28" s="11">
        <f t="shared" si="32"/>
        <v>0</v>
      </c>
      <c r="CT28" s="11">
        <f t="shared" si="32"/>
        <v>0</v>
      </c>
      <c r="CU28" s="272">
        <f t="shared" si="32"/>
        <v>0</v>
      </c>
      <c r="CV28" s="249">
        <f t="shared" si="13"/>
        <v>173.85778410000003</v>
      </c>
      <c r="CW28" s="12">
        <f t="shared" si="13"/>
        <v>0</v>
      </c>
      <c r="CX28" s="249">
        <f t="shared" si="13"/>
        <v>0</v>
      </c>
      <c r="CY28" s="272">
        <f t="shared" si="13"/>
        <v>0</v>
      </c>
      <c r="CZ28" s="13"/>
      <c r="DA28" s="240">
        <f>(D28+'[2]март 20 '!D28)/(AY28+'[2]март 20 '!AX28)</f>
        <v>2.1631950332313536</v>
      </c>
      <c r="DB28" s="241">
        <f>(T28+'[2]март 20 '!R28)/(AY28+'[2]март 20 '!AX28)</f>
        <v>1.2835947465449944</v>
      </c>
      <c r="DD28" s="292">
        <f t="shared" si="14"/>
        <v>12.238</v>
      </c>
      <c r="DE28" s="305">
        <v>0.26</v>
      </c>
      <c r="DF28" s="291">
        <v>17.27</v>
      </c>
      <c r="DG28" s="145">
        <f t="shared" si="15"/>
        <v>12.2061812</v>
      </c>
      <c r="DH28" s="293">
        <f t="shared" si="30"/>
        <v>2.755205193098941</v>
      </c>
      <c r="DJ28" s="431"/>
      <c r="DL28" s="322"/>
    </row>
    <row r="29" spans="1:116" s="76" customFormat="1" ht="16.5" customHeight="1" thickBot="1">
      <c r="A29" s="144">
        <v>23</v>
      </c>
      <c r="B29" s="122">
        <f t="shared" si="16"/>
        <v>276.12599999999998</v>
      </c>
      <c r="C29" s="123">
        <f t="shared" si="17"/>
        <v>1.534964617602109</v>
      </c>
      <c r="D29" s="145">
        <f t="shared" si="18"/>
        <v>271.88756359999996</v>
      </c>
      <c r="E29" s="125">
        <f t="shared" si="19"/>
        <v>39.31543599661024</v>
      </c>
      <c r="F29" s="146">
        <f t="shared" si="20"/>
        <v>2.3329977998970306</v>
      </c>
      <c r="G29" s="127">
        <v>16.100000000000001</v>
      </c>
      <c r="H29" s="126">
        <f t="shared" si="21"/>
        <v>1.7037717830787711</v>
      </c>
      <c r="I29" s="230">
        <f>'[1]июль 20'!AI28</f>
        <v>0</v>
      </c>
      <c r="J29" s="247">
        <f>'[1]март 20'!AA28</f>
        <v>11.39</v>
      </c>
      <c r="K29" s="276">
        <f>'[1]сентябрь 20'!AM28</f>
        <v>0</v>
      </c>
      <c r="L29" s="122">
        <f t="shared" si="22"/>
        <v>73.33</v>
      </c>
      <c r="M29" s="128">
        <f t="shared" si="23"/>
        <v>0.62922601681825974</v>
      </c>
      <c r="N29" s="400">
        <f>'[1]март 20'!W28</f>
        <v>0</v>
      </c>
      <c r="O29" s="403">
        <f>'[1]март 20'!AU28</f>
        <v>9.7029999999999994</v>
      </c>
      <c r="P29" s="401">
        <f t="shared" si="0"/>
        <v>172.91200000000001</v>
      </c>
      <c r="Q29" s="122">
        <f>'[1]март 20'!S28</f>
        <v>172.91200000000001</v>
      </c>
      <c r="R29" s="123">
        <f t="shared" si="24"/>
        <v>4.0599999999999996</v>
      </c>
      <c r="S29" s="129">
        <v>4.0999999999999996</v>
      </c>
      <c r="T29" s="125">
        <f t="shared" si="1"/>
        <v>165.89177280000001</v>
      </c>
      <c r="U29" s="147">
        <f t="shared" si="2"/>
        <v>1.4234749682512442</v>
      </c>
      <c r="V29" s="130">
        <v>116.54</v>
      </c>
      <c r="W29" s="130">
        <v>116.54</v>
      </c>
      <c r="X29" s="129">
        <v>0.3</v>
      </c>
      <c r="Y29" s="150">
        <v>516</v>
      </c>
      <c r="Z29" s="150">
        <v>1195</v>
      </c>
      <c r="AA29" s="148" t="s">
        <v>150</v>
      </c>
      <c r="AB29" s="149">
        <v>76.569999999999993</v>
      </c>
      <c r="AC29" s="150">
        <v>113</v>
      </c>
      <c r="AD29" s="151">
        <v>4</v>
      </c>
      <c r="AE29" s="149">
        <v>9.4499999999999993</v>
      </c>
      <c r="AF29" s="134">
        <f t="shared" si="3"/>
        <v>81.088038441736728</v>
      </c>
      <c r="AG29" s="152"/>
      <c r="AH29" s="129">
        <v>96</v>
      </c>
      <c r="AI29" s="134">
        <f t="shared" si="4"/>
        <v>823.75150163034152</v>
      </c>
      <c r="AJ29" s="136">
        <v>15.4</v>
      </c>
      <c r="AK29" s="154"/>
      <c r="AL29" s="155">
        <v>6.17</v>
      </c>
      <c r="AM29" s="156">
        <v>37.5</v>
      </c>
      <c r="AN29" s="126">
        <f t="shared" si="25"/>
        <v>0.23622047244094488</v>
      </c>
      <c r="AO29" s="157" t="s">
        <v>200</v>
      </c>
      <c r="AP29" s="156">
        <v>7.29</v>
      </c>
      <c r="AQ29" s="156">
        <v>6.69</v>
      </c>
      <c r="AR29" s="149"/>
      <c r="AS29" s="149">
        <v>8.91</v>
      </c>
      <c r="AT29" s="149">
        <v>158.75</v>
      </c>
      <c r="AU29" s="149">
        <v>1.46</v>
      </c>
      <c r="AV29" s="164"/>
      <c r="AW29" s="149"/>
      <c r="AX29" s="158">
        <f t="shared" si="5"/>
        <v>0</v>
      </c>
      <c r="AY29" s="125">
        <f t="shared" si="6"/>
        <v>116.54</v>
      </c>
      <c r="AZ29" s="125">
        <f t="shared" si="31"/>
        <v>123.91272089064064</v>
      </c>
      <c r="BA29" s="159">
        <f t="shared" si="7"/>
        <v>6.6260281690140834</v>
      </c>
      <c r="BB29" s="160">
        <f t="shared" si="8"/>
        <v>4.6616</v>
      </c>
      <c r="BC29" s="161">
        <f t="shared" si="9"/>
        <v>0.83479765729629118</v>
      </c>
      <c r="BD29" s="160">
        <f t="shared" si="26"/>
        <v>11.287628169014084</v>
      </c>
      <c r="BE29" s="162">
        <v>0.85</v>
      </c>
      <c r="BF29" s="25">
        <f t="shared" si="27"/>
        <v>2777.62</v>
      </c>
      <c r="BG29" s="25">
        <f t="shared" si="10"/>
        <v>124.19354838709677</v>
      </c>
      <c r="BH29" s="25">
        <f t="shared" si="28"/>
        <v>2856.4516129032254</v>
      </c>
      <c r="BI29" s="26">
        <f t="shared" si="11"/>
        <v>1</v>
      </c>
      <c r="BJ29" s="37">
        <f t="shared" si="29"/>
        <v>2856.4516129032254</v>
      </c>
      <c r="BK29" s="328"/>
      <c r="BL29" s="31">
        <v>202.79599999999999</v>
      </c>
      <c r="BM29" s="31"/>
      <c r="BN29" s="31">
        <v>73.33</v>
      </c>
      <c r="BO29" s="40"/>
      <c r="BP29" s="40"/>
      <c r="BQ29" s="32"/>
      <c r="BR29" s="33"/>
      <c r="BS29" s="34">
        <v>2.09</v>
      </c>
      <c r="BT29" s="35"/>
      <c r="BU29" s="35"/>
      <c r="BV29" s="235"/>
      <c r="BW29" s="235"/>
      <c r="BX29" s="36"/>
      <c r="BY29" s="33"/>
      <c r="BZ29" s="34">
        <v>37.729999999999997</v>
      </c>
      <c r="CA29" s="35"/>
      <c r="CB29" s="35">
        <v>43.7</v>
      </c>
      <c r="CC29" s="235"/>
      <c r="CD29" s="235"/>
      <c r="CE29" s="36"/>
      <c r="CF29" s="30">
        <v>172.91200000000001</v>
      </c>
      <c r="CG29" s="30"/>
      <c r="CH29" s="31"/>
      <c r="CI29" s="32"/>
      <c r="CJ29" s="33">
        <v>4.0599999999999996</v>
      </c>
      <c r="CK29" s="33"/>
      <c r="CL29" s="35"/>
      <c r="CM29" s="36"/>
      <c r="CN29" s="286"/>
      <c r="CO29" s="249">
        <f t="shared" si="32"/>
        <v>0</v>
      </c>
      <c r="CP29" s="12">
        <f t="shared" si="32"/>
        <v>198.55756359999998</v>
      </c>
      <c r="CQ29" s="12">
        <f t="shared" si="32"/>
        <v>0</v>
      </c>
      <c r="CR29" s="12">
        <f t="shared" si="32"/>
        <v>73.33</v>
      </c>
      <c r="CS29" s="11">
        <f t="shared" si="32"/>
        <v>0</v>
      </c>
      <c r="CT29" s="11">
        <f t="shared" si="32"/>
        <v>0</v>
      </c>
      <c r="CU29" s="272">
        <f t="shared" si="32"/>
        <v>0</v>
      </c>
      <c r="CV29" s="249">
        <f t="shared" si="13"/>
        <v>165.89177280000001</v>
      </c>
      <c r="CW29" s="12">
        <f t="shared" si="13"/>
        <v>0</v>
      </c>
      <c r="CX29" s="249">
        <f t="shared" si="13"/>
        <v>0</v>
      </c>
      <c r="CY29" s="272">
        <f t="shared" si="13"/>
        <v>0</v>
      </c>
      <c r="CZ29" s="13"/>
      <c r="DA29" s="240">
        <f>(D29+'[2]март 20 '!D29)/(AY29+'[2]март 20 '!AX29)</f>
        <v>2.2720001314937353</v>
      </c>
      <c r="DB29" s="241">
        <f>(T29+'[2]март 20 '!R29)/(AY29+'[2]март 20 '!AX29)</f>
        <v>1.3553196474728986</v>
      </c>
      <c r="DD29" s="292">
        <f t="shared" si="14"/>
        <v>11.39</v>
      </c>
      <c r="DE29" s="291">
        <v>0.21</v>
      </c>
      <c r="DF29" s="291">
        <v>13.74</v>
      </c>
      <c r="DG29" s="145">
        <f t="shared" si="15"/>
        <v>11.366081000000001</v>
      </c>
      <c r="DH29" s="293">
        <f t="shared" si="30"/>
        <v>2.0395710191981196</v>
      </c>
      <c r="DJ29" s="431"/>
      <c r="DL29" s="322"/>
    </row>
    <row r="30" spans="1:116" s="76" customFormat="1" ht="16.5" customHeight="1" thickBot="1">
      <c r="A30" s="144">
        <v>24</v>
      </c>
      <c r="B30" s="122">
        <f t="shared" si="16"/>
        <v>288.85000000000002</v>
      </c>
      <c r="C30" s="123">
        <f t="shared" si="17"/>
        <v>1.7480155097801628</v>
      </c>
      <c r="D30" s="145">
        <f t="shared" si="18"/>
        <v>283.8008572</v>
      </c>
      <c r="E30" s="125">
        <f t="shared" si="19"/>
        <v>38.864371750043276</v>
      </c>
      <c r="F30" s="146">
        <f t="shared" si="20"/>
        <v>2.4855566403923626</v>
      </c>
      <c r="G30" s="127">
        <v>11.81</v>
      </c>
      <c r="H30" s="126">
        <f t="shared" si="21"/>
        <v>1.8216400175162022</v>
      </c>
      <c r="I30" s="230">
        <f>'[1]июль 20'!AI29</f>
        <v>0</v>
      </c>
      <c r="J30" s="247">
        <f>'[1]март 20'!AA29</f>
        <v>11.696999999999999</v>
      </c>
      <c r="K30" s="276">
        <f>'[1]сентябрь 20'!AM29</f>
        <v>0</v>
      </c>
      <c r="L30" s="122">
        <f t="shared" si="22"/>
        <v>75.805999999999997</v>
      </c>
      <c r="M30" s="128">
        <f t="shared" si="23"/>
        <v>0.66391662287616027</v>
      </c>
      <c r="N30" s="400">
        <f>'[1]март 20'!W29</f>
        <v>0</v>
      </c>
      <c r="O30" s="403">
        <f>'[1]март 20'!AU29</f>
        <v>10.407</v>
      </c>
      <c r="P30" s="401">
        <f t="shared" si="0"/>
        <v>180.137</v>
      </c>
      <c r="Q30" s="122">
        <f>'[1]март 20'!S29</f>
        <v>180.137</v>
      </c>
      <c r="R30" s="123">
        <f t="shared" si="24"/>
        <v>4.34</v>
      </c>
      <c r="S30" s="170">
        <v>10.51</v>
      </c>
      <c r="T30" s="125">
        <f t="shared" si="1"/>
        <v>172.31905420000001</v>
      </c>
      <c r="U30" s="147">
        <f t="shared" si="2"/>
        <v>1.5091877228936765</v>
      </c>
      <c r="V30" s="169">
        <v>114.18</v>
      </c>
      <c r="W30" s="169">
        <v>114.18</v>
      </c>
      <c r="X30" s="170">
        <v>0.36</v>
      </c>
      <c r="Y30" s="166">
        <v>492</v>
      </c>
      <c r="Z30" s="166">
        <v>1178</v>
      </c>
      <c r="AA30" s="148" t="s">
        <v>174</v>
      </c>
      <c r="AB30" s="164">
        <v>77.02</v>
      </c>
      <c r="AC30" s="166">
        <v>117</v>
      </c>
      <c r="AD30" s="171">
        <v>4</v>
      </c>
      <c r="AE30" s="164"/>
      <c r="AF30" s="172">
        <f t="shared" si="3"/>
        <v>0</v>
      </c>
      <c r="AG30" s="173"/>
      <c r="AH30" s="170">
        <v>104.95</v>
      </c>
      <c r="AI30" s="134">
        <f t="shared" si="4"/>
        <v>919.16272552110695</v>
      </c>
      <c r="AJ30" s="174">
        <v>11.92</v>
      </c>
      <c r="AK30" s="175"/>
      <c r="AL30" s="176">
        <v>6.57</v>
      </c>
      <c r="AM30" s="177">
        <v>35.76</v>
      </c>
      <c r="AN30" s="126">
        <f t="shared" si="25"/>
        <v>0.23145631067961164</v>
      </c>
      <c r="AO30" s="178" t="s">
        <v>219</v>
      </c>
      <c r="AP30" s="177">
        <v>7.09</v>
      </c>
      <c r="AQ30" s="177">
        <v>6.61</v>
      </c>
      <c r="AR30" s="171"/>
      <c r="AS30" s="164">
        <v>10.56</v>
      </c>
      <c r="AT30" s="149">
        <v>154.5</v>
      </c>
      <c r="AU30" s="164">
        <v>2.0099999999999998</v>
      </c>
      <c r="AV30" s="164"/>
      <c r="AW30" s="164"/>
      <c r="AX30" s="179">
        <f t="shared" si="5"/>
        <v>0</v>
      </c>
      <c r="AY30" s="125">
        <f t="shared" si="6"/>
        <v>114.18000000000002</v>
      </c>
      <c r="AZ30" s="125">
        <f t="shared" si="31"/>
        <v>128.16590149528855</v>
      </c>
      <c r="BA30" s="159">
        <f t="shared" si="7"/>
        <v>8.5852056338028184</v>
      </c>
      <c r="BB30" s="159">
        <f t="shared" si="8"/>
        <v>4.5672000000000006</v>
      </c>
      <c r="BC30" s="180">
        <f t="shared" si="9"/>
        <v>0.79731181257774164</v>
      </c>
      <c r="BD30" s="159">
        <f t="shared" si="26"/>
        <v>13.152405633802818</v>
      </c>
      <c r="BE30" s="167">
        <v>0.84799999999999998</v>
      </c>
      <c r="BF30" s="25">
        <f t="shared" si="27"/>
        <v>2891.7999999999997</v>
      </c>
      <c r="BG30" s="25">
        <f t="shared" si="10"/>
        <v>124.19354838709677</v>
      </c>
      <c r="BH30" s="25">
        <f t="shared" si="28"/>
        <v>2980.645161290322</v>
      </c>
      <c r="BI30" s="26">
        <f t="shared" si="11"/>
        <v>1</v>
      </c>
      <c r="BJ30" s="37">
        <f t="shared" si="29"/>
        <v>2980.645161290322</v>
      </c>
      <c r="BK30" s="38"/>
      <c r="BL30" s="31">
        <v>213.04400000000001</v>
      </c>
      <c r="BM30" s="31"/>
      <c r="BN30" s="31">
        <v>75.805999999999997</v>
      </c>
      <c r="BO30" s="40"/>
      <c r="BP30" s="40"/>
      <c r="BQ30" s="44"/>
      <c r="BR30" s="45"/>
      <c r="BS30" s="46">
        <v>2.37</v>
      </c>
      <c r="BT30" s="47"/>
      <c r="BU30" s="47"/>
      <c r="BV30" s="283"/>
      <c r="BW30" s="283"/>
      <c r="BX30" s="48"/>
      <c r="BY30" s="45"/>
      <c r="BZ30" s="46">
        <v>37.19</v>
      </c>
      <c r="CA30" s="47"/>
      <c r="CB30" s="47">
        <v>43.57</v>
      </c>
      <c r="CC30" s="283"/>
      <c r="CD30" s="283"/>
      <c r="CE30" s="48"/>
      <c r="CF30" s="49">
        <v>180.137</v>
      </c>
      <c r="CG30" s="49"/>
      <c r="CH30" s="43"/>
      <c r="CI30" s="32"/>
      <c r="CJ30" s="33">
        <v>4.34</v>
      </c>
      <c r="CK30" s="33"/>
      <c r="CL30" s="35"/>
      <c r="CM30" s="36"/>
      <c r="CN30" s="286"/>
      <c r="CO30" s="249">
        <f t="shared" si="32"/>
        <v>0</v>
      </c>
      <c r="CP30" s="12">
        <f t="shared" si="32"/>
        <v>207.99485720000001</v>
      </c>
      <c r="CQ30" s="12">
        <f t="shared" si="32"/>
        <v>0</v>
      </c>
      <c r="CR30" s="12">
        <f t="shared" si="32"/>
        <v>75.805999999999997</v>
      </c>
      <c r="CS30" s="11">
        <f t="shared" si="32"/>
        <v>0</v>
      </c>
      <c r="CT30" s="11">
        <f t="shared" si="32"/>
        <v>0</v>
      </c>
      <c r="CU30" s="272">
        <f t="shared" si="32"/>
        <v>0</v>
      </c>
      <c r="CV30" s="249">
        <f t="shared" si="13"/>
        <v>172.31905420000001</v>
      </c>
      <c r="CW30" s="11">
        <f t="shared" si="13"/>
        <v>0</v>
      </c>
      <c r="CX30" s="252">
        <f t="shared" si="13"/>
        <v>0</v>
      </c>
      <c r="CY30" s="272">
        <f t="shared" si="13"/>
        <v>0</v>
      </c>
      <c r="CZ30" s="13"/>
      <c r="DA30" s="240">
        <f>(D30+'[2]март 20 '!D30)/(AY30+'[2]март 20 '!AX30)</f>
        <v>2.3360748315001167</v>
      </c>
      <c r="DB30" s="241">
        <f>(T30+'[2]март 20 '!R30)/(AY30+'[2]март 20 '!AX30)</f>
        <v>1.407907366604259</v>
      </c>
      <c r="DD30" s="292">
        <f t="shared" si="14"/>
        <v>11.696999999999999</v>
      </c>
      <c r="DE30" s="291">
        <v>0.14000000000000001</v>
      </c>
      <c r="DF30" s="291">
        <v>20.75</v>
      </c>
      <c r="DG30" s="145">
        <f t="shared" si="15"/>
        <v>11.6806242</v>
      </c>
      <c r="DH30" s="293">
        <f t="shared" si="30"/>
        <v>3.1468833049857179</v>
      </c>
      <c r="DJ30" s="431"/>
      <c r="DL30" s="322"/>
    </row>
    <row r="31" spans="1:116" s="76" customFormat="1" ht="16.5" customHeight="1" thickBot="1">
      <c r="A31" s="144">
        <v>25</v>
      </c>
      <c r="B31" s="122">
        <f t="shared" si="16"/>
        <v>296.02800000000002</v>
      </c>
      <c r="C31" s="123">
        <f t="shared" si="17"/>
        <v>1.0639863796667883</v>
      </c>
      <c r="D31" s="145">
        <f t="shared" si="18"/>
        <v>292.87830240000005</v>
      </c>
      <c r="E31" s="125">
        <f t="shared" si="19"/>
        <v>38.797728525680007</v>
      </c>
      <c r="F31" s="146">
        <f t="shared" si="20"/>
        <v>2.2233227237531321</v>
      </c>
      <c r="G31" s="127"/>
      <c r="H31" s="126">
        <f t="shared" si="21"/>
        <v>1.6365239687239053</v>
      </c>
      <c r="I31" s="230">
        <f>'[1]июль 20'!AI30</f>
        <v>0</v>
      </c>
      <c r="J31" s="247">
        <f>'[1]март 20'!AA30</f>
        <v>11.997999999999999</v>
      </c>
      <c r="K31" s="276">
        <f>'[1]сентябрь 20'!AM30</f>
        <v>0</v>
      </c>
      <c r="L31" s="122">
        <f t="shared" si="22"/>
        <v>77.299000000000007</v>
      </c>
      <c r="M31" s="128">
        <f t="shared" si="23"/>
        <v>0.58679875502922652</v>
      </c>
      <c r="N31" s="400">
        <f>'[1]март 20'!W30</f>
        <v>0</v>
      </c>
      <c r="O31" s="403">
        <f>'[1]март 20'!AU30</f>
        <v>9.6780000000000008</v>
      </c>
      <c r="P31" s="401">
        <f t="shared" si="0"/>
        <v>188.76499999999999</v>
      </c>
      <c r="Q31" s="122">
        <f>'[1]март 20'!S30</f>
        <v>188.76499999999999</v>
      </c>
      <c r="R31" s="123">
        <f t="shared" si="24"/>
        <v>4.16</v>
      </c>
      <c r="S31" s="129">
        <v>2.13</v>
      </c>
      <c r="T31" s="125">
        <f t="shared" si="1"/>
        <v>180.91237599999999</v>
      </c>
      <c r="U31" s="147">
        <f t="shared" si="2"/>
        <v>1.3733574432551432</v>
      </c>
      <c r="V31" s="130">
        <v>131.72999999999999</v>
      </c>
      <c r="W31" s="130">
        <v>131.72999999999999</v>
      </c>
      <c r="X31" s="129">
        <v>0.28000000000000003</v>
      </c>
      <c r="Y31" s="150">
        <v>500</v>
      </c>
      <c r="Z31" s="150">
        <v>1196</v>
      </c>
      <c r="AA31" s="148" t="s">
        <v>114</v>
      </c>
      <c r="AB31" s="149">
        <v>76.78</v>
      </c>
      <c r="AC31" s="150">
        <v>120</v>
      </c>
      <c r="AD31" s="151">
        <v>4</v>
      </c>
      <c r="AE31" s="149"/>
      <c r="AF31" s="134">
        <f t="shared" si="3"/>
        <v>0</v>
      </c>
      <c r="AG31" s="152"/>
      <c r="AH31" s="129">
        <v>91.1</v>
      </c>
      <c r="AI31" s="134">
        <f t="shared" si="4"/>
        <v>691.56608213770585</v>
      </c>
      <c r="AJ31" s="136">
        <v>10.96</v>
      </c>
      <c r="AK31" s="154"/>
      <c r="AL31" s="155">
        <v>4.7300000000000004</v>
      </c>
      <c r="AM31" s="156">
        <v>37.49</v>
      </c>
      <c r="AN31" s="126">
        <f t="shared" si="25"/>
        <v>0.21802849665600468</v>
      </c>
      <c r="AO31" s="157" t="s">
        <v>216</v>
      </c>
      <c r="AP31" s="156">
        <v>6.86</v>
      </c>
      <c r="AQ31" s="156">
        <v>6.32</v>
      </c>
      <c r="AR31" s="151"/>
      <c r="AS31" s="149">
        <v>12.2</v>
      </c>
      <c r="AT31" s="149">
        <v>171.95</v>
      </c>
      <c r="AU31" s="149">
        <v>2</v>
      </c>
      <c r="AV31" s="164"/>
      <c r="AW31" s="149"/>
      <c r="AX31" s="158">
        <f t="shared" si="5"/>
        <v>0</v>
      </c>
      <c r="AY31" s="125">
        <f t="shared" si="6"/>
        <v>131.72999999999999</v>
      </c>
      <c r="AZ31" s="125">
        <f t="shared" si="31"/>
        <v>131.7354331327287</v>
      </c>
      <c r="BA31" s="159">
        <f t="shared" si="7"/>
        <v>8.6095915492957733</v>
      </c>
      <c r="BB31" s="160">
        <f t="shared" si="8"/>
        <v>5.2691999999999997</v>
      </c>
      <c r="BC31" s="161">
        <f t="shared" si="9"/>
        <v>0.8901010249543545</v>
      </c>
      <c r="BD31" s="160">
        <f t="shared" si="26"/>
        <v>13.878791549295773</v>
      </c>
      <c r="BE31" s="162">
        <v>0.85</v>
      </c>
      <c r="BF31" s="25">
        <f t="shared" si="27"/>
        <v>3023.5299999999997</v>
      </c>
      <c r="BG31" s="25">
        <f t="shared" si="10"/>
        <v>124.19354838709677</v>
      </c>
      <c r="BH31" s="25">
        <f t="shared" si="28"/>
        <v>3104.8387096774186</v>
      </c>
      <c r="BI31" s="26">
        <f t="shared" si="11"/>
        <v>1</v>
      </c>
      <c r="BJ31" s="37">
        <f t="shared" si="29"/>
        <v>3104.8387096774186</v>
      </c>
      <c r="BK31" s="38"/>
      <c r="BL31" s="31">
        <v>218.72900000000001</v>
      </c>
      <c r="BM31" s="31"/>
      <c r="BN31" s="31">
        <v>77.299000000000007</v>
      </c>
      <c r="BO31" s="40"/>
      <c r="BP31" s="40"/>
      <c r="BQ31" s="32"/>
      <c r="BR31" s="33"/>
      <c r="BS31" s="34">
        <v>1.44</v>
      </c>
      <c r="BT31" s="35"/>
      <c r="BU31" s="35"/>
      <c r="BV31" s="235"/>
      <c r="BW31" s="235"/>
      <c r="BX31" s="36"/>
      <c r="BY31" s="33"/>
      <c r="BZ31" s="34">
        <v>37.090000000000003</v>
      </c>
      <c r="CA31" s="35"/>
      <c r="CB31" s="35">
        <v>43.63</v>
      </c>
      <c r="CC31" s="235"/>
      <c r="CD31" s="235"/>
      <c r="CE31" s="36"/>
      <c r="CF31" s="30">
        <v>188.76499999999999</v>
      </c>
      <c r="CG31" s="30"/>
      <c r="CH31" s="31"/>
      <c r="CI31" s="32"/>
      <c r="CJ31" s="33">
        <v>4.16</v>
      </c>
      <c r="CK31" s="33"/>
      <c r="CL31" s="35"/>
      <c r="CM31" s="36"/>
      <c r="CN31" s="286"/>
      <c r="CO31" s="249">
        <f t="shared" si="32"/>
        <v>0</v>
      </c>
      <c r="CP31" s="12">
        <f t="shared" si="32"/>
        <v>215.57930240000002</v>
      </c>
      <c r="CQ31" s="12">
        <f t="shared" si="32"/>
        <v>0</v>
      </c>
      <c r="CR31" s="12">
        <f t="shared" si="32"/>
        <v>77.299000000000007</v>
      </c>
      <c r="CS31" s="11">
        <f t="shared" si="32"/>
        <v>0</v>
      </c>
      <c r="CT31" s="11">
        <f t="shared" si="32"/>
        <v>0</v>
      </c>
      <c r="CU31" s="272">
        <f t="shared" si="32"/>
        <v>0</v>
      </c>
      <c r="CV31" s="249">
        <f t="shared" si="13"/>
        <v>180.91237599999999</v>
      </c>
      <c r="CW31" s="12">
        <f t="shared" si="13"/>
        <v>0</v>
      </c>
      <c r="CX31" s="249">
        <f t="shared" si="13"/>
        <v>0</v>
      </c>
      <c r="CY31" s="272">
        <f t="shared" si="13"/>
        <v>0</v>
      </c>
      <c r="CZ31" s="13"/>
      <c r="DA31" s="240">
        <f>(D31+'[2]март 20 '!D31)/(AY31+'[2]март 20 '!AX31)</f>
        <v>2.2778347365207985</v>
      </c>
      <c r="DB31" s="241">
        <f>(T31+'[2]март 20 '!R31)/(AY31+'[2]март 20 '!AX31)</f>
        <v>1.3873584815606184</v>
      </c>
      <c r="DD31" s="292">
        <f t="shared" si="14"/>
        <v>11.997999999999999</v>
      </c>
      <c r="DE31" s="291">
        <v>0.18</v>
      </c>
      <c r="DF31" s="291">
        <v>16.260000000000002</v>
      </c>
      <c r="DG31" s="145">
        <f t="shared" si="15"/>
        <v>11.976403599999999</v>
      </c>
      <c r="DH31" s="293">
        <f t="shared" si="30"/>
        <v>2.5362896917947384</v>
      </c>
      <c r="DJ31" s="431"/>
      <c r="DL31" s="322"/>
    </row>
    <row r="32" spans="1:116" s="76" customFormat="1" ht="16.5" customHeight="1" thickBot="1">
      <c r="A32" s="144">
        <v>26</v>
      </c>
      <c r="B32" s="122">
        <f t="shared" si="16"/>
        <v>300.39699999999999</v>
      </c>
      <c r="C32" s="123">
        <f t="shared" si="17"/>
        <v>1.3902188104408499</v>
      </c>
      <c r="D32" s="145">
        <f t="shared" si="18"/>
        <v>296.22082439999997</v>
      </c>
      <c r="E32" s="125">
        <f t="shared" si="19"/>
        <v>38.717601174445818</v>
      </c>
      <c r="F32" s="146">
        <f t="shared" si="20"/>
        <v>2.5188845612244894</v>
      </c>
      <c r="G32" s="127"/>
      <c r="H32" s="126">
        <f t="shared" si="21"/>
        <v>1.8534083707482996</v>
      </c>
      <c r="I32" s="230">
        <f>'[1]июль 20'!AI31</f>
        <v>0</v>
      </c>
      <c r="J32" s="247">
        <f>'[1]март 20'!AA31</f>
        <v>12.352</v>
      </c>
      <c r="K32" s="276">
        <f>'[1]сентябрь 20'!AM31</f>
        <v>0</v>
      </c>
      <c r="L32" s="122">
        <f t="shared" si="22"/>
        <v>78.260000000000005</v>
      </c>
      <c r="M32" s="128">
        <f t="shared" si="23"/>
        <v>0.66547619047619055</v>
      </c>
      <c r="N32" s="400">
        <f>'[1]март 20'!W31</f>
        <v>0</v>
      </c>
      <c r="O32" s="403">
        <f>'[1]март 20'!AU31</f>
        <v>10.97</v>
      </c>
      <c r="P32" s="401">
        <f t="shared" si="0"/>
        <v>192.15600000000001</v>
      </c>
      <c r="Q32" s="122">
        <f>'[1]март 20'!S31</f>
        <v>192.15600000000001</v>
      </c>
      <c r="R32" s="123">
        <f t="shared" si="24"/>
        <v>4.0199999999999996</v>
      </c>
      <c r="S32" s="129">
        <v>20.78</v>
      </c>
      <c r="T32" s="125">
        <f t="shared" si="1"/>
        <v>184.43132880000002</v>
      </c>
      <c r="U32" s="147">
        <f t="shared" si="2"/>
        <v>1.5682936122448983</v>
      </c>
      <c r="V32" s="130">
        <v>117.6</v>
      </c>
      <c r="W32" s="130">
        <v>61.49</v>
      </c>
      <c r="X32" s="129">
        <v>0.93</v>
      </c>
      <c r="Y32" s="150">
        <v>500</v>
      </c>
      <c r="Z32" s="150">
        <v>1197</v>
      </c>
      <c r="AA32" s="148" t="s">
        <v>136</v>
      </c>
      <c r="AB32" s="149">
        <v>76.540000000000006</v>
      </c>
      <c r="AC32" s="150">
        <v>122</v>
      </c>
      <c r="AD32" s="151">
        <v>4</v>
      </c>
      <c r="AE32" s="149"/>
      <c r="AF32" s="134">
        <f t="shared" si="3"/>
        <v>0</v>
      </c>
      <c r="AG32" s="152"/>
      <c r="AH32" s="129">
        <v>77.3</v>
      </c>
      <c r="AI32" s="134">
        <f t="shared" si="4"/>
        <v>657.31292517006796</v>
      </c>
      <c r="AJ32" s="153">
        <v>13.93</v>
      </c>
      <c r="AK32" s="154"/>
      <c r="AL32" s="155">
        <v>4.9000000000000004</v>
      </c>
      <c r="AM32" s="156">
        <v>36.630000000000003</v>
      </c>
      <c r="AN32" s="126">
        <f t="shared" si="25"/>
        <v>0.23227647431832596</v>
      </c>
      <c r="AO32" s="157" t="s">
        <v>201</v>
      </c>
      <c r="AP32" s="156">
        <v>8.09</v>
      </c>
      <c r="AQ32" s="156">
        <v>6.77</v>
      </c>
      <c r="AR32" s="151"/>
      <c r="AS32" s="149">
        <v>7.78</v>
      </c>
      <c r="AT32" s="149">
        <v>157.69999999999999</v>
      </c>
      <c r="AU32" s="149">
        <v>1.43</v>
      </c>
      <c r="AV32" s="149"/>
      <c r="AW32" s="149"/>
      <c r="AX32" s="158">
        <f t="shared" si="5"/>
        <v>0</v>
      </c>
      <c r="AY32" s="125">
        <f t="shared" si="6"/>
        <v>117.6</v>
      </c>
      <c r="AZ32" s="125">
        <f t="shared" si="31"/>
        <v>134.32230461499586</v>
      </c>
      <c r="BA32" s="159">
        <f t="shared" si="7"/>
        <v>4.6586859154929572</v>
      </c>
      <c r="BB32" s="160">
        <f t="shared" si="8"/>
        <v>4.7039999999999997</v>
      </c>
      <c r="BC32" s="161">
        <f t="shared" si="9"/>
        <v>0.78482305327477253</v>
      </c>
      <c r="BD32" s="160">
        <f t="shared" si="26"/>
        <v>9.3626859154929569</v>
      </c>
      <c r="BE32" s="162">
        <v>0.84699999999999998</v>
      </c>
      <c r="BF32" s="25">
        <f t="shared" si="27"/>
        <v>3141.1299999999997</v>
      </c>
      <c r="BG32" s="25">
        <f t="shared" si="10"/>
        <v>124.19354838709677</v>
      </c>
      <c r="BH32" s="25">
        <f t="shared" si="28"/>
        <v>3229.0322580645152</v>
      </c>
      <c r="BI32" s="26">
        <f t="shared" si="11"/>
        <v>1</v>
      </c>
      <c r="BJ32" s="37">
        <f t="shared" si="29"/>
        <v>3229.0322580645152</v>
      </c>
      <c r="BK32" s="38"/>
      <c r="BL32" s="31">
        <v>222.137</v>
      </c>
      <c r="BM32" s="31"/>
      <c r="BN32" s="31">
        <v>78.260000000000005</v>
      </c>
      <c r="BO32" s="40"/>
      <c r="BP32" s="40"/>
      <c r="BQ32" s="32"/>
      <c r="BR32" s="33"/>
      <c r="BS32" s="34">
        <v>1.88</v>
      </c>
      <c r="BT32" s="35"/>
      <c r="BU32" s="35"/>
      <c r="BV32" s="235"/>
      <c r="BW32" s="235"/>
      <c r="BX32" s="36"/>
      <c r="BY32" s="33"/>
      <c r="BZ32" s="34">
        <v>36.92</v>
      </c>
      <c r="CA32" s="35"/>
      <c r="CB32" s="35">
        <v>43.82</v>
      </c>
      <c r="CC32" s="235"/>
      <c r="CD32" s="235"/>
      <c r="CE32" s="36"/>
      <c r="CF32" s="30">
        <v>192.15600000000001</v>
      </c>
      <c r="CG32" s="30"/>
      <c r="CH32" s="31"/>
      <c r="CI32" s="50"/>
      <c r="CJ32" s="33">
        <v>4.0199999999999996</v>
      </c>
      <c r="CK32" s="33"/>
      <c r="CL32" s="35"/>
      <c r="CM32" s="36"/>
      <c r="CN32" s="286"/>
      <c r="CO32" s="249">
        <f t="shared" si="32"/>
        <v>0</v>
      </c>
      <c r="CP32" s="12">
        <f t="shared" si="32"/>
        <v>217.96082440000001</v>
      </c>
      <c r="CQ32" s="12">
        <f t="shared" si="32"/>
        <v>0</v>
      </c>
      <c r="CR32" s="12">
        <f t="shared" si="32"/>
        <v>78.260000000000005</v>
      </c>
      <c r="CS32" s="11">
        <f t="shared" si="32"/>
        <v>0</v>
      </c>
      <c r="CT32" s="11">
        <f t="shared" si="32"/>
        <v>0</v>
      </c>
      <c r="CU32" s="272">
        <f t="shared" si="32"/>
        <v>0</v>
      </c>
      <c r="CV32" s="249">
        <f t="shared" si="13"/>
        <v>184.43132880000002</v>
      </c>
      <c r="CW32" s="11">
        <f t="shared" si="13"/>
        <v>0</v>
      </c>
      <c r="CX32" s="249">
        <f t="shared" si="13"/>
        <v>0</v>
      </c>
      <c r="CY32" s="272">
        <f t="shared" si="13"/>
        <v>0</v>
      </c>
      <c r="CZ32" s="13"/>
      <c r="DA32" s="240">
        <f>(D32+'[2]март 20 '!D32)/(AY32+'[2]март 20 '!AX32)</f>
        <v>2.2493939328339079</v>
      </c>
      <c r="DB32" s="241">
        <f>(T32+'[2]март 20 '!R32)/(AY32+'[2]март 20 '!AX32)</f>
        <v>1.3768232227191159</v>
      </c>
      <c r="DD32" s="292">
        <f t="shared" si="14"/>
        <v>12.352</v>
      </c>
      <c r="DE32" s="291">
        <v>0.24</v>
      </c>
      <c r="DF32" s="291">
        <v>21.8</v>
      </c>
      <c r="DG32" s="145">
        <f t="shared" si="15"/>
        <v>12.322355200000001</v>
      </c>
      <c r="DH32" s="293">
        <f t="shared" si="30"/>
        <v>3.5096334382022474</v>
      </c>
      <c r="DJ32" s="431"/>
      <c r="DL32" s="322"/>
    </row>
    <row r="33" spans="1:116" s="76" customFormat="1" ht="16.5" customHeight="1" thickBot="1">
      <c r="A33" s="144">
        <v>27</v>
      </c>
      <c r="B33" s="122">
        <f t="shared" si="16"/>
        <v>266.73699999999997</v>
      </c>
      <c r="C33" s="123">
        <f t="shared" si="17"/>
        <v>1.2527298050139277</v>
      </c>
      <c r="D33" s="145">
        <f t="shared" si="18"/>
        <v>263.39550609999998</v>
      </c>
      <c r="E33" s="125">
        <f t="shared" si="19"/>
        <v>38.963844011142065</v>
      </c>
      <c r="F33" s="146">
        <f t="shared" si="20"/>
        <v>2.5557491373956918</v>
      </c>
      <c r="G33" s="127"/>
      <c r="H33" s="126">
        <f t="shared" si="21"/>
        <v>1.8636474490588009</v>
      </c>
      <c r="I33" s="230">
        <f>'[1]июль 20'!AI32</f>
        <v>0</v>
      </c>
      <c r="J33" s="247">
        <f>'[1]март 20'!AA32</f>
        <v>10.759</v>
      </c>
      <c r="K33" s="276">
        <f>'[1]сентябрь 20'!AM32</f>
        <v>0</v>
      </c>
      <c r="L33" s="122">
        <f t="shared" si="22"/>
        <v>71.328000000000003</v>
      </c>
      <c r="M33" s="128">
        <f t="shared" si="23"/>
        <v>0.69210168833689123</v>
      </c>
      <c r="N33" s="400">
        <f>'[1]март 20'!W32</f>
        <v>0</v>
      </c>
      <c r="O33" s="403">
        <f>'[1]март 20'!AU32</f>
        <v>9.8569999999999993</v>
      </c>
      <c r="P33" s="401">
        <f t="shared" si="0"/>
        <v>169.47800000000001</v>
      </c>
      <c r="Q33" s="122">
        <f>'[1]март 20'!S32</f>
        <v>169.47800000000001</v>
      </c>
      <c r="R33" s="123">
        <f t="shared" si="24"/>
        <v>4.62</v>
      </c>
      <c r="S33" s="129">
        <v>11.61</v>
      </c>
      <c r="T33" s="125">
        <f t="shared" si="1"/>
        <v>161.64811639999999</v>
      </c>
      <c r="U33" s="147">
        <f t="shared" si="2"/>
        <v>1.5684855074713759</v>
      </c>
      <c r="V33" s="130">
        <v>82.5</v>
      </c>
      <c r="W33" s="130">
        <v>61.73</v>
      </c>
      <c r="X33" s="129">
        <v>1.1000000000000001</v>
      </c>
      <c r="Y33" s="150">
        <v>543</v>
      </c>
      <c r="Z33" s="150">
        <v>1203</v>
      </c>
      <c r="AA33" s="148" t="s">
        <v>212</v>
      </c>
      <c r="AB33" s="149">
        <v>75.5</v>
      </c>
      <c r="AC33" s="150">
        <v>108</v>
      </c>
      <c r="AD33" s="151">
        <v>4</v>
      </c>
      <c r="AE33" s="149"/>
      <c r="AF33" s="134">
        <f t="shared" si="3"/>
        <v>0</v>
      </c>
      <c r="AG33" s="152"/>
      <c r="AH33" s="129">
        <v>75.25</v>
      </c>
      <c r="AI33" s="134">
        <f t="shared" si="4"/>
        <v>730.1571899864158</v>
      </c>
      <c r="AJ33" s="136">
        <v>10.7</v>
      </c>
      <c r="AK33" s="154"/>
      <c r="AL33" s="155">
        <v>4.53</v>
      </c>
      <c r="AM33" s="156">
        <v>37.619999999999997</v>
      </c>
      <c r="AN33" s="126">
        <f t="shared" si="25"/>
        <v>0.26197771587743734</v>
      </c>
      <c r="AO33" s="157" t="s">
        <v>183</v>
      </c>
      <c r="AP33" s="156">
        <v>7.59</v>
      </c>
      <c r="AQ33" s="156">
        <v>6.53</v>
      </c>
      <c r="AR33" s="151"/>
      <c r="AS33" s="149">
        <v>10.65</v>
      </c>
      <c r="AT33" s="149">
        <v>143.6</v>
      </c>
      <c r="AU33" s="149">
        <v>1.61</v>
      </c>
      <c r="AV33" s="149"/>
      <c r="AW33" s="149"/>
      <c r="AX33" s="158">
        <f t="shared" si="5"/>
        <v>0</v>
      </c>
      <c r="AY33" s="125">
        <f t="shared" si="6"/>
        <v>103.05999999999999</v>
      </c>
      <c r="AZ33" s="125">
        <f t="shared" si="31"/>
        <v>120.998558790912</v>
      </c>
      <c r="BA33" s="159">
        <f t="shared" si="7"/>
        <v>6.2081249999999999</v>
      </c>
      <c r="BB33" s="160">
        <f t="shared" si="8"/>
        <v>4.1223999999999998</v>
      </c>
      <c r="BC33" s="161">
        <f t="shared" si="9"/>
        <v>0.75817058811529681</v>
      </c>
      <c r="BD33" s="160">
        <f t="shared" si="26"/>
        <v>10.330525</v>
      </c>
      <c r="BE33" s="162">
        <v>0.84399999999999997</v>
      </c>
      <c r="BF33" s="25">
        <f t="shared" si="27"/>
        <v>3244.1899999999996</v>
      </c>
      <c r="BG33" s="25">
        <f t="shared" si="10"/>
        <v>124.19354838709677</v>
      </c>
      <c r="BH33" s="25">
        <f t="shared" si="28"/>
        <v>3353.2258064516118</v>
      </c>
      <c r="BI33" s="26">
        <f t="shared" si="11"/>
        <v>1</v>
      </c>
      <c r="BJ33" s="37">
        <f t="shared" si="29"/>
        <v>3353.2258064516118</v>
      </c>
      <c r="BK33" s="38"/>
      <c r="BL33" s="31">
        <v>195.40899999999999</v>
      </c>
      <c r="BM33" s="31"/>
      <c r="BN33" s="31">
        <v>71.328000000000003</v>
      </c>
      <c r="BO33" s="40"/>
      <c r="BP33" s="40"/>
      <c r="BQ33" s="32"/>
      <c r="BR33" s="33"/>
      <c r="BS33" s="34">
        <v>1.71</v>
      </c>
      <c r="BT33" s="35"/>
      <c r="BU33" s="35"/>
      <c r="BV33" s="235"/>
      <c r="BW33" s="235"/>
      <c r="BX33" s="36"/>
      <c r="BY33" s="33"/>
      <c r="BZ33" s="34">
        <v>37.1</v>
      </c>
      <c r="CA33" s="35"/>
      <c r="CB33" s="35">
        <v>44.07</v>
      </c>
      <c r="CC33" s="235"/>
      <c r="CD33" s="235"/>
      <c r="CE33" s="36"/>
      <c r="CF33" s="30">
        <v>169.47800000000001</v>
      </c>
      <c r="CG33" s="30"/>
      <c r="CH33" s="31"/>
      <c r="CI33" s="32"/>
      <c r="CJ33" s="33">
        <v>4.62</v>
      </c>
      <c r="CK33" s="33"/>
      <c r="CL33" s="35"/>
      <c r="CM33" s="36"/>
      <c r="CN33" s="270"/>
      <c r="CO33" s="249">
        <f t="shared" si="32"/>
        <v>0</v>
      </c>
      <c r="CP33" s="12">
        <f t="shared" si="32"/>
        <v>192.0675061</v>
      </c>
      <c r="CQ33" s="12">
        <f t="shared" si="32"/>
        <v>0</v>
      </c>
      <c r="CR33" s="12">
        <f t="shared" si="32"/>
        <v>71.328000000000003</v>
      </c>
      <c r="CS33" s="11">
        <f t="shared" si="32"/>
        <v>0</v>
      </c>
      <c r="CT33" s="11">
        <f t="shared" si="32"/>
        <v>0</v>
      </c>
      <c r="CU33" s="272">
        <f t="shared" si="32"/>
        <v>0</v>
      </c>
      <c r="CV33" s="249">
        <f t="shared" si="13"/>
        <v>161.64811639999999</v>
      </c>
      <c r="CW33" s="12">
        <f t="shared" si="13"/>
        <v>0</v>
      </c>
      <c r="CX33" s="254">
        <f t="shared" si="13"/>
        <v>0</v>
      </c>
      <c r="CY33" s="275">
        <f t="shared" si="13"/>
        <v>0</v>
      </c>
      <c r="CZ33" s="13"/>
      <c r="DA33" s="240">
        <f>(D33+'[2]март 20 '!D33)/(AY33+'[2]март 20 '!AX33)</f>
        <v>2.363690664797097</v>
      </c>
      <c r="DB33" s="241">
        <f>(T33+'[2]март 20 '!R33)/(AY33+'[2]март 20 '!AX33)</f>
        <v>1.4391557782909932</v>
      </c>
      <c r="DD33" s="292">
        <f t="shared" si="14"/>
        <v>10.759</v>
      </c>
      <c r="DE33" s="291">
        <v>0.14000000000000001</v>
      </c>
      <c r="DF33" s="291">
        <v>16.37</v>
      </c>
      <c r="DG33" s="145">
        <f t="shared" si="15"/>
        <v>10.7439374</v>
      </c>
      <c r="DH33" s="293">
        <f t="shared" si="30"/>
        <v>2.3295133144105962</v>
      </c>
      <c r="DJ33" s="431"/>
      <c r="DL33" s="322"/>
    </row>
    <row r="34" spans="1:116" s="76" customFormat="1" ht="16.5" customHeight="1" thickBot="1">
      <c r="A34" s="144">
        <v>28</v>
      </c>
      <c r="B34" s="122">
        <f t="shared" si="16"/>
        <v>224.916</v>
      </c>
      <c r="C34" s="123">
        <f t="shared" si="17"/>
        <v>1.0634711625673585</v>
      </c>
      <c r="D34" s="145">
        <f t="shared" si="18"/>
        <v>222.52408320000001</v>
      </c>
      <c r="E34" s="125">
        <f t="shared" si="19"/>
        <v>38.763841434135408</v>
      </c>
      <c r="F34" s="146">
        <f t="shared" si="20"/>
        <v>2.3167525580426864</v>
      </c>
      <c r="G34" s="127"/>
      <c r="H34" s="126">
        <f t="shared" si="21"/>
        <v>1.657720803748048</v>
      </c>
      <c r="I34" s="230">
        <f>'[1]июль 20'!AI33</f>
        <v>0</v>
      </c>
      <c r="J34" s="247">
        <f>'[1]март 20'!AA33</f>
        <v>9.1750000000000007</v>
      </c>
      <c r="K34" s="276">
        <f>'[1]сентябрь 20'!AM33</f>
        <v>0</v>
      </c>
      <c r="L34" s="122">
        <f t="shared" si="22"/>
        <v>63.3</v>
      </c>
      <c r="M34" s="128">
        <f t="shared" si="23"/>
        <v>0.65903175429463823</v>
      </c>
      <c r="N34" s="400">
        <f>'[1]март 20'!W33</f>
        <v>0</v>
      </c>
      <c r="O34" s="403">
        <f>'[1]март 20'!AU33</f>
        <v>8.4809999999999999</v>
      </c>
      <c r="P34" s="401">
        <f t="shared" si="0"/>
        <v>141.52199999999999</v>
      </c>
      <c r="Q34" s="122">
        <f>'[1]март 20'!S33</f>
        <v>141.52199999999999</v>
      </c>
      <c r="R34" s="123">
        <f t="shared" si="24"/>
        <v>2.86</v>
      </c>
      <c r="S34" s="170">
        <v>9.32</v>
      </c>
      <c r="T34" s="125">
        <f t="shared" si="1"/>
        <v>137.47447080000001</v>
      </c>
      <c r="U34" s="147">
        <f t="shared" si="2"/>
        <v>1.4312802790213432</v>
      </c>
      <c r="V34" s="169">
        <v>96.05</v>
      </c>
      <c r="W34" s="169"/>
      <c r="X34" s="170">
        <v>1.99</v>
      </c>
      <c r="Y34" s="166">
        <v>550</v>
      </c>
      <c r="Z34" s="166">
        <v>1184</v>
      </c>
      <c r="AA34" s="148" t="s">
        <v>220</v>
      </c>
      <c r="AB34" s="164">
        <v>75.73</v>
      </c>
      <c r="AC34" s="166">
        <v>92</v>
      </c>
      <c r="AD34" s="171">
        <v>4</v>
      </c>
      <c r="AE34" s="164"/>
      <c r="AF34" s="172">
        <f t="shared" si="3"/>
        <v>0</v>
      </c>
      <c r="AG34" s="173"/>
      <c r="AH34" s="170">
        <v>53.15</v>
      </c>
      <c r="AI34" s="134">
        <f t="shared" si="4"/>
        <v>553.35762623633525</v>
      </c>
      <c r="AJ34" s="174">
        <v>14.03</v>
      </c>
      <c r="AK34" s="175"/>
      <c r="AL34" s="176">
        <v>8.85</v>
      </c>
      <c r="AM34" s="177">
        <v>34.9</v>
      </c>
      <c r="AN34" s="126">
        <f t="shared" si="25"/>
        <v>0.25180375180375181</v>
      </c>
      <c r="AO34" s="178" t="s">
        <v>205</v>
      </c>
      <c r="AP34" s="177">
        <v>9.42</v>
      </c>
      <c r="AQ34" s="177">
        <v>6.9</v>
      </c>
      <c r="AR34" s="171"/>
      <c r="AS34" s="164">
        <v>4.54</v>
      </c>
      <c r="AT34" s="149">
        <v>138.6</v>
      </c>
      <c r="AU34" s="164">
        <v>1.2</v>
      </c>
      <c r="AV34" s="164"/>
      <c r="AW34" s="164"/>
      <c r="AX34" s="179">
        <f t="shared" si="5"/>
        <v>0</v>
      </c>
      <c r="AY34" s="125">
        <f t="shared" si="6"/>
        <v>96.05</v>
      </c>
      <c r="AZ34" s="125">
        <f t="shared" si="31"/>
        <v>101.38942416919485</v>
      </c>
      <c r="BA34" s="159">
        <f t="shared" si="7"/>
        <v>1.8692330985915491</v>
      </c>
      <c r="BB34" s="159">
        <f t="shared" si="8"/>
        <v>3.8420000000000001</v>
      </c>
      <c r="BC34" s="180">
        <f t="shared" si="9"/>
        <v>0.84325999443630995</v>
      </c>
      <c r="BD34" s="159">
        <f t="shared" si="26"/>
        <v>5.7112330985915492</v>
      </c>
      <c r="BE34" s="167">
        <v>0.84399999999999997</v>
      </c>
      <c r="BF34" s="25">
        <f t="shared" si="27"/>
        <v>3340.24</v>
      </c>
      <c r="BG34" s="25">
        <f t="shared" si="10"/>
        <v>124.19354838709677</v>
      </c>
      <c r="BH34" s="25">
        <f t="shared" si="28"/>
        <v>3477.4193548387084</v>
      </c>
      <c r="BI34" s="26">
        <f t="shared" si="11"/>
        <v>1</v>
      </c>
      <c r="BJ34" s="37">
        <f t="shared" si="29"/>
        <v>3477.4193548387084</v>
      </c>
      <c r="BK34" s="38"/>
      <c r="BL34" s="30">
        <v>161.61600000000001</v>
      </c>
      <c r="BM34" s="43"/>
      <c r="BN34" s="43">
        <v>63.3</v>
      </c>
      <c r="BO34" s="281"/>
      <c r="BP34" s="281"/>
      <c r="BQ34" s="44"/>
      <c r="BR34" s="45"/>
      <c r="BS34" s="46">
        <v>1.48</v>
      </c>
      <c r="BT34" s="47"/>
      <c r="BU34" s="47"/>
      <c r="BV34" s="283"/>
      <c r="BW34" s="283"/>
      <c r="BX34" s="48"/>
      <c r="BY34" s="45"/>
      <c r="BZ34" s="46">
        <v>36.76</v>
      </c>
      <c r="CA34" s="47"/>
      <c r="CB34" s="47">
        <v>43.88</v>
      </c>
      <c r="CC34" s="283"/>
      <c r="CD34" s="283"/>
      <c r="CE34" s="48"/>
      <c r="CF34" s="49">
        <v>141.52199999999999</v>
      </c>
      <c r="CG34" s="49"/>
      <c r="CH34" s="43"/>
      <c r="CI34" s="32"/>
      <c r="CJ34" s="33">
        <v>2.86</v>
      </c>
      <c r="CK34" s="33"/>
      <c r="CL34" s="35"/>
      <c r="CM34" s="36"/>
      <c r="CN34" s="270"/>
      <c r="CO34" s="249">
        <f t="shared" si="32"/>
        <v>0</v>
      </c>
      <c r="CP34" s="12">
        <f t="shared" si="32"/>
        <v>159.2240832</v>
      </c>
      <c r="CQ34" s="12">
        <f t="shared" si="32"/>
        <v>0</v>
      </c>
      <c r="CR34" s="12">
        <f t="shared" si="32"/>
        <v>63.3</v>
      </c>
      <c r="CS34" s="11">
        <f t="shared" si="32"/>
        <v>0</v>
      </c>
      <c r="CT34" s="11">
        <f t="shared" si="32"/>
        <v>0</v>
      </c>
      <c r="CU34" s="272">
        <f t="shared" si="32"/>
        <v>0</v>
      </c>
      <c r="CV34" s="249">
        <f t="shared" si="13"/>
        <v>137.47447080000001</v>
      </c>
      <c r="CW34" s="12">
        <f t="shared" si="13"/>
        <v>0</v>
      </c>
      <c r="CX34" s="249">
        <f t="shared" si="13"/>
        <v>0</v>
      </c>
      <c r="CY34" s="272">
        <f t="shared" si="13"/>
        <v>0</v>
      </c>
      <c r="CZ34" s="13"/>
      <c r="DA34" s="240">
        <f>(D34+'[2]март 20 '!D34)/(AY34+'[2]март 20 '!AX34)</f>
        <v>2.19687232133542</v>
      </c>
      <c r="DB34" s="241">
        <f>(T34+'[2]март 20 '!R34)/(AY34+'[2]март 20 '!AX34)</f>
        <v>1.3228463599374023</v>
      </c>
      <c r="DD34" s="292">
        <f t="shared" si="14"/>
        <v>9.1750000000000007</v>
      </c>
      <c r="DE34" s="291">
        <v>0.24</v>
      </c>
      <c r="DF34" s="291">
        <v>16.149999999999999</v>
      </c>
      <c r="DG34" s="145">
        <f t="shared" si="15"/>
        <v>9.1529800000000012</v>
      </c>
      <c r="DH34" s="293">
        <f t="shared" si="30"/>
        <v>1.9519427835732206</v>
      </c>
      <c r="DJ34" s="431"/>
      <c r="DL34" s="322"/>
    </row>
    <row r="35" spans="1:116" s="76" customFormat="1" ht="16.5" customHeight="1" thickBot="1">
      <c r="A35" s="144">
        <v>29</v>
      </c>
      <c r="B35" s="122">
        <f t="shared" si="16"/>
        <v>201.846</v>
      </c>
      <c r="C35" s="123">
        <f t="shared" si="17"/>
        <v>1.0240076097618975</v>
      </c>
      <c r="D35" s="145">
        <f t="shared" si="18"/>
        <v>199.77908160000001</v>
      </c>
      <c r="E35" s="125">
        <f t="shared" si="19"/>
        <v>39.036851262843946</v>
      </c>
      <c r="F35" s="146">
        <f t="shared" si="20"/>
        <v>2.1731652518220388</v>
      </c>
      <c r="G35" s="127"/>
      <c r="H35" s="126">
        <f t="shared" si="21"/>
        <v>1.5388782943544004</v>
      </c>
      <c r="I35" s="230">
        <f>'[1]июль 20'!AI34</f>
        <v>0</v>
      </c>
      <c r="J35" s="247">
        <f>'[1]март 20'!AA34</f>
        <v>8.1980000000000004</v>
      </c>
      <c r="K35" s="276">
        <f>'[1]сентябрь 20'!AM34</f>
        <v>0</v>
      </c>
      <c r="L35" s="122">
        <f t="shared" si="22"/>
        <v>58.31</v>
      </c>
      <c r="M35" s="128">
        <f t="shared" si="23"/>
        <v>0.63428695746763852</v>
      </c>
      <c r="N35" s="400">
        <f>'[1]март 20'!W34</f>
        <v>0</v>
      </c>
      <c r="O35" s="403">
        <f>'[1]март 20'!AU34</f>
        <v>8.1440000000000001</v>
      </c>
      <c r="P35" s="401">
        <f t="shared" si="0"/>
        <v>123.229</v>
      </c>
      <c r="Q35" s="122">
        <f>'[1]март 20'!S34</f>
        <v>123.229</v>
      </c>
      <c r="R35" s="123">
        <f t="shared" si="24"/>
        <v>2.68</v>
      </c>
      <c r="S35" s="129">
        <v>10.35</v>
      </c>
      <c r="T35" s="125">
        <f t="shared" si="1"/>
        <v>119.9264628</v>
      </c>
      <c r="U35" s="147">
        <f t="shared" si="2"/>
        <v>1.3045410943108888</v>
      </c>
      <c r="V35" s="130">
        <v>91.93</v>
      </c>
      <c r="W35" s="130">
        <v>46.99</v>
      </c>
      <c r="X35" s="129">
        <v>1.21</v>
      </c>
      <c r="Y35" s="150">
        <v>597</v>
      </c>
      <c r="Z35" s="150">
        <v>1182</v>
      </c>
      <c r="AA35" s="148" t="s">
        <v>221</v>
      </c>
      <c r="AB35" s="149">
        <v>76.209999999999994</v>
      </c>
      <c r="AC35" s="150">
        <v>82</v>
      </c>
      <c r="AD35" s="151">
        <v>4</v>
      </c>
      <c r="AE35" s="181"/>
      <c r="AF35" s="134">
        <f t="shared" si="3"/>
        <v>0</v>
      </c>
      <c r="AG35" s="182"/>
      <c r="AH35" s="129">
        <v>64.349999999999994</v>
      </c>
      <c r="AI35" s="134">
        <f t="shared" si="4"/>
        <v>699.98912215816381</v>
      </c>
      <c r="AJ35" s="136">
        <v>12.84</v>
      </c>
      <c r="AK35" s="154"/>
      <c r="AL35" s="155">
        <v>8.09</v>
      </c>
      <c r="AM35" s="183">
        <v>30.69</v>
      </c>
      <c r="AN35" s="126">
        <f t="shared" si="25"/>
        <v>0.2391118036618621</v>
      </c>
      <c r="AO35" s="184" t="s">
        <v>222</v>
      </c>
      <c r="AP35" s="183">
        <v>8.77</v>
      </c>
      <c r="AQ35" s="183">
        <v>7.46</v>
      </c>
      <c r="AR35" s="185"/>
      <c r="AS35" s="181">
        <v>6.44</v>
      </c>
      <c r="AT35" s="149">
        <v>128.35</v>
      </c>
      <c r="AU35" s="181">
        <v>2.36</v>
      </c>
      <c r="AV35" s="149"/>
      <c r="AW35" s="149"/>
      <c r="AX35" s="158">
        <f t="shared" si="5"/>
        <v>0</v>
      </c>
      <c r="AY35" s="125">
        <f t="shared" si="6"/>
        <v>91.929999999999993</v>
      </c>
      <c r="AZ35" s="125">
        <f t="shared" si="31"/>
        <v>91.196251335628205</v>
      </c>
      <c r="BA35" s="159">
        <f t="shared" si="7"/>
        <v>3.210249295774648</v>
      </c>
      <c r="BB35" s="160">
        <f t="shared" si="8"/>
        <v>3.6771999999999996</v>
      </c>
      <c r="BC35" s="161">
        <f t="shared" si="9"/>
        <v>0.89834763640506465</v>
      </c>
      <c r="BD35" s="160">
        <f t="shared" si="26"/>
        <v>6.8874492957746476</v>
      </c>
      <c r="BE35" s="162">
        <v>0.84499999999999997</v>
      </c>
      <c r="BF35" s="25">
        <f t="shared" si="27"/>
        <v>3432.1699999999996</v>
      </c>
      <c r="BG35" s="25">
        <f t="shared" si="10"/>
        <v>124.19354838709677</v>
      </c>
      <c r="BH35" s="25">
        <f t="shared" si="28"/>
        <v>3601.612903225805</v>
      </c>
      <c r="BI35" s="26">
        <f t="shared" si="11"/>
        <v>1</v>
      </c>
      <c r="BJ35" s="37">
        <f t="shared" si="29"/>
        <v>3601.612903225805</v>
      </c>
      <c r="BK35" s="38"/>
      <c r="BL35" s="31">
        <v>143.536</v>
      </c>
      <c r="BM35" s="31"/>
      <c r="BN35" s="31">
        <v>58.31</v>
      </c>
      <c r="BO35" s="40"/>
      <c r="BP35" s="40"/>
      <c r="BQ35" s="32"/>
      <c r="BR35" s="33"/>
      <c r="BS35" s="34">
        <v>1.44</v>
      </c>
      <c r="BT35" s="35"/>
      <c r="BU35" s="35"/>
      <c r="BV35" s="235"/>
      <c r="BW35" s="235"/>
      <c r="BX35" s="36"/>
      <c r="BY35" s="33"/>
      <c r="BZ35" s="34">
        <v>36.979999999999997</v>
      </c>
      <c r="CA35" s="35"/>
      <c r="CB35" s="35">
        <v>44.1</v>
      </c>
      <c r="CC35" s="235"/>
      <c r="CD35" s="235"/>
      <c r="CE35" s="36"/>
      <c r="CF35" s="30">
        <v>123.229</v>
      </c>
      <c r="CG35" s="30"/>
      <c r="CH35" s="31"/>
      <c r="CI35" s="50"/>
      <c r="CJ35" s="33">
        <v>2.68</v>
      </c>
      <c r="CK35" s="33"/>
      <c r="CL35" s="35"/>
      <c r="CM35" s="36"/>
      <c r="CN35" s="270"/>
      <c r="CO35" s="249">
        <f t="shared" si="32"/>
        <v>0</v>
      </c>
      <c r="CP35" s="12">
        <f t="shared" si="32"/>
        <v>141.46908160000001</v>
      </c>
      <c r="CQ35" s="12">
        <f t="shared" si="32"/>
        <v>0</v>
      </c>
      <c r="CR35" s="12">
        <f t="shared" si="32"/>
        <v>58.31</v>
      </c>
      <c r="CS35" s="11">
        <f t="shared" si="32"/>
        <v>0</v>
      </c>
      <c r="CT35" s="11">
        <f t="shared" si="32"/>
        <v>0</v>
      </c>
      <c r="CU35" s="272">
        <f t="shared" si="32"/>
        <v>0</v>
      </c>
      <c r="CV35" s="249">
        <f t="shared" si="13"/>
        <v>119.9264628</v>
      </c>
      <c r="CW35" s="12">
        <f t="shared" si="13"/>
        <v>0</v>
      </c>
      <c r="CX35" s="249">
        <f t="shared" si="13"/>
        <v>0</v>
      </c>
      <c r="CY35" s="272">
        <f t="shared" si="13"/>
        <v>0</v>
      </c>
      <c r="CZ35" s="13"/>
      <c r="DA35" s="240">
        <f>(D35+'[2]март 20 '!D35)/(AY35+'[2]март 20 '!AX35)</f>
        <v>2.2875961703532517</v>
      </c>
      <c r="DB35" s="241">
        <f>(T35+'[2]март 20 '!R35)/(AY35+'[2]март 20 '!AX35)</f>
        <v>1.3531288756832105</v>
      </c>
      <c r="DD35" s="292">
        <f t="shared" si="14"/>
        <v>8.1980000000000004</v>
      </c>
      <c r="DE35" s="291">
        <v>0.62</v>
      </c>
      <c r="DF35" s="291">
        <v>17.399999999999999</v>
      </c>
      <c r="DG35" s="145">
        <f t="shared" si="15"/>
        <v>8.1471723999999988</v>
      </c>
      <c r="DH35" s="293">
        <f t="shared" si="30"/>
        <v>1.8601338375541268</v>
      </c>
      <c r="DJ35" s="431"/>
      <c r="DL35" s="322"/>
    </row>
    <row r="36" spans="1:116" s="76" customFormat="1" ht="16.5" customHeight="1" thickBot="1">
      <c r="A36" s="144">
        <v>30</v>
      </c>
      <c r="B36" s="122">
        <f t="shared" si="16"/>
        <v>236.08600000000001</v>
      </c>
      <c r="C36" s="123">
        <f t="shared" si="17"/>
        <v>1.5555047736841661</v>
      </c>
      <c r="D36" s="145">
        <f t="shared" si="18"/>
        <v>232.41367100000002</v>
      </c>
      <c r="E36" s="125">
        <f t="shared" si="19"/>
        <v>38.67045169980431</v>
      </c>
      <c r="F36" s="146">
        <f t="shared" si="20"/>
        <v>2.1798318420558993</v>
      </c>
      <c r="G36" s="127"/>
      <c r="H36" s="126">
        <f t="shared" si="21"/>
        <v>1.5675639748640027</v>
      </c>
      <c r="I36" s="230">
        <f>'[1]июль 20'!AI35</f>
        <v>0</v>
      </c>
      <c r="J36" s="247">
        <f>'[1]март 20'!AA35</f>
        <v>9.375</v>
      </c>
      <c r="K36" s="276">
        <f>'[1]сентябрь 20'!AM35</f>
        <v>0</v>
      </c>
      <c r="L36" s="122">
        <f t="shared" si="22"/>
        <v>65.28</v>
      </c>
      <c r="M36" s="128">
        <f t="shared" si="23"/>
        <v>0.61226786719189641</v>
      </c>
      <c r="N36" s="400">
        <f>'[1]март 20'!W35</f>
        <v>0</v>
      </c>
      <c r="O36" s="403">
        <f>'[1]март 20'!AU35</f>
        <v>9.6989999999999998</v>
      </c>
      <c r="P36" s="401">
        <f t="shared" si="0"/>
        <v>142.49799999999999</v>
      </c>
      <c r="Q36" s="122">
        <f>'[1]март 20'!S35</f>
        <v>142.49799999999999</v>
      </c>
      <c r="R36" s="123">
        <f t="shared" si="24"/>
        <v>1.7</v>
      </c>
      <c r="S36" s="129">
        <v>9.0399999999999991</v>
      </c>
      <c r="T36" s="125">
        <f t="shared" si="1"/>
        <v>140.07553399999998</v>
      </c>
      <c r="U36" s="147">
        <f t="shared" si="2"/>
        <v>1.3137829112736819</v>
      </c>
      <c r="V36" s="130">
        <v>106.62</v>
      </c>
      <c r="W36" s="130">
        <v>27.58</v>
      </c>
      <c r="X36" s="129">
        <v>1.33</v>
      </c>
      <c r="Y36" s="150">
        <v>594</v>
      </c>
      <c r="Z36" s="150">
        <v>1182</v>
      </c>
      <c r="AA36" s="148" t="s">
        <v>223</v>
      </c>
      <c r="AB36" s="149">
        <v>75.900000000000006</v>
      </c>
      <c r="AC36" s="150">
        <v>96</v>
      </c>
      <c r="AD36" s="151">
        <v>4</v>
      </c>
      <c r="AE36" s="149"/>
      <c r="AF36" s="134">
        <f t="shared" si="3"/>
        <v>0</v>
      </c>
      <c r="AG36" s="152"/>
      <c r="AH36" s="129">
        <v>67.900000000000006</v>
      </c>
      <c r="AI36" s="134">
        <f t="shared" si="4"/>
        <v>636.84111798912011</v>
      </c>
      <c r="AJ36" s="153">
        <v>10.77</v>
      </c>
      <c r="AK36" s="154"/>
      <c r="AL36" s="155">
        <v>7.14</v>
      </c>
      <c r="AM36" s="156">
        <v>31.49</v>
      </c>
      <c r="AN36" s="126">
        <f t="shared" si="25"/>
        <v>0.22059544658493868</v>
      </c>
      <c r="AO36" s="157" t="s">
        <v>224</v>
      </c>
      <c r="AP36" s="156">
        <v>9</v>
      </c>
      <c r="AQ36" s="156">
        <v>6.81</v>
      </c>
      <c r="AR36" s="151"/>
      <c r="AS36" s="149">
        <v>6.18</v>
      </c>
      <c r="AT36" s="149">
        <v>142.75</v>
      </c>
      <c r="AU36" s="149">
        <v>2.5</v>
      </c>
      <c r="AV36" s="149"/>
      <c r="AW36" s="149"/>
      <c r="AX36" s="158">
        <f t="shared" si="5"/>
        <v>0</v>
      </c>
      <c r="AY36" s="125">
        <f t="shared" si="6"/>
        <v>106.62000000000002</v>
      </c>
      <c r="AZ36" s="125">
        <f t="shared" si="31"/>
        <v>105.71440407647808</v>
      </c>
      <c r="BA36" s="159">
        <f t="shared" si="7"/>
        <v>3.2505929577464792</v>
      </c>
      <c r="BB36" s="160">
        <f t="shared" si="8"/>
        <v>4.264800000000001</v>
      </c>
      <c r="BC36" s="161">
        <f t="shared" si="9"/>
        <v>0.90040840145679268</v>
      </c>
      <c r="BD36" s="160">
        <f t="shared" si="26"/>
        <v>7.5153929577464798</v>
      </c>
      <c r="BE36" s="162">
        <v>0.84699999999999998</v>
      </c>
      <c r="BF36" s="25">
        <f t="shared" si="27"/>
        <v>3538.7899999999995</v>
      </c>
      <c r="BG36" s="25">
        <f t="shared" si="10"/>
        <v>124.19354838709677</v>
      </c>
      <c r="BH36" s="25">
        <f t="shared" si="28"/>
        <v>3725.8064516129016</v>
      </c>
      <c r="BI36" s="26">
        <f t="shared" si="11"/>
        <v>1</v>
      </c>
      <c r="BJ36" s="37">
        <f t="shared" si="29"/>
        <v>3725.8064516129016</v>
      </c>
      <c r="BK36" s="38"/>
      <c r="BL36" s="31">
        <v>170.80600000000001</v>
      </c>
      <c r="BM36" s="31"/>
      <c r="BN36" s="31">
        <v>65.28</v>
      </c>
      <c r="BO36" s="40"/>
      <c r="BP36" s="40"/>
      <c r="BQ36" s="32"/>
      <c r="BR36" s="33"/>
      <c r="BS36" s="34">
        <v>2.15</v>
      </c>
      <c r="BT36" s="35"/>
      <c r="BU36" s="35"/>
      <c r="BV36" s="235"/>
      <c r="BW36" s="235"/>
      <c r="BX36" s="36"/>
      <c r="BY36" s="33"/>
      <c r="BZ36" s="34">
        <v>36.71</v>
      </c>
      <c r="CA36" s="35"/>
      <c r="CB36" s="35">
        <v>43.8</v>
      </c>
      <c r="CC36" s="235"/>
      <c r="CD36" s="235"/>
      <c r="CE36" s="36"/>
      <c r="CF36" s="30">
        <v>142.49799999999999</v>
      </c>
      <c r="CG36" s="30"/>
      <c r="CH36" s="34"/>
      <c r="CI36" s="50"/>
      <c r="CJ36" s="33">
        <v>1.7</v>
      </c>
      <c r="CK36" s="33"/>
      <c r="CL36" s="35"/>
      <c r="CM36" s="36"/>
      <c r="CN36" s="270"/>
      <c r="CO36" s="249">
        <f t="shared" si="32"/>
        <v>0</v>
      </c>
      <c r="CP36" s="12">
        <f t="shared" si="32"/>
        <v>167.13367099999999</v>
      </c>
      <c r="CQ36" s="12">
        <f t="shared" si="32"/>
        <v>0</v>
      </c>
      <c r="CR36" s="12">
        <f t="shared" si="32"/>
        <v>65.28</v>
      </c>
      <c r="CS36" s="11">
        <f t="shared" si="32"/>
        <v>0</v>
      </c>
      <c r="CT36" s="11">
        <f t="shared" si="32"/>
        <v>0</v>
      </c>
      <c r="CU36" s="272">
        <f t="shared" si="32"/>
        <v>0</v>
      </c>
      <c r="CV36" s="249">
        <f t="shared" si="13"/>
        <v>140.07553399999998</v>
      </c>
      <c r="CW36" s="12">
        <f t="shared" si="13"/>
        <v>0</v>
      </c>
      <c r="CX36" s="249">
        <f t="shared" si="13"/>
        <v>0</v>
      </c>
      <c r="CY36" s="274">
        <f t="shared" si="13"/>
        <v>0</v>
      </c>
      <c r="CZ36" s="13"/>
      <c r="DA36" s="240">
        <f>(D36+'[2]март 20 '!D36)/(AY36+'[2]март 20 '!AX36)</f>
        <v>2.1833207943575541</v>
      </c>
      <c r="DB36" s="241">
        <f>(T36+'[2]март 20 '!R36)/(AY36+'[2]март 20 '!AX36)</f>
        <v>1.2970722667065775</v>
      </c>
      <c r="DD36" s="292">
        <f t="shared" si="14"/>
        <v>9.375</v>
      </c>
      <c r="DE36" s="291">
        <v>0.19</v>
      </c>
      <c r="DF36" s="291">
        <v>18.98</v>
      </c>
      <c r="DG36" s="145">
        <f t="shared" si="15"/>
        <v>9.3571875000000002</v>
      </c>
      <c r="DH36" s="293">
        <f t="shared" si="30"/>
        <v>2.339913290513834</v>
      </c>
      <c r="DJ36" s="431"/>
      <c r="DL36" s="322"/>
    </row>
    <row r="37" spans="1:116" s="76" customFormat="1" ht="16.5" customHeight="1" thickBot="1">
      <c r="A37" s="186">
        <v>31</v>
      </c>
      <c r="B37" s="122">
        <f t="shared" si="16"/>
        <v>237.505</v>
      </c>
      <c r="C37" s="123">
        <f t="shared" si="17"/>
        <v>0.88295320098524233</v>
      </c>
      <c r="D37" s="187">
        <f t="shared" si="18"/>
        <v>235.40794200000002</v>
      </c>
      <c r="E37" s="285">
        <f t="shared" si="19"/>
        <v>38.807806151449441</v>
      </c>
      <c r="F37" s="189">
        <f t="shared" si="20"/>
        <v>2.3800216560509555</v>
      </c>
      <c r="G37" s="127"/>
      <c r="H37" s="126">
        <f t="shared" si="21"/>
        <v>1.7166408047720148</v>
      </c>
      <c r="I37" s="230">
        <f>'[1]июль 20'!AI36</f>
        <v>0</v>
      </c>
      <c r="J37" s="277">
        <f>'[1]март 20'!AA36</f>
        <v>9.4939999999999998</v>
      </c>
      <c r="K37" s="276">
        <f>'[1]сентябрь 20'!AM36</f>
        <v>0</v>
      </c>
      <c r="L37" s="122">
        <f t="shared" si="22"/>
        <v>65.614999999999995</v>
      </c>
      <c r="M37" s="128">
        <f t="shared" si="23"/>
        <v>0.66338085127894042</v>
      </c>
      <c r="N37" s="128">
        <f>'[1]март 20'!W36</f>
        <v>0</v>
      </c>
      <c r="O37" s="399">
        <f>'[1]март 20'!AU36</f>
        <v>9.4359999999999999</v>
      </c>
      <c r="P37" s="125">
        <f t="shared" si="0"/>
        <v>140.47399999999999</v>
      </c>
      <c r="Q37" s="122">
        <f>'[1]март 20'!S36</f>
        <v>140.47399999999999</v>
      </c>
      <c r="R37" s="123">
        <f t="shared" si="24"/>
        <v>2.65</v>
      </c>
      <c r="S37" s="190">
        <v>6.91</v>
      </c>
      <c r="T37" s="125">
        <f t="shared" si="1"/>
        <v>136.75143899999998</v>
      </c>
      <c r="U37" s="191">
        <f t="shared" si="2"/>
        <v>1.3825845617227781</v>
      </c>
      <c r="V37" s="192">
        <v>98.91</v>
      </c>
      <c r="W37" s="192">
        <v>21.85</v>
      </c>
      <c r="X37" s="190">
        <v>1.03</v>
      </c>
      <c r="Y37" s="193">
        <v>545</v>
      </c>
      <c r="Z37" s="194">
        <v>1180</v>
      </c>
      <c r="AA37" s="195" t="s">
        <v>225</v>
      </c>
      <c r="AB37" s="196">
        <v>75.959999999999994</v>
      </c>
      <c r="AC37" s="194">
        <v>96</v>
      </c>
      <c r="AD37" s="193">
        <v>4</v>
      </c>
      <c r="AE37" s="196">
        <v>4.5999999999999996</v>
      </c>
      <c r="AF37" s="134">
        <f t="shared" si="3"/>
        <v>46.506925487817206</v>
      </c>
      <c r="AG37" s="197"/>
      <c r="AH37" s="190">
        <v>76.650000000000006</v>
      </c>
      <c r="AI37" s="134">
        <f t="shared" si="4"/>
        <v>774.94692144373676</v>
      </c>
      <c r="AJ37" s="196">
        <v>11.8</v>
      </c>
      <c r="AK37" s="198"/>
      <c r="AL37" s="199">
        <v>6.32</v>
      </c>
      <c r="AM37" s="200">
        <v>30.47</v>
      </c>
      <c r="AN37" s="126">
        <f t="shared" si="25"/>
        <v>0.22453942520265291</v>
      </c>
      <c r="AO37" s="201" t="s">
        <v>197</v>
      </c>
      <c r="AP37" s="200">
        <v>9.06</v>
      </c>
      <c r="AQ37" s="201">
        <v>7.03</v>
      </c>
      <c r="AR37" s="193"/>
      <c r="AS37" s="196">
        <v>6.78</v>
      </c>
      <c r="AT37" s="242">
        <v>135.69999999999999</v>
      </c>
      <c r="AU37" s="196"/>
      <c r="AV37" s="196"/>
      <c r="AW37" s="196"/>
      <c r="AX37" s="202">
        <f t="shared" si="5"/>
        <v>0</v>
      </c>
      <c r="AY37" s="188">
        <f t="shared" si="6"/>
        <v>98.91</v>
      </c>
      <c r="AZ37" s="125">
        <f t="shared" si="31"/>
        <v>107.13209027280678</v>
      </c>
      <c r="BA37" s="203">
        <f t="shared" si="7"/>
        <v>4.0257443661971832</v>
      </c>
      <c r="BB37" s="204">
        <f t="shared" si="8"/>
        <v>3.9563999999999999</v>
      </c>
      <c r="BC37" s="205">
        <f t="shared" si="9"/>
        <v>0.82240350963121267</v>
      </c>
      <c r="BD37" s="206">
        <f t="shared" si="26"/>
        <v>7.9821443661971827</v>
      </c>
      <c r="BE37" s="207">
        <v>0.84599999999999997</v>
      </c>
      <c r="BF37" s="25">
        <f t="shared" si="27"/>
        <v>3637.6999999999994</v>
      </c>
      <c r="BG37" s="25">
        <f t="shared" si="10"/>
        <v>124.19354838709677</v>
      </c>
      <c r="BH37" s="25">
        <f t="shared" si="28"/>
        <v>3849.9999999999982</v>
      </c>
      <c r="BI37" s="26">
        <f t="shared" si="11"/>
        <v>1</v>
      </c>
      <c r="BJ37" s="37">
        <f t="shared" si="29"/>
        <v>3849.9999999999982</v>
      </c>
      <c r="BK37" s="51"/>
      <c r="BL37" s="53">
        <v>171.89</v>
      </c>
      <c r="BM37" s="53"/>
      <c r="BN37" s="53">
        <v>65.614999999999995</v>
      </c>
      <c r="BO37" s="282"/>
      <c r="BP37" s="282"/>
      <c r="BQ37" s="54"/>
      <c r="BR37" s="55"/>
      <c r="BS37" s="52">
        <v>1.22</v>
      </c>
      <c r="BT37" s="56"/>
      <c r="BU37" s="56"/>
      <c r="BV37" s="284"/>
      <c r="BW37" s="284"/>
      <c r="BX37" s="57"/>
      <c r="BY37" s="55"/>
      <c r="BZ37" s="52">
        <v>36.78</v>
      </c>
      <c r="CA37" s="56"/>
      <c r="CB37" s="56">
        <v>44.12</v>
      </c>
      <c r="CC37" s="284"/>
      <c r="CD37" s="284"/>
      <c r="CE37" s="57"/>
      <c r="CF37" s="58">
        <v>140.47399999999999</v>
      </c>
      <c r="CG37" s="58"/>
      <c r="CH37" s="52"/>
      <c r="CI37" s="54"/>
      <c r="CJ37" s="33">
        <v>2.65</v>
      </c>
      <c r="CK37" s="265"/>
      <c r="CL37" s="59"/>
      <c r="CM37" s="60"/>
      <c r="CN37" s="270"/>
      <c r="CO37" s="269">
        <f t="shared" si="32"/>
        <v>0</v>
      </c>
      <c r="CP37" s="18">
        <f t="shared" si="32"/>
        <v>169.79294199999998</v>
      </c>
      <c r="CQ37" s="18">
        <f t="shared" si="32"/>
        <v>0</v>
      </c>
      <c r="CR37" s="18">
        <f t="shared" si="32"/>
        <v>65.614999999999995</v>
      </c>
      <c r="CS37" s="251">
        <f t="shared" si="32"/>
        <v>0</v>
      </c>
      <c r="CT37" s="11">
        <f t="shared" si="32"/>
        <v>0</v>
      </c>
      <c r="CU37" s="273">
        <f t="shared" si="32"/>
        <v>0</v>
      </c>
      <c r="CV37" s="269">
        <f t="shared" si="13"/>
        <v>136.75143899999998</v>
      </c>
      <c r="CW37" s="18">
        <f t="shared" si="13"/>
        <v>0</v>
      </c>
      <c r="CX37" s="261">
        <f t="shared" si="13"/>
        <v>0</v>
      </c>
      <c r="CY37" s="273">
        <f t="shared" si="13"/>
        <v>0</v>
      </c>
      <c r="CZ37" s="13"/>
      <c r="DA37" s="240">
        <f>(D37+'[2]март 20 '!D37)/(AY37+'[2]март 20 '!AX37)</f>
        <v>2.3792159516724634</v>
      </c>
      <c r="DB37" s="241">
        <f>(T37+'[2]март 20 '!R37)/(AY37+'[2]март 20 '!AX37)</f>
        <v>1.380172226006525</v>
      </c>
      <c r="DD37" s="292">
        <f t="shared" si="14"/>
        <v>9.4939999999999998</v>
      </c>
      <c r="DE37" s="294">
        <v>0.31</v>
      </c>
      <c r="DF37" s="294">
        <v>17.149999999999999</v>
      </c>
      <c r="DG37" s="323">
        <f t="shared" si="15"/>
        <v>9.4645685999999998</v>
      </c>
      <c r="DH37" s="293">
        <f t="shared" si="30"/>
        <v>2.1368792981832541</v>
      </c>
      <c r="DJ37" s="431"/>
      <c r="DL37" s="322"/>
    </row>
    <row r="38" spans="1:116" s="214" customFormat="1" ht="16.5" customHeight="1" thickBot="1">
      <c r="A38" s="91" t="s">
        <v>56</v>
      </c>
      <c r="B38" s="92">
        <f>SUM(B7:B37)</f>
        <v>8328.7430030000014</v>
      </c>
      <c r="C38" s="330"/>
      <c r="D38" s="331">
        <f>SUM(D7:D37)</f>
        <v>8184.137475797339</v>
      </c>
      <c r="E38" s="332"/>
      <c r="F38" s="331"/>
      <c r="G38" s="333">
        <f>SUM(G7:G37)</f>
        <v>102.79999999999998</v>
      </c>
      <c r="H38" s="329"/>
      <c r="I38" s="334">
        <f>SUM(I7:I37)</f>
        <v>0</v>
      </c>
      <c r="J38" s="329">
        <f>SUM(J7:J37)</f>
        <v>326.15199999999993</v>
      </c>
      <c r="K38" s="329">
        <f>SUM(K7:K37)</f>
        <v>0</v>
      </c>
      <c r="L38" s="396">
        <f>SUM(L7:L37)</f>
        <v>2599.1520000000005</v>
      </c>
      <c r="M38" s="335"/>
      <c r="N38" s="329">
        <f>SUM(N7:N37)</f>
        <v>75.426999999999992</v>
      </c>
      <c r="O38" s="396">
        <f>SUM(O7:O37)</f>
        <v>222.89400000000003</v>
      </c>
      <c r="P38" s="330">
        <f>SUM(P7:P37)</f>
        <v>5177.3710020000008</v>
      </c>
      <c r="Q38" s="396">
        <f>SUM(Q7:Q37)</f>
        <v>5177.3711000000003</v>
      </c>
      <c r="R38" s="336">
        <f>IF(Q38=0,0,(CA38*CH38+CE38*CI38+CF38*CJ38)/Q38)</f>
        <v>0</v>
      </c>
      <c r="S38" s="398">
        <f>SUM(S7:S37)</f>
        <v>309.89000000000004</v>
      </c>
      <c r="T38" s="331">
        <f>SUM(T7:T37)</f>
        <v>5013.6402031999996</v>
      </c>
      <c r="U38" s="337"/>
      <c r="V38" s="229">
        <f>SUM(V7:V37)</f>
        <v>3068.9399999999996</v>
      </c>
      <c r="W38" s="229">
        <f>SUM(W7:W37)</f>
        <v>2151.1799999999994</v>
      </c>
      <c r="X38" s="338"/>
      <c r="Y38" s="337"/>
      <c r="Z38" s="339"/>
      <c r="AA38" s="340"/>
      <c r="AB38" s="338"/>
      <c r="AC38" s="339"/>
      <c r="AD38" s="339">
        <f>SUM(AD7:AD37)</f>
        <v>122</v>
      </c>
      <c r="AE38" s="90">
        <f>SUM(AE7:AE37)</f>
        <v>84.5</v>
      </c>
      <c r="AF38" s="341"/>
      <c r="AG38" s="342">
        <f>SUM(AG7:AG37)</f>
        <v>0</v>
      </c>
      <c r="AH38" s="90">
        <f>SUM(AH7:AH37)</f>
        <v>2661.9500000000003</v>
      </c>
      <c r="AI38" s="341"/>
      <c r="AJ38" s="332">
        <f>SUM(AJ7:AJ37)</f>
        <v>394.01999999999992</v>
      </c>
      <c r="AK38" s="343"/>
      <c r="AL38" s="397">
        <f>SUM(AL7:AL37)</f>
        <v>209.67</v>
      </c>
      <c r="AM38" s="417">
        <f>SUM(AM7:AM37)</f>
        <v>1066.1400000000001</v>
      </c>
      <c r="AN38" s="345"/>
      <c r="AO38" s="342"/>
      <c r="AP38" s="332"/>
      <c r="AQ38" s="342"/>
      <c r="AR38" s="342"/>
      <c r="AS38" s="346"/>
      <c r="AT38" s="332">
        <f>SUM(AT7:AT37)</f>
        <v>4850.7000000000007</v>
      </c>
      <c r="AU38" s="332">
        <f>SUM(AU7:AU37)</f>
        <v>62.81</v>
      </c>
      <c r="AV38" s="347">
        <f>SUM(AV7:AV37)</f>
        <v>0</v>
      </c>
      <c r="AW38" s="332">
        <f>SUM(AW7:AW37)</f>
        <v>0</v>
      </c>
      <c r="AX38" s="331"/>
      <c r="AY38" s="90">
        <f>SUM(AY7:AY37)</f>
        <v>3637.6999999999994</v>
      </c>
      <c r="AZ38" s="330">
        <f>SUM(AZ7:AZ37)</f>
        <v>3823.5805305748108</v>
      </c>
      <c r="BA38" s="342">
        <f>SUM(BA7:BA37)</f>
        <v>185.21513767605632</v>
      </c>
      <c r="BB38" s="342">
        <f>SUM(BB7:BB37)</f>
        <v>145.50800000000004</v>
      </c>
      <c r="BC38" s="332"/>
      <c r="BD38" s="89">
        <f>SUM(BD7:BD37)</f>
        <v>330.72313767605641</v>
      </c>
      <c r="BE38" s="348"/>
      <c r="BF38" s="19"/>
      <c r="BG38" s="19">
        <f t="shared" si="10"/>
        <v>0</v>
      </c>
      <c r="BH38" s="19"/>
      <c r="BI38" s="208">
        <f>SUM(BI7:BI37)</f>
        <v>31</v>
      </c>
      <c r="BJ38" s="209"/>
      <c r="BK38" s="278">
        <f t="shared" ref="BK38:BQ38" si="33">SUM(BK7:BK37)</f>
        <v>94.421001000000004</v>
      </c>
      <c r="BL38" s="61">
        <f>SUM(BL7:BL37)</f>
        <v>5295.5419999999986</v>
      </c>
      <c r="BM38" s="61">
        <f t="shared" si="33"/>
        <v>9.9999999999999995E-7</v>
      </c>
      <c r="BN38" s="61">
        <f t="shared" si="33"/>
        <v>2599.1520000000005</v>
      </c>
      <c r="BO38" s="61">
        <f t="shared" si="33"/>
        <v>339.62800099999993</v>
      </c>
      <c r="BP38" s="61">
        <f t="shared" si="33"/>
        <v>9.9999999999999995E-7</v>
      </c>
      <c r="BQ38" s="64">
        <f t="shared" si="33"/>
        <v>9.9999999999999995E-7</v>
      </c>
      <c r="BR38" s="63"/>
      <c r="BS38" s="24"/>
      <c r="BT38" s="24"/>
      <c r="BU38" s="24"/>
      <c r="BV38" s="62"/>
      <c r="BW38" s="62"/>
      <c r="BX38" s="65"/>
      <c r="BY38" s="63"/>
      <c r="BZ38" s="24"/>
      <c r="CA38" s="24"/>
      <c r="CB38" s="24"/>
      <c r="CC38" s="62"/>
      <c r="CD38" s="62"/>
      <c r="CE38" s="62"/>
      <c r="CF38" s="66">
        <f>SUM(CF7:CF37)</f>
        <v>4236.2359999999999</v>
      </c>
      <c r="CG38" s="66">
        <f>SUM(CG7:CG37)</f>
        <v>9.9999999999999995E-7</v>
      </c>
      <c r="CH38" s="61">
        <f>SUM(CH7:CH37)</f>
        <v>941.1350000000001</v>
      </c>
      <c r="CI38" s="67">
        <f>SUM(CI7:CI37)</f>
        <v>9.9999999999999995E-7</v>
      </c>
      <c r="CJ38" s="210"/>
      <c r="CK38" s="266"/>
      <c r="CL38" s="211"/>
      <c r="CM38" s="212"/>
      <c r="CN38" s="213"/>
      <c r="CO38" s="68">
        <f t="shared" ref="CO38:CY38" si="34">SUM(CO7:CO37)</f>
        <v>83.832209999999989</v>
      </c>
      <c r="CP38" s="69">
        <f t="shared" si="34"/>
        <v>5174.7188633999995</v>
      </c>
      <c r="CQ38" s="70">
        <f t="shared" si="34"/>
        <v>9.9999998999999992E-7</v>
      </c>
      <c r="CR38" s="69">
        <f t="shared" si="34"/>
        <v>2599.1519991973405</v>
      </c>
      <c r="CS38" s="72">
        <f t="shared" si="34"/>
        <v>326.43440219999997</v>
      </c>
      <c r="CT38" s="72">
        <f t="shared" si="34"/>
        <v>9.9999998999999992E-7</v>
      </c>
      <c r="CU38" s="71">
        <f t="shared" si="34"/>
        <v>9.9999998999999992E-7</v>
      </c>
      <c r="CV38" s="72">
        <f t="shared" si="34"/>
        <v>4102.0112113000005</v>
      </c>
      <c r="CW38" s="72">
        <f t="shared" si="34"/>
        <v>9.9999998999999992E-7</v>
      </c>
      <c r="CX38" s="72">
        <f t="shared" si="34"/>
        <v>911.6288919000001</v>
      </c>
      <c r="CY38" s="72">
        <f t="shared" si="34"/>
        <v>9.9999998999999992E-7</v>
      </c>
      <c r="CZ38" s="70"/>
      <c r="DA38" s="240">
        <f>(D38+'[2]март 20 '!D38)/(AY38+'[2]март 20 '!AX38)</f>
        <v>2.2336448075007533</v>
      </c>
      <c r="DB38" s="241">
        <f>(T38+'[2]март 20 '!R38)/(AY38+'[2]март 20 '!AX38)</f>
        <v>1.3685971152516845</v>
      </c>
      <c r="DD38" s="295">
        <f>SUM(DD7:DD37)</f>
        <v>326.15199999999993</v>
      </c>
      <c r="DE38" s="296">
        <f>(SUMPRODUCT(DD7:DD37,DE7:DE37))/DD38</f>
        <v>0.36025935760013739</v>
      </c>
      <c r="DF38" s="296">
        <f>(SUMPRODUCT(DD7:DD37,DF7:DF37))/DD38</f>
        <v>16.055111757708069</v>
      </c>
      <c r="DG38" s="296">
        <f>(SUMPRODUCT(DE7:DE37,DG7:DG37))/DE38</f>
        <v>324.31750664664889</v>
      </c>
      <c r="DH38" s="324">
        <f>IF(J38=0,0,(DG38*DF38%)/(AB39/100))</f>
        <v>68.697274368840027</v>
      </c>
      <c r="DJ38" s="213"/>
    </row>
    <row r="39" spans="1:116" s="214" customFormat="1" ht="16.5" customHeight="1" thickBot="1">
      <c r="A39" s="93" t="s">
        <v>57</v>
      </c>
      <c r="B39" s="349">
        <f>B38/AU2</f>
        <v>268.66912912903229</v>
      </c>
      <c r="C39" s="349">
        <f>(BK38*BR39+BM38*BT39+BQ38*BX39+BL38*BS39+BN38*BU39+BO38*BV39+BP38*BW39)/B38</f>
        <v>1.7362227067226512</v>
      </c>
      <c r="D39" s="350">
        <f>D38/AU2</f>
        <v>264.00443470313996</v>
      </c>
      <c r="E39" s="349">
        <f>(BK38*BY39+BM38*CA39+BQ38*CE39+BL38*BZ39+BN38*CB39+BO38*CC39+BP38*CD39)/B38</f>
        <v>39.821722447257024</v>
      </c>
      <c r="F39" s="351">
        <f>IF($AY$38=0,0,$D$38/$AY$38)</f>
        <v>2.2498110003016576</v>
      </c>
      <c r="G39" s="352">
        <f>G38/AU2</f>
        <v>3.3161290322580639</v>
      </c>
      <c r="H39" s="353">
        <f>IF($AY$38=0,0,(CP38+CO38+CS38+CQ38+CT38)/AY38)</f>
        <v>1.5353067810979466</v>
      </c>
      <c r="I39" s="349">
        <f>I38/AU2</f>
        <v>0</v>
      </c>
      <c r="J39" s="349">
        <f>J38/AU2</f>
        <v>10.521032258064514</v>
      </c>
      <c r="K39" s="349">
        <f>K38/AU2</f>
        <v>0</v>
      </c>
      <c r="L39" s="349">
        <f>L38/AU2</f>
        <v>83.843612903225818</v>
      </c>
      <c r="M39" s="354">
        <f>IF($AY$38=0,0,(CR38+CU38)/$AY$38)</f>
        <v>0.71450421975350931</v>
      </c>
      <c r="N39" s="349">
        <f>N38/AU2</f>
        <v>2.4331290322580643</v>
      </c>
      <c r="O39" s="349">
        <f>O38/AU2</f>
        <v>7.1901290322580653</v>
      </c>
      <c r="P39" s="349">
        <f>P38/AU2</f>
        <v>167.01196780645165</v>
      </c>
      <c r="Q39" s="349">
        <f>Q38/AU2</f>
        <v>167.01197096774195</v>
      </c>
      <c r="R39" s="349">
        <f>(SUMPRODUCT(R7:R37,Q7:Q37))/Q38</f>
        <v>3.1624330888701415</v>
      </c>
      <c r="S39" s="355">
        <f>S38/AU2</f>
        <v>9.9964516129032273</v>
      </c>
      <c r="T39" s="356"/>
      <c r="U39" s="354">
        <f>IF($AY$38=0,0,$T$38/$AY$38)</f>
        <v>1.378244551007505</v>
      </c>
      <c r="V39" s="349">
        <f>V38/AU2</f>
        <v>98.99806451612902</v>
      </c>
      <c r="W39" s="349">
        <f>W38/AU2</f>
        <v>69.392903225806435</v>
      </c>
      <c r="X39" s="349">
        <f>(SUMPRODUCT(X7:X37,AY7:AY37))/AY38</f>
        <v>0.88710943728179892</v>
      </c>
      <c r="Y39" s="357">
        <f>AVERAGE(Y7:Y37)</f>
        <v>520</v>
      </c>
      <c r="Z39" s="357">
        <f>AVERAGE(Z7:Z37)</f>
        <v>1175.3870967741937</v>
      </c>
      <c r="AA39" s="357"/>
      <c r="AB39" s="349">
        <f>(SUMPRODUCT(AB7:AB37,AY7:AY37))/AY38</f>
        <v>75.795639085136216</v>
      </c>
      <c r="AC39" s="358">
        <f>AVERAGE(AC7:AC37)</f>
        <v>112.3225806451613</v>
      </c>
      <c r="AD39" s="358">
        <f>AVERAGE(AD7:AD37)</f>
        <v>3.935483870967742</v>
      </c>
      <c r="AE39" s="349">
        <f>AE38/AU2</f>
        <v>2.725806451612903</v>
      </c>
      <c r="AF39" s="355">
        <f>IF(AY38=0,0,AE38/AY38*1000)</f>
        <v>23.228963355966684</v>
      </c>
      <c r="AG39" s="356" t="e">
        <f>AG38/$AW$2</f>
        <v>#DIV/0!</v>
      </c>
      <c r="AH39" s="349">
        <f>AH38/AU2</f>
        <v>85.869354838709683</v>
      </c>
      <c r="AI39" s="355">
        <f>IF(AY38=0,0,AH38/AY38*1000)</f>
        <v>731.76732550787608</v>
      </c>
      <c r="AJ39" s="349">
        <f>AJ38/AU2</f>
        <v>12.710322580645158</v>
      </c>
      <c r="AK39" s="359"/>
      <c r="AL39" s="349">
        <f>AL38/AU2</f>
        <v>6.7635483870967734</v>
      </c>
      <c r="AM39" s="349">
        <f>AM38/AU2</f>
        <v>34.391612903225813</v>
      </c>
      <c r="AN39" s="360">
        <f>IF(AM39=0,0,AM39/AT39)</f>
        <v>0.21979095800606099</v>
      </c>
      <c r="AO39" s="356"/>
      <c r="AP39" s="349">
        <f>AVERAGE(AP7:AP37)</f>
        <v>9.4632258064516108</v>
      </c>
      <c r="AQ39" s="349">
        <f>AVERAGE(AQ7:AQ37)</f>
        <v>6.3570967741935496</v>
      </c>
      <c r="AR39" s="356"/>
      <c r="AS39" s="349">
        <f>AVERAGE(AS7:AS37)</f>
        <v>8.757096774193549</v>
      </c>
      <c r="AT39" s="349">
        <f>AT38/AU2</f>
        <v>156.47419354838712</v>
      </c>
      <c r="AU39" s="349">
        <f>AU38/AU2</f>
        <v>2.0261290322580647</v>
      </c>
      <c r="AV39" s="349" t="e">
        <f>AV38/$AW$2</f>
        <v>#DIV/0!</v>
      </c>
      <c r="AW39" s="349" t="e">
        <f>AW38/$AW$2</f>
        <v>#DIV/0!</v>
      </c>
      <c r="AX39" s="349" t="e">
        <f>IF(AY39=0,0,AW39/AY39*100)</f>
        <v>#DIV/0!</v>
      </c>
      <c r="AY39" s="349">
        <f>AY38/AU2</f>
        <v>117.34516129032257</v>
      </c>
      <c r="AZ39" s="349">
        <f>AZ38/AU2</f>
        <v>123.34130743789713</v>
      </c>
      <c r="BA39" s="356"/>
      <c r="BB39" s="356"/>
      <c r="BC39" s="351">
        <f>(AY38*AB39)/(D38*E39)</f>
        <v>0.84601515381921122</v>
      </c>
      <c r="BD39" s="349">
        <f>BD38/AU2</f>
        <v>10.668488312130853</v>
      </c>
      <c r="BE39" s="361"/>
      <c r="BF39" s="19"/>
      <c r="BG39" s="19"/>
      <c r="BH39" s="19"/>
      <c r="BI39" s="19"/>
      <c r="BJ39" s="215"/>
      <c r="BK39" s="73"/>
      <c r="BL39" s="216"/>
      <c r="BM39" s="216"/>
      <c r="BN39" s="216"/>
      <c r="BO39" s="219"/>
      <c r="BP39" s="219"/>
      <c r="BQ39" s="217"/>
      <c r="BR39" s="73">
        <f t="shared" ref="BR39:BX39" si="35">(SUMPRODUCT(BK7:BK37,BR7:BR37))/BK38</f>
        <v>11.214444761075992</v>
      </c>
      <c r="BS39" s="29">
        <f>(SUMPRODUCT(BL7:BL37,BS7:BS37))/BL38</f>
        <v>2.2816009503843051</v>
      </c>
      <c r="BT39" s="29">
        <f t="shared" si="35"/>
        <v>9.9999999999999995E-7</v>
      </c>
      <c r="BU39" s="29">
        <f t="shared" si="35"/>
        <v>3.0881610617616819E-8</v>
      </c>
      <c r="BV39" s="29">
        <f t="shared" si="35"/>
        <v>3.8847205651927426</v>
      </c>
      <c r="BW39" s="29">
        <f t="shared" si="35"/>
        <v>9.9999999999999995E-7</v>
      </c>
      <c r="BX39" s="74">
        <f t="shared" si="35"/>
        <v>9.9999999999999995E-7</v>
      </c>
      <c r="BY39" s="73">
        <f t="shared" ref="BY39:CE39" si="36">(SUMPRODUCT(BK7:BK37,BY7:BY37))/BK38</f>
        <v>42.174763853647356</v>
      </c>
      <c r="BZ39" s="29">
        <f t="shared" si="36"/>
        <v>37.692732877956601</v>
      </c>
      <c r="CA39" s="29">
        <f t="shared" si="36"/>
        <v>9.9999999999999995E-7</v>
      </c>
      <c r="CB39" s="29">
        <f t="shared" si="36"/>
        <v>44.308228114400379</v>
      </c>
      <c r="CC39" s="29">
        <f t="shared" si="36"/>
        <v>38.028192528212671</v>
      </c>
      <c r="CD39" s="29">
        <f t="shared" si="36"/>
        <v>9.9999999999999995E-7</v>
      </c>
      <c r="CE39" s="74">
        <f t="shared" si="36"/>
        <v>9.9999999999999995E-7</v>
      </c>
      <c r="CF39" s="218"/>
      <c r="CG39" s="218"/>
      <c r="CH39" s="216"/>
      <c r="CI39" s="219"/>
      <c r="CJ39" s="75">
        <f>(SUMPRODUCT(CF7:CF37,CJ7:CJ37))/CF38</f>
        <v>3.1684917624985958</v>
      </c>
      <c r="CK39" s="75">
        <f>(SUMPRODUCT(CG7:CG37,CK7:CK37))/CG38</f>
        <v>9.9999999999999995E-7</v>
      </c>
      <c r="CL39" s="29">
        <f>(SUMPRODUCT(CH7:CH37,CL7:CL37))/CH38</f>
        <v>3.1351621287062961</v>
      </c>
      <c r="CM39" s="74">
        <f>(SUMPRODUCT(CI7:CI37,CM7:CM37))/CI38</f>
        <v>9.9999999999999995E-7</v>
      </c>
      <c r="CN39" s="19"/>
      <c r="CO39" s="596">
        <f>CO38+CP38</f>
        <v>5258.551073399999</v>
      </c>
      <c r="CP39" s="596"/>
      <c r="CQ39" s="597">
        <f>CQ38+CR38+CU38+CS38+CT38</f>
        <v>2925.5864043973402</v>
      </c>
      <c r="CR39" s="597"/>
      <c r="CS39" s="597"/>
      <c r="CT39" s="597"/>
      <c r="CU39" s="597"/>
      <c r="CV39" s="597">
        <f>CV38+CX38+CY38+CW38</f>
        <v>5013.640105200001</v>
      </c>
      <c r="CW39" s="597"/>
      <c r="CX39" s="597"/>
      <c r="CY39" s="597"/>
      <c r="DA39" s="236"/>
      <c r="DB39" s="238"/>
      <c r="DD39" s="297"/>
      <c r="DE39" s="298"/>
      <c r="DF39" s="298"/>
      <c r="DG39" s="299"/>
      <c r="DH39" s="300"/>
      <c r="DJ39" s="213"/>
      <c r="DL39" s="433"/>
    </row>
    <row r="40" spans="1:116" s="214" customFormat="1" ht="16.5" customHeight="1" thickBot="1">
      <c r="A40" s="94" t="s">
        <v>58</v>
      </c>
      <c r="B40" s="362"/>
      <c r="C40" s="362"/>
      <c r="D40" s="363"/>
      <c r="E40" s="364">
        <v>39</v>
      </c>
      <c r="F40" s="363">
        <v>2.08</v>
      </c>
      <c r="G40" s="365"/>
      <c r="H40" s="363">
        <v>1.56</v>
      </c>
      <c r="I40" s="363"/>
      <c r="J40" s="363">
        <v>10.55649</v>
      </c>
      <c r="K40" s="363"/>
      <c r="L40" s="363"/>
      <c r="M40" s="363">
        <v>0.52</v>
      </c>
      <c r="N40" s="363"/>
      <c r="O40" s="363">
        <v>10.059714</v>
      </c>
      <c r="P40" s="366"/>
      <c r="Q40" s="362"/>
      <c r="R40" s="367"/>
      <c r="S40" s="368">
        <v>14.530697999999999</v>
      </c>
      <c r="T40" s="362"/>
      <c r="U40" s="369">
        <v>1.2949999999999999</v>
      </c>
      <c r="V40" s="370">
        <v>3850</v>
      </c>
      <c r="W40" s="370">
        <v>3850</v>
      </c>
      <c r="X40" s="371"/>
      <c r="Y40" s="371"/>
      <c r="Z40" s="372">
        <v>1190</v>
      </c>
      <c r="AA40" s="372"/>
      <c r="AB40" s="362">
        <v>76</v>
      </c>
      <c r="AC40" s="362"/>
      <c r="AD40" s="362"/>
      <c r="AE40" s="362"/>
      <c r="AF40" s="362"/>
      <c r="AG40" s="362"/>
      <c r="AH40" s="362"/>
      <c r="AI40" s="362">
        <v>630</v>
      </c>
      <c r="AJ40" s="373"/>
      <c r="AK40" s="374"/>
      <c r="AL40" s="375"/>
      <c r="AM40" s="362"/>
      <c r="AN40" s="362"/>
      <c r="AO40" s="362"/>
      <c r="AP40" s="362"/>
      <c r="AQ40" s="362"/>
      <c r="AR40" s="362"/>
      <c r="AS40" s="362"/>
      <c r="AT40" s="376">
        <v>3850</v>
      </c>
      <c r="AU40" s="377">
        <v>27</v>
      </c>
      <c r="AV40" s="377"/>
      <c r="AW40" s="378"/>
      <c r="AX40" s="362"/>
      <c r="AY40" s="379">
        <v>124.19</v>
      </c>
      <c r="AZ40" s="362"/>
      <c r="BA40" s="362"/>
      <c r="BB40" s="362"/>
      <c r="BC40" s="363">
        <v>0.9</v>
      </c>
      <c r="BD40" s="362"/>
      <c r="BE40" s="380"/>
      <c r="BF40" s="19"/>
      <c r="BG40" s="19"/>
      <c r="BH40" s="19"/>
      <c r="BI40" s="19"/>
      <c r="BJ40" s="215"/>
      <c r="BK40" s="220"/>
      <c r="BL40" s="221"/>
      <c r="BM40" s="216"/>
      <c r="BN40" s="216"/>
      <c r="BO40" s="219"/>
      <c r="BP40" s="219"/>
      <c r="BQ40" s="217"/>
      <c r="BR40" s="218"/>
      <c r="BS40" s="216"/>
      <c r="BT40" s="216"/>
      <c r="BU40" s="216"/>
      <c r="BV40" s="219"/>
      <c r="BW40" s="219"/>
      <c r="BX40" s="217"/>
      <c r="BY40" s="218"/>
      <c r="BZ40" s="216"/>
      <c r="CA40" s="216"/>
      <c r="CB40" s="216"/>
      <c r="CC40" s="219"/>
      <c r="CD40" s="219"/>
      <c r="CE40" s="217"/>
      <c r="CF40" s="218"/>
      <c r="CG40" s="218"/>
      <c r="CH40" s="216"/>
      <c r="CI40" s="219"/>
      <c r="CJ40" s="220"/>
      <c r="CK40" s="218"/>
      <c r="CL40" s="216"/>
      <c r="CM40" s="217"/>
      <c r="CN40" s="213"/>
      <c r="CO40" s="604">
        <f>CO39+CQ39</f>
        <v>8184.1374777973397</v>
      </c>
      <c r="CP40" s="604"/>
      <c r="CQ40" s="604"/>
      <c r="CR40" s="604"/>
      <c r="CS40" s="604"/>
      <c r="CT40" s="604"/>
      <c r="CU40" s="604"/>
      <c r="DA40" s="237"/>
      <c r="DB40" s="239"/>
      <c r="DD40" s="301"/>
      <c r="DE40" s="302"/>
      <c r="DF40" s="302"/>
      <c r="DG40" s="303"/>
      <c r="DH40" s="304"/>
      <c r="DJ40" s="213"/>
    </row>
    <row r="41" spans="1:116" s="214" customFormat="1" ht="16.5" customHeight="1" thickBot="1">
      <c r="A41" s="95" t="s">
        <v>59</v>
      </c>
      <c r="B41" s="381"/>
      <c r="C41" s="381"/>
      <c r="D41" s="382"/>
      <c r="E41" s="381"/>
      <c r="F41" s="383">
        <f>F39-F40</f>
        <v>0.16981100030165752</v>
      </c>
      <c r="G41" s="384">
        <f>G39-G40</f>
        <v>3.3161290322580639</v>
      </c>
      <c r="H41" s="383"/>
      <c r="I41" s="385">
        <f>I39-I40</f>
        <v>0</v>
      </c>
      <c r="J41" s="385"/>
      <c r="K41" s="385"/>
      <c r="L41" s="385"/>
      <c r="M41" s="385"/>
      <c r="N41" s="385"/>
      <c r="O41" s="385"/>
      <c r="P41" s="383"/>
      <c r="Q41" s="386"/>
      <c r="R41" s="385">
        <f>R39-R40</f>
        <v>3.1624330888701415</v>
      </c>
      <c r="S41" s="386"/>
      <c r="T41" s="386"/>
      <c r="U41" s="383">
        <f>U39-U40</f>
        <v>8.3244551007505052E-2</v>
      </c>
      <c r="V41" s="383"/>
      <c r="W41" s="383"/>
      <c r="X41" s="383"/>
      <c r="Y41" s="383"/>
      <c r="Z41" s="387">
        <f>Z39-Z40</f>
        <v>-14.612903225806349</v>
      </c>
      <c r="AA41" s="388"/>
      <c r="AB41" s="381"/>
      <c r="AC41" s="381"/>
      <c r="AD41" s="381"/>
      <c r="AE41" s="381"/>
      <c r="AF41" s="381"/>
      <c r="AG41" s="381"/>
      <c r="AH41" s="381"/>
      <c r="AI41" s="381"/>
      <c r="AJ41" s="381"/>
      <c r="AK41" s="389"/>
      <c r="AL41" s="390"/>
      <c r="AM41" s="381"/>
      <c r="AN41" s="381"/>
      <c r="AO41" s="381"/>
      <c r="AP41" s="381"/>
      <c r="AQ41" s="381"/>
      <c r="AR41" s="381"/>
      <c r="AS41" s="381"/>
      <c r="AT41" s="391">
        <f>AT38+AV38-AT40</f>
        <v>1000.7000000000007</v>
      </c>
      <c r="AU41" s="392"/>
      <c r="AV41" s="393"/>
      <c r="AW41" s="390"/>
      <c r="AX41" s="381"/>
      <c r="AY41" s="385"/>
      <c r="AZ41" s="381"/>
      <c r="BA41" s="381"/>
      <c r="BB41" s="381"/>
      <c r="BC41" s="394"/>
      <c r="BD41" s="381"/>
      <c r="BE41" s="395"/>
      <c r="BF41" s="222"/>
      <c r="BG41" s="222"/>
      <c r="BH41" s="222"/>
      <c r="BI41" s="222"/>
      <c r="BJ41" s="222"/>
      <c r="BK41" s="223"/>
      <c r="BL41" s="224"/>
      <c r="BM41" s="225"/>
      <c r="BN41" s="225"/>
      <c r="BO41" s="224"/>
      <c r="BP41" s="224"/>
      <c r="BQ41" s="226"/>
      <c r="BR41" s="227"/>
      <c r="BS41" s="225"/>
      <c r="BT41" s="225"/>
      <c r="BU41" s="225"/>
      <c r="BV41" s="224"/>
      <c r="BW41" s="224"/>
      <c r="BX41" s="224"/>
      <c r="BY41" s="228"/>
      <c r="BZ41" s="225"/>
      <c r="CA41" s="225"/>
      <c r="CB41" s="225"/>
      <c r="CC41" s="224"/>
      <c r="CD41" s="224"/>
      <c r="CE41" s="226"/>
      <c r="CF41" s="227"/>
      <c r="CG41" s="227"/>
      <c r="CH41" s="225"/>
      <c r="CI41" s="224"/>
      <c r="CJ41" s="228"/>
      <c r="CK41" s="227"/>
      <c r="CL41" s="225"/>
      <c r="CM41" s="226"/>
      <c r="CN41" s="213"/>
      <c r="CO41" s="213"/>
      <c r="CP41" s="213"/>
      <c r="CQ41" s="213"/>
      <c r="DA41" s="21"/>
      <c r="DH41" s="309"/>
      <c r="DJ41" s="213"/>
    </row>
    <row r="42" spans="1:116" ht="15" hidden="1" customHeight="1">
      <c r="A42" s="96"/>
      <c r="B42" s="96"/>
      <c r="C42" s="96"/>
      <c r="D42" s="97"/>
      <c r="E42" s="96"/>
      <c r="F42" s="98"/>
      <c r="G42" s="99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1"/>
      <c r="AF42" s="101"/>
      <c r="AG42" s="100"/>
      <c r="AH42" s="100"/>
      <c r="AI42" s="100"/>
      <c r="AJ42" s="100"/>
      <c r="AK42" s="100"/>
      <c r="AL42" s="100"/>
      <c r="AM42" s="100"/>
      <c r="AN42" s="100"/>
      <c r="AO42" s="100"/>
      <c r="AP42" s="100"/>
      <c r="AQ42" s="100"/>
      <c r="AR42" s="100"/>
      <c r="AS42" s="96"/>
      <c r="AT42" s="612"/>
      <c r="AU42" s="612"/>
      <c r="AV42" s="612"/>
      <c r="AW42" s="96"/>
      <c r="AX42" s="96"/>
      <c r="AY42" s="100"/>
      <c r="AZ42" s="100"/>
      <c r="BA42" s="100"/>
      <c r="BB42" s="100"/>
      <c r="BC42" s="100"/>
      <c r="BD42" s="100"/>
      <c r="BE42" s="100"/>
      <c r="BK42" s="20"/>
      <c r="BL42" s="20"/>
      <c r="BM42" s="20"/>
      <c r="DJ42" s="434"/>
    </row>
    <row r="43" spans="1:116">
      <c r="A43" s="100"/>
      <c r="B43" s="100"/>
      <c r="C43" s="100"/>
      <c r="D43" s="102"/>
      <c r="E43" s="100"/>
      <c r="F43" s="100"/>
      <c r="G43" s="96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1"/>
      <c r="AF43" s="101"/>
      <c r="AG43" s="100"/>
      <c r="AH43" s="100"/>
      <c r="AI43" s="100"/>
      <c r="AJ43" s="100"/>
      <c r="AK43" s="100"/>
      <c r="AL43" s="100"/>
      <c r="AM43" s="100"/>
      <c r="AN43" s="100"/>
      <c r="AO43" s="100"/>
      <c r="AP43" s="100"/>
      <c r="AQ43" s="100"/>
      <c r="AR43" s="100"/>
      <c r="AS43" s="96" t="s">
        <v>60</v>
      </c>
      <c r="AT43" s="103">
        <f>AT40/BE43</f>
        <v>124.19354838709677</v>
      </c>
      <c r="AU43" s="104"/>
      <c r="AV43" s="96"/>
      <c r="AW43" s="96" t="s">
        <v>61</v>
      </c>
      <c r="AX43" s="96"/>
      <c r="AY43" s="100"/>
      <c r="AZ43" s="100"/>
      <c r="BA43" s="100"/>
      <c r="BB43" s="100"/>
      <c r="BC43" s="100"/>
      <c r="BD43" s="105" t="s">
        <v>62</v>
      </c>
      <c r="BE43" s="100">
        <v>31</v>
      </c>
      <c r="CP43" s="1"/>
      <c r="DJ43" s="434"/>
    </row>
    <row r="44" spans="1:116" ht="12" customHeight="1">
      <c r="A44" s="100"/>
      <c r="B44" s="100"/>
      <c r="C44" s="100"/>
      <c r="D44" s="102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100"/>
      <c r="AG44" s="100"/>
      <c r="AH44" s="100"/>
      <c r="AI44" s="100"/>
      <c r="AJ44" s="100"/>
      <c r="AK44" s="100"/>
      <c r="AL44" s="100"/>
      <c r="AM44" s="100"/>
      <c r="AN44" s="100"/>
      <c r="AO44" s="100"/>
      <c r="AP44" s="100"/>
      <c r="AQ44" s="100"/>
      <c r="AR44" s="100"/>
      <c r="AS44" s="100"/>
      <c r="AT44" s="100"/>
      <c r="AU44" s="100"/>
      <c r="AV44" s="100"/>
      <c r="AW44" s="100"/>
      <c r="AX44" s="100"/>
      <c r="AY44" s="100"/>
      <c r="AZ44" s="100"/>
      <c r="BA44" s="100"/>
      <c r="BB44" s="100"/>
      <c r="BC44" s="100"/>
      <c r="BD44" s="96"/>
      <c r="BE44" s="96"/>
      <c r="DJ44" s="434"/>
    </row>
    <row r="45" spans="1:116" ht="13.5" thickBot="1">
      <c r="A45" s="100"/>
      <c r="B45" s="100"/>
      <c r="C45" s="100"/>
      <c r="D45" s="102"/>
      <c r="E45" s="100"/>
      <c r="F45" s="100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101"/>
      <c r="AE45" s="101"/>
      <c r="AF45" s="101"/>
      <c r="AG45" s="100"/>
      <c r="AH45" s="100"/>
      <c r="AI45" s="100"/>
      <c r="AJ45" s="100"/>
      <c r="AK45" s="100"/>
      <c r="AL45" s="100"/>
      <c r="AM45" s="106" t="s">
        <v>63</v>
      </c>
      <c r="AN45" s="106"/>
      <c r="AO45" s="106"/>
      <c r="AP45" s="106"/>
      <c r="AQ45" s="106"/>
      <c r="AR45" s="106"/>
      <c r="AS45" s="107" t="s">
        <v>64</v>
      </c>
      <c r="AT45" s="108">
        <v>30</v>
      </c>
      <c r="AU45" s="108"/>
      <c r="AV45" s="100"/>
      <c r="AW45" s="100"/>
      <c r="AX45" s="100"/>
      <c r="AY45" s="100"/>
      <c r="AZ45" s="100"/>
      <c r="BA45" s="100"/>
      <c r="BB45" s="100"/>
      <c r="BC45" s="100"/>
      <c r="BD45" s="96"/>
      <c r="BE45" s="96"/>
      <c r="BS45" s="1"/>
      <c r="CP45" s="1"/>
      <c r="DJ45" s="434"/>
    </row>
    <row r="46" spans="1:116" ht="12.75" customHeight="1" thickBot="1">
      <c r="A46" s="100"/>
      <c r="B46" s="100"/>
      <c r="C46" s="109" t="s">
        <v>65</v>
      </c>
      <c r="D46" s="102"/>
      <c r="E46" s="100"/>
      <c r="F46" s="100"/>
      <c r="G46" s="100"/>
      <c r="H46" s="100"/>
      <c r="I46" s="100"/>
      <c r="J46" s="100"/>
      <c r="K46" s="100"/>
      <c r="L46" s="110">
        <f>AT38/AD38</f>
        <v>39.759836065573779</v>
      </c>
      <c r="M46" s="109" t="s">
        <v>88</v>
      </c>
      <c r="N46" s="606"/>
      <c r="O46" s="606"/>
      <c r="P46" s="111"/>
      <c r="Q46" s="100"/>
      <c r="R46" s="100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101"/>
      <c r="AE46" s="101"/>
      <c r="AF46" s="101"/>
      <c r="AG46" s="100"/>
      <c r="AH46" s="100"/>
      <c r="AI46" s="100"/>
      <c r="AJ46" s="100"/>
      <c r="AK46" s="100"/>
      <c r="AL46" s="100"/>
      <c r="AM46" s="100"/>
      <c r="AN46" s="100"/>
      <c r="AO46" s="106"/>
      <c r="AP46" s="106"/>
      <c r="AQ46" s="106"/>
      <c r="AR46" s="106"/>
      <c r="AS46" s="107" t="s">
        <v>66</v>
      </c>
      <c r="AT46" s="112">
        <f>AT40/AT45</f>
        <v>128.33333333333334</v>
      </c>
      <c r="AU46" s="112"/>
      <c r="AV46" s="100"/>
      <c r="AW46" s="100"/>
      <c r="AX46" s="100">
        <v>0</v>
      </c>
      <c r="AY46" s="100"/>
      <c r="AZ46" s="607" t="s">
        <v>67</v>
      </c>
      <c r="BA46" s="607"/>
      <c r="BB46" s="607"/>
      <c r="BC46" s="607"/>
      <c r="BD46" s="607"/>
      <c r="BE46" s="607"/>
      <c r="DJ46" s="434"/>
    </row>
    <row r="47" spans="1:116">
      <c r="A47" s="100"/>
      <c r="B47" s="100"/>
      <c r="C47" s="100"/>
      <c r="D47" s="102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100"/>
      <c r="AI47" s="100"/>
      <c r="AJ47" s="100"/>
      <c r="AK47" s="100"/>
      <c r="AL47" s="100"/>
      <c r="AM47" s="100"/>
      <c r="AN47" s="100"/>
      <c r="AO47" s="100"/>
      <c r="AP47" s="100"/>
      <c r="AQ47" s="100"/>
      <c r="AR47" s="100"/>
      <c r="AS47" s="100"/>
      <c r="AT47" s="100"/>
      <c r="AU47" s="100"/>
      <c r="AV47" s="100"/>
      <c r="AW47" s="100"/>
      <c r="AX47" s="100"/>
      <c r="AY47" s="100"/>
      <c r="AZ47" s="607"/>
      <c r="BA47" s="607"/>
      <c r="BB47" s="607"/>
      <c r="BC47" s="607"/>
      <c r="BD47" s="607"/>
      <c r="BE47" s="607"/>
      <c r="DJ47" s="434"/>
    </row>
    <row r="48" spans="1:116">
      <c r="A48" s="100"/>
      <c r="B48" s="100"/>
      <c r="C48" s="100"/>
      <c r="D48" s="102"/>
      <c r="E48" s="100"/>
      <c r="F48" s="100"/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13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  <c r="AE48" s="100"/>
      <c r="AF48" s="100"/>
      <c r="AG48" s="100"/>
      <c r="AH48" s="100"/>
      <c r="AI48" s="100"/>
      <c r="AJ48" s="100"/>
      <c r="AK48" s="100"/>
      <c r="AL48" s="100"/>
      <c r="AM48" s="100"/>
      <c r="AN48" s="100"/>
      <c r="AO48" s="100"/>
      <c r="AP48" s="100"/>
      <c r="AQ48" s="100"/>
      <c r="AR48" s="100"/>
      <c r="AS48" s="100"/>
      <c r="AT48" s="100"/>
      <c r="AU48" s="100"/>
      <c r="AV48" s="100"/>
      <c r="AW48" s="100"/>
      <c r="AX48" s="100"/>
      <c r="AY48" s="100"/>
      <c r="AZ48" s="608">
        <f>BF37-BJ37</f>
        <v>-212.29999999999882</v>
      </c>
      <c r="BA48" s="608"/>
      <c r="BB48" s="608"/>
      <c r="BC48" s="608"/>
      <c r="BD48" s="609" t="s">
        <v>68</v>
      </c>
      <c r="BE48" s="114"/>
      <c r="DJ48" s="434"/>
    </row>
    <row r="49" spans="1:114" ht="12" customHeight="1">
      <c r="A49" s="100"/>
      <c r="B49" s="100"/>
      <c r="C49" s="100"/>
      <c r="D49" s="102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15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100"/>
      <c r="AI49" s="100"/>
      <c r="AJ49" s="100"/>
      <c r="AK49" s="100"/>
      <c r="AL49" s="100"/>
      <c r="AM49" s="100"/>
      <c r="AN49" s="100"/>
      <c r="AO49" s="100"/>
      <c r="AP49" s="100"/>
      <c r="AQ49" s="100"/>
      <c r="AR49" s="100"/>
      <c r="AS49" s="100"/>
      <c r="AT49" s="100"/>
      <c r="AU49" s="100"/>
      <c r="AV49" s="100"/>
      <c r="AW49" s="100"/>
      <c r="AX49" s="100"/>
      <c r="AY49" s="100"/>
      <c r="AZ49" s="608"/>
      <c r="BA49" s="608"/>
      <c r="BB49" s="608"/>
      <c r="BC49" s="608"/>
      <c r="BD49" s="609"/>
      <c r="BE49" s="114"/>
      <c r="DJ49" s="434"/>
    </row>
    <row r="50" spans="1:114" ht="13.5" customHeight="1">
      <c r="A50" s="100"/>
      <c r="B50" s="100"/>
      <c r="C50" s="100"/>
      <c r="D50" s="102"/>
      <c r="E50" s="100"/>
      <c r="F50" s="100"/>
      <c r="G50" s="100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100"/>
      <c r="AC50" s="100"/>
      <c r="AD50" s="100"/>
      <c r="AE50" s="100"/>
      <c r="AF50" s="100"/>
      <c r="AG50" s="100"/>
      <c r="AH50" s="100"/>
      <c r="AI50" s="100"/>
      <c r="AJ50" s="100"/>
      <c r="AK50" s="100"/>
      <c r="AL50" s="100"/>
      <c r="AM50" s="100"/>
      <c r="AN50" s="100"/>
      <c r="AO50" s="100"/>
      <c r="AP50" s="100"/>
      <c r="AQ50" s="100"/>
      <c r="AR50" s="100"/>
      <c r="AS50" s="100"/>
      <c r="AT50" s="100"/>
      <c r="AU50" s="100"/>
      <c r="AV50" s="100"/>
      <c r="AW50" s="100"/>
      <c r="AX50" s="100"/>
      <c r="AY50" s="100"/>
      <c r="AZ50" s="116"/>
      <c r="BA50" s="96"/>
      <c r="BB50" s="96"/>
      <c r="BC50" s="96"/>
      <c r="BD50" s="96"/>
      <c r="BE50" s="114"/>
      <c r="DJ50" s="434"/>
    </row>
    <row r="51" spans="1:114" ht="13.5" customHeight="1" thickBot="1">
      <c r="A51" s="100"/>
      <c r="B51" s="100"/>
      <c r="C51" s="100"/>
      <c r="D51" s="102"/>
      <c r="E51" s="100"/>
      <c r="F51" s="100"/>
      <c r="G51" s="100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0"/>
      <c r="AC51" s="100"/>
      <c r="AD51" s="100"/>
      <c r="AE51" s="100"/>
      <c r="AF51" s="100"/>
      <c r="AG51" s="100"/>
      <c r="AH51" s="100"/>
      <c r="AI51" s="100"/>
      <c r="AJ51" s="100"/>
      <c r="AK51" s="100"/>
      <c r="AL51" s="100"/>
      <c r="AM51" s="100"/>
      <c r="AN51" s="100"/>
      <c r="AO51" s="100"/>
      <c r="AP51" s="100"/>
      <c r="AQ51" s="100"/>
      <c r="AR51" s="100"/>
      <c r="AS51" s="100"/>
      <c r="AT51" s="100"/>
      <c r="AU51" s="100"/>
      <c r="AV51" s="100"/>
      <c r="AW51" s="100"/>
      <c r="AX51" s="100"/>
      <c r="AY51" s="100"/>
      <c r="AZ51" s="610">
        <f>AZ48/AT40*100</f>
        <v>-5.5142857142856831</v>
      </c>
      <c r="BA51" s="610"/>
      <c r="BB51" s="610"/>
      <c r="BC51" s="610"/>
      <c r="BD51" s="611" t="s">
        <v>69</v>
      </c>
      <c r="BE51" s="114"/>
      <c r="DJ51" s="434"/>
    </row>
    <row r="52" spans="1:114" ht="13.5" thickBot="1">
      <c r="A52" s="100"/>
      <c r="B52" s="100"/>
      <c r="C52" s="100"/>
      <c r="D52" s="102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  <c r="AF52" s="100"/>
      <c r="AG52" s="100"/>
      <c r="AH52" s="100"/>
      <c r="AI52" s="100"/>
      <c r="AJ52" s="100"/>
      <c r="AK52" s="100"/>
      <c r="AL52" s="100"/>
      <c r="AM52" s="100"/>
      <c r="AN52" s="100"/>
      <c r="AO52" s="100"/>
      <c r="AP52" s="100"/>
      <c r="AQ52" s="100"/>
      <c r="AR52" s="100"/>
      <c r="AS52" s="100"/>
      <c r="AT52" s="100"/>
      <c r="AU52" s="100"/>
      <c r="AV52" s="100"/>
      <c r="AW52" s="100"/>
      <c r="AX52" s="100"/>
      <c r="AY52" s="100"/>
      <c r="AZ52" s="610"/>
      <c r="BA52" s="610"/>
      <c r="BB52" s="610"/>
      <c r="BC52" s="610"/>
      <c r="BD52" s="611"/>
      <c r="BE52" s="117"/>
      <c r="DJ52" s="434"/>
    </row>
    <row r="53" spans="1:114">
      <c r="A53" s="100"/>
      <c r="B53" s="100"/>
      <c r="C53" s="100"/>
      <c r="D53" s="102"/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100"/>
      <c r="AI53" s="100"/>
      <c r="AJ53" s="100"/>
      <c r="AK53" s="100"/>
      <c r="AL53" s="100"/>
      <c r="AM53" s="100"/>
      <c r="AN53" s="100"/>
      <c r="AO53" s="100"/>
      <c r="AP53" s="100"/>
      <c r="AQ53" s="100"/>
      <c r="AR53" s="100"/>
      <c r="AS53" s="100"/>
      <c r="AT53" s="100"/>
      <c r="AU53" s="100"/>
      <c r="AV53" s="100"/>
      <c r="AW53" s="100"/>
      <c r="AX53" s="100"/>
      <c r="AY53" s="100"/>
      <c r="AZ53" s="100"/>
      <c r="BA53" s="100"/>
      <c r="BB53" s="100"/>
      <c r="BC53" s="100"/>
      <c r="BD53" s="100"/>
      <c r="BE53" s="100"/>
      <c r="DJ53" s="434"/>
    </row>
    <row r="54" spans="1:114">
      <c r="A54" s="100"/>
      <c r="B54" s="100"/>
      <c r="C54" s="100"/>
      <c r="D54" s="102"/>
      <c r="E54" s="100"/>
      <c r="F54" s="100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100"/>
      <c r="AI54" s="100"/>
      <c r="AJ54" s="100"/>
      <c r="AK54" s="100"/>
      <c r="AL54" s="100"/>
      <c r="AM54" s="100"/>
      <c r="AN54" s="100"/>
      <c r="AO54" s="100"/>
      <c r="AP54" s="100"/>
      <c r="AQ54" s="100"/>
      <c r="AR54" s="100"/>
      <c r="AS54" s="100"/>
      <c r="AT54" s="100"/>
      <c r="AU54" s="100"/>
      <c r="AV54" s="100"/>
      <c r="AW54" s="100"/>
      <c r="AX54" s="100"/>
      <c r="AY54" s="100"/>
      <c r="AZ54" s="100"/>
      <c r="BA54" s="100"/>
      <c r="BB54" s="100"/>
      <c r="BC54" s="100"/>
      <c r="BD54" s="100"/>
      <c r="BE54" s="100"/>
      <c r="DJ54" s="434"/>
    </row>
    <row r="55" spans="1:114">
      <c r="A55" s="100"/>
      <c r="B55" s="100"/>
      <c r="C55" s="100"/>
      <c r="D55" s="102"/>
      <c r="E55" s="100"/>
      <c r="F55" s="100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  <c r="AH55" s="100"/>
      <c r="AI55" s="100"/>
      <c r="AJ55" s="100"/>
      <c r="AK55" s="100"/>
      <c r="AL55" s="100"/>
      <c r="AM55" s="100"/>
      <c r="AN55" s="100"/>
      <c r="AO55" s="100"/>
      <c r="AP55" s="100"/>
      <c r="AQ55" s="100"/>
      <c r="AR55" s="100"/>
      <c r="AS55" s="100"/>
      <c r="AT55" s="100"/>
      <c r="AU55" s="100"/>
      <c r="AV55" s="100"/>
      <c r="AW55" s="100"/>
      <c r="AX55" s="100"/>
      <c r="AY55" s="100"/>
      <c r="AZ55" s="100"/>
      <c r="BA55" s="100"/>
      <c r="BB55" s="100"/>
      <c r="BC55" s="100"/>
      <c r="BD55" s="100"/>
      <c r="BE55" s="100"/>
      <c r="DJ55" s="434"/>
    </row>
    <row r="56" spans="1:114">
      <c r="A56" s="100"/>
      <c r="B56" s="100"/>
      <c r="C56" s="100"/>
      <c r="D56" s="102"/>
      <c r="E56" s="100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/>
      <c r="AE56" s="100"/>
      <c r="AF56" s="100"/>
      <c r="AG56" s="100"/>
      <c r="AH56" s="100"/>
      <c r="AI56" s="100"/>
      <c r="AJ56" s="100"/>
      <c r="AK56" s="100"/>
      <c r="AL56" s="100"/>
      <c r="AM56" s="100"/>
      <c r="AN56" s="100"/>
      <c r="AO56" s="100"/>
      <c r="AP56" s="100"/>
      <c r="AQ56" s="100"/>
      <c r="AR56" s="100"/>
      <c r="AS56" s="100"/>
      <c r="AT56" s="100"/>
      <c r="AU56" s="100"/>
      <c r="AV56" s="100"/>
      <c r="AW56" s="100"/>
      <c r="AX56" s="100"/>
      <c r="AY56" s="100"/>
      <c r="AZ56" s="100"/>
      <c r="BA56" s="100"/>
      <c r="BB56" s="100"/>
      <c r="BC56" s="100"/>
      <c r="BD56" s="100"/>
      <c r="BE56" s="100"/>
      <c r="DJ56" s="434"/>
    </row>
    <row r="57" spans="1:114">
      <c r="A57" s="100"/>
      <c r="B57" s="100"/>
      <c r="C57" s="100"/>
      <c r="D57" s="102"/>
      <c r="E57" s="100"/>
      <c r="F57" s="100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100"/>
      <c r="AI57" s="100"/>
      <c r="AJ57" s="100"/>
      <c r="AK57" s="100"/>
      <c r="AL57" s="100"/>
      <c r="AM57" s="100"/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X57" s="100"/>
      <c r="AY57" s="100"/>
      <c r="AZ57" s="100"/>
      <c r="BA57" s="100"/>
      <c r="BB57" s="100"/>
      <c r="BC57" s="100"/>
      <c r="BD57" s="100"/>
      <c r="BE57" s="100"/>
      <c r="DJ57" s="434"/>
    </row>
    <row r="58" spans="1:114">
      <c r="A58" s="100"/>
      <c r="B58" s="100"/>
      <c r="C58" s="100"/>
      <c r="D58" s="102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  <c r="AA58" s="100"/>
      <c r="AB58" s="100"/>
      <c r="AC58" s="100"/>
      <c r="AD58" s="100"/>
      <c r="AE58" s="100"/>
      <c r="AF58" s="100"/>
      <c r="AG58" s="100"/>
      <c r="AH58" s="100"/>
      <c r="AI58" s="100"/>
      <c r="AJ58" s="100"/>
      <c r="AK58" s="100"/>
      <c r="AL58" s="100"/>
      <c r="AM58" s="100"/>
      <c r="AN58" s="100"/>
      <c r="AO58" s="100"/>
      <c r="AP58" s="100"/>
      <c r="AQ58" s="100"/>
      <c r="AR58" s="100"/>
      <c r="AS58" s="100"/>
      <c r="AT58" s="100"/>
      <c r="AU58" s="100"/>
      <c r="AV58" s="100"/>
      <c r="AW58" s="100"/>
      <c r="AX58" s="100"/>
      <c r="AY58" s="100"/>
      <c r="AZ58" s="100"/>
      <c r="BA58" s="100"/>
      <c r="BB58" s="100"/>
      <c r="BC58" s="100"/>
      <c r="BD58" s="100"/>
      <c r="BE58" s="100"/>
      <c r="DJ58" s="434"/>
    </row>
    <row r="59" spans="1:114">
      <c r="A59" s="100"/>
      <c r="B59" s="100"/>
      <c r="C59" s="100"/>
      <c r="D59" s="102"/>
      <c r="E59" s="100"/>
      <c r="F59" s="100"/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  <c r="AE59" s="100"/>
      <c r="AF59" s="100"/>
      <c r="AG59" s="100"/>
      <c r="AH59" s="100"/>
      <c r="AI59" s="100"/>
      <c r="AJ59" s="100"/>
      <c r="AK59" s="100"/>
      <c r="AL59" s="100"/>
      <c r="AM59" s="100"/>
      <c r="AN59" s="100"/>
      <c r="AO59" s="100"/>
      <c r="AP59" s="100"/>
      <c r="AQ59" s="100"/>
      <c r="AR59" s="100"/>
      <c r="AS59" s="100"/>
      <c r="AT59" s="100"/>
      <c r="AU59" s="100"/>
      <c r="AV59" s="100"/>
      <c r="AW59" s="100"/>
      <c r="AX59" s="100"/>
      <c r="AY59" s="100"/>
      <c r="AZ59" s="100"/>
      <c r="BA59" s="100"/>
      <c r="BB59" s="100"/>
      <c r="BC59" s="100"/>
      <c r="BD59" s="100"/>
      <c r="BE59" s="100"/>
      <c r="DJ59" s="434"/>
    </row>
    <row r="60" spans="1:114">
      <c r="A60" s="100"/>
      <c r="B60" s="100"/>
      <c r="C60" s="100"/>
      <c r="D60" s="102"/>
      <c r="E60" s="100"/>
      <c r="F60" s="100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  <c r="AE60" s="100"/>
      <c r="AF60" s="100"/>
      <c r="AG60" s="100"/>
      <c r="AH60" s="100"/>
      <c r="AI60" s="100"/>
      <c r="AJ60" s="100"/>
      <c r="AK60" s="100"/>
      <c r="AL60" s="100"/>
      <c r="AM60" s="100"/>
      <c r="AN60" s="100"/>
      <c r="AO60" s="100"/>
      <c r="AP60" s="100"/>
      <c r="AQ60" s="100"/>
      <c r="AR60" s="100"/>
      <c r="AS60" s="100"/>
      <c r="AT60" s="100"/>
      <c r="AU60" s="100"/>
      <c r="AV60" s="100"/>
      <c r="AW60" s="100"/>
      <c r="AX60" s="100"/>
      <c r="AY60" s="100"/>
      <c r="AZ60" s="100"/>
      <c r="BA60" s="100"/>
      <c r="BB60" s="100"/>
      <c r="BC60" s="100"/>
      <c r="BD60" s="100"/>
      <c r="BE60" s="100"/>
      <c r="DJ60" s="434"/>
    </row>
    <row r="61" spans="1:114">
      <c r="A61" s="100"/>
      <c r="B61" s="100"/>
      <c r="C61" s="100"/>
      <c r="D61" s="102"/>
      <c r="E61" s="100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/>
      <c r="AE61" s="100"/>
      <c r="AF61" s="100"/>
      <c r="AG61" s="100"/>
      <c r="AH61" s="100"/>
      <c r="AI61" s="100"/>
      <c r="AJ61" s="100"/>
      <c r="AK61" s="100"/>
      <c r="AL61" s="100"/>
      <c r="AM61" s="100"/>
      <c r="AN61" s="100"/>
      <c r="AO61" s="100"/>
      <c r="AP61" s="100"/>
      <c r="AQ61" s="100"/>
      <c r="AR61" s="100"/>
      <c r="AS61" s="100"/>
      <c r="AT61" s="100"/>
      <c r="AU61" s="100"/>
      <c r="AV61" s="100"/>
      <c r="AW61" s="100"/>
      <c r="AX61" s="100"/>
      <c r="AY61" s="100"/>
      <c r="AZ61" s="100"/>
      <c r="BA61" s="100"/>
      <c r="BB61" s="100"/>
      <c r="BC61" s="100"/>
      <c r="BD61" s="100"/>
      <c r="BE61" s="100"/>
      <c r="DJ61" s="434"/>
    </row>
    <row r="62" spans="1:114">
      <c r="A62" s="100"/>
      <c r="B62" s="100"/>
      <c r="C62" s="100"/>
      <c r="D62" s="102"/>
      <c r="E62" s="100"/>
      <c r="F62" s="100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100"/>
      <c r="AC62" s="100"/>
      <c r="AD62" s="100"/>
      <c r="AE62" s="100"/>
      <c r="AF62" s="100"/>
      <c r="AG62" s="100"/>
      <c r="AH62" s="100"/>
      <c r="AI62" s="100"/>
      <c r="AJ62" s="100"/>
      <c r="AK62" s="100"/>
      <c r="AL62" s="100"/>
      <c r="AM62" s="100"/>
      <c r="AN62" s="100"/>
      <c r="AO62" s="100"/>
      <c r="AP62" s="100"/>
      <c r="AQ62" s="100"/>
      <c r="AR62" s="100"/>
      <c r="AS62" s="100"/>
      <c r="AT62" s="100"/>
      <c r="AU62" s="100"/>
      <c r="AV62" s="100"/>
      <c r="AW62" s="100"/>
      <c r="AX62" s="100"/>
      <c r="AY62" s="100"/>
      <c r="AZ62" s="100"/>
      <c r="BA62" s="100"/>
      <c r="BB62" s="100"/>
      <c r="BC62" s="100"/>
      <c r="BD62" s="100"/>
      <c r="BE62" s="100"/>
      <c r="DJ62" s="434"/>
    </row>
    <row r="63" spans="1:114">
      <c r="A63" s="100"/>
      <c r="B63" s="100"/>
      <c r="C63" s="100"/>
      <c r="D63" s="102"/>
      <c r="E63" s="100"/>
      <c r="F63" s="100"/>
      <c r="G63" s="100"/>
      <c r="H63" s="100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  <c r="AA63" s="100"/>
      <c r="AB63" s="100"/>
      <c r="AC63" s="100"/>
      <c r="AD63" s="100"/>
      <c r="AE63" s="100"/>
      <c r="AF63" s="100"/>
      <c r="AG63" s="100"/>
      <c r="AH63" s="100"/>
      <c r="AI63" s="100"/>
      <c r="AJ63" s="100"/>
      <c r="AK63" s="100"/>
      <c r="AL63" s="100"/>
      <c r="AM63" s="100"/>
      <c r="AN63" s="100"/>
      <c r="AO63" s="100"/>
      <c r="AP63" s="100"/>
      <c r="AQ63" s="100"/>
      <c r="AR63" s="100"/>
      <c r="AS63" s="100"/>
      <c r="AT63" s="100"/>
      <c r="AU63" s="100"/>
      <c r="AV63" s="100"/>
      <c r="AW63" s="100"/>
      <c r="AX63" s="100"/>
      <c r="AY63" s="100"/>
      <c r="AZ63" s="100"/>
      <c r="BA63" s="100"/>
      <c r="BB63" s="100"/>
      <c r="BC63" s="100"/>
      <c r="BD63" s="100"/>
      <c r="BE63" s="100"/>
      <c r="DJ63" s="434"/>
    </row>
    <row r="64" spans="1:114">
      <c r="A64" s="100"/>
      <c r="B64" s="100"/>
      <c r="C64" s="100"/>
      <c r="D64" s="102"/>
      <c r="E64" s="100"/>
      <c r="F64" s="100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  <c r="AE64" s="100"/>
      <c r="AF64" s="100"/>
      <c r="AG64" s="100"/>
      <c r="AH64" s="100"/>
      <c r="AI64" s="100"/>
      <c r="AJ64" s="100"/>
      <c r="AK64" s="100"/>
      <c r="AL64" s="100"/>
      <c r="AM64" s="100"/>
      <c r="AN64" s="100"/>
      <c r="AO64" s="100"/>
      <c r="AP64" s="100"/>
      <c r="AQ64" s="100"/>
      <c r="AR64" s="100"/>
      <c r="AS64" s="100"/>
      <c r="AT64" s="100"/>
      <c r="AU64" s="100"/>
      <c r="AV64" s="100"/>
      <c r="AW64" s="100"/>
      <c r="AX64" s="100"/>
      <c r="AY64" s="100"/>
      <c r="AZ64" s="100"/>
      <c r="BA64" s="100"/>
      <c r="BB64" s="100"/>
      <c r="BC64" s="100"/>
      <c r="BD64" s="100"/>
      <c r="BE64" s="100"/>
      <c r="DJ64" s="434"/>
    </row>
    <row r="65" spans="1:114">
      <c r="A65" s="100"/>
      <c r="B65" s="100"/>
      <c r="C65" s="100"/>
      <c r="D65" s="102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/>
      <c r="AE65" s="100"/>
      <c r="AF65" s="100"/>
      <c r="AG65" s="100"/>
      <c r="AH65" s="100"/>
      <c r="AI65" s="100"/>
      <c r="AJ65" s="100"/>
      <c r="AK65" s="100"/>
      <c r="AL65" s="100"/>
      <c r="AM65" s="100"/>
      <c r="AN65" s="100"/>
      <c r="AO65" s="100"/>
      <c r="AP65" s="100"/>
      <c r="AQ65" s="100"/>
      <c r="AR65" s="100"/>
      <c r="AS65" s="100"/>
      <c r="AT65" s="100"/>
      <c r="AU65" s="100"/>
      <c r="AV65" s="100"/>
      <c r="AW65" s="100"/>
      <c r="AX65" s="100"/>
      <c r="AY65" s="100"/>
      <c r="AZ65" s="100"/>
      <c r="BA65" s="100"/>
      <c r="BB65" s="100"/>
      <c r="BC65" s="100"/>
      <c r="BD65" s="100"/>
      <c r="BE65" s="100"/>
      <c r="DJ65" s="434"/>
    </row>
    <row r="66" spans="1:114">
      <c r="A66" s="100"/>
      <c r="B66" s="100"/>
      <c r="C66" s="100"/>
      <c r="D66" s="102"/>
      <c r="E66" s="100"/>
      <c r="F66" s="100"/>
      <c r="G66" s="100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/>
      <c r="AE66" s="100"/>
      <c r="AF66" s="100"/>
      <c r="AG66" s="100"/>
      <c r="AH66" s="100"/>
      <c r="AI66" s="100"/>
      <c r="AJ66" s="100"/>
      <c r="AK66" s="100"/>
      <c r="AL66" s="100"/>
      <c r="AM66" s="100"/>
      <c r="AN66" s="100"/>
      <c r="AO66" s="100"/>
      <c r="AP66" s="100"/>
      <c r="AQ66" s="100"/>
      <c r="AR66" s="100"/>
      <c r="AS66" s="100"/>
      <c r="AT66" s="100"/>
      <c r="AU66" s="100"/>
      <c r="AV66" s="100"/>
      <c r="AW66" s="100"/>
      <c r="AX66" s="100"/>
      <c r="AY66" s="100"/>
      <c r="AZ66" s="100"/>
      <c r="BA66" s="100"/>
      <c r="BB66" s="100"/>
      <c r="BC66" s="100"/>
      <c r="BD66" s="100"/>
      <c r="BE66" s="100"/>
      <c r="DJ66" s="434"/>
    </row>
    <row r="67" spans="1:114">
      <c r="A67" s="100"/>
      <c r="B67" s="100"/>
      <c r="C67" s="100"/>
      <c r="D67" s="102"/>
      <c r="E67" s="100"/>
      <c r="F67" s="100"/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  <c r="AD67" s="100"/>
      <c r="AE67" s="100"/>
      <c r="AF67" s="100"/>
      <c r="AG67" s="100"/>
      <c r="AH67" s="100"/>
      <c r="AI67" s="100"/>
      <c r="AJ67" s="100"/>
      <c r="AK67" s="100"/>
      <c r="AL67" s="100"/>
      <c r="AM67" s="100"/>
      <c r="AN67" s="100"/>
      <c r="AO67" s="100"/>
      <c r="AP67" s="100"/>
      <c r="AQ67" s="100"/>
      <c r="AR67" s="100"/>
      <c r="AS67" s="100"/>
      <c r="AT67" s="100"/>
      <c r="AU67" s="100"/>
      <c r="AV67" s="100"/>
      <c r="AW67" s="100"/>
      <c r="AX67" s="100"/>
      <c r="AY67" s="100"/>
      <c r="AZ67" s="100"/>
      <c r="BA67" s="100"/>
      <c r="BB67" s="100"/>
      <c r="BC67" s="100"/>
      <c r="BD67" s="100"/>
      <c r="BE67" s="100"/>
      <c r="DJ67" s="434"/>
    </row>
    <row r="68" spans="1:114">
      <c r="A68" s="100"/>
      <c r="B68" s="100"/>
      <c r="C68" s="100"/>
      <c r="D68" s="102"/>
      <c r="E68" s="100"/>
      <c r="F68" s="100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  <c r="AI68" s="100"/>
      <c r="AJ68" s="100"/>
      <c r="AK68" s="100"/>
      <c r="AL68" s="100"/>
      <c r="AM68" s="100"/>
      <c r="AN68" s="100"/>
      <c r="AO68" s="100"/>
      <c r="AP68" s="100"/>
      <c r="AQ68" s="100"/>
      <c r="AR68" s="100"/>
      <c r="AS68" s="100"/>
      <c r="AT68" s="100"/>
      <c r="AU68" s="100"/>
      <c r="AV68" s="100"/>
      <c r="AW68" s="100"/>
      <c r="AX68" s="100"/>
      <c r="AY68" s="100"/>
      <c r="AZ68" s="100"/>
      <c r="BA68" s="100"/>
      <c r="BB68" s="100"/>
      <c r="BC68" s="100"/>
      <c r="BD68" s="100"/>
      <c r="BE68" s="100"/>
      <c r="DJ68" s="434"/>
    </row>
    <row r="69" spans="1:114">
      <c r="A69" s="100"/>
      <c r="B69" s="100"/>
      <c r="C69" s="100"/>
      <c r="D69" s="102"/>
      <c r="E69" s="100"/>
      <c r="F69" s="100"/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100"/>
      <c r="AC69" s="100"/>
      <c r="AD69" s="100"/>
      <c r="AE69" s="100"/>
      <c r="AF69" s="100"/>
      <c r="AG69" s="100"/>
      <c r="AH69" s="100"/>
      <c r="AI69" s="100"/>
      <c r="AJ69" s="100"/>
      <c r="AK69" s="100"/>
      <c r="AL69" s="100"/>
      <c r="AM69" s="100"/>
      <c r="AN69" s="100"/>
      <c r="AO69" s="100"/>
      <c r="AP69" s="100"/>
      <c r="AQ69" s="100"/>
      <c r="AR69" s="100"/>
      <c r="AS69" s="100"/>
      <c r="AT69" s="100"/>
      <c r="AU69" s="100"/>
      <c r="AV69" s="100"/>
      <c r="AW69" s="100"/>
      <c r="AX69" s="100"/>
      <c r="AY69" s="100"/>
      <c r="AZ69" s="100"/>
      <c r="BA69" s="100"/>
      <c r="BB69" s="100"/>
      <c r="BC69" s="100"/>
      <c r="BD69" s="100"/>
      <c r="BE69" s="100"/>
      <c r="DJ69" s="434"/>
    </row>
    <row r="70" spans="1:114">
      <c r="A70" s="100"/>
      <c r="B70" s="100"/>
      <c r="C70" s="100"/>
      <c r="D70" s="102"/>
      <c r="E70" s="100"/>
      <c r="F70" s="100"/>
      <c r="G70" s="100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  <c r="AE70" s="100"/>
      <c r="AF70" s="100"/>
      <c r="AG70" s="100"/>
      <c r="AH70" s="100"/>
      <c r="AI70" s="100"/>
      <c r="AJ70" s="100"/>
      <c r="AK70" s="100"/>
      <c r="AL70" s="100"/>
      <c r="AM70" s="100"/>
      <c r="AN70" s="100"/>
      <c r="AO70" s="100"/>
      <c r="AP70" s="100"/>
      <c r="AQ70" s="100"/>
      <c r="AR70" s="100"/>
      <c r="AS70" s="100"/>
      <c r="AT70" s="100"/>
      <c r="AU70" s="100"/>
      <c r="AV70" s="100"/>
      <c r="AW70" s="100"/>
      <c r="AX70" s="100"/>
      <c r="AY70" s="100"/>
      <c r="AZ70" s="100"/>
      <c r="BA70" s="100"/>
      <c r="BB70" s="100"/>
      <c r="BC70" s="100"/>
      <c r="BD70" s="100"/>
      <c r="BE70" s="100"/>
      <c r="DJ70" s="434"/>
    </row>
    <row r="71" spans="1:114" ht="18" customHeight="1">
      <c r="A71" s="318" t="s">
        <v>70</v>
      </c>
      <c r="B71" s="319"/>
      <c r="C71" s="318"/>
      <c r="D71" s="318"/>
      <c r="E71" s="318"/>
      <c r="F71" s="318"/>
      <c r="G71" s="318"/>
      <c r="H71" s="318"/>
      <c r="I71" s="318"/>
      <c r="J71" s="320"/>
      <c r="K71" s="320"/>
      <c r="L71" s="605" t="s">
        <v>158</v>
      </c>
      <c r="M71" s="605"/>
      <c r="N71" s="605"/>
      <c r="O71" s="605"/>
      <c r="P71" s="605"/>
      <c r="Q71" s="605"/>
      <c r="R71" s="109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/>
      <c r="AE71" s="100"/>
      <c r="AF71" s="100"/>
      <c r="AG71" s="100"/>
      <c r="AH71" s="100"/>
      <c r="AI71" s="100"/>
      <c r="AJ71" s="100"/>
      <c r="AK71" s="100"/>
      <c r="AL71" s="100"/>
      <c r="AM71" s="100"/>
      <c r="AN71" s="100"/>
      <c r="AO71" s="100"/>
      <c r="AP71" s="100"/>
      <c r="AQ71" s="100"/>
      <c r="AR71" s="100"/>
      <c r="AS71" s="100"/>
      <c r="AT71" s="100"/>
      <c r="AU71" s="100"/>
      <c r="AV71" s="100"/>
      <c r="AW71" s="100"/>
      <c r="AX71" s="100"/>
      <c r="AY71" s="100"/>
      <c r="AZ71" s="100"/>
      <c r="BA71" s="100"/>
      <c r="BB71" s="100"/>
      <c r="BC71" s="100"/>
      <c r="BD71" s="100"/>
      <c r="BE71" s="100"/>
      <c r="DJ71" s="434"/>
    </row>
    <row r="72" spans="1:114" ht="15">
      <c r="A72" s="118"/>
      <c r="B72" s="118"/>
      <c r="C72" s="119"/>
      <c r="D72" s="120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  <c r="AE72" s="100"/>
      <c r="AF72" s="100"/>
      <c r="AG72" s="100"/>
      <c r="AH72" s="100"/>
      <c r="AI72" s="100"/>
      <c r="AJ72" s="100"/>
      <c r="AK72" s="100"/>
      <c r="AL72" s="100"/>
      <c r="AM72" s="100"/>
      <c r="AN72" s="100"/>
      <c r="AO72" s="100"/>
      <c r="AP72" s="100"/>
      <c r="AQ72" s="100"/>
      <c r="AR72" s="100"/>
      <c r="AS72" s="100"/>
      <c r="AT72" s="100"/>
      <c r="AU72" s="100"/>
      <c r="AV72" s="100"/>
      <c r="AW72" s="100"/>
      <c r="AX72" s="100"/>
      <c r="AY72" s="100"/>
      <c r="AZ72" s="100"/>
      <c r="BA72" s="100"/>
      <c r="BB72" s="100"/>
      <c r="BC72" s="100"/>
      <c r="BD72" s="100"/>
      <c r="BE72" s="100"/>
      <c r="DJ72" s="434"/>
    </row>
    <row r="73" spans="1:114" ht="15.75">
      <c r="A73" s="100"/>
      <c r="B73" s="100"/>
      <c r="C73" s="100"/>
      <c r="D73" s="102"/>
      <c r="E73" s="100"/>
      <c r="F73" s="100"/>
      <c r="G73" s="100"/>
      <c r="H73" s="100"/>
      <c r="I73" s="100"/>
      <c r="J73" s="100"/>
      <c r="K73" s="100"/>
      <c r="L73" s="111"/>
      <c r="M73" s="111"/>
      <c r="N73" s="111"/>
      <c r="O73" s="111"/>
      <c r="P73" s="111"/>
      <c r="Q73" s="111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00"/>
      <c r="AK73" s="100"/>
      <c r="AL73" s="100"/>
      <c r="AM73" s="100"/>
      <c r="AN73" s="100"/>
      <c r="AO73" s="100"/>
      <c r="AP73" s="100"/>
      <c r="AQ73" s="100"/>
      <c r="AR73" s="100"/>
      <c r="AS73" s="100"/>
      <c r="AT73" s="100"/>
      <c r="AU73" s="100"/>
      <c r="AV73" s="100"/>
      <c r="AW73" s="100"/>
      <c r="AX73" s="100"/>
      <c r="AY73" s="100"/>
      <c r="AZ73" s="100"/>
      <c r="BA73" s="100"/>
      <c r="BB73" s="100"/>
      <c r="BC73" s="100"/>
      <c r="BD73" s="100"/>
      <c r="BE73" s="100"/>
      <c r="DJ73" s="434"/>
    </row>
    <row r="74" spans="1:114">
      <c r="A74" s="100"/>
      <c r="B74" s="100"/>
      <c r="C74" s="100"/>
      <c r="D74" s="102"/>
      <c r="E74" s="100"/>
      <c r="F74" s="100"/>
      <c r="G74" s="100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00"/>
      <c r="AK74" s="100"/>
      <c r="AL74" s="100"/>
      <c r="AM74" s="100"/>
      <c r="AN74" s="100"/>
      <c r="AO74" s="100"/>
      <c r="AP74" s="100"/>
      <c r="AQ74" s="100"/>
      <c r="AR74" s="100"/>
      <c r="AS74" s="100"/>
      <c r="AT74" s="100"/>
      <c r="AU74" s="100"/>
      <c r="AV74" s="100"/>
      <c r="AW74" s="100"/>
      <c r="AX74" s="100"/>
      <c r="AY74" s="100"/>
      <c r="AZ74" s="100"/>
      <c r="BA74" s="100"/>
      <c r="BB74" s="100"/>
      <c r="BC74" s="100"/>
      <c r="BD74" s="100"/>
      <c r="BE74" s="100"/>
      <c r="DJ74" s="434"/>
    </row>
    <row r="75" spans="1:114">
      <c r="A75" s="100"/>
      <c r="B75" s="100"/>
      <c r="C75" s="100"/>
      <c r="D75" s="102"/>
      <c r="E75" s="100"/>
      <c r="F75" s="100"/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  <c r="AD75" s="100"/>
      <c r="AE75" s="100"/>
      <c r="AF75" s="100"/>
      <c r="AG75" s="100"/>
      <c r="AH75" s="100"/>
      <c r="AI75" s="100"/>
      <c r="AJ75" s="100"/>
      <c r="AK75" s="100"/>
      <c r="AL75" s="100"/>
      <c r="AM75" s="100"/>
      <c r="AN75" s="100"/>
      <c r="AO75" s="100"/>
      <c r="AP75" s="100"/>
      <c r="AQ75" s="100"/>
      <c r="AR75" s="100"/>
      <c r="AS75" s="100"/>
      <c r="AT75" s="100"/>
      <c r="AU75" s="100"/>
      <c r="AV75" s="100"/>
      <c r="AW75" s="100"/>
      <c r="AX75" s="100"/>
      <c r="AY75" s="100"/>
      <c r="AZ75" s="100"/>
      <c r="BA75" s="100"/>
      <c r="BB75" s="100"/>
      <c r="BC75" s="100"/>
      <c r="BD75" s="100"/>
      <c r="BE75" s="100"/>
      <c r="DJ75" s="434"/>
    </row>
    <row r="76" spans="1:114">
      <c r="DJ76" s="434"/>
    </row>
    <row r="77" spans="1:114">
      <c r="DJ77" s="434"/>
    </row>
    <row r="78" spans="1:114">
      <c r="DJ78" s="434"/>
    </row>
    <row r="79" spans="1:114">
      <c r="DJ79" s="434"/>
    </row>
    <row r="80" spans="1:114">
      <c r="DJ80" s="434"/>
    </row>
  </sheetData>
  <sheetProtection selectLockedCells="1" selectUnlockedCells="1"/>
  <mergeCells count="78">
    <mergeCell ref="CO40:CU40"/>
    <mergeCell ref="L71:Q71"/>
    <mergeCell ref="N46:O46"/>
    <mergeCell ref="AZ46:BE47"/>
    <mergeCell ref="AZ48:BC49"/>
    <mergeCell ref="BD48:BD49"/>
    <mergeCell ref="AZ51:BC52"/>
    <mergeCell ref="BD51:BD52"/>
    <mergeCell ref="AT42:AV42"/>
    <mergeCell ref="AC3:AC6"/>
    <mergeCell ref="AD3:AD6"/>
    <mergeCell ref="DA5:DB5"/>
    <mergeCell ref="CO39:CP39"/>
    <mergeCell ref="CQ39:CU39"/>
    <mergeCell ref="CV39:CY39"/>
    <mergeCell ref="AX5:AX6"/>
    <mergeCell ref="AY5:AY6"/>
    <mergeCell ref="AJ3:AK6"/>
    <mergeCell ref="AL3:AL6"/>
    <mergeCell ref="AM3:AM6"/>
    <mergeCell ref="AN3:AN6"/>
    <mergeCell ref="AO3:AO6"/>
    <mergeCell ref="AP3:AP6"/>
    <mergeCell ref="AT5:AT6"/>
    <mergeCell ref="AW5:AW6"/>
    <mergeCell ref="Q4:Q6"/>
    <mergeCell ref="R4:R6"/>
    <mergeCell ref="S4:S6"/>
    <mergeCell ref="T4:T6"/>
    <mergeCell ref="U4:U6"/>
    <mergeCell ref="AA3:AA6"/>
    <mergeCell ref="AB3:AB6"/>
    <mergeCell ref="N4:N6"/>
    <mergeCell ref="O4:O6"/>
    <mergeCell ref="DD4:DH4"/>
    <mergeCell ref="AE5:AE6"/>
    <mergeCell ref="AF5:AF6"/>
    <mergeCell ref="AG5:AG6"/>
    <mergeCell ref="AH5:AH6"/>
    <mergeCell ref="CF3:CI5"/>
    <mergeCell ref="AQ3:AQ6"/>
    <mergeCell ref="AS3:AS6"/>
    <mergeCell ref="AT3:AY4"/>
    <mergeCell ref="AZ3:AZ6"/>
    <mergeCell ref="BA3:BB4"/>
    <mergeCell ref="BC3:BC6"/>
    <mergeCell ref="CJ3:CM5"/>
    <mergeCell ref="B4:B6"/>
    <mergeCell ref="C4:C6"/>
    <mergeCell ref="D4:D6"/>
    <mergeCell ref="E4:E6"/>
    <mergeCell ref="F4:F6"/>
    <mergeCell ref="G4:G6"/>
    <mergeCell ref="H4:H6"/>
    <mergeCell ref="I4:I6"/>
    <mergeCell ref="J4:J6"/>
    <mergeCell ref="BD3:BD6"/>
    <mergeCell ref="BE3:BE6"/>
    <mergeCell ref="BK3:BQ5"/>
    <mergeCell ref="BR3:BX5"/>
    <mergeCell ref="BY3:CE5"/>
    <mergeCell ref="K4:K6"/>
    <mergeCell ref="AE3:AF4"/>
    <mergeCell ref="AG3:AI4"/>
    <mergeCell ref="AI5:AI6"/>
    <mergeCell ref="AY2:BC2"/>
    <mergeCell ref="A3:A6"/>
    <mergeCell ref="B3:G3"/>
    <mergeCell ref="H3:P3"/>
    <mergeCell ref="Q3:U3"/>
    <mergeCell ref="V3:V6"/>
    <mergeCell ref="W3:W6"/>
    <mergeCell ref="X3:X6"/>
    <mergeCell ref="Y3:Y6"/>
    <mergeCell ref="Z3:Z6"/>
    <mergeCell ref="P4:P6"/>
    <mergeCell ref="L4:L6"/>
    <mergeCell ref="M4:M6"/>
  </mergeCells>
  <printOptions horizontalCentered="1" verticalCentered="1"/>
  <pageMargins left="0" right="0" top="0" bottom="0" header="0" footer="0"/>
  <pageSetup paperSize="9" scale="46" firstPageNumber="0" orientation="landscape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DJ75"/>
  <sheetViews>
    <sheetView showZeros="0" zoomScale="90" zoomScaleNormal="90" workbookViewId="0">
      <pane xSplit="1" ySplit="6" topLeftCell="CP19" activePane="bottomRight" state="frozen"/>
      <selection pane="topRight" activeCell="B1" sqref="B1"/>
      <selection pane="bottomLeft" activeCell="A7" sqref="A7"/>
      <selection pane="bottomRight" activeCell="CT41" sqref="CT41"/>
    </sheetView>
  </sheetViews>
  <sheetFormatPr defaultColWidth="8.7109375" defaultRowHeight="12.75"/>
  <cols>
    <col min="1" max="1" width="3.5703125" customWidth="1"/>
    <col min="2" max="2" width="9" customWidth="1"/>
    <col min="3" max="3" width="6" customWidth="1"/>
    <col min="4" max="4" width="12" style="1" hidden="1" customWidth="1"/>
    <col min="5" max="5" width="7.140625" customWidth="1"/>
    <col min="6" max="6" width="7.5703125" customWidth="1"/>
    <col min="7" max="7" width="8" customWidth="1"/>
    <col min="8" max="8" width="7.28515625" customWidth="1"/>
    <col min="9" max="9" width="7.42578125" hidden="1" customWidth="1"/>
    <col min="10" max="10" width="9.140625" customWidth="1"/>
    <col min="11" max="11" width="5.5703125" hidden="1" customWidth="1"/>
    <col min="12" max="12" width="8.42578125" customWidth="1"/>
    <col min="13" max="13" width="7" customWidth="1"/>
    <col min="14" max="14" width="8.42578125" customWidth="1"/>
    <col min="15" max="15" width="7.28515625" customWidth="1"/>
    <col min="16" max="16" width="9.85546875" hidden="1" customWidth="1"/>
    <col min="17" max="17" width="9.28515625" customWidth="1"/>
    <col min="18" max="18" width="6" customWidth="1"/>
    <col min="19" max="19" width="6.7109375" customWidth="1"/>
    <col min="20" max="20" width="9.140625" hidden="1" customWidth="1"/>
    <col min="21" max="21" width="7.140625" customWidth="1"/>
    <col min="22" max="22" width="7.85546875" customWidth="1"/>
    <col min="23" max="23" width="8.28515625" customWidth="1"/>
    <col min="24" max="24" width="6" customWidth="1"/>
    <col min="25" max="25" width="5.42578125" customWidth="1"/>
    <col min="26" max="26" width="6.85546875" customWidth="1"/>
    <col min="27" max="27" width="6.5703125" customWidth="1"/>
    <col min="28" max="28" width="7.5703125" customWidth="1"/>
    <col min="29" max="29" width="6.5703125" customWidth="1"/>
    <col min="30" max="30" width="4.28515625" customWidth="1"/>
    <col min="31" max="32" width="6.85546875" customWidth="1"/>
    <col min="33" max="33" width="0" hidden="1" customWidth="1"/>
    <col min="34" max="34" width="8.42578125" customWidth="1"/>
    <col min="35" max="35" width="7" customWidth="1"/>
    <col min="36" max="36" width="7.85546875" customWidth="1"/>
    <col min="37" max="37" width="0" hidden="1" customWidth="1"/>
    <col min="38" max="38" width="6.7109375" customWidth="1"/>
    <col min="39" max="39" width="7.7109375" customWidth="1"/>
    <col min="40" max="40" width="7" customWidth="1"/>
    <col min="41" max="41" width="9.42578125" customWidth="1"/>
    <col min="42" max="42" width="6.28515625" customWidth="1"/>
    <col min="43" max="43" width="6.85546875" customWidth="1"/>
    <col min="44" max="44" width="0" hidden="1" customWidth="1"/>
    <col min="45" max="45" width="6.7109375" customWidth="1"/>
    <col min="46" max="46" width="9.7109375" customWidth="1"/>
    <col min="47" max="47" width="7" customWidth="1"/>
    <col min="48" max="48" width="0" hidden="1" customWidth="1"/>
    <col min="49" max="49" width="6.140625" hidden="1" customWidth="1"/>
    <col min="50" max="50" width="5.140625" hidden="1" customWidth="1"/>
    <col min="51" max="51" width="8.42578125" customWidth="1"/>
    <col min="52" max="52" width="10" customWidth="1"/>
    <col min="53" max="53" width="8.7109375" hidden="1" customWidth="1"/>
    <col min="54" max="54" width="3.85546875" hidden="1" customWidth="1"/>
    <col min="55" max="55" width="6.5703125" customWidth="1"/>
    <col min="56" max="56" width="6.140625" customWidth="1"/>
    <col min="57" max="57" width="6.7109375" customWidth="1"/>
    <col min="58" max="58" width="8.85546875" customWidth="1"/>
    <col min="59" max="59" width="7.85546875" customWidth="1"/>
    <col min="60" max="60" width="9.85546875" customWidth="1"/>
    <col min="61" max="62" width="8.7109375" customWidth="1"/>
    <col min="63" max="63" width="10.28515625" customWidth="1"/>
    <col min="64" max="64" width="10.85546875" customWidth="1"/>
    <col min="65" max="65" width="10.7109375" customWidth="1"/>
    <col min="66" max="66" width="11.28515625" customWidth="1"/>
    <col min="67" max="68" width="8.85546875" customWidth="1"/>
    <col min="69" max="69" width="11.28515625" customWidth="1"/>
    <col min="70" max="70" width="7.7109375" customWidth="1"/>
    <col min="71" max="71" width="10" customWidth="1"/>
    <col min="72" max="72" width="8.85546875" customWidth="1"/>
    <col min="73" max="73" width="10.140625" customWidth="1"/>
    <col min="74" max="75" width="8.85546875" customWidth="1"/>
    <col min="76" max="76" width="10.85546875" customWidth="1"/>
    <col min="77" max="78" width="8.7109375" customWidth="1"/>
    <col min="79" max="79" width="10" customWidth="1"/>
    <col min="80" max="80" width="10.42578125" customWidth="1"/>
    <col min="81" max="82" width="8.42578125" customWidth="1"/>
    <col min="83" max="83" width="9.85546875" customWidth="1"/>
    <col min="84" max="85" width="11.42578125" customWidth="1"/>
    <col min="86" max="86" width="11.140625" customWidth="1"/>
    <col min="87" max="87" width="11.28515625" customWidth="1"/>
    <col min="88" max="89" width="10" customWidth="1"/>
    <col min="90" max="90" width="8.7109375" customWidth="1"/>
    <col min="91" max="91" width="11.85546875" customWidth="1"/>
    <col min="92" max="92" width="8.7109375" customWidth="1"/>
    <col min="93" max="93" width="12.140625" customWidth="1"/>
    <col min="94" max="94" width="12.5703125" customWidth="1"/>
    <col min="95" max="95" width="11.7109375" customWidth="1"/>
    <col min="96" max="98" width="12.28515625" customWidth="1"/>
    <col min="99" max="99" width="13.28515625" customWidth="1"/>
    <col min="100" max="100" width="12.85546875" customWidth="1"/>
    <col min="101" max="101" width="13.42578125" customWidth="1"/>
    <col min="102" max="103" width="12.5703125" customWidth="1"/>
    <col min="104" max="104" width="9.5703125" customWidth="1"/>
    <col min="105" max="105" width="19.140625" customWidth="1"/>
    <col min="106" max="106" width="19.42578125" customWidth="1"/>
    <col min="111" max="111" width="8.7109375" hidden="1" customWidth="1"/>
    <col min="112" max="112" width="9" bestFit="1" customWidth="1"/>
    <col min="114" max="114" width="9.5703125" bestFit="1" customWidth="1"/>
  </cols>
  <sheetData>
    <row r="1" spans="1:114" ht="17.25" customHeight="1">
      <c r="A1" s="310" t="s">
        <v>0</v>
      </c>
      <c r="B1" s="310"/>
      <c r="C1" s="310"/>
      <c r="D1" s="311"/>
      <c r="E1" s="310"/>
      <c r="F1" s="310"/>
      <c r="G1" s="310"/>
      <c r="H1" s="310"/>
      <c r="I1" s="310"/>
      <c r="J1" s="310"/>
      <c r="K1" s="310"/>
      <c r="L1" s="310"/>
      <c r="M1" s="310"/>
      <c r="N1" s="310"/>
      <c r="O1" s="310"/>
      <c r="P1" s="77"/>
      <c r="Q1" s="77"/>
      <c r="R1" s="77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</row>
    <row r="2" spans="1:114" ht="19.5" customHeight="1" thickBot="1">
      <c r="A2" s="22"/>
      <c r="B2" s="78"/>
      <c r="C2" s="78"/>
      <c r="D2" s="79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80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80"/>
      <c r="AT2" s="312" t="s">
        <v>1</v>
      </c>
      <c r="AU2" s="313">
        <v>30</v>
      </c>
      <c r="AV2" s="314"/>
      <c r="AW2" s="314"/>
      <c r="AX2" s="315" t="s">
        <v>81</v>
      </c>
      <c r="AY2" s="556" t="s">
        <v>218</v>
      </c>
      <c r="AZ2" s="556"/>
      <c r="BA2" s="556"/>
      <c r="BB2" s="556"/>
      <c r="BC2" s="556"/>
      <c r="BD2" s="316" t="s">
        <v>107</v>
      </c>
      <c r="BE2" s="317"/>
    </row>
    <row r="3" spans="1:114" ht="39.75" customHeight="1" thickBot="1">
      <c r="A3" s="557" t="s">
        <v>3</v>
      </c>
      <c r="B3" s="558" t="s">
        <v>71</v>
      </c>
      <c r="C3" s="558"/>
      <c r="D3" s="558"/>
      <c r="E3" s="558"/>
      <c r="F3" s="558"/>
      <c r="G3" s="558"/>
      <c r="H3" s="554" t="s">
        <v>4</v>
      </c>
      <c r="I3" s="554"/>
      <c r="J3" s="554"/>
      <c r="K3" s="554"/>
      <c r="L3" s="554"/>
      <c r="M3" s="554"/>
      <c r="N3" s="554"/>
      <c r="O3" s="554"/>
      <c r="P3" s="559"/>
      <c r="Q3" s="560" t="s">
        <v>5</v>
      </c>
      <c r="R3" s="561"/>
      <c r="S3" s="561"/>
      <c r="T3" s="561"/>
      <c r="U3" s="562"/>
      <c r="V3" s="563" t="s">
        <v>6</v>
      </c>
      <c r="W3" s="563" t="s">
        <v>7</v>
      </c>
      <c r="X3" s="564" t="s">
        <v>8</v>
      </c>
      <c r="Y3" s="564" t="s">
        <v>9</v>
      </c>
      <c r="Z3" s="564" t="s">
        <v>10</v>
      </c>
      <c r="AA3" s="564" t="s">
        <v>11</v>
      </c>
      <c r="AB3" s="564" t="s">
        <v>12</v>
      </c>
      <c r="AC3" s="564" t="s">
        <v>13</v>
      </c>
      <c r="AD3" s="564" t="s">
        <v>14</v>
      </c>
      <c r="AE3" s="554" t="s">
        <v>15</v>
      </c>
      <c r="AF3" s="554"/>
      <c r="AG3" s="554" t="s">
        <v>16</v>
      </c>
      <c r="AH3" s="554"/>
      <c r="AI3" s="554"/>
      <c r="AJ3" s="593" t="s">
        <v>17</v>
      </c>
      <c r="AK3" s="593"/>
      <c r="AL3" s="564" t="s">
        <v>18</v>
      </c>
      <c r="AM3" s="599" t="s">
        <v>19</v>
      </c>
      <c r="AN3" s="600" t="s">
        <v>95</v>
      </c>
      <c r="AO3" s="603" t="s">
        <v>20</v>
      </c>
      <c r="AP3" s="564" t="s">
        <v>105</v>
      </c>
      <c r="AQ3" s="564" t="s">
        <v>21</v>
      </c>
      <c r="AR3" s="81"/>
      <c r="AS3" s="593" t="s">
        <v>22</v>
      </c>
      <c r="AT3" s="554" t="s">
        <v>23</v>
      </c>
      <c r="AU3" s="554"/>
      <c r="AV3" s="554"/>
      <c r="AW3" s="554"/>
      <c r="AX3" s="554"/>
      <c r="AY3" s="554"/>
      <c r="AZ3" s="564" t="s">
        <v>24</v>
      </c>
      <c r="BA3" s="594" t="s">
        <v>25</v>
      </c>
      <c r="BB3" s="594"/>
      <c r="BC3" s="564" t="s">
        <v>26</v>
      </c>
      <c r="BD3" s="564" t="s">
        <v>27</v>
      </c>
      <c r="BE3" s="572" t="s">
        <v>28</v>
      </c>
      <c r="BF3" s="3"/>
      <c r="BG3" s="3"/>
      <c r="BH3" s="3"/>
      <c r="BI3" s="3"/>
      <c r="BJ3" s="3"/>
      <c r="BK3" s="573" t="s">
        <v>29</v>
      </c>
      <c r="BL3" s="574"/>
      <c r="BM3" s="574"/>
      <c r="BN3" s="574"/>
      <c r="BO3" s="575"/>
      <c r="BP3" s="575"/>
      <c r="BQ3" s="576"/>
      <c r="BR3" s="573" t="s">
        <v>30</v>
      </c>
      <c r="BS3" s="585"/>
      <c r="BT3" s="585"/>
      <c r="BU3" s="585"/>
      <c r="BV3" s="585"/>
      <c r="BW3" s="585"/>
      <c r="BX3" s="586"/>
      <c r="BY3" s="566" t="s">
        <v>31</v>
      </c>
      <c r="BZ3" s="566"/>
      <c r="CA3" s="566"/>
      <c r="CB3" s="566"/>
      <c r="CC3" s="566"/>
      <c r="CD3" s="566"/>
      <c r="CE3" s="566"/>
      <c r="CF3" s="566" t="s">
        <v>87</v>
      </c>
      <c r="CG3" s="566"/>
      <c r="CH3" s="566"/>
      <c r="CI3" s="566"/>
      <c r="CJ3" s="566" t="s">
        <v>32</v>
      </c>
      <c r="CK3" s="566"/>
      <c r="CL3" s="566"/>
      <c r="CM3" s="566"/>
      <c r="CN3" s="4"/>
      <c r="CO3" s="5"/>
      <c r="CP3" s="6"/>
      <c r="CQ3" s="6"/>
    </row>
    <row r="4" spans="1:114" s="7" customFormat="1" ht="30.75" customHeight="1" thickBot="1">
      <c r="A4" s="557"/>
      <c r="B4" s="565" t="s">
        <v>72</v>
      </c>
      <c r="C4" s="565" t="s">
        <v>73</v>
      </c>
      <c r="D4" s="568" t="s">
        <v>33</v>
      </c>
      <c r="E4" s="565" t="s">
        <v>74</v>
      </c>
      <c r="F4" s="569" t="s">
        <v>75</v>
      </c>
      <c r="G4" s="569" t="s">
        <v>34</v>
      </c>
      <c r="H4" s="555" t="s">
        <v>76</v>
      </c>
      <c r="I4" s="570" t="s">
        <v>101</v>
      </c>
      <c r="J4" s="555" t="s">
        <v>89</v>
      </c>
      <c r="K4" s="565" t="s">
        <v>35</v>
      </c>
      <c r="L4" s="565" t="s">
        <v>77</v>
      </c>
      <c r="M4" s="565" t="s">
        <v>78</v>
      </c>
      <c r="N4" s="565" t="s">
        <v>101</v>
      </c>
      <c r="O4" s="565" t="s">
        <v>96</v>
      </c>
      <c r="P4" s="555" t="s">
        <v>79</v>
      </c>
      <c r="Q4" s="555" t="s">
        <v>36</v>
      </c>
      <c r="R4" s="555" t="s">
        <v>32</v>
      </c>
      <c r="S4" s="555" t="s">
        <v>37</v>
      </c>
      <c r="T4" s="555" t="s">
        <v>38</v>
      </c>
      <c r="U4" s="555" t="s">
        <v>39</v>
      </c>
      <c r="V4" s="563"/>
      <c r="W4" s="563"/>
      <c r="X4" s="564"/>
      <c r="Y4" s="564"/>
      <c r="Z4" s="564"/>
      <c r="AA4" s="564"/>
      <c r="AB4" s="564"/>
      <c r="AC4" s="564"/>
      <c r="AD4" s="564"/>
      <c r="AE4" s="554"/>
      <c r="AF4" s="554"/>
      <c r="AG4" s="554"/>
      <c r="AH4" s="554"/>
      <c r="AI4" s="554"/>
      <c r="AJ4" s="593"/>
      <c r="AK4" s="593"/>
      <c r="AL4" s="564"/>
      <c r="AM4" s="599"/>
      <c r="AN4" s="601"/>
      <c r="AO4" s="603"/>
      <c r="AP4" s="564"/>
      <c r="AQ4" s="564"/>
      <c r="AR4" s="82"/>
      <c r="AS4" s="593"/>
      <c r="AT4" s="554"/>
      <c r="AU4" s="554"/>
      <c r="AV4" s="554"/>
      <c r="AW4" s="554"/>
      <c r="AX4" s="554"/>
      <c r="AY4" s="554"/>
      <c r="AZ4" s="564"/>
      <c r="BA4" s="594"/>
      <c r="BB4" s="594"/>
      <c r="BC4" s="564"/>
      <c r="BD4" s="564"/>
      <c r="BE4" s="572"/>
      <c r="BF4" s="3"/>
      <c r="BG4" s="3"/>
      <c r="BH4" s="3"/>
      <c r="BI4" s="3"/>
      <c r="BJ4" s="3"/>
      <c r="BK4" s="577"/>
      <c r="BL4" s="578"/>
      <c r="BM4" s="578"/>
      <c r="BN4" s="578"/>
      <c r="BO4" s="579"/>
      <c r="BP4" s="579"/>
      <c r="BQ4" s="580"/>
      <c r="BR4" s="577"/>
      <c r="BS4" s="566"/>
      <c r="BT4" s="566"/>
      <c r="BU4" s="566"/>
      <c r="BV4" s="566"/>
      <c r="BW4" s="566"/>
      <c r="BX4" s="587"/>
      <c r="BY4" s="566"/>
      <c r="BZ4" s="566"/>
      <c r="CA4" s="566"/>
      <c r="CB4" s="566"/>
      <c r="CC4" s="566"/>
      <c r="CD4" s="566"/>
      <c r="CE4" s="566"/>
      <c r="CF4" s="566"/>
      <c r="CG4" s="566"/>
      <c r="CH4" s="566"/>
      <c r="CI4" s="566"/>
      <c r="CJ4" s="566"/>
      <c r="CK4" s="566"/>
      <c r="CL4" s="566"/>
      <c r="CM4" s="566"/>
      <c r="CN4" s="4"/>
      <c r="CO4" s="6"/>
      <c r="CP4" s="6"/>
      <c r="CQ4" s="262"/>
      <c r="CR4" s="231"/>
      <c r="CS4" s="231"/>
      <c r="CT4" s="231"/>
      <c r="CU4" s="231"/>
      <c r="CV4" s="231"/>
      <c r="CW4" s="231"/>
      <c r="CX4" s="231"/>
      <c r="CY4" s="231"/>
      <c r="DD4" s="590" t="s">
        <v>90</v>
      </c>
      <c r="DE4" s="591"/>
      <c r="DF4" s="591"/>
      <c r="DG4" s="591"/>
      <c r="DH4" s="592"/>
    </row>
    <row r="5" spans="1:114" s="7" customFormat="1" ht="8.25" hidden="1" customHeight="1">
      <c r="A5" s="557"/>
      <c r="B5" s="565"/>
      <c r="C5" s="565"/>
      <c r="D5" s="568"/>
      <c r="E5" s="565"/>
      <c r="F5" s="569"/>
      <c r="G5" s="569"/>
      <c r="H5" s="555"/>
      <c r="I5" s="570"/>
      <c r="J5" s="565"/>
      <c r="K5" s="565"/>
      <c r="L5" s="565"/>
      <c r="M5" s="565"/>
      <c r="N5" s="565"/>
      <c r="O5" s="565"/>
      <c r="P5" s="555"/>
      <c r="Q5" s="555"/>
      <c r="R5" s="555"/>
      <c r="S5" s="555"/>
      <c r="T5" s="555"/>
      <c r="U5" s="555"/>
      <c r="V5" s="563"/>
      <c r="W5" s="563"/>
      <c r="X5" s="564"/>
      <c r="Y5" s="564"/>
      <c r="Z5" s="564"/>
      <c r="AA5" s="564"/>
      <c r="AB5" s="564"/>
      <c r="AC5" s="564"/>
      <c r="AD5" s="564"/>
      <c r="AE5" s="555" t="s">
        <v>40</v>
      </c>
      <c r="AF5" s="555" t="s">
        <v>41</v>
      </c>
      <c r="AG5" s="555" t="s">
        <v>42</v>
      </c>
      <c r="AH5" s="555" t="s">
        <v>40</v>
      </c>
      <c r="AI5" s="555" t="s">
        <v>41</v>
      </c>
      <c r="AJ5" s="593"/>
      <c r="AK5" s="593"/>
      <c r="AL5" s="564"/>
      <c r="AM5" s="599"/>
      <c r="AN5" s="601"/>
      <c r="AO5" s="603"/>
      <c r="AP5" s="564"/>
      <c r="AQ5" s="564"/>
      <c r="AR5" s="83"/>
      <c r="AS5" s="593"/>
      <c r="AT5" s="555" t="s">
        <v>43</v>
      </c>
      <c r="AU5" s="84"/>
      <c r="AV5" s="85"/>
      <c r="AW5" s="598" t="s">
        <v>44</v>
      </c>
      <c r="AX5" s="598" t="s">
        <v>45</v>
      </c>
      <c r="AY5" s="555" t="s">
        <v>46</v>
      </c>
      <c r="AZ5" s="564"/>
      <c r="BA5" s="86" t="s">
        <v>47</v>
      </c>
      <c r="BB5" s="86" t="s">
        <v>48</v>
      </c>
      <c r="BC5" s="564"/>
      <c r="BD5" s="564"/>
      <c r="BE5" s="572"/>
      <c r="BF5" s="3"/>
      <c r="BG5" s="3"/>
      <c r="BH5" s="3"/>
      <c r="BI5" s="3"/>
      <c r="BJ5" s="3"/>
      <c r="BK5" s="581"/>
      <c r="BL5" s="582"/>
      <c r="BM5" s="582"/>
      <c r="BN5" s="582"/>
      <c r="BO5" s="583"/>
      <c r="BP5" s="583"/>
      <c r="BQ5" s="584"/>
      <c r="BR5" s="581"/>
      <c r="BS5" s="588"/>
      <c r="BT5" s="588"/>
      <c r="BU5" s="588"/>
      <c r="BV5" s="588"/>
      <c r="BW5" s="588"/>
      <c r="BX5" s="589"/>
      <c r="BY5" s="567"/>
      <c r="BZ5" s="566"/>
      <c r="CA5" s="566"/>
      <c r="CB5" s="566"/>
      <c r="CC5" s="566"/>
      <c r="CD5" s="566"/>
      <c r="CE5" s="566"/>
      <c r="CF5" s="567"/>
      <c r="CG5" s="567"/>
      <c r="CH5" s="567"/>
      <c r="CI5" s="567"/>
      <c r="CJ5" s="567"/>
      <c r="CK5" s="567"/>
      <c r="CL5" s="567"/>
      <c r="CM5" s="567"/>
      <c r="CN5" s="4"/>
      <c r="CO5"/>
      <c r="CP5"/>
      <c r="CQ5" s="255"/>
      <c r="CR5" s="256"/>
      <c r="CS5" s="256"/>
      <c r="CT5" s="256"/>
      <c r="CU5" s="256"/>
      <c r="CV5" s="257"/>
      <c r="CW5" s="257"/>
      <c r="CX5" s="257"/>
      <c r="CY5" s="258"/>
      <c r="DA5" s="595" t="s">
        <v>49</v>
      </c>
      <c r="DB5" s="595"/>
    </row>
    <row r="6" spans="1:114" s="7" customFormat="1" ht="106.5" customHeight="1" thickBot="1">
      <c r="A6" s="557"/>
      <c r="B6" s="565"/>
      <c r="C6" s="565"/>
      <c r="D6" s="568"/>
      <c r="E6" s="565"/>
      <c r="F6" s="569"/>
      <c r="G6" s="569"/>
      <c r="H6" s="555"/>
      <c r="I6" s="570"/>
      <c r="J6" s="571"/>
      <c r="K6" s="565"/>
      <c r="L6" s="565"/>
      <c r="M6" s="565"/>
      <c r="N6" s="565"/>
      <c r="O6" s="565"/>
      <c r="P6" s="565"/>
      <c r="Q6" s="565"/>
      <c r="R6" s="565"/>
      <c r="S6" s="565"/>
      <c r="T6" s="555"/>
      <c r="U6" s="555"/>
      <c r="V6" s="563"/>
      <c r="W6" s="563"/>
      <c r="X6" s="564"/>
      <c r="Y6" s="564"/>
      <c r="Z6" s="564"/>
      <c r="AA6" s="564"/>
      <c r="AB6" s="564"/>
      <c r="AC6" s="564"/>
      <c r="AD6" s="564"/>
      <c r="AE6" s="555"/>
      <c r="AF6" s="555"/>
      <c r="AG6" s="555"/>
      <c r="AH6" s="555"/>
      <c r="AI6" s="555"/>
      <c r="AJ6" s="593"/>
      <c r="AK6" s="593"/>
      <c r="AL6" s="564"/>
      <c r="AM6" s="599"/>
      <c r="AN6" s="602"/>
      <c r="AO6" s="603"/>
      <c r="AP6" s="564"/>
      <c r="AQ6" s="564"/>
      <c r="AR6" s="428"/>
      <c r="AS6" s="593"/>
      <c r="AT6" s="555"/>
      <c r="AU6" s="427" t="s">
        <v>50</v>
      </c>
      <c r="AV6" s="427" t="s">
        <v>51</v>
      </c>
      <c r="AW6" s="598"/>
      <c r="AX6" s="598"/>
      <c r="AY6" s="555"/>
      <c r="AZ6" s="555"/>
      <c r="BA6" s="87"/>
      <c r="BB6" s="88">
        <v>0.04</v>
      </c>
      <c r="BC6" s="564"/>
      <c r="BD6" s="564"/>
      <c r="BE6" s="572"/>
      <c r="BF6" s="8" t="s">
        <v>52</v>
      </c>
      <c r="BG6" s="8" t="s">
        <v>53</v>
      </c>
      <c r="BH6" s="8" t="s">
        <v>54</v>
      </c>
      <c r="BI6" s="3"/>
      <c r="BJ6" s="3"/>
      <c r="BK6" s="308" t="s">
        <v>104</v>
      </c>
      <c r="BL6" s="280" t="s">
        <v>82</v>
      </c>
      <c r="BM6" s="279" t="s">
        <v>100</v>
      </c>
      <c r="BN6" s="307" t="s">
        <v>102</v>
      </c>
      <c r="BO6" s="308" t="s">
        <v>97</v>
      </c>
      <c r="BP6" s="326" t="s">
        <v>99</v>
      </c>
      <c r="BQ6" s="306" t="s">
        <v>86</v>
      </c>
      <c r="BR6" s="308" t="s">
        <v>104</v>
      </c>
      <c r="BS6" s="280" t="s">
        <v>82</v>
      </c>
      <c r="BT6" s="279" t="s">
        <v>100</v>
      </c>
      <c r="BU6" s="327"/>
      <c r="BV6" s="308" t="s">
        <v>97</v>
      </c>
      <c r="BW6" s="326" t="s">
        <v>99</v>
      </c>
      <c r="BX6" s="306"/>
      <c r="BY6" s="308" t="s">
        <v>104</v>
      </c>
      <c r="BZ6" s="280" t="s">
        <v>82</v>
      </c>
      <c r="CA6" s="279" t="s">
        <v>100</v>
      </c>
      <c r="CB6" s="307" t="s">
        <v>102</v>
      </c>
      <c r="CC6" s="308" t="s">
        <v>97</v>
      </c>
      <c r="CD6" s="326" t="s">
        <v>99</v>
      </c>
      <c r="CE6" s="306" t="s">
        <v>86</v>
      </c>
      <c r="CF6" s="267" t="s">
        <v>106</v>
      </c>
      <c r="CG6" s="268" t="s">
        <v>85</v>
      </c>
      <c r="CH6" s="244" t="s">
        <v>109</v>
      </c>
      <c r="CI6" s="245" t="s">
        <v>103</v>
      </c>
      <c r="CJ6" s="267" t="s">
        <v>106</v>
      </c>
      <c r="CK6" s="268" t="s">
        <v>85</v>
      </c>
      <c r="CL6" s="244" t="s">
        <v>109</v>
      </c>
      <c r="CM6" s="245" t="s">
        <v>103</v>
      </c>
      <c r="CN6" s="243"/>
      <c r="CO6" s="248" t="s">
        <v>104</v>
      </c>
      <c r="CP6" s="10" t="s">
        <v>82</v>
      </c>
      <c r="CQ6" s="264" t="s">
        <v>100</v>
      </c>
      <c r="CR6" s="23" t="s">
        <v>102</v>
      </c>
      <c r="CS6" s="248" t="s">
        <v>98</v>
      </c>
      <c r="CT6" s="248" t="s">
        <v>99</v>
      </c>
      <c r="CU6" s="9" t="s">
        <v>83</v>
      </c>
      <c r="CV6" s="259" t="s">
        <v>106</v>
      </c>
      <c r="CW6" s="248" t="s">
        <v>84</v>
      </c>
      <c r="CX6" s="232" t="s">
        <v>108</v>
      </c>
      <c r="CY6" s="263" t="s">
        <v>103</v>
      </c>
      <c r="CZ6" s="253"/>
      <c r="DA6" s="321" t="s">
        <v>80</v>
      </c>
      <c r="DB6" s="321" t="s">
        <v>55</v>
      </c>
      <c r="DD6" s="288" t="s">
        <v>91</v>
      </c>
      <c r="DE6" s="289" t="s">
        <v>92</v>
      </c>
      <c r="DF6" s="290" t="s">
        <v>93</v>
      </c>
      <c r="DG6" s="290"/>
      <c r="DH6" s="289" t="s">
        <v>94</v>
      </c>
    </row>
    <row r="7" spans="1:114" s="76" customFormat="1" ht="16.5" customHeight="1" thickBot="1">
      <c r="A7" s="121">
        <v>1</v>
      </c>
      <c r="B7" s="122">
        <f>'[1]апрель 20'!K6</f>
        <v>262.62599999999998</v>
      </c>
      <c r="C7" s="123">
        <f>IF(B7=0,0,(BK7*BR7+BL7*BS7+BM7*BT7+BN7*BU7+BQ7*BX7+BO7*BV7+BP7*BW7)/B7)</f>
        <v>1.2641337586644321</v>
      </c>
      <c r="D7" s="124">
        <f>B7*((100-C7)/100)</f>
        <v>259.30605607496994</v>
      </c>
      <c r="E7" s="125">
        <f>IF(B7=0,0,(BK7*BY7+BL7*BZ7+BM7*CA7+BQ7*CE7+BN7*CB7+BO7*CC7+BP7*CD7)/B7)</f>
        <v>38.257417582417617</v>
      </c>
      <c r="F7" s="126">
        <f>IF(AY7=0,0,D7/AY7)</f>
        <v>2.6352241471033531</v>
      </c>
      <c r="G7" s="127"/>
      <c r="H7" s="126">
        <f>IF(AY7=0,0,(CP7+CO7+CS7+CQ7+CT7)/AY7)</f>
        <v>2.1016571199186989</v>
      </c>
      <c r="I7" s="230">
        <f>'[1]июль 20'!AI6</f>
        <v>0</v>
      </c>
      <c r="J7" s="246">
        <f>'[1]апрель 20'!AA6</f>
        <v>10.566000000000001</v>
      </c>
      <c r="K7" s="276">
        <f>'[1]сентябрь 20'!AM6</f>
        <v>0</v>
      </c>
      <c r="L7" s="122">
        <f>'[1]апрель 20'!AE6</f>
        <v>52.503</v>
      </c>
      <c r="M7" s="128">
        <f>IF(AY7=0,0,(CR7+CU7)/AY7)</f>
        <v>0.53356707799766256</v>
      </c>
      <c r="N7" s="128">
        <f>'[1]апрель 20'!W6</f>
        <v>0</v>
      </c>
      <c r="O7" s="402">
        <f>'[1]апрель 20'!AU6</f>
        <v>10.776</v>
      </c>
      <c r="P7" s="125">
        <f t="shared" ref="P7:P37" si="0">CF7+CH7+CI7+CG7</f>
        <v>152.091003</v>
      </c>
      <c r="Q7" s="122">
        <f>'[1]апрель 20'!S6</f>
        <v>152.09100000000001</v>
      </c>
      <c r="R7" s="123">
        <f>IF(Q7=0,0,(CI7*CM7+CG7*CK7+CH7*CL7+CF7*CJ7)/Q7)</f>
        <v>2.7100000000000195</v>
      </c>
      <c r="S7" s="129">
        <v>7.23</v>
      </c>
      <c r="T7" s="125">
        <f t="shared" ref="T7:T37" si="1">Q7*((100-R7)/100)</f>
        <v>147.96933389999998</v>
      </c>
      <c r="U7" s="128">
        <f t="shared" ref="U7:U37" si="2">IF(AY7=0,0,T7/AY7)</f>
        <v>1.5037533932926825</v>
      </c>
      <c r="V7" s="130">
        <v>98.4</v>
      </c>
      <c r="W7" s="130">
        <v>73.489999999999995</v>
      </c>
      <c r="X7" s="129">
        <v>0.74</v>
      </c>
      <c r="Y7" s="131">
        <v>514</v>
      </c>
      <c r="Z7" s="131">
        <v>1178</v>
      </c>
      <c r="AA7" s="132" t="s">
        <v>226</v>
      </c>
      <c r="AB7" s="129">
        <v>76.739999999999995</v>
      </c>
      <c r="AC7" s="131">
        <v>105</v>
      </c>
      <c r="AD7" s="133">
        <v>4</v>
      </c>
      <c r="AE7" s="129"/>
      <c r="AF7" s="134">
        <f t="shared" ref="AF7:AF37" si="3">IF(AY7=0,0,AE7/AY7*1000)</f>
        <v>0</v>
      </c>
      <c r="AG7" s="135"/>
      <c r="AH7" s="129">
        <v>74.900000000000006</v>
      </c>
      <c r="AI7" s="134">
        <f t="shared" ref="AI7:AI37" si="4">IF(AY7=0,0,AH7/AY7*1000)</f>
        <v>761.17886178861795</v>
      </c>
      <c r="AJ7" s="136">
        <v>12.3</v>
      </c>
      <c r="AK7" s="127"/>
      <c r="AL7" s="137">
        <v>10.01</v>
      </c>
      <c r="AM7" s="138">
        <v>29.5</v>
      </c>
      <c r="AN7" s="126">
        <f>IF(AM7=0,0,AM7/AT7)</f>
        <v>0.21843761569788966</v>
      </c>
      <c r="AO7" s="139" t="s">
        <v>185</v>
      </c>
      <c r="AP7" s="138">
        <v>8.19</v>
      </c>
      <c r="AQ7" s="138">
        <v>7.15</v>
      </c>
      <c r="AR7" s="129"/>
      <c r="AS7" s="129">
        <v>8.77</v>
      </c>
      <c r="AT7" s="129">
        <v>135.05000000000001</v>
      </c>
      <c r="AU7" s="129">
        <v>2.86</v>
      </c>
      <c r="AV7" s="129"/>
      <c r="AW7" s="129"/>
      <c r="AX7" s="140">
        <f t="shared" ref="AX7:AX37" si="5">IF(AY7=0,0,AW7/AY7*100)</f>
        <v>0</v>
      </c>
      <c r="AY7" s="125">
        <f t="shared" ref="AY7:AY37" si="6">AT7-AL7-AM7+AV7+AW7+AU7</f>
        <v>98.4</v>
      </c>
      <c r="AZ7" s="125">
        <f>IF(AB7=0,0,((D7*0.97)*(E7/100)*0.9)/(AB7/100))+DH7</f>
        <v>114.88626872958515</v>
      </c>
      <c r="BA7" s="141">
        <f t="shared" ref="BA7:BA37" si="7">(AH7*AS7)/100*(55/71)</f>
        <v>5.0884528169014089</v>
      </c>
      <c r="BB7" s="142">
        <f t="shared" ref="BB7:BB37" si="8">AY7*$BB$6</f>
        <v>3.9360000000000004</v>
      </c>
      <c r="BC7" s="122">
        <f t="shared" ref="BC7:BC37" si="9">IF((D7*E7)=0,0,(AY7*AB7)/(D7*E7))</f>
        <v>0.76118212684866882</v>
      </c>
      <c r="BD7" s="142">
        <f>BA7+BB7</f>
        <v>9.0244528169014089</v>
      </c>
      <c r="BE7" s="143">
        <v>0.76100000000000001</v>
      </c>
      <c r="BF7" s="25">
        <f>AY7</f>
        <v>98.4</v>
      </c>
      <c r="BG7" s="25">
        <f t="shared" ref="BG7:BG38" si="10">IF(A7&lt;=$BE$43,$AT$43,0)</f>
        <v>125</v>
      </c>
      <c r="BH7" s="25">
        <f>BG7</f>
        <v>125</v>
      </c>
      <c r="BI7" s="26">
        <f t="shared" ref="BI7:BI37" si="11">IF(AY7&lt;&gt;0,1,0)</f>
        <v>1</v>
      </c>
      <c r="BJ7" s="27">
        <f>BG7*BI7</f>
        <v>125</v>
      </c>
      <c r="BK7" s="28">
        <v>9.9999999999999995E-7</v>
      </c>
      <c r="BL7" s="28">
        <v>210.12299999999999</v>
      </c>
      <c r="BM7" s="28">
        <v>9.9999999999999995E-7</v>
      </c>
      <c r="BN7" s="28">
        <v>52.503</v>
      </c>
      <c r="BO7" s="28">
        <v>9.9999999999999995E-7</v>
      </c>
      <c r="BP7" s="28">
        <v>9.9999999999999995E-7</v>
      </c>
      <c r="BQ7" s="28">
        <v>9.9999999999999995E-7</v>
      </c>
      <c r="BR7" s="28">
        <v>9.9999999999999995E-7</v>
      </c>
      <c r="BS7" s="28">
        <v>1.58</v>
      </c>
      <c r="BT7" s="28">
        <v>9.9999999999999995E-7</v>
      </c>
      <c r="BU7" s="28">
        <v>9.9999999999999995E-7</v>
      </c>
      <c r="BV7" s="28">
        <v>9.9999999999999995E-7</v>
      </c>
      <c r="BW7" s="28">
        <v>9.9999999999999995E-7</v>
      </c>
      <c r="BX7" s="28">
        <v>9.9999999999999995E-7</v>
      </c>
      <c r="BY7" s="28">
        <v>9.9999999999999995E-7</v>
      </c>
      <c r="BZ7" s="28">
        <v>36.880000000000003</v>
      </c>
      <c r="CA7" s="28">
        <v>9.9999999999999995E-7</v>
      </c>
      <c r="CB7" s="28">
        <v>43.77</v>
      </c>
      <c r="CC7" s="28">
        <v>9.9999999999999995E-7</v>
      </c>
      <c r="CD7" s="28">
        <v>9.9999999999999995E-7</v>
      </c>
      <c r="CE7" s="28">
        <v>9.9999999999999995E-7</v>
      </c>
      <c r="CF7" s="28">
        <v>152.09100000000001</v>
      </c>
      <c r="CG7" s="28">
        <v>9.9999999999999995E-7</v>
      </c>
      <c r="CH7" s="28">
        <v>9.9999999999999995E-7</v>
      </c>
      <c r="CI7" s="28">
        <v>9.9999999999999995E-7</v>
      </c>
      <c r="CJ7" s="28">
        <v>2.71</v>
      </c>
      <c r="CK7" s="28">
        <v>9.9999999999999995E-7</v>
      </c>
      <c r="CL7" s="28">
        <v>9.9999999999999995E-7</v>
      </c>
      <c r="CM7" s="28">
        <v>9.9999999999999995E-7</v>
      </c>
      <c r="CN7" s="286"/>
      <c r="CO7" s="252">
        <f t="shared" ref="CO7:CU22" si="12">BK7*((100-BR7)/100)</f>
        <v>9.9999998999999992E-7</v>
      </c>
      <c r="CP7" s="11">
        <f t="shared" si="12"/>
        <v>206.80305659999999</v>
      </c>
      <c r="CQ7" s="11">
        <f t="shared" si="12"/>
        <v>9.9999998999999992E-7</v>
      </c>
      <c r="CR7" s="11">
        <f t="shared" si="12"/>
        <v>52.502999474970004</v>
      </c>
      <c r="CS7" s="11">
        <f t="shared" si="12"/>
        <v>9.9999998999999992E-7</v>
      </c>
      <c r="CT7" s="11">
        <f t="shared" si="12"/>
        <v>9.9999998999999992E-7</v>
      </c>
      <c r="CU7" s="271">
        <f t="shared" si="12"/>
        <v>9.9999998999999992E-7</v>
      </c>
      <c r="CV7" s="260">
        <f t="shared" ref="CV7:CY37" si="13">CF7*((100-CJ7)/100)</f>
        <v>147.96933390000001</v>
      </c>
      <c r="CW7" s="250">
        <f t="shared" si="13"/>
        <v>9.9999998999999992E-7</v>
      </c>
      <c r="CX7" s="260">
        <f t="shared" si="13"/>
        <v>9.9999998999999992E-7</v>
      </c>
      <c r="CY7" s="271">
        <f t="shared" si="13"/>
        <v>9.9999998999999992E-7</v>
      </c>
      <c r="CZ7" s="13"/>
      <c r="DA7" s="240">
        <f>(D7+'[2]апрель 20 '!D7)/(AY7+'[2]апрель 20 '!AX7)</f>
        <v>2.4709632072900258</v>
      </c>
      <c r="DB7" s="241">
        <f>(T7+'[2]апрель 20 '!R7)/(AY7+'[2]апрель 20 '!AX7)</f>
        <v>1.4291921132596683</v>
      </c>
      <c r="DD7" s="292">
        <f t="shared" ref="DD7:DD37" si="14">J7</f>
        <v>10.566000000000001</v>
      </c>
      <c r="DE7" s="291">
        <v>0.25</v>
      </c>
      <c r="DF7" s="291">
        <v>14.79</v>
      </c>
      <c r="DG7" s="145">
        <f t="shared" ref="DG7:DG37" si="15">DD7*((100-DE7)/100)</f>
        <v>10.539585000000001</v>
      </c>
      <c r="DH7" s="293">
        <f>IF(AB7=0,0,(DG7*DF7%)/(AB7/100))</f>
        <v>2.031280455433933</v>
      </c>
      <c r="DJ7" s="322"/>
    </row>
    <row r="8" spans="1:114" s="76" customFormat="1" ht="16.5" customHeight="1" thickBot="1">
      <c r="A8" s="144">
        <v>2</v>
      </c>
      <c r="B8" s="122">
        <f>'[1]апрель 20'!K7</f>
        <v>242.44800000000001</v>
      </c>
      <c r="C8" s="123">
        <f t="shared" ref="C8:C37" si="16">IF(B8=0,0,(BK8*BR8+BL8*BS8+BM8*BT8+BN8*BU8+BQ8*BX8+BO8*BV8+BP8*BW8)/B8)</f>
        <v>2.344319647924503</v>
      </c>
      <c r="D8" s="145">
        <f t="shared" ref="D8:D37" si="17">B8*((100-C8)/100)</f>
        <v>236.7642439</v>
      </c>
      <c r="E8" s="125">
        <f t="shared" ref="E8:E37" si="18">IF(B8=0,0,(BK8*BY8+BL8*BZ8+BM8*CA8+BQ8*CE8+BN8*CB8+BO8*CC8+BP8*CD8)/B8)</f>
        <v>39.472285438527024</v>
      </c>
      <c r="F8" s="146">
        <f t="shared" ref="F8:F37" si="19">IF(AY8=0,0,D8/AY8)</f>
        <v>2.3326526492610835</v>
      </c>
      <c r="G8" s="127"/>
      <c r="H8" s="126">
        <f t="shared" ref="H8:H37" si="20">IF(AY8=0,0,(CP8+CO8+CS8+CQ8+CT8)/AY8)</f>
        <v>1.6725639793103444</v>
      </c>
      <c r="I8" s="230">
        <f>'[1]июль 20'!AI7</f>
        <v>0</v>
      </c>
      <c r="J8" s="247">
        <f>'[1]апрель 20'!AA7</f>
        <v>9.83</v>
      </c>
      <c r="K8" s="276">
        <f>'[1]сентябрь 20'!AM7</f>
        <v>0</v>
      </c>
      <c r="L8" s="122">
        <f>'[1]апрель 20'!AE7</f>
        <v>66.998999999999995</v>
      </c>
      <c r="M8" s="128">
        <f t="shared" ref="M8:M37" si="21">IF(AY8=0,0,(CR8+CU8)/AY8)</f>
        <v>0.66008866995073878</v>
      </c>
      <c r="N8" s="400">
        <f>'[1]апрель 20'!W7</f>
        <v>0</v>
      </c>
      <c r="O8" s="403">
        <f>'[1]апрель 20'!AU7</f>
        <v>3.573</v>
      </c>
      <c r="P8" s="401">
        <f t="shared" si="0"/>
        <v>139.82900000000001</v>
      </c>
      <c r="Q8" s="122">
        <f>'[1]апрель 20'!S7</f>
        <v>139.82900000000001</v>
      </c>
      <c r="R8" s="123">
        <f t="shared" ref="R8:R37" si="22">IF(Q8=0,0,(CI8*CM8+CG8*CK8+CH8*CL8+CF8*CJ8)/Q8)</f>
        <v>2.65</v>
      </c>
      <c r="S8" s="129">
        <v>7.87</v>
      </c>
      <c r="T8" s="125">
        <f t="shared" si="1"/>
        <v>136.12353149999998</v>
      </c>
      <c r="U8" s="147">
        <f t="shared" si="2"/>
        <v>1.3411185369458125</v>
      </c>
      <c r="V8" s="130">
        <v>101.5</v>
      </c>
      <c r="W8" s="130">
        <v>101.5</v>
      </c>
      <c r="X8" s="129">
        <v>0.64</v>
      </c>
      <c r="Y8" s="131">
        <v>505</v>
      </c>
      <c r="Z8" s="131">
        <v>1179</v>
      </c>
      <c r="AA8" s="148" t="s">
        <v>227</v>
      </c>
      <c r="AB8" s="149">
        <v>76.72</v>
      </c>
      <c r="AC8" s="150">
        <v>97</v>
      </c>
      <c r="AD8" s="151">
        <v>4</v>
      </c>
      <c r="AE8" s="149"/>
      <c r="AF8" s="134">
        <f t="shared" si="3"/>
        <v>0</v>
      </c>
      <c r="AG8" s="152"/>
      <c r="AH8" s="129">
        <v>70.849999999999994</v>
      </c>
      <c r="AI8" s="134">
        <f t="shared" si="4"/>
        <v>698.02955665024615</v>
      </c>
      <c r="AJ8" s="153">
        <v>12.17</v>
      </c>
      <c r="AK8" s="154"/>
      <c r="AL8" s="155">
        <v>6.32</v>
      </c>
      <c r="AM8" s="156">
        <v>29.12</v>
      </c>
      <c r="AN8" s="126">
        <f t="shared" ref="AN8:AN37" si="23">IF(AM8=0,0,AM8/AT8)</f>
        <v>0.21763826606875933</v>
      </c>
      <c r="AO8" s="157" t="s">
        <v>228</v>
      </c>
      <c r="AP8" s="156">
        <v>8.9499999999999993</v>
      </c>
      <c r="AQ8" s="156">
        <v>6.88</v>
      </c>
      <c r="AR8" s="149"/>
      <c r="AS8" s="149">
        <v>7.06</v>
      </c>
      <c r="AT8" s="149">
        <v>133.80000000000001</v>
      </c>
      <c r="AU8" s="149">
        <v>3.14</v>
      </c>
      <c r="AV8" s="149"/>
      <c r="AW8" s="149"/>
      <c r="AX8" s="158">
        <f t="shared" si="5"/>
        <v>0</v>
      </c>
      <c r="AY8" s="125">
        <f t="shared" si="6"/>
        <v>101.50000000000001</v>
      </c>
      <c r="AZ8" s="125">
        <f>IF(AB8=0,0,((D8*0.97)*(E8/100)*0.9)/(AB8/100))+DH8</f>
        <v>108.75813112248289</v>
      </c>
      <c r="BA8" s="159">
        <f t="shared" si="7"/>
        <v>3.8747964788732387</v>
      </c>
      <c r="BB8" s="160">
        <f t="shared" si="8"/>
        <v>4.0600000000000005</v>
      </c>
      <c r="BC8" s="161">
        <f t="shared" si="9"/>
        <v>0.83323258951300061</v>
      </c>
      <c r="BD8" s="160">
        <f t="shared" ref="BD8:BD37" si="24">BA8+BB8</f>
        <v>7.9347964788732392</v>
      </c>
      <c r="BE8" s="162">
        <v>0.79600000000000004</v>
      </c>
      <c r="BF8" s="25">
        <f t="shared" ref="BF8:BF37" si="25">BF7+AY8</f>
        <v>199.90000000000003</v>
      </c>
      <c r="BG8" s="25">
        <f t="shared" si="10"/>
        <v>125</v>
      </c>
      <c r="BH8" s="25">
        <f t="shared" ref="BH8:BH37" si="26">BG8+BH7</f>
        <v>250</v>
      </c>
      <c r="BI8" s="26">
        <f t="shared" si="11"/>
        <v>1</v>
      </c>
      <c r="BJ8" s="27">
        <f t="shared" ref="BJ8:BJ37" si="27">BG8*BI8+BJ7</f>
        <v>250</v>
      </c>
      <c r="BK8" s="30">
        <v>25.04</v>
      </c>
      <c r="BL8" s="31">
        <v>150.40899999999999</v>
      </c>
      <c r="BM8" s="31"/>
      <c r="BN8" s="31">
        <v>66.998999999999995</v>
      </c>
      <c r="BO8" s="40"/>
      <c r="BP8" s="40"/>
      <c r="BQ8" s="32"/>
      <c r="BR8" s="33">
        <v>14.95</v>
      </c>
      <c r="BS8" s="34">
        <v>1.29</v>
      </c>
      <c r="BT8" s="35"/>
      <c r="BU8" s="28"/>
      <c r="BV8" s="287"/>
      <c r="BW8" s="28"/>
      <c r="BX8" s="36"/>
      <c r="BY8" s="33">
        <v>43.37</v>
      </c>
      <c r="BZ8" s="34">
        <v>36.86</v>
      </c>
      <c r="CA8" s="35"/>
      <c r="CB8" s="35">
        <v>43.88</v>
      </c>
      <c r="CC8" s="235"/>
      <c r="CD8" s="235"/>
      <c r="CE8" s="36"/>
      <c r="CF8" s="30">
        <v>139.82900000000001</v>
      </c>
      <c r="CG8" s="30"/>
      <c r="CH8" s="31"/>
      <c r="CI8" s="32"/>
      <c r="CJ8" s="33">
        <v>2.65</v>
      </c>
      <c r="CK8" s="33"/>
      <c r="CL8" s="35"/>
      <c r="CM8" s="28"/>
      <c r="CN8" s="286"/>
      <c r="CO8" s="249">
        <f t="shared" si="12"/>
        <v>21.296519999999997</v>
      </c>
      <c r="CP8" s="12">
        <f t="shared" si="12"/>
        <v>148.46872389999999</v>
      </c>
      <c r="CQ8" s="12">
        <f t="shared" si="12"/>
        <v>0</v>
      </c>
      <c r="CR8" s="12">
        <f t="shared" si="12"/>
        <v>66.998999999999995</v>
      </c>
      <c r="CS8" s="11">
        <f t="shared" si="12"/>
        <v>0</v>
      </c>
      <c r="CT8" s="11">
        <f t="shared" si="12"/>
        <v>0</v>
      </c>
      <c r="CU8" s="272">
        <f t="shared" si="12"/>
        <v>0</v>
      </c>
      <c r="CV8" s="249">
        <f t="shared" si="13"/>
        <v>136.12353149999998</v>
      </c>
      <c r="CW8" s="12">
        <f t="shared" si="13"/>
        <v>0</v>
      </c>
      <c r="CX8" s="254">
        <f t="shared" si="13"/>
        <v>0</v>
      </c>
      <c r="CY8" s="272">
        <f t="shared" si="13"/>
        <v>0</v>
      </c>
      <c r="CZ8" s="13"/>
      <c r="DA8" s="240">
        <f>(D8+'[2]апрель 20 '!D8)/(AY8+'[2]апрель 20 '!AX8)</f>
        <v>2.3277857139431304</v>
      </c>
      <c r="DB8" s="241">
        <f>(T8+'[2]апрель 20 '!R8)/(AY8+'[2]апрель 20 '!AX8)</f>
        <v>1.3629788677629324</v>
      </c>
      <c r="DD8" s="292">
        <f t="shared" si="14"/>
        <v>9.83</v>
      </c>
      <c r="DE8" s="291">
        <v>0.32</v>
      </c>
      <c r="DF8" s="291">
        <v>18.899999999999999</v>
      </c>
      <c r="DG8" s="145">
        <f t="shared" si="15"/>
        <v>9.7985439999999997</v>
      </c>
      <c r="DH8" s="293">
        <f t="shared" ref="DH8:DH37" si="28">IF(AB8=0,0,(DG8*DF8%)/(AB8/100))</f>
        <v>2.4138748905109484</v>
      </c>
      <c r="DJ8" s="322"/>
    </row>
    <row r="9" spans="1:114" s="76" customFormat="1" ht="16.5" customHeight="1" thickBot="1">
      <c r="A9" s="144">
        <v>3</v>
      </c>
      <c r="B9" s="122">
        <f>'[1]апрель 20'!K8</f>
        <v>272.995</v>
      </c>
      <c r="C9" s="123">
        <f t="shared" si="16"/>
        <v>2.7254463634865109</v>
      </c>
      <c r="D9" s="145">
        <f>B9*((100-C9)/100)</f>
        <v>265.55466769999998</v>
      </c>
      <c r="E9" s="125">
        <f t="shared" si="18"/>
        <v>39.104287294639093</v>
      </c>
      <c r="F9" s="146">
        <f t="shared" si="19"/>
        <v>2.1126067438345264</v>
      </c>
      <c r="G9" s="127"/>
      <c r="H9" s="126">
        <f t="shared" si="20"/>
        <v>1.440816767700875</v>
      </c>
      <c r="I9" s="230">
        <f>'[1]июль 20'!AI8</f>
        <v>0</v>
      </c>
      <c r="J9" s="247">
        <f>'[1]апрель 20'!AA8</f>
        <v>10.863</v>
      </c>
      <c r="K9" s="276">
        <f>'[1]сентябрь 20'!AM8</f>
        <v>0</v>
      </c>
      <c r="L9" s="122">
        <f>'[1]апрель 20'!AE8</f>
        <v>84.444000000000003</v>
      </c>
      <c r="M9" s="128">
        <f t="shared" si="21"/>
        <v>0.67178997613365155</v>
      </c>
      <c r="N9" s="400">
        <f>'[1]апрель 20'!W8</f>
        <v>0</v>
      </c>
      <c r="O9" s="403">
        <f>'[1]апрель 20'!AU8</f>
        <v>5.1790000000000003</v>
      </c>
      <c r="P9" s="401">
        <f t="shared" si="0"/>
        <v>157.95599999999999</v>
      </c>
      <c r="Q9" s="122">
        <f>'[1]апрель 20'!S8</f>
        <v>157.95599999999999</v>
      </c>
      <c r="R9" s="123">
        <f t="shared" si="22"/>
        <v>2.71</v>
      </c>
      <c r="S9" s="129">
        <v>8.85</v>
      </c>
      <c r="T9" s="125">
        <f t="shared" si="1"/>
        <v>153.67539239999999</v>
      </c>
      <c r="U9" s="147">
        <f>IF(AY9=0,0,T9/AY9)</f>
        <v>1.2225568210023865</v>
      </c>
      <c r="V9" s="130"/>
      <c r="W9" s="130">
        <v>94.94</v>
      </c>
      <c r="X9" s="129">
        <v>0.72</v>
      </c>
      <c r="Y9" s="131">
        <v>508</v>
      </c>
      <c r="Z9" s="131">
        <v>1182</v>
      </c>
      <c r="AA9" s="148" t="s">
        <v>223</v>
      </c>
      <c r="AB9" s="149">
        <v>72.89</v>
      </c>
      <c r="AC9" s="150">
        <v>109</v>
      </c>
      <c r="AD9" s="151">
        <v>4</v>
      </c>
      <c r="AE9" s="149"/>
      <c r="AF9" s="134">
        <f t="shared" si="3"/>
        <v>0</v>
      </c>
      <c r="AG9" s="152"/>
      <c r="AH9" s="129">
        <v>77.150000000000006</v>
      </c>
      <c r="AI9" s="134">
        <f t="shared" si="4"/>
        <v>613.76292760540969</v>
      </c>
      <c r="AJ9" s="153">
        <v>12.14</v>
      </c>
      <c r="AK9" s="154"/>
      <c r="AL9" s="155">
        <v>5.71</v>
      </c>
      <c r="AM9" s="156">
        <v>25.39</v>
      </c>
      <c r="AN9" s="126">
        <f t="shared" si="23"/>
        <v>0.16417717426446815</v>
      </c>
      <c r="AO9" s="157" t="s">
        <v>157</v>
      </c>
      <c r="AP9" s="156">
        <v>10.81</v>
      </c>
      <c r="AQ9" s="156">
        <v>7.27</v>
      </c>
      <c r="AR9" s="149"/>
      <c r="AS9" s="149">
        <v>8.82</v>
      </c>
      <c r="AT9" s="149">
        <v>154.65</v>
      </c>
      <c r="AU9" s="149">
        <v>2.15</v>
      </c>
      <c r="AV9" s="149"/>
      <c r="AW9" s="149"/>
      <c r="AX9" s="158">
        <f t="shared" si="5"/>
        <v>0</v>
      </c>
      <c r="AY9" s="125">
        <f t="shared" si="6"/>
        <v>125.7</v>
      </c>
      <c r="AZ9" s="125">
        <f t="shared" ref="AZ9:AZ37" si="29">IF(AB9=0,0,((D9*0.97)*(E9/100)*0.9)/(AB9/100))+DH9</f>
        <v>126.786980881235</v>
      </c>
      <c r="BA9" s="159">
        <f t="shared" si="7"/>
        <v>5.2711922535211269</v>
      </c>
      <c r="BB9" s="160">
        <f t="shared" si="8"/>
        <v>5.0280000000000005</v>
      </c>
      <c r="BC9" s="161">
        <f t="shared" si="9"/>
        <v>0.88231754126030471</v>
      </c>
      <c r="BD9" s="160">
        <f t="shared" si="24"/>
        <v>10.299192253521127</v>
      </c>
      <c r="BE9" s="162">
        <v>0.82599999999999996</v>
      </c>
      <c r="BF9" s="25">
        <f t="shared" si="25"/>
        <v>325.60000000000002</v>
      </c>
      <c r="BG9" s="25">
        <f t="shared" si="10"/>
        <v>125</v>
      </c>
      <c r="BH9" s="25">
        <f t="shared" si="26"/>
        <v>375</v>
      </c>
      <c r="BI9" s="26">
        <f t="shared" si="11"/>
        <v>1</v>
      </c>
      <c r="BJ9" s="37">
        <f t="shared" si="27"/>
        <v>375</v>
      </c>
      <c r="BK9" s="38">
        <v>15.362</v>
      </c>
      <c r="BL9" s="31">
        <v>173.18899999999999</v>
      </c>
      <c r="BM9" s="31"/>
      <c r="BN9" s="31">
        <v>84.444000000000003</v>
      </c>
      <c r="BO9" s="40"/>
      <c r="BP9" s="40"/>
      <c r="BQ9" s="32"/>
      <c r="BR9" s="33">
        <v>14.95</v>
      </c>
      <c r="BS9" s="34">
        <v>2.97</v>
      </c>
      <c r="BT9" s="35"/>
      <c r="BU9" s="28"/>
      <c r="BV9" s="287"/>
      <c r="BW9" s="287"/>
      <c r="BX9" s="36"/>
      <c r="BY9" s="33">
        <v>43.37</v>
      </c>
      <c r="BZ9" s="34">
        <v>36.49</v>
      </c>
      <c r="CA9" s="35"/>
      <c r="CB9" s="35">
        <v>43.69</v>
      </c>
      <c r="CC9" s="235"/>
      <c r="CD9" s="235"/>
      <c r="CE9" s="36"/>
      <c r="CF9" s="30">
        <v>157.95599999999999</v>
      </c>
      <c r="CG9" s="30"/>
      <c r="CH9" s="31"/>
      <c r="CI9" s="32"/>
      <c r="CJ9" s="33">
        <v>2.71</v>
      </c>
      <c r="CK9" s="33"/>
      <c r="CL9" s="35"/>
      <c r="CM9" s="36"/>
      <c r="CN9" s="286"/>
      <c r="CO9" s="249">
        <f t="shared" si="12"/>
        <v>13.065380999999999</v>
      </c>
      <c r="CP9" s="12">
        <f t="shared" si="12"/>
        <v>168.04528669999999</v>
      </c>
      <c r="CQ9" s="12">
        <f t="shared" si="12"/>
        <v>0</v>
      </c>
      <c r="CR9" s="12">
        <f t="shared" si="12"/>
        <v>84.444000000000003</v>
      </c>
      <c r="CS9" s="11">
        <f t="shared" si="12"/>
        <v>0</v>
      </c>
      <c r="CT9" s="11">
        <f t="shared" si="12"/>
        <v>0</v>
      </c>
      <c r="CU9" s="272">
        <f t="shared" si="12"/>
        <v>0</v>
      </c>
      <c r="CV9" s="249">
        <f t="shared" si="13"/>
        <v>153.67539239999999</v>
      </c>
      <c r="CW9" s="251">
        <f t="shared" si="13"/>
        <v>0</v>
      </c>
      <c r="CX9" s="249">
        <f t="shared" si="13"/>
        <v>0</v>
      </c>
      <c r="CY9" s="272">
        <f t="shared" si="13"/>
        <v>0</v>
      </c>
      <c r="CZ9" s="13"/>
      <c r="DA9" s="240">
        <f>(D9+'[2]апрель 20 '!D9)/(AY9+'[2]апрель 20 '!AX9)</f>
        <v>2.0596909140916195</v>
      </c>
      <c r="DB9" s="241">
        <f>(T9+'[2]апрель 20 '!R9)/(AY9+'[2]апрель 20 '!AX9)</f>
        <v>1.2107592653601056</v>
      </c>
      <c r="DD9" s="292">
        <f t="shared" si="14"/>
        <v>10.863</v>
      </c>
      <c r="DE9" s="291">
        <v>0.12</v>
      </c>
      <c r="DF9" s="291">
        <v>16.22</v>
      </c>
      <c r="DG9" s="145">
        <f t="shared" si="15"/>
        <v>10.849964399999999</v>
      </c>
      <c r="DH9" s="293">
        <f t="shared" si="28"/>
        <v>2.4144110655508295</v>
      </c>
      <c r="DJ9" s="322"/>
    </row>
    <row r="10" spans="1:114" s="76" customFormat="1" ht="16.5" customHeight="1" thickBot="1">
      <c r="A10" s="144">
        <v>4</v>
      </c>
      <c r="B10" s="122">
        <f>'[1]апрель 20'!K9</f>
        <v>307.59500000000003</v>
      </c>
      <c r="C10" s="123">
        <f t="shared" si="16"/>
        <v>1.6008972837659909</v>
      </c>
      <c r="D10" s="145">
        <f t="shared" si="17"/>
        <v>302.67072000000002</v>
      </c>
      <c r="E10" s="125">
        <f>IF(B10=0,0,(BK10*BY10+BL10*BZ10+BM10*CA10+BQ10*CE10+BN10*CB10+BO10*CC10+BP10*CD10)/B10)</f>
        <v>38.362890911750831</v>
      </c>
      <c r="F10" s="146">
        <f t="shared" si="19"/>
        <v>2.1647169217565443</v>
      </c>
      <c r="G10" s="127"/>
      <c r="H10" s="126">
        <f t="shared" si="20"/>
        <v>1.7257167787154915</v>
      </c>
      <c r="I10" s="230">
        <f>'[1]июль 20'!AI9</f>
        <v>0</v>
      </c>
      <c r="J10" s="247">
        <f>'[1]апрель 20'!AA9</f>
        <v>12.077999999999999</v>
      </c>
      <c r="K10" s="276">
        <f>'[1]сентябрь 20'!AM9</f>
        <v>0</v>
      </c>
      <c r="L10" s="122">
        <f>'[1]апрель 20'!AE9</f>
        <v>61.381</v>
      </c>
      <c r="M10" s="128">
        <f t="shared" si="21"/>
        <v>0.43900014304105278</v>
      </c>
      <c r="N10" s="400">
        <f>'[1]апрель 20'!W9</f>
        <v>0</v>
      </c>
      <c r="O10" s="403">
        <f>'[1]апрель 20'!AU9</f>
        <v>12.17</v>
      </c>
      <c r="P10" s="401">
        <f t="shared" si="0"/>
        <v>179.928</v>
      </c>
      <c r="Q10" s="122">
        <f>'[1]апрель 20'!S9</f>
        <v>179.928</v>
      </c>
      <c r="R10" s="123">
        <f t="shared" si="22"/>
        <v>2.13</v>
      </c>
      <c r="S10" s="129"/>
      <c r="T10" s="125">
        <f t="shared" si="1"/>
        <v>176.09553360000001</v>
      </c>
      <c r="U10" s="147">
        <f t="shared" si="2"/>
        <v>1.2594445258189102</v>
      </c>
      <c r="V10" s="130">
        <v>63.87</v>
      </c>
      <c r="W10" s="130">
        <v>139.82</v>
      </c>
      <c r="X10" s="129">
        <v>0.49</v>
      </c>
      <c r="Y10" s="131">
        <v>508</v>
      </c>
      <c r="Z10" s="131">
        <v>1179</v>
      </c>
      <c r="AA10" s="148" t="s">
        <v>122</v>
      </c>
      <c r="AB10" s="149">
        <v>75.03</v>
      </c>
      <c r="AC10" s="150">
        <v>123</v>
      </c>
      <c r="AD10" s="151">
        <v>4</v>
      </c>
      <c r="AE10" s="149"/>
      <c r="AF10" s="134">
        <f t="shared" si="3"/>
        <v>0</v>
      </c>
      <c r="AG10" s="152"/>
      <c r="AH10" s="129">
        <v>103.9</v>
      </c>
      <c r="AI10" s="134">
        <f t="shared" si="4"/>
        <v>743.09826920326134</v>
      </c>
      <c r="AJ10" s="153">
        <v>11.49</v>
      </c>
      <c r="AK10" s="154"/>
      <c r="AL10" s="155">
        <v>6.37</v>
      </c>
      <c r="AM10" s="156">
        <v>34.93</v>
      </c>
      <c r="AN10" s="126">
        <f t="shared" si="23"/>
        <v>0.19503070910106085</v>
      </c>
      <c r="AO10" s="157" t="s">
        <v>117</v>
      </c>
      <c r="AP10" s="156">
        <v>8.5</v>
      </c>
      <c r="AQ10" s="156">
        <v>6.71</v>
      </c>
      <c r="AR10" s="149"/>
      <c r="AS10" s="149">
        <v>10</v>
      </c>
      <c r="AT10" s="149">
        <v>179.1</v>
      </c>
      <c r="AU10" s="149">
        <v>2.02</v>
      </c>
      <c r="AV10" s="149"/>
      <c r="AW10" s="149"/>
      <c r="AX10" s="158">
        <f t="shared" si="5"/>
        <v>0</v>
      </c>
      <c r="AY10" s="125">
        <f>AT10-AL10-AM10+AV10+AW10+AU10</f>
        <v>139.82</v>
      </c>
      <c r="AZ10" s="125">
        <f>IF(AB10=0,0,((D10*0.97)*(E10/100)*0.9)/(AB10/100))+DH10</f>
        <v>138.14141860417652</v>
      </c>
      <c r="BA10" s="159">
        <f t="shared" si="7"/>
        <v>8.0485915492957751</v>
      </c>
      <c r="BB10" s="160">
        <f t="shared" si="8"/>
        <v>5.5927999999999995</v>
      </c>
      <c r="BC10" s="161">
        <f t="shared" si="9"/>
        <v>0.90348824720276866</v>
      </c>
      <c r="BD10" s="160">
        <f t="shared" si="24"/>
        <v>13.641391549295776</v>
      </c>
      <c r="BE10" s="162">
        <v>0.84799999999999998</v>
      </c>
      <c r="BF10" s="25">
        <f t="shared" si="25"/>
        <v>465.42</v>
      </c>
      <c r="BG10" s="25">
        <f t="shared" si="10"/>
        <v>125</v>
      </c>
      <c r="BH10" s="25">
        <f t="shared" si="26"/>
        <v>500</v>
      </c>
      <c r="BI10" s="26">
        <f t="shared" si="11"/>
        <v>1</v>
      </c>
      <c r="BJ10" s="37">
        <f t="shared" si="27"/>
        <v>500</v>
      </c>
      <c r="BK10" s="38"/>
      <c r="BL10" s="31">
        <v>246.214</v>
      </c>
      <c r="BM10" s="31"/>
      <c r="BN10" s="31">
        <v>61.381</v>
      </c>
      <c r="BO10" s="40"/>
      <c r="BP10" s="40"/>
      <c r="BQ10" s="32"/>
      <c r="BR10" s="33"/>
      <c r="BS10" s="34">
        <v>2</v>
      </c>
      <c r="BT10" s="35"/>
      <c r="BU10" s="28"/>
      <c r="BV10" s="287"/>
      <c r="BW10" s="287"/>
      <c r="BX10" s="36"/>
      <c r="BY10" s="33"/>
      <c r="BZ10" s="34">
        <v>36.979999999999997</v>
      </c>
      <c r="CA10" s="35"/>
      <c r="CB10" s="35">
        <v>43.91</v>
      </c>
      <c r="CC10" s="235"/>
      <c r="CD10" s="235"/>
      <c r="CE10" s="36"/>
      <c r="CF10" s="30">
        <v>179.928</v>
      </c>
      <c r="CG10" s="30"/>
      <c r="CH10" s="31"/>
      <c r="CI10" s="32"/>
      <c r="CJ10" s="33">
        <v>2.13</v>
      </c>
      <c r="CK10" s="33"/>
      <c r="CL10" s="35"/>
      <c r="CM10" s="36"/>
      <c r="CN10" s="286"/>
      <c r="CO10" s="249">
        <f t="shared" si="12"/>
        <v>0</v>
      </c>
      <c r="CP10" s="12">
        <f t="shared" si="12"/>
        <v>241.28971999999999</v>
      </c>
      <c r="CQ10" s="12">
        <f t="shared" si="12"/>
        <v>0</v>
      </c>
      <c r="CR10" s="14">
        <f t="shared" si="12"/>
        <v>61.381</v>
      </c>
      <c r="CS10" s="11">
        <f t="shared" si="12"/>
        <v>0</v>
      </c>
      <c r="CT10" s="11">
        <f t="shared" si="12"/>
        <v>0</v>
      </c>
      <c r="CU10" s="272">
        <f t="shared" si="12"/>
        <v>0</v>
      </c>
      <c r="CV10" s="249">
        <f t="shared" si="13"/>
        <v>176.09553360000001</v>
      </c>
      <c r="CW10" s="12">
        <f t="shared" si="13"/>
        <v>0</v>
      </c>
      <c r="CX10" s="249">
        <f t="shared" si="13"/>
        <v>0</v>
      </c>
      <c r="CY10" s="272">
        <f t="shared" si="13"/>
        <v>0</v>
      </c>
      <c r="CZ10" s="13"/>
      <c r="DA10" s="240">
        <f>(D10+'[2]апрель 20 '!D10)/(AY10+'[2]апрель 20 '!AX10)</f>
        <v>2.1475243489336333</v>
      </c>
      <c r="DB10" s="241">
        <f>(T10+'[2]апрель 20 '!R10)/(AY10+'[2]апрель 20 '!AX10)</f>
        <v>1.2552384314788216</v>
      </c>
      <c r="DD10" s="292">
        <f t="shared" si="14"/>
        <v>12.077999999999999</v>
      </c>
      <c r="DE10" s="291">
        <v>0.25</v>
      </c>
      <c r="DF10" s="291">
        <v>18.93</v>
      </c>
      <c r="DG10" s="145">
        <f t="shared" si="15"/>
        <v>12.047805</v>
      </c>
      <c r="DH10" s="293">
        <f t="shared" si="28"/>
        <v>3.0396501219512198</v>
      </c>
      <c r="DJ10" s="322"/>
    </row>
    <row r="11" spans="1:114" s="76" customFormat="1" ht="16.5" customHeight="1" thickBot="1">
      <c r="A11" s="144">
        <v>5</v>
      </c>
      <c r="B11" s="122">
        <f>'[1]апрель 20'!K10</f>
        <v>315.36399999999998</v>
      </c>
      <c r="C11" s="123">
        <f t="shared" si="16"/>
        <v>1.3598965005517434</v>
      </c>
      <c r="D11" s="145">
        <f t="shared" si="17"/>
        <v>311.07537600000001</v>
      </c>
      <c r="E11" s="125">
        <f t="shared" si="18"/>
        <v>38.236576781116419</v>
      </c>
      <c r="F11" s="146">
        <f t="shared" si="19"/>
        <v>2.2826194305840914</v>
      </c>
      <c r="G11" s="127"/>
      <c r="H11" s="126">
        <f t="shared" si="20"/>
        <v>1.8196608159671264</v>
      </c>
      <c r="I11" s="230">
        <f>'[1]июль 20'!AI10</f>
        <v>0</v>
      </c>
      <c r="J11" s="247">
        <f>'[1]апрель 20'!AA10</f>
        <v>12.853</v>
      </c>
      <c r="K11" s="276">
        <f>'[1]сентябрь 20'!AM10</f>
        <v>0</v>
      </c>
      <c r="L11" s="122">
        <f>'[1]апрель 20'!AE10</f>
        <v>63.091999999999999</v>
      </c>
      <c r="M11" s="128">
        <f t="shared" si="21"/>
        <v>0.46295861461696508</v>
      </c>
      <c r="N11" s="400">
        <f>'[1]апрель 20'!W10</f>
        <v>0</v>
      </c>
      <c r="O11" s="403">
        <f>'[1]апрель 20'!AU10</f>
        <v>13.879</v>
      </c>
      <c r="P11" s="401">
        <f t="shared" si="0"/>
        <v>183.249</v>
      </c>
      <c r="Q11" s="122">
        <f>'[1]апрель 20'!S10</f>
        <v>183.249</v>
      </c>
      <c r="R11" s="123">
        <f t="shared" si="22"/>
        <v>2.75</v>
      </c>
      <c r="S11" s="129">
        <v>9.51</v>
      </c>
      <c r="T11" s="125">
        <f t="shared" si="1"/>
        <v>178.2096525</v>
      </c>
      <c r="U11" s="147">
        <f t="shared" si="2"/>
        <v>1.3076728243322571</v>
      </c>
      <c r="V11" s="130">
        <v>101.8</v>
      </c>
      <c r="W11" s="130">
        <v>101.77</v>
      </c>
      <c r="X11" s="129">
        <v>0.81</v>
      </c>
      <c r="Y11" s="131">
        <v>521</v>
      </c>
      <c r="Z11" s="131">
        <v>1180</v>
      </c>
      <c r="AA11" s="148" t="s">
        <v>130</v>
      </c>
      <c r="AB11" s="149">
        <v>75.72</v>
      </c>
      <c r="AC11" s="150">
        <v>126</v>
      </c>
      <c r="AD11" s="151">
        <v>4</v>
      </c>
      <c r="AE11" s="149"/>
      <c r="AF11" s="134">
        <f t="shared" si="3"/>
        <v>0</v>
      </c>
      <c r="AG11" s="152"/>
      <c r="AH11" s="129">
        <v>96</v>
      </c>
      <c r="AI11" s="134">
        <f t="shared" si="4"/>
        <v>704.43205165835047</v>
      </c>
      <c r="AJ11" s="163">
        <v>10.98</v>
      </c>
      <c r="AK11" s="154"/>
      <c r="AL11" s="155">
        <v>7.18</v>
      </c>
      <c r="AM11" s="156">
        <v>34.01</v>
      </c>
      <c r="AN11" s="126">
        <f t="shared" si="23"/>
        <v>0.1939549472483604</v>
      </c>
      <c r="AO11" s="157" t="s">
        <v>196</v>
      </c>
      <c r="AP11" s="156">
        <v>8.2799999999999994</v>
      </c>
      <c r="AQ11" s="156">
        <v>6.74</v>
      </c>
      <c r="AR11" s="149"/>
      <c r="AS11" s="149">
        <v>7.2</v>
      </c>
      <c r="AT11" s="149">
        <v>175.35</v>
      </c>
      <c r="AU11" s="149">
        <v>2.12</v>
      </c>
      <c r="AV11" s="149"/>
      <c r="AW11" s="149"/>
      <c r="AX11" s="158">
        <f t="shared" si="5"/>
        <v>0</v>
      </c>
      <c r="AY11" s="125">
        <f t="shared" si="6"/>
        <v>136.28</v>
      </c>
      <c r="AZ11" s="125">
        <f t="shared" si="29"/>
        <v>140.37576012270273</v>
      </c>
      <c r="BA11" s="159">
        <f t="shared" si="7"/>
        <v>5.3543661971830989</v>
      </c>
      <c r="BB11" s="160">
        <f t="shared" si="8"/>
        <v>5.4512</v>
      </c>
      <c r="BC11" s="161">
        <f t="shared" si="9"/>
        <v>0.86755714590154798</v>
      </c>
      <c r="BD11" s="160">
        <f t="shared" si="24"/>
        <v>10.805566197183099</v>
      </c>
      <c r="BE11" s="162">
        <v>0.85199999999999998</v>
      </c>
      <c r="BF11" s="25">
        <f t="shared" si="25"/>
        <v>601.70000000000005</v>
      </c>
      <c r="BG11" s="25">
        <f t="shared" si="10"/>
        <v>125</v>
      </c>
      <c r="BH11" s="25">
        <f t="shared" si="26"/>
        <v>625</v>
      </c>
      <c r="BI11" s="26">
        <f t="shared" si="11"/>
        <v>1</v>
      </c>
      <c r="BJ11" s="37">
        <f t="shared" si="27"/>
        <v>625</v>
      </c>
      <c r="BK11" s="38"/>
      <c r="BL11" s="31">
        <v>252.27199999999999</v>
      </c>
      <c r="BM11" s="31"/>
      <c r="BN11" s="31">
        <v>20.515999999999998</v>
      </c>
      <c r="BO11" s="40"/>
      <c r="BP11" s="40"/>
      <c r="BQ11" s="32">
        <v>42.576000000000001</v>
      </c>
      <c r="BR11" s="33"/>
      <c r="BS11" s="34">
        <v>1.7</v>
      </c>
      <c r="BT11" s="35"/>
      <c r="BU11" s="28"/>
      <c r="BV11" s="287"/>
      <c r="BW11" s="287"/>
      <c r="BX11" s="36"/>
      <c r="BY11" s="33"/>
      <c r="BZ11" s="34">
        <v>36.869999999999997</v>
      </c>
      <c r="CA11" s="35"/>
      <c r="CB11" s="35">
        <v>43.91</v>
      </c>
      <c r="CC11" s="235"/>
      <c r="CD11" s="235"/>
      <c r="CE11" s="36">
        <v>43.6</v>
      </c>
      <c r="CF11" s="30">
        <v>183.249</v>
      </c>
      <c r="CG11" s="30"/>
      <c r="CH11" s="31"/>
      <c r="CI11" s="32"/>
      <c r="CJ11" s="33">
        <v>2.75</v>
      </c>
      <c r="CK11" s="33"/>
      <c r="CL11" s="35"/>
      <c r="CM11" s="36"/>
      <c r="CN11" s="286"/>
      <c r="CO11" s="249">
        <f t="shared" si="12"/>
        <v>0</v>
      </c>
      <c r="CP11" s="12">
        <f t="shared" si="12"/>
        <v>247.98337599999999</v>
      </c>
      <c r="CQ11" s="15">
        <f t="shared" si="12"/>
        <v>0</v>
      </c>
      <c r="CR11" s="16">
        <f t="shared" si="12"/>
        <v>20.515999999999998</v>
      </c>
      <c r="CS11" s="11">
        <f t="shared" si="12"/>
        <v>0</v>
      </c>
      <c r="CT11" s="11">
        <f t="shared" si="12"/>
        <v>0</v>
      </c>
      <c r="CU11" s="272">
        <f t="shared" si="12"/>
        <v>42.576000000000001</v>
      </c>
      <c r="CV11" s="249">
        <f t="shared" si="13"/>
        <v>178.2096525</v>
      </c>
      <c r="CW11" s="12">
        <f t="shared" si="13"/>
        <v>0</v>
      </c>
      <c r="CX11" s="249">
        <f t="shared" si="13"/>
        <v>0</v>
      </c>
      <c r="CY11" s="272">
        <f t="shared" si="13"/>
        <v>0</v>
      </c>
      <c r="CZ11" s="13"/>
      <c r="DA11" s="240">
        <f>(D11+'[2]апрель 20 '!D11)/(AY11+'[2]апрель 20 '!AX11)</f>
        <v>2.2614658911693977</v>
      </c>
      <c r="DB11" s="241">
        <f>(T11+'[2]апрель 20 '!R11)/(AY11+'[2]апрель 20 '!AX11)</f>
        <v>1.3123976637212684</v>
      </c>
      <c r="DD11" s="292">
        <f t="shared" si="14"/>
        <v>12.853</v>
      </c>
      <c r="DE11" s="291">
        <v>0.51</v>
      </c>
      <c r="DF11" s="407">
        <v>19.190000000000001</v>
      </c>
      <c r="DG11" s="145">
        <f t="shared" si="15"/>
        <v>12.787449699999998</v>
      </c>
      <c r="DH11" s="293">
        <f t="shared" si="28"/>
        <v>3.2407707308901212</v>
      </c>
      <c r="DJ11" s="322"/>
    </row>
    <row r="12" spans="1:114" s="76" customFormat="1" ht="16.5" customHeight="1" thickBot="1">
      <c r="A12" s="144">
        <v>6</v>
      </c>
      <c r="B12" s="122">
        <f>'[1]апрель 20'!K11</f>
        <v>300.24200000000002</v>
      </c>
      <c r="C12" s="123">
        <f t="shared" si="16"/>
        <v>1.6724274085570969</v>
      </c>
      <c r="D12" s="145">
        <f t="shared" si="17"/>
        <v>295.22067050000004</v>
      </c>
      <c r="E12" s="125">
        <f t="shared" si="18"/>
        <v>38.158568488086267</v>
      </c>
      <c r="F12" s="146">
        <f t="shared" si="19"/>
        <v>2.1318650382726747</v>
      </c>
      <c r="G12" s="127"/>
      <c r="H12" s="126">
        <f t="shared" si="20"/>
        <v>1.6986833513864814</v>
      </c>
      <c r="I12" s="230">
        <f>'[1]июль 20'!AI11</f>
        <v>0</v>
      </c>
      <c r="J12" s="247">
        <f>'[1]апрель 20'!AA11</f>
        <v>11.805999999999999</v>
      </c>
      <c r="K12" s="276">
        <f>'[1]сентябрь 20'!AM11</f>
        <v>0</v>
      </c>
      <c r="L12" s="122">
        <f>'[1]апрель 20'!AE11</f>
        <v>59.987000000000002</v>
      </c>
      <c r="M12" s="128">
        <f t="shared" si="21"/>
        <v>0.43318168688619291</v>
      </c>
      <c r="N12" s="400">
        <f>'[1]апрель 20'!W11</f>
        <v>0</v>
      </c>
      <c r="O12" s="403">
        <f>'[1]апрель 20'!AU11</f>
        <v>13.115</v>
      </c>
      <c r="P12" s="401">
        <f t="shared" si="0"/>
        <v>176.209</v>
      </c>
      <c r="Q12" s="122">
        <f>'[1]апрель 20'!S11</f>
        <v>176.209</v>
      </c>
      <c r="R12" s="123">
        <f t="shared" si="22"/>
        <v>2.93</v>
      </c>
      <c r="S12" s="129">
        <v>22.35</v>
      </c>
      <c r="T12" s="125">
        <f t="shared" si="1"/>
        <v>171.04607629999998</v>
      </c>
      <c r="U12" s="147">
        <f t="shared" si="2"/>
        <v>1.2351680841998842</v>
      </c>
      <c r="V12" s="130">
        <v>138.47999999999999</v>
      </c>
      <c r="W12" s="130">
        <v>138.47999999999999</v>
      </c>
      <c r="X12" s="129">
        <v>0.55000000000000004</v>
      </c>
      <c r="Y12" s="131">
        <v>503</v>
      </c>
      <c r="Z12" s="150">
        <v>1164</v>
      </c>
      <c r="AA12" s="148" t="s">
        <v>116</v>
      </c>
      <c r="AB12" s="149">
        <v>75.91</v>
      </c>
      <c r="AC12" s="150">
        <v>120</v>
      </c>
      <c r="AD12" s="151">
        <v>4</v>
      </c>
      <c r="AE12" s="149"/>
      <c r="AF12" s="134">
        <f t="shared" si="3"/>
        <v>0</v>
      </c>
      <c r="AG12" s="152"/>
      <c r="AH12" s="129">
        <v>106</v>
      </c>
      <c r="AI12" s="134">
        <f t="shared" si="4"/>
        <v>765.45349508954348</v>
      </c>
      <c r="AJ12" s="153">
        <v>12.49</v>
      </c>
      <c r="AK12" s="154"/>
      <c r="AL12" s="155">
        <v>4.2300000000000004</v>
      </c>
      <c r="AM12" s="156">
        <v>37.1</v>
      </c>
      <c r="AN12" s="126">
        <f t="shared" si="23"/>
        <v>0.20866141732283464</v>
      </c>
      <c r="AO12" s="157" t="s">
        <v>229</v>
      </c>
      <c r="AP12" s="156">
        <v>7.8</v>
      </c>
      <c r="AQ12" s="156">
        <v>7</v>
      </c>
      <c r="AR12" s="149"/>
      <c r="AS12" s="149">
        <v>8.8800000000000008</v>
      </c>
      <c r="AT12" s="149">
        <v>177.8</v>
      </c>
      <c r="AU12" s="149">
        <v>2.0099999999999998</v>
      </c>
      <c r="AV12" s="164"/>
      <c r="AW12" s="164"/>
      <c r="AX12" s="158">
        <f t="shared" si="5"/>
        <v>0</v>
      </c>
      <c r="AY12" s="125">
        <f t="shared" si="6"/>
        <v>138.48000000000002</v>
      </c>
      <c r="AZ12" s="125">
        <f t="shared" si="29"/>
        <v>132.7318698503442</v>
      </c>
      <c r="BA12" s="159">
        <f t="shared" si="7"/>
        <v>7.291605633802817</v>
      </c>
      <c r="BB12" s="160">
        <f t="shared" si="8"/>
        <v>5.539200000000001</v>
      </c>
      <c r="BC12" s="161">
        <f t="shared" si="9"/>
        <v>0.9331408677668539</v>
      </c>
      <c r="BD12" s="160">
        <f t="shared" si="24"/>
        <v>12.830805633802818</v>
      </c>
      <c r="BE12" s="162">
        <v>0.86699999999999999</v>
      </c>
      <c r="BF12" s="25">
        <f t="shared" si="25"/>
        <v>740.18000000000006</v>
      </c>
      <c r="BG12" s="25">
        <f t="shared" si="10"/>
        <v>125</v>
      </c>
      <c r="BH12" s="25">
        <f t="shared" si="26"/>
        <v>750</v>
      </c>
      <c r="BI12" s="26">
        <f t="shared" si="11"/>
        <v>1</v>
      </c>
      <c r="BJ12" s="37">
        <f t="shared" si="27"/>
        <v>750</v>
      </c>
      <c r="BK12" s="38"/>
      <c r="BL12" s="31">
        <v>240.255</v>
      </c>
      <c r="BM12" s="31"/>
      <c r="BN12" s="31"/>
      <c r="BO12" s="40"/>
      <c r="BP12" s="40"/>
      <c r="BQ12" s="32">
        <v>59.987000000000002</v>
      </c>
      <c r="BR12" s="33"/>
      <c r="BS12" s="34">
        <v>2.09</v>
      </c>
      <c r="BT12" s="33"/>
      <c r="BU12" s="28"/>
      <c r="BV12" s="287"/>
      <c r="BW12" s="287"/>
      <c r="BX12" s="36"/>
      <c r="BY12" s="33"/>
      <c r="BZ12" s="34">
        <v>36.76</v>
      </c>
      <c r="CA12" s="33"/>
      <c r="CB12" s="35"/>
      <c r="CC12" s="235"/>
      <c r="CD12" s="235"/>
      <c r="CE12" s="36">
        <v>43.76</v>
      </c>
      <c r="CF12" s="30">
        <v>176.209</v>
      </c>
      <c r="CG12" s="30"/>
      <c r="CH12" s="31"/>
      <c r="CI12" s="32"/>
      <c r="CJ12" s="33">
        <v>2.93</v>
      </c>
      <c r="CK12" s="33"/>
      <c r="CL12" s="35"/>
      <c r="CM12" s="36"/>
      <c r="CN12" s="286"/>
      <c r="CO12" s="249">
        <f t="shared" si="12"/>
        <v>0</v>
      </c>
      <c r="CP12" s="12">
        <f t="shared" si="12"/>
        <v>235.23367049999999</v>
      </c>
      <c r="CQ12" s="12">
        <f t="shared" si="12"/>
        <v>0</v>
      </c>
      <c r="CR12" s="12">
        <f t="shared" si="12"/>
        <v>0</v>
      </c>
      <c r="CS12" s="11">
        <f t="shared" si="12"/>
        <v>0</v>
      </c>
      <c r="CT12" s="11">
        <f t="shared" si="12"/>
        <v>0</v>
      </c>
      <c r="CU12" s="272">
        <f t="shared" si="12"/>
        <v>59.987000000000002</v>
      </c>
      <c r="CV12" s="249">
        <f t="shared" si="13"/>
        <v>171.04607629999998</v>
      </c>
      <c r="CW12" s="12">
        <f t="shared" si="13"/>
        <v>0</v>
      </c>
      <c r="CX12" s="252">
        <f t="shared" si="13"/>
        <v>0</v>
      </c>
      <c r="CY12" s="272">
        <f t="shared" si="13"/>
        <v>0</v>
      </c>
      <c r="CZ12" s="13"/>
      <c r="DA12" s="240">
        <f>(D12+'[2]апрель 20 '!D12)/(AY12+'[2]апрель 20 '!AX12)</f>
        <v>2.1428438252832436</v>
      </c>
      <c r="DB12" s="241">
        <f>(T12+'[2]апрель 20 '!R12)/(AY12+'[2]апрель 20 '!AX12)</f>
        <v>1.2571314476608659</v>
      </c>
      <c r="DD12" s="292">
        <f t="shared" si="14"/>
        <v>11.805999999999999</v>
      </c>
      <c r="DE12" s="291">
        <v>0.26</v>
      </c>
      <c r="DF12" s="291">
        <v>20.48</v>
      </c>
      <c r="DG12" s="145">
        <f t="shared" si="15"/>
        <v>11.775304399999998</v>
      </c>
      <c r="DH12" s="293">
        <f t="shared" si="28"/>
        <v>3.1768967739691734</v>
      </c>
      <c r="DJ12" s="322"/>
    </row>
    <row r="13" spans="1:114" s="76" customFormat="1" ht="16.5" customHeight="1" thickBot="1">
      <c r="A13" s="144">
        <v>7</v>
      </c>
      <c r="B13" s="122">
        <f>'[1]апрель 20'!K12</f>
        <v>314.72699999999998</v>
      </c>
      <c r="C13" s="123">
        <f t="shared" si="16"/>
        <v>1.4235573052200798</v>
      </c>
      <c r="D13" s="145">
        <f t="shared" si="17"/>
        <v>310.24668079999992</v>
      </c>
      <c r="E13" s="125">
        <f t="shared" si="18"/>
        <v>38.204630362186919</v>
      </c>
      <c r="F13" s="146">
        <f t="shared" si="19"/>
        <v>2.3017039899102301</v>
      </c>
      <c r="G13" s="127"/>
      <c r="H13" s="126">
        <f t="shared" si="20"/>
        <v>1.8057769923584837</v>
      </c>
      <c r="I13" s="230">
        <f>'[1]июль 20'!AI12</f>
        <v>0</v>
      </c>
      <c r="J13" s="247">
        <f>'[1]апрель 20'!AA12</f>
        <v>12.968999999999999</v>
      </c>
      <c r="K13" s="276">
        <f>'[1]сентябрь 20'!AM12</f>
        <v>0</v>
      </c>
      <c r="L13" s="122">
        <f>'[1]апрель 20'!AE12</f>
        <v>66.846000000000004</v>
      </c>
      <c r="M13" s="128">
        <f t="shared" si="21"/>
        <v>0.49592699755174724</v>
      </c>
      <c r="N13" s="400">
        <f>'[1]апрель 20'!W12</f>
        <v>0</v>
      </c>
      <c r="O13" s="403">
        <f>'[1]апрель 20'!AU12</f>
        <v>9.2829999999999995</v>
      </c>
      <c r="P13" s="401">
        <f t="shared" si="0"/>
        <v>183.42</v>
      </c>
      <c r="Q13" s="122">
        <f>'[1]апрель 20'!S12</f>
        <v>183.42</v>
      </c>
      <c r="R13" s="123">
        <f t="shared" si="22"/>
        <v>2.9499999999999997</v>
      </c>
      <c r="S13" s="129">
        <v>7.4</v>
      </c>
      <c r="T13" s="125">
        <f t="shared" si="1"/>
        <v>178.00910999999996</v>
      </c>
      <c r="U13" s="147">
        <f t="shared" si="2"/>
        <v>1.3206403294012907</v>
      </c>
      <c r="V13" s="130">
        <v>134.79</v>
      </c>
      <c r="W13" s="130"/>
      <c r="X13" s="129">
        <v>1.45</v>
      </c>
      <c r="Y13" s="165">
        <v>500</v>
      </c>
      <c r="Z13" s="166">
        <v>1177</v>
      </c>
      <c r="AA13" s="148" t="s">
        <v>141</v>
      </c>
      <c r="AB13" s="149">
        <v>75.64</v>
      </c>
      <c r="AC13" s="150">
        <v>126</v>
      </c>
      <c r="AD13" s="151">
        <v>4</v>
      </c>
      <c r="AE13" s="149"/>
      <c r="AF13" s="134">
        <f t="shared" si="3"/>
        <v>0</v>
      </c>
      <c r="AG13" s="152"/>
      <c r="AH13" s="129">
        <v>93.2</v>
      </c>
      <c r="AI13" s="134">
        <f t="shared" si="4"/>
        <v>691.44595296386979</v>
      </c>
      <c r="AJ13" s="136">
        <v>14.87</v>
      </c>
      <c r="AK13" s="154"/>
      <c r="AL13" s="155">
        <v>5.15</v>
      </c>
      <c r="AM13" s="156">
        <v>35.409999999999997</v>
      </c>
      <c r="AN13" s="126">
        <f t="shared" si="23"/>
        <v>0.20333046224519091</v>
      </c>
      <c r="AO13" s="157" t="s">
        <v>230</v>
      </c>
      <c r="AP13" s="156">
        <v>8.43</v>
      </c>
      <c r="AQ13" s="156">
        <v>6.88</v>
      </c>
      <c r="AR13" s="149"/>
      <c r="AS13" s="149">
        <v>6.78</v>
      </c>
      <c r="AT13" s="149">
        <v>174.15</v>
      </c>
      <c r="AU13" s="149">
        <v>1.2</v>
      </c>
      <c r="AV13" s="149"/>
      <c r="AW13" s="149"/>
      <c r="AX13" s="158">
        <f t="shared" si="5"/>
        <v>0</v>
      </c>
      <c r="AY13" s="125">
        <f t="shared" si="6"/>
        <v>134.79</v>
      </c>
      <c r="AZ13" s="125">
        <f t="shared" si="29"/>
        <v>139.89771207542108</v>
      </c>
      <c r="BA13" s="159">
        <f t="shared" si="7"/>
        <v>4.8949690140845075</v>
      </c>
      <c r="BB13" s="160">
        <f t="shared" si="8"/>
        <v>5.3915999999999995</v>
      </c>
      <c r="BC13" s="161">
        <f t="shared" si="9"/>
        <v>0.86017347758518825</v>
      </c>
      <c r="BD13" s="160">
        <f t="shared" si="24"/>
        <v>10.286569014084506</v>
      </c>
      <c r="BE13" s="162">
        <v>0.86499999999999999</v>
      </c>
      <c r="BF13" s="25">
        <f t="shared" si="25"/>
        <v>874.97</v>
      </c>
      <c r="BG13" s="25">
        <f t="shared" si="10"/>
        <v>125</v>
      </c>
      <c r="BH13" s="25">
        <f t="shared" si="26"/>
        <v>875</v>
      </c>
      <c r="BI13" s="26">
        <f t="shared" si="11"/>
        <v>1</v>
      </c>
      <c r="BJ13" s="37">
        <f t="shared" si="27"/>
        <v>875</v>
      </c>
      <c r="BK13" s="39"/>
      <c r="BL13" s="40">
        <v>234.20500000000001</v>
      </c>
      <c r="BM13" s="325"/>
      <c r="BN13" s="31"/>
      <c r="BO13" s="40"/>
      <c r="BP13" s="40">
        <v>13.676</v>
      </c>
      <c r="BQ13" s="32">
        <v>66.846000000000004</v>
      </c>
      <c r="BR13" s="33"/>
      <c r="BS13" s="34">
        <v>1.76</v>
      </c>
      <c r="BT13" s="33"/>
      <c r="BU13" s="28"/>
      <c r="BV13" s="287"/>
      <c r="BW13" s="287">
        <v>2.62</v>
      </c>
      <c r="BX13" s="36"/>
      <c r="BY13" s="33"/>
      <c r="BZ13" s="34">
        <v>36.64</v>
      </c>
      <c r="CA13" s="33"/>
      <c r="CB13" s="35"/>
      <c r="CC13" s="235"/>
      <c r="CD13" s="235">
        <v>38.090000000000003</v>
      </c>
      <c r="CE13" s="36">
        <v>43.71</v>
      </c>
      <c r="CF13" s="30">
        <v>183.42</v>
      </c>
      <c r="CG13" s="30"/>
      <c r="CH13" s="30"/>
      <c r="CI13" s="32"/>
      <c r="CJ13" s="33">
        <v>2.95</v>
      </c>
      <c r="CK13" s="33"/>
      <c r="CL13" s="33"/>
      <c r="CM13" s="36"/>
      <c r="CN13" s="286"/>
      <c r="CO13" s="249">
        <f t="shared" si="12"/>
        <v>0</v>
      </c>
      <c r="CP13" s="12">
        <f t="shared" si="12"/>
        <v>230.08299199999999</v>
      </c>
      <c r="CQ13" s="12">
        <f t="shared" si="12"/>
        <v>0</v>
      </c>
      <c r="CR13" s="12">
        <f t="shared" si="12"/>
        <v>0</v>
      </c>
      <c r="CS13" s="11">
        <f t="shared" si="12"/>
        <v>0</v>
      </c>
      <c r="CT13" s="11">
        <f t="shared" si="12"/>
        <v>13.317688800000001</v>
      </c>
      <c r="CU13" s="272">
        <f t="shared" si="12"/>
        <v>66.846000000000004</v>
      </c>
      <c r="CV13" s="249">
        <f t="shared" si="13"/>
        <v>178.00910999999996</v>
      </c>
      <c r="CW13" s="251">
        <f t="shared" si="13"/>
        <v>0</v>
      </c>
      <c r="CX13" s="249">
        <f t="shared" si="13"/>
        <v>0</v>
      </c>
      <c r="CY13" s="272">
        <f t="shared" si="13"/>
        <v>0</v>
      </c>
      <c r="CZ13" s="13"/>
      <c r="DA13" s="240">
        <f>(D13+'[2]апрель 20 '!D13)/(AY13+'[2]апрель 20 '!AX13)</f>
        <v>2.1852581286457093</v>
      </c>
      <c r="DB13" s="241">
        <f>(T13+'[2]апрель 20 '!R13)/(AY13+'[2]апрель 20 '!AX13)</f>
        <v>1.2759498244780532</v>
      </c>
      <c r="DD13" s="292">
        <f t="shared" si="14"/>
        <v>12.968999999999999</v>
      </c>
      <c r="DE13" s="291">
        <v>0.18</v>
      </c>
      <c r="DF13" s="291">
        <v>18.100000000000001</v>
      </c>
      <c r="DG13" s="145">
        <f t="shared" si="15"/>
        <v>12.945655799999999</v>
      </c>
      <c r="DH13" s="293">
        <f t="shared" si="28"/>
        <v>3.0977838442622958</v>
      </c>
      <c r="DJ13" s="322"/>
    </row>
    <row r="14" spans="1:114" s="76" customFormat="1" ht="16.5" customHeight="1" thickBot="1">
      <c r="A14" s="144">
        <v>8</v>
      </c>
      <c r="B14" s="122">
        <f>'[1]апрель 20'!K13</f>
        <v>302.34699999999998</v>
      </c>
      <c r="C14" s="123">
        <f t="shared" si="16"/>
        <v>1.8657426731536941</v>
      </c>
      <c r="D14" s="145">
        <f t="shared" si="17"/>
        <v>296.705983</v>
      </c>
      <c r="E14" s="125">
        <f t="shared" si="18"/>
        <v>38.364695267358364</v>
      </c>
      <c r="F14" s="146">
        <f t="shared" si="19"/>
        <v>2.0955292252277702</v>
      </c>
      <c r="G14" s="127"/>
      <c r="H14" s="126">
        <f t="shared" si="20"/>
        <v>1.616201589095275</v>
      </c>
      <c r="I14" s="230">
        <f>'[1]июль 20'!AI13</f>
        <v>0</v>
      </c>
      <c r="J14" s="247">
        <f>'[1]апрель 20'!AA13</f>
        <v>12.308999999999999</v>
      </c>
      <c r="K14" s="276">
        <f>'[1]сентябрь 20'!AM13</f>
        <v>0</v>
      </c>
      <c r="L14" s="122">
        <f>'[1]апрель 20'!AE13</f>
        <v>67.867999999999995</v>
      </c>
      <c r="M14" s="128">
        <f t="shared" si="21"/>
        <v>0.47932763613249518</v>
      </c>
      <c r="N14" s="400">
        <f>'[1]апрель 20'!W13</f>
        <v>0</v>
      </c>
      <c r="O14" s="403">
        <f>'[1]апрель 20'!AU13</f>
        <v>0.92</v>
      </c>
      <c r="P14" s="401">
        <f t="shared" si="0"/>
        <v>175.072</v>
      </c>
      <c r="Q14" s="122">
        <f>'[1]апрель 20'!S13</f>
        <v>175.072</v>
      </c>
      <c r="R14" s="123">
        <f t="shared" si="22"/>
        <v>2.95</v>
      </c>
      <c r="S14" s="129">
        <v>7.06</v>
      </c>
      <c r="T14" s="125">
        <f t="shared" si="1"/>
        <v>169.907376</v>
      </c>
      <c r="U14" s="147">
        <f t="shared" si="2"/>
        <v>1.1999955929091037</v>
      </c>
      <c r="V14" s="130">
        <v>104.05</v>
      </c>
      <c r="W14" s="130">
        <v>112.13</v>
      </c>
      <c r="X14" s="129">
        <v>0.59</v>
      </c>
      <c r="Y14" s="131">
        <v>504</v>
      </c>
      <c r="Z14" s="150">
        <v>1167</v>
      </c>
      <c r="AA14" s="148" t="s">
        <v>136</v>
      </c>
      <c r="AB14" s="149">
        <v>75.05</v>
      </c>
      <c r="AC14" s="150">
        <v>121</v>
      </c>
      <c r="AD14" s="151">
        <v>4</v>
      </c>
      <c r="AE14" s="149"/>
      <c r="AF14" s="134">
        <f t="shared" si="3"/>
        <v>0</v>
      </c>
      <c r="AG14" s="152"/>
      <c r="AH14" s="129">
        <v>99.25</v>
      </c>
      <c r="AI14" s="134">
        <f t="shared" si="4"/>
        <v>700.96758245638807</v>
      </c>
      <c r="AJ14" s="153">
        <v>14.38</v>
      </c>
      <c r="AK14" s="154"/>
      <c r="AL14" s="155">
        <v>6.3</v>
      </c>
      <c r="AM14" s="156">
        <v>35.29</v>
      </c>
      <c r="AN14" s="126">
        <f t="shared" si="23"/>
        <v>0.19459608491866556</v>
      </c>
      <c r="AO14" s="157" t="s">
        <v>117</v>
      </c>
      <c r="AP14" s="156">
        <v>9.3000000000000007</v>
      </c>
      <c r="AQ14" s="156">
        <v>6.53</v>
      </c>
      <c r="AR14" s="149"/>
      <c r="AS14" s="149">
        <v>9.7899999999999991</v>
      </c>
      <c r="AT14" s="149">
        <v>181.35</v>
      </c>
      <c r="AU14" s="149">
        <v>1.83</v>
      </c>
      <c r="AV14" s="149"/>
      <c r="AW14" s="149"/>
      <c r="AX14" s="158">
        <f t="shared" si="5"/>
        <v>0</v>
      </c>
      <c r="AY14" s="125">
        <f t="shared" si="6"/>
        <v>141.59</v>
      </c>
      <c r="AZ14" s="125">
        <f t="shared" si="29"/>
        <v>135.54433476795191</v>
      </c>
      <c r="BA14" s="159">
        <f t="shared" si="7"/>
        <v>7.5269242957746467</v>
      </c>
      <c r="BB14" s="160">
        <f t="shared" si="8"/>
        <v>5.6636000000000006</v>
      </c>
      <c r="BC14" s="161">
        <f t="shared" si="9"/>
        <v>0.93352342789610598</v>
      </c>
      <c r="BD14" s="159">
        <f t="shared" si="24"/>
        <v>13.190524295774647</v>
      </c>
      <c r="BE14" s="167">
        <v>0.874</v>
      </c>
      <c r="BF14" s="25">
        <f t="shared" si="25"/>
        <v>1016.5600000000001</v>
      </c>
      <c r="BG14" s="25">
        <f t="shared" si="10"/>
        <v>125</v>
      </c>
      <c r="BH14" s="25">
        <f t="shared" si="26"/>
        <v>1000</v>
      </c>
      <c r="BI14" s="26">
        <f t="shared" si="11"/>
        <v>1</v>
      </c>
      <c r="BJ14" s="37">
        <f t="shared" si="27"/>
        <v>1000</v>
      </c>
      <c r="BK14" s="39"/>
      <c r="BL14" s="40">
        <v>195.72900000000001</v>
      </c>
      <c r="BM14" s="325"/>
      <c r="BN14" s="31"/>
      <c r="BO14" s="40"/>
      <c r="BP14" s="40">
        <v>38.75</v>
      </c>
      <c r="BQ14" s="32">
        <v>67.867999999999995</v>
      </c>
      <c r="BR14" s="33"/>
      <c r="BS14" s="34">
        <v>2.2999999999999998</v>
      </c>
      <c r="BT14" s="33"/>
      <c r="BU14" s="28"/>
      <c r="BV14" s="287"/>
      <c r="BW14" s="287">
        <v>2.94</v>
      </c>
      <c r="BX14" s="36"/>
      <c r="BY14" s="33"/>
      <c r="BZ14" s="34">
        <v>36.479999999999997</v>
      </c>
      <c r="CA14" s="33"/>
      <c r="CB14" s="35"/>
      <c r="CC14" s="235"/>
      <c r="CD14" s="235">
        <v>38.54</v>
      </c>
      <c r="CE14" s="36">
        <v>43.7</v>
      </c>
      <c r="CF14" s="30">
        <v>175.072</v>
      </c>
      <c r="CG14" s="30"/>
      <c r="CH14" s="30"/>
      <c r="CI14" s="32"/>
      <c r="CJ14" s="33">
        <v>2.95</v>
      </c>
      <c r="CK14" s="33"/>
      <c r="CL14" s="33"/>
      <c r="CM14" s="36"/>
      <c r="CN14" s="286"/>
      <c r="CO14" s="249">
        <f t="shared" si="12"/>
        <v>0</v>
      </c>
      <c r="CP14" s="12">
        <f t="shared" si="12"/>
        <v>191.22723300000001</v>
      </c>
      <c r="CQ14" s="12">
        <f t="shared" si="12"/>
        <v>0</v>
      </c>
      <c r="CR14" s="12">
        <f t="shared" si="12"/>
        <v>0</v>
      </c>
      <c r="CS14" s="11">
        <f t="shared" si="12"/>
        <v>0</v>
      </c>
      <c r="CT14" s="11">
        <f t="shared" si="12"/>
        <v>37.610750000000003</v>
      </c>
      <c r="CU14" s="272">
        <f t="shared" si="12"/>
        <v>67.867999999999995</v>
      </c>
      <c r="CV14" s="249">
        <f t="shared" si="13"/>
        <v>169.907376</v>
      </c>
      <c r="CW14" s="12">
        <f t="shared" si="13"/>
        <v>0</v>
      </c>
      <c r="CX14" s="252">
        <f t="shared" si="13"/>
        <v>0</v>
      </c>
      <c r="CY14" s="272">
        <f t="shared" si="13"/>
        <v>0</v>
      </c>
      <c r="CZ14" s="13"/>
      <c r="DA14" s="240">
        <f>(D14+'[2]апрель 20 '!D14)/(AY14+'[2]апрель 20 '!AX14)</f>
        <v>2.2460725224544618</v>
      </c>
      <c r="DB14" s="241">
        <f>(T14+'[2]апрель 20 '!R14)/(AY14+'[2]апрель 20 '!AX14)</f>
        <v>1.3098782170737853</v>
      </c>
      <c r="DD14" s="292">
        <f t="shared" si="14"/>
        <v>12.308999999999999</v>
      </c>
      <c r="DE14" s="291">
        <v>0.37</v>
      </c>
      <c r="DF14" s="291">
        <v>19.18</v>
      </c>
      <c r="DG14" s="145">
        <f t="shared" si="15"/>
        <v>12.263456699999999</v>
      </c>
      <c r="DH14" s="293">
        <f t="shared" si="28"/>
        <v>3.1340852699000661</v>
      </c>
      <c r="DJ14" s="322"/>
    </row>
    <row r="15" spans="1:114" s="76" customFormat="1" ht="16.5" customHeight="1" thickBot="1">
      <c r="A15" s="144">
        <v>9</v>
      </c>
      <c r="B15" s="122">
        <f>'[1]апрель 20'!K14</f>
        <v>252.42099999999999</v>
      </c>
      <c r="C15" s="123">
        <f t="shared" si="16"/>
        <v>1.7508977066091966</v>
      </c>
      <c r="D15" s="145">
        <f t="shared" si="17"/>
        <v>248.00136650000002</v>
      </c>
      <c r="E15" s="125">
        <f t="shared" si="18"/>
        <v>38.140395608923185</v>
      </c>
      <c r="F15" s="146">
        <f t="shared" si="19"/>
        <v>2.5420394270192697</v>
      </c>
      <c r="G15" s="127"/>
      <c r="H15" s="126">
        <f t="shared" si="20"/>
        <v>1.972594982574825</v>
      </c>
      <c r="I15" s="230">
        <f>'[1]июль 20'!AI14</f>
        <v>0</v>
      </c>
      <c r="J15" s="247">
        <f>'[1]апрель 20'!AA14</f>
        <v>10.073</v>
      </c>
      <c r="K15" s="276">
        <f>'[1]сентябрь 20'!AM14</f>
        <v>0</v>
      </c>
      <c r="L15" s="122">
        <f>'[1]апрель 20'!AE14</f>
        <v>55.555</v>
      </c>
      <c r="M15" s="128">
        <f t="shared" si="21"/>
        <v>0.56944444444444431</v>
      </c>
      <c r="N15" s="400">
        <f>'[1]апрель 20'!W14</f>
        <v>0</v>
      </c>
      <c r="O15" s="403">
        <f>'[1]апрель 20'!AU14</f>
        <v>2.57</v>
      </c>
      <c r="P15" s="401">
        <f t="shared" si="0"/>
        <v>148.52699999999999</v>
      </c>
      <c r="Q15" s="122">
        <f>'[1]апрель 20'!S14</f>
        <v>148.52699999999999</v>
      </c>
      <c r="R15" s="123">
        <f t="shared" si="22"/>
        <v>2.92</v>
      </c>
      <c r="S15" s="129">
        <v>12.08</v>
      </c>
      <c r="T15" s="125">
        <f t="shared" si="1"/>
        <v>144.19001159999999</v>
      </c>
      <c r="U15" s="147">
        <f t="shared" si="2"/>
        <v>1.4779623985239847</v>
      </c>
      <c r="V15" s="130">
        <v>97.56</v>
      </c>
      <c r="W15" s="130">
        <v>97.56</v>
      </c>
      <c r="X15" s="129">
        <v>0.72</v>
      </c>
      <c r="Y15" s="131">
        <v>495</v>
      </c>
      <c r="Z15" s="150">
        <v>1158</v>
      </c>
      <c r="AA15" s="148" t="s">
        <v>231</v>
      </c>
      <c r="AB15" s="149">
        <v>75.7</v>
      </c>
      <c r="AC15" s="150">
        <v>101</v>
      </c>
      <c r="AD15" s="151">
        <v>4</v>
      </c>
      <c r="AE15" s="149"/>
      <c r="AF15" s="134">
        <f t="shared" si="3"/>
        <v>0</v>
      </c>
      <c r="AG15" s="152"/>
      <c r="AH15" s="129">
        <v>84.15</v>
      </c>
      <c r="AI15" s="134">
        <f t="shared" si="4"/>
        <v>862.54612546125441</v>
      </c>
      <c r="AJ15" s="136">
        <v>12.25</v>
      </c>
      <c r="AK15" s="154"/>
      <c r="AL15" s="155">
        <v>6.76</v>
      </c>
      <c r="AM15" s="156">
        <v>34.57</v>
      </c>
      <c r="AN15" s="126">
        <f t="shared" si="23"/>
        <v>0.25224370667639545</v>
      </c>
      <c r="AO15" s="157" t="s">
        <v>184</v>
      </c>
      <c r="AP15" s="156">
        <v>9.4</v>
      </c>
      <c r="AQ15" s="156">
        <v>6.68</v>
      </c>
      <c r="AR15" s="149"/>
      <c r="AS15" s="149">
        <v>7.4</v>
      </c>
      <c r="AT15" s="149">
        <v>137.05000000000001</v>
      </c>
      <c r="AU15" s="149">
        <v>1.84</v>
      </c>
      <c r="AV15" s="149"/>
      <c r="AW15" s="149"/>
      <c r="AX15" s="158">
        <f t="shared" si="5"/>
        <v>0</v>
      </c>
      <c r="AY15" s="125">
        <f t="shared" si="6"/>
        <v>97.560000000000031</v>
      </c>
      <c r="AZ15" s="125">
        <f t="shared" si="29"/>
        <v>111.59378817940396</v>
      </c>
      <c r="BA15" s="159">
        <f t="shared" si="7"/>
        <v>4.8238098591549292</v>
      </c>
      <c r="BB15" s="160">
        <f t="shared" si="8"/>
        <v>3.9024000000000014</v>
      </c>
      <c r="BC15" s="161">
        <f t="shared" si="9"/>
        <v>0.78077950331564483</v>
      </c>
      <c r="BD15" s="159">
        <f t="shared" si="24"/>
        <v>8.7262098591549311</v>
      </c>
      <c r="BE15" s="167">
        <v>0.86499999999999999</v>
      </c>
      <c r="BF15" s="25">
        <f t="shared" si="25"/>
        <v>1114.1200000000001</v>
      </c>
      <c r="BG15" s="25">
        <f t="shared" si="10"/>
        <v>125</v>
      </c>
      <c r="BH15" s="25">
        <f t="shared" si="26"/>
        <v>1125</v>
      </c>
      <c r="BI15" s="26">
        <f t="shared" si="11"/>
        <v>1</v>
      </c>
      <c r="BJ15" s="37">
        <f t="shared" si="27"/>
        <v>1125</v>
      </c>
      <c r="BK15" s="38"/>
      <c r="BL15" s="42">
        <v>171.55699999999999</v>
      </c>
      <c r="BM15" s="31"/>
      <c r="BN15" s="31"/>
      <c r="BO15" s="40"/>
      <c r="BP15" s="40">
        <v>25.309000000000001</v>
      </c>
      <c r="BQ15" s="32">
        <v>55.555</v>
      </c>
      <c r="BR15" s="33"/>
      <c r="BS15" s="35">
        <v>2.2000000000000002</v>
      </c>
      <c r="BT15" s="35"/>
      <c r="BU15" s="28"/>
      <c r="BV15" s="287"/>
      <c r="BW15" s="287">
        <v>2.5499999999999998</v>
      </c>
      <c r="BX15" s="36"/>
      <c r="BY15" s="33"/>
      <c r="BZ15" s="34">
        <v>36.5</v>
      </c>
      <c r="CA15" s="35"/>
      <c r="CB15" s="35"/>
      <c r="CC15" s="35"/>
      <c r="CD15" s="35">
        <v>37.1</v>
      </c>
      <c r="CE15" s="35">
        <v>43.68</v>
      </c>
      <c r="CF15" s="38">
        <v>148.52699999999999</v>
      </c>
      <c r="CG15" s="30"/>
      <c r="CH15" s="30"/>
      <c r="CI15" s="32"/>
      <c r="CJ15" s="33">
        <v>2.92</v>
      </c>
      <c r="CK15" s="33"/>
      <c r="CL15" s="33"/>
      <c r="CM15" s="36"/>
      <c r="CN15" s="286"/>
      <c r="CO15" s="249">
        <f t="shared" si="12"/>
        <v>0</v>
      </c>
      <c r="CP15" s="12">
        <f t="shared" si="12"/>
        <v>167.78274599999997</v>
      </c>
      <c r="CQ15" s="12">
        <f t="shared" si="12"/>
        <v>0</v>
      </c>
      <c r="CR15" s="17">
        <f t="shared" si="12"/>
        <v>0</v>
      </c>
      <c r="CS15" s="11">
        <f t="shared" si="12"/>
        <v>0</v>
      </c>
      <c r="CT15" s="11">
        <f t="shared" si="12"/>
        <v>24.6636205</v>
      </c>
      <c r="CU15" s="272">
        <f t="shared" si="12"/>
        <v>55.555</v>
      </c>
      <c r="CV15" s="249">
        <f t="shared" si="13"/>
        <v>144.19001159999999</v>
      </c>
      <c r="CW15" s="12">
        <f t="shared" si="13"/>
        <v>0</v>
      </c>
      <c r="CX15" s="249">
        <f t="shared" si="13"/>
        <v>0</v>
      </c>
      <c r="CY15" s="274">
        <f t="shared" si="13"/>
        <v>0</v>
      </c>
      <c r="CZ15" s="13"/>
      <c r="DA15" s="240">
        <f>(D15+'[2]апрель 20 '!D15)/(AY15+'[2]апрель 20 '!AX15)</f>
        <v>2.2800777316973924</v>
      </c>
      <c r="DB15" s="241">
        <f>(T15+'[2]апрель 20 '!R15)/(AY15+'[2]апрель 20 '!AX15)</f>
        <v>1.328523620770603</v>
      </c>
      <c r="DD15" s="292">
        <f t="shared" si="14"/>
        <v>10.073</v>
      </c>
      <c r="DE15" s="291">
        <v>0.17</v>
      </c>
      <c r="DF15" s="291">
        <v>18.899999999999999</v>
      </c>
      <c r="DG15" s="145">
        <f t="shared" si="15"/>
        <v>10.0558759</v>
      </c>
      <c r="DH15" s="293">
        <f t="shared" si="28"/>
        <v>2.5106480120211359</v>
      </c>
      <c r="DJ15" s="322"/>
    </row>
    <row r="16" spans="1:114" s="76" customFormat="1" ht="16.5" customHeight="1" thickBot="1">
      <c r="A16" s="144">
        <v>10</v>
      </c>
      <c r="B16" s="122">
        <f>'[1]апрель 20'!K15</f>
        <v>262.89</v>
      </c>
      <c r="C16" s="123">
        <f t="shared" si="16"/>
        <v>1.4585275970938416</v>
      </c>
      <c r="D16" s="145">
        <f t="shared" si="17"/>
        <v>259.05567679999996</v>
      </c>
      <c r="E16" s="125">
        <f t="shared" si="18"/>
        <v>38.740816577275673</v>
      </c>
      <c r="F16" s="146">
        <f t="shared" si="19"/>
        <v>2.2188923066381152</v>
      </c>
      <c r="G16" s="127"/>
      <c r="H16" s="126">
        <f t="shared" si="20"/>
        <v>1.7640657541755886</v>
      </c>
      <c r="I16" s="230">
        <f>'[1]июль 20'!AI15</f>
        <v>0</v>
      </c>
      <c r="J16" s="247">
        <f>'[1]апрель 20'!AA15</f>
        <v>10.414999999999999</v>
      </c>
      <c r="K16" s="276">
        <f>'[1]сентябрь 20'!AM15</f>
        <v>0</v>
      </c>
      <c r="L16" s="122">
        <f>'[1]апрель 20'!AE15</f>
        <v>53.100999999999999</v>
      </c>
      <c r="M16" s="128">
        <f t="shared" si="21"/>
        <v>0.45482655246252668</v>
      </c>
      <c r="N16" s="400">
        <f>'[1]апрель 20'!W15</f>
        <v>0</v>
      </c>
      <c r="O16" s="403">
        <f>'[1]апрель 20'!AU15</f>
        <v>2.6120000000000001</v>
      </c>
      <c r="P16" s="401">
        <f t="shared" si="0"/>
        <v>155.52000000000001</v>
      </c>
      <c r="Q16" s="122">
        <f>'[1]апрель 20'!S15</f>
        <v>155.52000000000001</v>
      </c>
      <c r="R16" s="123">
        <f t="shared" si="22"/>
        <v>3.55</v>
      </c>
      <c r="S16" s="129">
        <v>24.93</v>
      </c>
      <c r="T16" s="125">
        <f t="shared" si="1"/>
        <v>149.99904000000001</v>
      </c>
      <c r="U16" s="147">
        <f t="shared" si="2"/>
        <v>1.28478835117773</v>
      </c>
      <c r="V16" s="130">
        <v>58.65</v>
      </c>
      <c r="W16" s="130">
        <v>87.74</v>
      </c>
      <c r="X16" s="129">
        <v>0.94</v>
      </c>
      <c r="Y16" s="131">
        <v>487</v>
      </c>
      <c r="Z16" s="150">
        <v>1178</v>
      </c>
      <c r="AA16" s="148" t="s">
        <v>232</v>
      </c>
      <c r="AB16" s="149">
        <v>75.010000000000005</v>
      </c>
      <c r="AC16" s="150">
        <v>105</v>
      </c>
      <c r="AD16" s="151">
        <v>4</v>
      </c>
      <c r="AE16" s="149"/>
      <c r="AF16" s="134">
        <f t="shared" si="3"/>
        <v>0</v>
      </c>
      <c r="AG16" s="152"/>
      <c r="AH16" s="129">
        <v>72.95</v>
      </c>
      <c r="AI16" s="134">
        <f t="shared" si="4"/>
        <v>624.83940042826544</v>
      </c>
      <c r="AJ16" s="153">
        <v>12.15</v>
      </c>
      <c r="AK16" s="154"/>
      <c r="AL16" s="155">
        <v>6.38</v>
      </c>
      <c r="AM16" s="156">
        <v>29.85</v>
      </c>
      <c r="AN16" s="126">
        <f t="shared" si="23"/>
        <v>0.19814138732160638</v>
      </c>
      <c r="AO16" s="157" t="s">
        <v>198</v>
      </c>
      <c r="AP16" s="156">
        <v>9.41</v>
      </c>
      <c r="AQ16" s="156">
        <v>6.51</v>
      </c>
      <c r="AR16" s="149"/>
      <c r="AS16" s="149">
        <v>6.58</v>
      </c>
      <c r="AT16" s="149">
        <v>150.65</v>
      </c>
      <c r="AU16" s="149">
        <v>2.33</v>
      </c>
      <c r="AV16" s="149"/>
      <c r="AW16" s="149"/>
      <c r="AX16" s="158">
        <f t="shared" si="5"/>
        <v>0</v>
      </c>
      <c r="AY16" s="125">
        <f t="shared" si="6"/>
        <v>116.75000000000001</v>
      </c>
      <c r="AZ16" s="125">
        <f t="shared" si="29"/>
        <v>119.61929140351998</v>
      </c>
      <c r="BA16" s="159">
        <f t="shared" si="7"/>
        <v>3.718395070422535</v>
      </c>
      <c r="BB16" s="160">
        <f t="shared" si="8"/>
        <v>4.6700000000000008</v>
      </c>
      <c r="BC16" s="161">
        <f t="shared" si="9"/>
        <v>0.87259791425115663</v>
      </c>
      <c r="BD16" s="160">
        <f t="shared" si="24"/>
        <v>8.3883950704225363</v>
      </c>
      <c r="BE16" s="162">
        <v>0.86599999999999999</v>
      </c>
      <c r="BF16" s="25">
        <f t="shared" si="25"/>
        <v>1230.8700000000001</v>
      </c>
      <c r="BG16" s="25">
        <f t="shared" si="10"/>
        <v>125</v>
      </c>
      <c r="BH16" s="25">
        <f t="shared" si="26"/>
        <v>1250</v>
      </c>
      <c r="BI16" s="26">
        <f t="shared" si="11"/>
        <v>1</v>
      </c>
      <c r="BJ16" s="37">
        <f t="shared" si="27"/>
        <v>1250</v>
      </c>
      <c r="BK16" s="38"/>
      <c r="BL16" s="31">
        <v>183.529</v>
      </c>
      <c r="BM16" s="31"/>
      <c r="BN16" s="234"/>
      <c r="BO16" s="42"/>
      <c r="BP16" s="40">
        <v>26.26</v>
      </c>
      <c r="BQ16" s="32">
        <v>53.100999999999999</v>
      </c>
      <c r="BR16" s="33"/>
      <c r="BS16" s="34">
        <v>1.68</v>
      </c>
      <c r="BT16" s="35"/>
      <c r="BU16" s="28"/>
      <c r="BV16" s="287"/>
      <c r="BW16" s="287">
        <v>2.86</v>
      </c>
      <c r="BX16" s="36"/>
      <c r="BY16" s="33"/>
      <c r="BZ16" s="34">
        <v>37.28</v>
      </c>
      <c r="CA16" s="35"/>
      <c r="CB16" s="405"/>
      <c r="CC16" s="404"/>
      <c r="CD16" s="235">
        <v>39.630000000000003</v>
      </c>
      <c r="CE16" s="36">
        <v>43.35</v>
      </c>
      <c r="CF16" s="38">
        <v>155.52000000000001</v>
      </c>
      <c r="CG16" s="30"/>
      <c r="CH16" s="30"/>
      <c r="CI16" s="32"/>
      <c r="CJ16" s="33">
        <v>3.55</v>
      </c>
      <c r="CK16" s="33"/>
      <c r="CL16" s="33"/>
      <c r="CM16" s="36"/>
      <c r="CN16" s="286"/>
      <c r="CO16" s="249">
        <f t="shared" si="12"/>
        <v>0</v>
      </c>
      <c r="CP16" s="12">
        <f t="shared" si="12"/>
        <v>180.4457128</v>
      </c>
      <c r="CQ16" s="12">
        <f t="shared" si="12"/>
        <v>0</v>
      </c>
      <c r="CR16" s="11">
        <f t="shared" si="12"/>
        <v>0</v>
      </c>
      <c r="CS16" s="11">
        <f t="shared" si="12"/>
        <v>0</v>
      </c>
      <c r="CT16" s="11">
        <f t="shared" si="12"/>
        <v>25.508964000000002</v>
      </c>
      <c r="CU16" s="272">
        <f t="shared" si="12"/>
        <v>53.100999999999999</v>
      </c>
      <c r="CV16" s="249">
        <f t="shared" si="13"/>
        <v>149.99904000000001</v>
      </c>
      <c r="CW16" s="12">
        <f t="shared" si="13"/>
        <v>0</v>
      </c>
      <c r="CX16" s="249">
        <f t="shared" si="13"/>
        <v>0</v>
      </c>
      <c r="CY16" s="272">
        <f t="shared" si="13"/>
        <v>0</v>
      </c>
      <c r="CZ16" s="13"/>
      <c r="DA16" s="240">
        <f>(D16+'[2]апрель 20 '!D16)/(AY16+'[2]апрель 20 '!AX16)</f>
        <v>2.3834260495395361</v>
      </c>
      <c r="DB16" s="241">
        <f>(T16+'[2]апрель 20 '!R16)/(AY16+'[2]апрель 20 '!AX16)</f>
        <v>1.4006955859002856</v>
      </c>
      <c r="DD16" s="292">
        <f t="shared" si="14"/>
        <v>10.414999999999999</v>
      </c>
      <c r="DE16" s="291">
        <v>0.16</v>
      </c>
      <c r="DF16" s="291">
        <v>20.309999999999999</v>
      </c>
      <c r="DG16" s="145">
        <f t="shared" si="15"/>
        <v>10.398336</v>
      </c>
      <c r="DH16" s="293">
        <f t="shared" si="28"/>
        <v>2.8154939896013857</v>
      </c>
      <c r="DJ16" s="322"/>
    </row>
    <row r="17" spans="1:114" s="76" customFormat="1" ht="16.5" customHeight="1" thickBot="1">
      <c r="A17" s="144">
        <v>11</v>
      </c>
      <c r="B17" s="122">
        <f>'[1]апрель 20'!K16</f>
        <v>257.92599999999999</v>
      </c>
      <c r="C17" s="123">
        <f t="shared" si="16"/>
        <v>1.3472525065328815</v>
      </c>
      <c r="D17" s="145">
        <f t="shared" si="17"/>
        <v>254.45108549999998</v>
      </c>
      <c r="E17" s="125">
        <f t="shared" si="18"/>
        <v>39.171579367725627</v>
      </c>
      <c r="F17" s="146">
        <f t="shared" si="19"/>
        <v>2.1952470494349061</v>
      </c>
      <c r="G17" s="127"/>
      <c r="H17" s="126">
        <f t="shared" si="20"/>
        <v>1.7932800060391683</v>
      </c>
      <c r="I17" s="230">
        <f>'[1]июль 20'!AI16</f>
        <v>0</v>
      </c>
      <c r="J17" s="247">
        <f>'[1]апрель 20'!AA16</f>
        <v>10.39</v>
      </c>
      <c r="K17" s="276">
        <f>'[1]сентябрь 20'!AM16</f>
        <v>0</v>
      </c>
      <c r="L17" s="122">
        <f>'[1]апрель 20'!AE16</f>
        <v>46.591999999999999</v>
      </c>
      <c r="M17" s="128">
        <f t="shared" si="21"/>
        <v>0.40196704339573802</v>
      </c>
      <c r="N17" s="400">
        <f>'[1]апрель 20'!W16</f>
        <v>0</v>
      </c>
      <c r="O17" s="403">
        <f>'[1]апрель 20'!AU16</f>
        <v>2.5659999999999998</v>
      </c>
      <c r="P17" s="401">
        <f t="shared" si="0"/>
        <v>157.005</v>
      </c>
      <c r="Q17" s="122">
        <f>'[1]апрель 20'!S16</f>
        <v>157.005</v>
      </c>
      <c r="R17" s="123">
        <f t="shared" si="22"/>
        <v>4.09</v>
      </c>
      <c r="S17" s="129">
        <v>7.71</v>
      </c>
      <c r="T17" s="125">
        <f t="shared" si="1"/>
        <v>150.5834955</v>
      </c>
      <c r="U17" s="147">
        <f t="shared" si="2"/>
        <v>1.2991415365369683</v>
      </c>
      <c r="V17" s="130">
        <v>115.91</v>
      </c>
      <c r="W17" s="130">
        <v>87.35</v>
      </c>
      <c r="X17" s="129">
        <v>0.69</v>
      </c>
      <c r="Y17" s="131">
        <v>487</v>
      </c>
      <c r="Z17" s="150">
        <v>1173</v>
      </c>
      <c r="AA17" s="148" t="s">
        <v>233</v>
      </c>
      <c r="AB17" s="149">
        <v>76.680000000000007</v>
      </c>
      <c r="AC17" s="150">
        <v>103</v>
      </c>
      <c r="AD17" s="151">
        <v>4</v>
      </c>
      <c r="AE17" s="149"/>
      <c r="AF17" s="134">
        <f t="shared" si="3"/>
        <v>0</v>
      </c>
      <c r="AG17" s="152"/>
      <c r="AH17" s="129">
        <v>92</v>
      </c>
      <c r="AI17" s="134">
        <f t="shared" si="4"/>
        <v>793.71926494694151</v>
      </c>
      <c r="AJ17" s="136">
        <v>11.57</v>
      </c>
      <c r="AK17" s="154"/>
      <c r="AL17" s="155">
        <v>4.29</v>
      </c>
      <c r="AM17" s="156">
        <v>29.99</v>
      </c>
      <c r="AN17" s="126">
        <f t="shared" si="23"/>
        <v>0.20161344537815126</v>
      </c>
      <c r="AO17" s="157" t="s">
        <v>184</v>
      </c>
      <c r="AP17" s="156">
        <v>8</v>
      </c>
      <c r="AQ17" s="156">
        <v>6.74</v>
      </c>
      <c r="AR17" s="149"/>
      <c r="AS17" s="149">
        <v>9.19</v>
      </c>
      <c r="AT17" s="149">
        <v>148.75</v>
      </c>
      <c r="AU17" s="149">
        <v>1.44</v>
      </c>
      <c r="AV17" s="149"/>
      <c r="AW17" s="149"/>
      <c r="AX17" s="158">
        <f t="shared" si="5"/>
        <v>0</v>
      </c>
      <c r="AY17" s="125">
        <f t="shared" si="6"/>
        <v>115.91000000000001</v>
      </c>
      <c r="AZ17" s="125">
        <f t="shared" si="29"/>
        <v>116.14251216245508</v>
      </c>
      <c r="BA17" s="159">
        <f t="shared" si="7"/>
        <v>6.5494929577464776</v>
      </c>
      <c r="BB17" s="160">
        <f t="shared" si="8"/>
        <v>4.636400000000001</v>
      </c>
      <c r="BC17" s="161">
        <f t="shared" si="9"/>
        <v>0.89171817759136529</v>
      </c>
      <c r="BD17" s="160">
        <f t="shared" si="24"/>
        <v>11.185892957746479</v>
      </c>
      <c r="BE17" s="162">
        <v>0.86799999999999999</v>
      </c>
      <c r="BF17" s="25">
        <f t="shared" si="25"/>
        <v>1346.7800000000002</v>
      </c>
      <c r="BG17" s="25">
        <f t="shared" si="10"/>
        <v>125</v>
      </c>
      <c r="BH17" s="25">
        <f t="shared" si="26"/>
        <v>1375</v>
      </c>
      <c r="BI17" s="26">
        <f t="shared" si="11"/>
        <v>1</v>
      </c>
      <c r="BJ17" s="37">
        <f t="shared" si="27"/>
        <v>1375</v>
      </c>
      <c r="BK17" s="39"/>
      <c r="BL17" s="31">
        <v>185.459</v>
      </c>
      <c r="BM17" s="31"/>
      <c r="BN17" s="234"/>
      <c r="BO17" s="42"/>
      <c r="BP17" s="40">
        <v>25.875</v>
      </c>
      <c r="BQ17" s="32">
        <v>46.591999999999999</v>
      </c>
      <c r="BR17" s="33"/>
      <c r="BS17" s="34">
        <v>1.55</v>
      </c>
      <c r="BT17" s="35"/>
      <c r="BU17" s="28"/>
      <c r="BV17" s="287"/>
      <c r="BW17" s="287">
        <v>2.3199999999999998</v>
      </c>
      <c r="BX17" s="36"/>
      <c r="BY17" s="33"/>
      <c r="BZ17" s="34">
        <v>38.04</v>
      </c>
      <c r="CA17" s="35"/>
      <c r="CB17" s="405"/>
      <c r="CC17" s="404"/>
      <c r="CD17" s="235">
        <v>39.020000000000003</v>
      </c>
      <c r="CE17" s="36">
        <v>43.76</v>
      </c>
      <c r="CF17" s="38">
        <v>157.005</v>
      </c>
      <c r="CG17" s="42"/>
      <c r="CH17" s="234"/>
      <c r="CI17" s="233"/>
      <c r="CJ17" s="33">
        <v>4.09</v>
      </c>
      <c r="CK17" s="33"/>
      <c r="CL17" s="33"/>
      <c r="CM17" s="36"/>
      <c r="CN17" s="286"/>
      <c r="CO17" s="249">
        <f t="shared" si="12"/>
        <v>0</v>
      </c>
      <c r="CP17" s="12">
        <f t="shared" si="12"/>
        <v>182.58438550000002</v>
      </c>
      <c r="CQ17" s="12">
        <f t="shared" si="12"/>
        <v>0</v>
      </c>
      <c r="CR17" s="12">
        <f t="shared" si="12"/>
        <v>0</v>
      </c>
      <c r="CS17" s="11">
        <f t="shared" si="12"/>
        <v>0</v>
      </c>
      <c r="CT17" s="11">
        <f t="shared" si="12"/>
        <v>25.274700000000003</v>
      </c>
      <c r="CU17" s="272">
        <f t="shared" si="12"/>
        <v>46.591999999999999</v>
      </c>
      <c r="CV17" s="249">
        <f t="shared" si="13"/>
        <v>150.5834955</v>
      </c>
      <c r="CW17" s="12">
        <f t="shared" si="13"/>
        <v>0</v>
      </c>
      <c r="CX17" s="254">
        <f t="shared" si="13"/>
        <v>0</v>
      </c>
      <c r="CY17" s="272">
        <f t="shared" si="13"/>
        <v>0</v>
      </c>
      <c r="CZ17" s="13"/>
      <c r="DA17" s="240">
        <f>(D17+'[2]апрель 20 '!D17)/(AY17+'[2]апрель 20 '!AX17)</f>
        <v>2.3123602274327344</v>
      </c>
      <c r="DB17" s="241">
        <f>(T17+'[2]апрель 20 '!R17)/(AY17+'[2]апрель 20 '!AX17)</f>
        <v>1.3812283678716826</v>
      </c>
      <c r="DD17" s="292">
        <f t="shared" si="14"/>
        <v>10.39</v>
      </c>
      <c r="DE17" s="291">
        <v>0.19</v>
      </c>
      <c r="DF17" s="291">
        <v>19.71</v>
      </c>
      <c r="DG17" s="145">
        <f t="shared" si="15"/>
        <v>10.370259000000001</v>
      </c>
      <c r="DH17" s="293">
        <f t="shared" si="28"/>
        <v>2.6655947429577465</v>
      </c>
      <c r="DJ17" s="322"/>
    </row>
    <row r="18" spans="1:114" s="76" customFormat="1" ht="16.5" customHeight="1" thickBot="1">
      <c r="A18" s="144">
        <v>12</v>
      </c>
      <c r="B18" s="122">
        <f>'[1]апрель 20'!K17</f>
        <v>262.61500000000001</v>
      </c>
      <c r="C18" s="123">
        <f t="shared" si="16"/>
        <v>1.4450369552386571</v>
      </c>
      <c r="D18" s="145">
        <f t="shared" si="17"/>
        <v>258.82011619999997</v>
      </c>
      <c r="E18" s="125">
        <f t="shared" si="18"/>
        <v>38.655618681339604</v>
      </c>
      <c r="F18" s="146">
        <f t="shared" si="19"/>
        <v>2.413691282290404</v>
      </c>
      <c r="G18" s="127"/>
      <c r="H18" s="126">
        <f t="shared" si="20"/>
        <v>1.9728724815816467</v>
      </c>
      <c r="I18" s="230">
        <f>'[1]июль 20'!AI17</f>
        <v>0</v>
      </c>
      <c r="J18" s="247">
        <f>'[1]апрель 20'!AA17</f>
        <v>10.268000000000001</v>
      </c>
      <c r="K18" s="276">
        <f>'[1]сентябрь 20'!AM17</f>
        <v>0</v>
      </c>
      <c r="L18" s="122">
        <f>'[1]апрель 20'!AE17</f>
        <v>47.268999999999998</v>
      </c>
      <c r="M18" s="128">
        <f t="shared" si="21"/>
        <v>0.4408188007087569</v>
      </c>
      <c r="N18" s="400">
        <f>'[1]апрель 20'!W17</f>
        <v>0</v>
      </c>
      <c r="O18" s="403">
        <f>'[1]апрель 20'!AU17</f>
        <v>2.1150000000000002</v>
      </c>
      <c r="P18" s="401">
        <f t="shared" si="0"/>
        <v>157.38800000000001</v>
      </c>
      <c r="Q18" s="122">
        <f>'[1]апрель 20'!S17</f>
        <v>157.38800000000001</v>
      </c>
      <c r="R18" s="123">
        <f t="shared" si="22"/>
        <v>4.3099999999999996</v>
      </c>
      <c r="S18" s="129"/>
      <c r="T18" s="125">
        <f t="shared" si="1"/>
        <v>150.60457719999999</v>
      </c>
      <c r="U18" s="147">
        <f t="shared" si="2"/>
        <v>1.4045003935465823</v>
      </c>
      <c r="V18" s="130">
        <v>107.23</v>
      </c>
      <c r="W18" s="130">
        <v>107.23</v>
      </c>
      <c r="X18" s="129">
        <v>0.35</v>
      </c>
      <c r="Y18" s="131">
        <v>480</v>
      </c>
      <c r="Z18" s="150">
        <v>1178</v>
      </c>
      <c r="AA18" s="148" t="s">
        <v>234</v>
      </c>
      <c r="AB18" s="149">
        <v>76.08</v>
      </c>
      <c r="AC18" s="150">
        <v>105</v>
      </c>
      <c r="AD18" s="151">
        <v>4</v>
      </c>
      <c r="AE18" s="149"/>
      <c r="AF18" s="134">
        <f t="shared" si="3"/>
        <v>0</v>
      </c>
      <c r="AG18" s="152"/>
      <c r="AH18" s="129">
        <v>84.7</v>
      </c>
      <c r="AI18" s="134">
        <f t="shared" si="4"/>
        <v>789.89088874382173</v>
      </c>
      <c r="AJ18" s="153">
        <v>13.33</v>
      </c>
      <c r="AK18" s="154"/>
      <c r="AL18" s="155">
        <v>7.12</v>
      </c>
      <c r="AM18" s="156">
        <v>30.65</v>
      </c>
      <c r="AN18" s="126">
        <f t="shared" si="23"/>
        <v>0.21336581970066132</v>
      </c>
      <c r="AO18" s="157" t="s">
        <v>181</v>
      </c>
      <c r="AP18" s="156">
        <v>7.76</v>
      </c>
      <c r="AQ18" s="156">
        <v>6.31</v>
      </c>
      <c r="AR18" s="151"/>
      <c r="AS18" s="149">
        <v>10.73</v>
      </c>
      <c r="AT18" s="149">
        <v>143.65</v>
      </c>
      <c r="AU18" s="149">
        <v>1.35</v>
      </c>
      <c r="AV18" s="149"/>
      <c r="AW18" s="149"/>
      <c r="AX18" s="158">
        <f t="shared" si="5"/>
        <v>0</v>
      </c>
      <c r="AY18" s="125">
        <f t="shared" si="6"/>
        <v>107.22999999999999</v>
      </c>
      <c r="AZ18" s="125">
        <f t="shared" si="29"/>
        <v>117.35458291341391</v>
      </c>
      <c r="BA18" s="159">
        <f t="shared" si="7"/>
        <v>7.0402401408450697</v>
      </c>
      <c r="BB18" s="160">
        <f t="shared" si="8"/>
        <v>4.2892000000000001</v>
      </c>
      <c r="BC18" s="161">
        <f t="shared" si="9"/>
        <v>0.81541022588062728</v>
      </c>
      <c r="BD18" s="160">
        <f t="shared" si="24"/>
        <v>11.329440140845069</v>
      </c>
      <c r="BE18" s="162">
        <v>0.86399999999999999</v>
      </c>
      <c r="BF18" s="25">
        <f t="shared" si="25"/>
        <v>1454.0100000000002</v>
      </c>
      <c r="BG18" s="25">
        <f t="shared" si="10"/>
        <v>125</v>
      </c>
      <c r="BH18" s="25">
        <f t="shared" si="26"/>
        <v>1500</v>
      </c>
      <c r="BI18" s="26">
        <f t="shared" si="11"/>
        <v>1</v>
      </c>
      <c r="BJ18" s="37">
        <f t="shared" si="27"/>
        <v>1500</v>
      </c>
      <c r="BK18" s="38"/>
      <c r="BL18" s="31">
        <v>189.077</v>
      </c>
      <c r="BM18" s="31"/>
      <c r="BN18" s="234"/>
      <c r="BO18" s="42"/>
      <c r="BP18" s="40">
        <v>26.268999999999998</v>
      </c>
      <c r="BQ18" s="411">
        <v>47.268999999999998</v>
      </c>
      <c r="BR18" s="41"/>
      <c r="BS18" s="34">
        <v>1.65</v>
      </c>
      <c r="BT18" s="35"/>
      <c r="BU18" s="28"/>
      <c r="BV18" s="287"/>
      <c r="BW18" s="287">
        <v>2.57</v>
      </c>
      <c r="BX18" s="36"/>
      <c r="BY18" s="34"/>
      <c r="BZ18" s="34">
        <v>37.36</v>
      </c>
      <c r="CA18" s="35"/>
      <c r="CB18" s="405"/>
      <c r="CC18" s="404"/>
      <c r="CD18" s="235">
        <v>39.39</v>
      </c>
      <c r="CE18" s="405">
        <v>43.43</v>
      </c>
      <c r="CF18" s="38">
        <v>157.38800000000001</v>
      </c>
      <c r="CG18" s="42"/>
      <c r="CH18" s="234"/>
      <c r="CI18" s="233"/>
      <c r="CJ18" s="33">
        <v>4.3099999999999996</v>
      </c>
      <c r="CK18" s="33"/>
      <c r="CL18" s="33"/>
      <c r="CM18" s="36"/>
      <c r="CN18" s="286"/>
      <c r="CO18" s="249">
        <f t="shared" si="12"/>
        <v>0</v>
      </c>
      <c r="CP18" s="12">
        <f t="shared" si="12"/>
        <v>185.95722949999998</v>
      </c>
      <c r="CQ18" s="12">
        <f t="shared" si="12"/>
        <v>0</v>
      </c>
      <c r="CR18" s="12">
        <f t="shared" si="12"/>
        <v>0</v>
      </c>
      <c r="CS18" s="11">
        <f t="shared" si="12"/>
        <v>0</v>
      </c>
      <c r="CT18" s="11">
        <f t="shared" si="12"/>
        <v>25.593886699999999</v>
      </c>
      <c r="CU18" s="272">
        <f t="shared" si="12"/>
        <v>47.268999999999998</v>
      </c>
      <c r="CV18" s="249">
        <f t="shared" si="13"/>
        <v>150.60457719999999</v>
      </c>
      <c r="CW18" s="11">
        <f t="shared" si="13"/>
        <v>0</v>
      </c>
      <c r="CX18" s="249">
        <f t="shared" si="13"/>
        <v>0</v>
      </c>
      <c r="CY18" s="272">
        <f t="shared" si="13"/>
        <v>0</v>
      </c>
      <c r="CZ18" s="13"/>
      <c r="DA18" s="240">
        <f>(D18+'[2]апрель 20 '!D18)/(AY18+'[2]апрель 20 '!AX18)</f>
        <v>2.3294573543322286</v>
      </c>
      <c r="DB18" s="241">
        <f>(T18+'[2]апрель 20 '!R18)/(AY18+'[2]апрель 20 '!AX18)</f>
        <v>1.3861670383835785</v>
      </c>
      <c r="DD18" s="292">
        <f t="shared" si="14"/>
        <v>10.268000000000001</v>
      </c>
      <c r="DE18" s="291">
        <v>0.14000000000000001</v>
      </c>
      <c r="DF18" s="291">
        <v>18.93</v>
      </c>
      <c r="DG18" s="145">
        <f t="shared" si="15"/>
        <v>10.253624800000001</v>
      </c>
      <c r="DH18" s="293">
        <f t="shared" si="28"/>
        <v>2.5512765176656149</v>
      </c>
      <c r="DJ18" s="322"/>
    </row>
    <row r="19" spans="1:114" s="76" customFormat="1" ht="16.5" customHeight="1" thickBot="1">
      <c r="A19" s="144">
        <v>13</v>
      </c>
      <c r="B19" s="122">
        <f>'[1]апрель 20'!K18</f>
        <v>256.70699999999999</v>
      </c>
      <c r="C19" s="123">
        <f t="shared" si="16"/>
        <v>2.0062858433934405</v>
      </c>
      <c r="D19" s="145">
        <f t="shared" si="17"/>
        <v>251.55672379999999</v>
      </c>
      <c r="E19" s="125">
        <f t="shared" si="18"/>
        <v>38.864536962373442</v>
      </c>
      <c r="F19" s="146">
        <f t="shared" si="19"/>
        <v>2.198922410839161</v>
      </c>
      <c r="G19" s="127"/>
      <c r="H19" s="126">
        <f t="shared" si="20"/>
        <v>1.7939049283216784</v>
      </c>
      <c r="I19" s="230">
        <f>'[1]июль 20'!AI18</f>
        <v>0</v>
      </c>
      <c r="J19" s="247">
        <f>'[1]апрель 20'!AA18</f>
        <v>10.188000000000001</v>
      </c>
      <c r="K19" s="276">
        <f>'[1]сентябрь 20'!AM18</f>
        <v>0</v>
      </c>
      <c r="L19" s="122">
        <f>'[1]апрель 20'!AE18</f>
        <v>46.334000000000003</v>
      </c>
      <c r="M19" s="128">
        <f t="shared" si="21"/>
        <v>0.4050174825174826</v>
      </c>
      <c r="N19" s="400">
        <f>'[1]апрель 20'!W18</f>
        <v>0</v>
      </c>
      <c r="O19" s="403">
        <f>'[1]апрель 20'!AU18</f>
        <v>1.6160000000000001</v>
      </c>
      <c r="P19" s="401">
        <f t="shared" si="0"/>
        <v>155.16800000000001</v>
      </c>
      <c r="Q19" s="122">
        <f>'[1]апрель 20'!S18</f>
        <v>155.16800000000001</v>
      </c>
      <c r="R19" s="123">
        <f t="shared" si="22"/>
        <v>4.41</v>
      </c>
      <c r="S19" s="129">
        <v>9.1300000000000008</v>
      </c>
      <c r="T19" s="125">
        <f t="shared" si="1"/>
        <v>148.32509120000003</v>
      </c>
      <c r="U19" s="147">
        <f t="shared" si="2"/>
        <v>1.2965480000000005</v>
      </c>
      <c r="V19" s="130">
        <v>114.4</v>
      </c>
      <c r="W19" s="130">
        <v>114.4</v>
      </c>
      <c r="X19" s="129">
        <v>0.37</v>
      </c>
      <c r="Y19" s="131">
        <v>509</v>
      </c>
      <c r="Z19" s="150">
        <v>1167</v>
      </c>
      <c r="AA19" s="148" t="s">
        <v>235</v>
      </c>
      <c r="AB19" s="149">
        <v>76.650000000000006</v>
      </c>
      <c r="AC19" s="150">
        <v>103</v>
      </c>
      <c r="AD19" s="151">
        <v>4</v>
      </c>
      <c r="AE19" s="149"/>
      <c r="AF19" s="134">
        <f t="shared" si="3"/>
        <v>0</v>
      </c>
      <c r="AG19" s="152"/>
      <c r="AH19" s="129">
        <v>84.5</v>
      </c>
      <c r="AI19" s="134">
        <f t="shared" si="4"/>
        <v>738.63636363636363</v>
      </c>
      <c r="AJ19" s="136">
        <v>12.02</v>
      </c>
      <c r="AK19" s="154"/>
      <c r="AL19" s="155">
        <v>7.03</v>
      </c>
      <c r="AM19" s="156">
        <v>29.21</v>
      </c>
      <c r="AN19" s="126">
        <f t="shared" si="23"/>
        <v>0.19689922480620156</v>
      </c>
      <c r="AO19" s="157" t="s">
        <v>184</v>
      </c>
      <c r="AP19" s="156">
        <v>8.1999999999999993</v>
      </c>
      <c r="AQ19" s="156">
        <v>6.8</v>
      </c>
      <c r="AR19" s="151"/>
      <c r="AS19" s="149">
        <v>8.42</v>
      </c>
      <c r="AT19" s="149">
        <v>148.35</v>
      </c>
      <c r="AU19" s="149">
        <v>2.29</v>
      </c>
      <c r="AV19" s="164"/>
      <c r="AW19" s="149"/>
      <c r="AX19" s="158">
        <f t="shared" si="5"/>
        <v>0</v>
      </c>
      <c r="AY19" s="125">
        <f t="shared" si="6"/>
        <v>114.39999999999999</v>
      </c>
      <c r="AZ19" s="125">
        <f t="shared" si="29"/>
        <v>113.3975348236897</v>
      </c>
      <c r="BA19" s="159">
        <f t="shared" si="7"/>
        <v>5.5115422535211271</v>
      </c>
      <c r="BB19" s="160">
        <f t="shared" si="8"/>
        <v>4.5759999999999996</v>
      </c>
      <c r="BC19" s="161">
        <f t="shared" si="9"/>
        <v>0.89690977218554591</v>
      </c>
      <c r="BD19" s="160">
        <f t="shared" si="24"/>
        <v>10.087542253521127</v>
      </c>
      <c r="BE19" s="162">
        <v>0.86599999999999999</v>
      </c>
      <c r="BF19" s="25">
        <f t="shared" si="25"/>
        <v>1568.4100000000003</v>
      </c>
      <c r="BG19" s="25">
        <f t="shared" si="10"/>
        <v>125</v>
      </c>
      <c r="BH19" s="25">
        <f t="shared" si="26"/>
        <v>1625</v>
      </c>
      <c r="BI19" s="26">
        <f t="shared" si="11"/>
        <v>1</v>
      </c>
      <c r="BJ19" s="37">
        <f t="shared" si="27"/>
        <v>1625</v>
      </c>
      <c r="BK19" s="38"/>
      <c r="BL19" s="31">
        <v>184.47399999999999</v>
      </c>
      <c r="BM19" s="31"/>
      <c r="BN19" s="234"/>
      <c r="BO19" s="42"/>
      <c r="BP19" s="40">
        <v>25.899000000000001</v>
      </c>
      <c r="BQ19" s="411">
        <v>46.334000000000003</v>
      </c>
      <c r="BR19" s="33"/>
      <c r="BS19" s="34">
        <v>2.41</v>
      </c>
      <c r="BT19" s="35"/>
      <c r="BU19" s="28"/>
      <c r="BV19" s="287"/>
      <c r="BW19" s="287">
        <v>2.72</v>
      </c>
      <c r="BX19" s="36"/>
      <c r="BY19" s="33"/>
      <c r="BZ19" s="34">
        <v>37.68</v>
      </c>
      <c r="CA19" s="35"/>
      <c r="CB19" s="405"/>
      <c r="CC19" s="404"/>
      <c r="CD19" s="235">
        <v>38.49</v>
      </c>
      <c r="CE19" s="413">
        <v>43.79</v>
      </c>
      <c r="CF19" s="41">
        <v>155.16800000000001</v>
      </c>
      <c r="CG19" s="41"/>
      <c r="CH19" s="30"/>
      <c r="CI19" s="32"/>
      <c r="CJ19" s="33">
        <v>4.41</v>
      </c>
      <c r="CK19" s="33"/>
      <c r="CL19" s="33"/>
      <c r="CM19" s="36"/>
      <c r="CN19" s="286"/>
      <c r="CO19" s="249">
        <f t="shared" si="12"/>
        <v>0</v>
      </c>
      <c r="CP19" s="12">
        <f t="shared" si="12"/>
        <v>180.02817659999999</v>
      </c>
      <c r="CQ19" s="12">
        <f t="shared" si="12"/>
        <v>0</v>
      </c>
      <c r="CR19" s="12">
        <f t="shared" si="12"/>
        <v>0</v>
      </c>
      <c r="CS19" s="11">
        <f t="shared" si="12"/>
        <v>0</v>
      </c>
      <c r="CT19" s="11">
        <f t="shared" si="12"/>
        <v>25.194547200000002</v>
      </c>
      <c r="CU19" s="272">
        <f t="shared" si="12"/>
        <v>46.334000000000003</v>
      </c>
      <c r="CV19" s="249">
        <f t="shared" si="13"/>
        <v>148.32509120000003</v>
      </c>
      <c r="CW19" s="251">
        <f t="shared" si="13"/>
        <v>0</v>
      </c>
      <c r="CX19" s="249">
        <f t="shared" si="13"/>
        <v>0</v>
      </c>
      <c r="CY19" s="272">
        <f t="shared" si="13"/>
        <v>0</v>
      </c>
      <c r="CZ19" s="13"/>
      <c r="DA19" s="240">
        <f>(D19+'[2]апрель 20 '!D19)/(AY19+'[2]апрель 20 '!AX19)</f>
        <v>2.303630210649688</v>
      </c>
      <c r="DB19" s="241">
        <f>(T19+'[2]апрель 20 '!R19)/(AY19+'[2]апрель 20 '!AX19)</f>
        <v>1.3817196971712757</v>
      </c>
      <c r="DD19" s="292">
        <f t="shared" si="14"/>
        <v>10.188000000000001</v>
      </c>
      <c r="DE19" s="291">
        <v>4.63</v>
      </c>
      <c r="DF19" s="291">
        <v>16.149999999999999</v>
      </c>
      <c r="DG19" s="145">
        <f t="shared" si="15"/>
        <v>9.7162956000000005</v>
      </c>
      <c r="DH19" s="293">
        <f t="shared" si="28"/>
        <v>2.0472038348336592</v>
      </c>
      <c r="DJ19" s="322"/>
    </row>
    <row r="20" spans="1:114" s="76" customFormat="1" ht="16.5" customHeight="1" thickBot="1">
      <c r="A20" s="144">
        <v>14</v>
      </c>
      <c r="B20" s="122">
        <f>'[1]апрель 20'!K19</f>
        <v>232.53299999999999</v>
      </c>
      <c r="C20" s="123">
        <f t="shared" si="16"/>
        <v>1.8961813592049301</v>
      </c>
      <c r="D20" s="145">
        <f t="shared" si="17"/>
        <v>228.12375259999999</v>
      </c>
      <c r="E20" s="125">
        <f t="shared" si="18"/>
        <v>39.004852687575529</v>
      </c>
      <c r="F20" s="146">
        <f t="shared" si="19"/>
        <v>2.5861438907153382</v>
      </c>
      <c r="G20" s="127"/>
      <c r="H20" s="126">
        <f t="shared" si="20"/>
        <v>2.1116285296451651</v>
      </c>
      <c r="I20" s="230">
        <f>'[1]июль 20'!AI19</f>
        <v>0</v>
      </c>
      <c r="J20" s="247">
        <f>'[1]апрель 20'!AA19</f>
        <v>9.1910000000000007</v>
      </c>
      <c r="K20" s="276">
        <f>'[1]сентябрь 20'!AM19</f>
        <v>0</v>
      </c>
      <c r="L20" s="122">
        <f>'[1]апрель 20'!AE19</f>
        <v>41.856999999999999</v>
      </c>
      <c r="M20" s="128">
        <f t="shared" si="21"/>
        <v>0.4745153610701735</v>
      </c>
      <c r="N20" s="400">
        <f>'[1]апрель 20'!W19</f>
        <v>0</v>
      </c>
      <c r="O20" s="403">
        <f>'[1]апрель 20'!AU19</f>
        <v>1.423</v>
      </c>
      <c r="P20" s="401">
        <f t="shared" si="0"/>
        <v>141.774</v>
      </c>
      <c r="Q20" s="122">
        <f>'[1]апрель 20'!S19</f>
        <v>141.774</v>
      </c>
      <c r="R20" s="123">
        <f t="shared" si="22"/>
        <v>4.5199999999999996</v>
      </c>
      <c r="S20" s="129">
        <v>15.31</v>
      </c>
      <c r="T20" s="125">
        <f t="shared" si="1"/>
        <v>135.36581520000001</v>
      </c>
      <c r="U20" s="147">
        <f t="shared" si="2"/>
        <v>1.5345858202017915</v>
      </c>
      <c r="V20" s="130">
        <v>88.21</v>
      </c>
      <c r="W20" s="130">
        <v>64.37</v>
      </c>
      <c r="X20" s="129">
        <v>0.68</v>
      </c>
      <c r="Y20" s="131">
        <v>529</v>
      </c>
      <c r="Z20" s="150">
        <v>1156</v>
      </c>
      <c r="AA20" s="168" t="s">
        <v>236</v>
      </c>
      <c r="AB20" s="149">
        <v>75.819999999999993</v>
      </c>
      <c r="AC20" s="150">
        <v>93</v>
      </c>
      <c r="AD20" s="151">
        <v>4</v>
      </c>
      <c r="AE20" s="149"/>
      <c r="AF20" s="134">
        <f t="shared" si="3"/>
        <v>0</v>
      </c>
      <c r="AG20" s="152"/>
      <c r="AH20" s="129">
        <v>66.45</v>
      </c>
      <c r="AI20" s="134">
        <f t="shared" si="4"/>
        <v>753.31595057249751</v>
      </c>
      <c r="AJ20" s="153">
        <v>13.78</v>
      </c>
      <c r="AK20" s="154"/>
      <c r="AL20" s="155">
        <v>6.7</v>
      </c>
      <c r="AM20" s="156">
        <v>29.4</v>
      </c>
      <c r="AN20" s="126">
        <f t="shared" si="23"/>
        <v>0.24058919803600654</v>
      </c>
      <c r="AO20" s="157" t="s">
        <v>183</v>
      </c>
      <c r="AP20" s="156">
        <v>7.99</v>
      </c>
      <c r="AQ20" s="156">
        <v>6.45</v>
      </c>
      <c r="AR20" s="149"/>
      <c r="AS20" s="149">
        <v>9.49</v>
      </c>
      <c r="AT20" s="149">
        <v>122.2</v>
      </c>
      <c r="AU20" s="149">
        <v>2.11</v>
      </c>
      <c r="AV20" s="149"/>
      <c r="AW20" s="149"/>
      <c r="AX20" s="158">
        <f t="shared" si="5"/>
        <v>0</v>
      </c>
      <c r="AY20" s="125">
        <f t="shared" si="6"/>
        <v>88.21</v>
      </c>
      <c r="AZ20" s="125">
        <f t="shared" si="29"/>
        <v>104.75108784161216</v>
      </c>
      <c r="BA20" s="159">
        <f t="shared" si="7"/>
        <v>4.8850109154929573</v>
      </c>
      <c r="BB20" s="160">
        <f t="shared" si="8"/>
        <v>3.5284</v>
      </c>
      <c r="BC20" s="161">
        <f t="shared" si="9"/>
        <v>0.75164444662320185</v>
      </c>
      <c r="BD20" s="160">
        <f t="shared" si="24"/>
        <v>8.4134109154929568</v>
      </c>
      <c r="BE20" s="162">
        <v>0.85899999999999999</v>
      </c>
      <c r="BF20" s="25">
        <f t="shared" si="25"/>
        <v>1656.6200000000003</v>
      </c>
      <c r="BG20" s="25">
        <f t="shared" si="10"/>
        <v>125</v>
      </c>
      <c r="BH20" s="25">
        <f t="shared" si="26"/>
        <v>1750</v>
      </c>
      <c r="BI20" s="26">
        <f t="shared" si="11"/>
        <v>1</v>
      </c>
      <c r="BJ20" s="37">
        <f t="shared" si="27"/>
        <v>1750</v>
      </c>
      <c r="BK20" s="38"/>
      <c r="BL20" s="31">
        <v>167.41800000000001</v>
      </c>
      <c r="BM20" s="31"/>
      <c r="BN20" s="234"/>
      <c r="BO20" s="42"/>
      <c r="BP20" s="40">
        <v>23.257999999999999</v>
      </c>
      <c r="BQ20" s="411">
        <v>41.856999999999999</v>
      </c>
      <c r="BR20" s="33"/>
      <c r="BS20" s="34">
        <v>2.36</v>
      </c>
      <c r="BT20" s="35"/>
      <c r="BU20" s="28"/>
      <c r="BV20" s="287"/>
      <c r="BW20" s="287">
        <v>1.97</v>
      </c>
      <c r="BX20" s="36"/>
      <c r="BY20" s="33"/>
      <c r="BZ20" s="34">
        <v>37.79</v>
      </c>
      <c r="CA20" s="35"/>
      <c r="CB20" s="405"/>
      <c r="CC20" s="404"/>
      <c r="CD20" s="235">
        <v>39.03</v>
      </c>
      <c r="CE20" s="413">
        <v>43.85</v>
      </c>
      <c r="CF20" s="30">
        <v>141.774</v>
      </c>
      <c r="CG20" s="30"/>
      <c r="CH20" s="31"/>
      <c r="CI20" s="32"/>
      <c r="CJ20" s="33">
        <v>4.5199999999999996</v>
      </c>
      <c r="CK20" s="33"/>
      <c r="CL20" s="35"/>
      <c r="CM20" s="36"/>
      <c r="CN20" s="286"/>
      <c r="CO20" s="249">
        <f t="shared" si="12"/>
        <v>0</v>
      </c>
      <c r="CP20" s="12">
        <f t="shared" si="12"/>
        <v>163.46693520000002</v>
      </c>
      <c r="CQ20" s="12">
        <f t="shared" si="12"/>
        <v>0</v>
      </c>
      <c r="CR20" s="12">
        <f t="shared" si="12"/>
        <v>0</v>
      </c>
      <c r="CS20" s="11">
        <f t="shared" si="12"/>
        <v>0</v>
      </c>
      <c r="CT20" s="11">
        <f t="shared" si="12"/>
        <v>22.799817400000002</v>
      </c>
      <c r="CU20" s="272">
        <f t="shared" si="12"/>
        <v>41.856999999999999</v>
      </c>
      <c r="CV20" s="249">
        <f t="shared" si="13"/>
        <v>135.36581520000001</v>
      </c>
      <c r="CW20" s="12">
        <f t="shared" si="13"/>
        <v>0</v>
      </c>
      <c r="CX20" s="249">
        <f t="shared" si="13"/>
        <v>0</v>
      </c>
      <c r="CY20" s="272">
        <f t="shared" si="13"/>
        <v>0</v>
      </c>
      <c r="CZ20" s="13"/>
      <c r="DA20" s="240">
        <f>(D20+'[2]апрель 20 '!D20)/(AY20+'[2]апрель 20 '!AX20)</f>
        <v>2.4500279639715123</v>
      </c>
      <c r="DB20" s="241">
        <f>(T20+'[2]апрель 20 '!R20)/(AY20+'[2]апрель 20 '!AX20)</f>
        <v>1.4757569305962857</v>
      </c>
      <c r="DD20" s="292">
        <f t="shared" si="14"/>
        <v>9.1910000000000007</v>
      </c>
      <c r="DE20" s="291">
        <v>0.38</v>
      </c>
      <c r="DF20" s="407">
        <v>19.04</v>
      </c>
      <c r="DG20" s="145">
        <f t="shared" si="15"/>
        <v>9.1560742000000008</v>
      </c>
      <c r="DH20" s="293">
        <f t="shared" si="28"/>
        <v>2.2992832071748879</v>
      </c>
      <c r="DJ20" s="322"/>
    </row>
    <row r="21" spans="1:114" s="76" customFormat="1" ht="16.5" customHeight="1" thickBot="1">
      <c r="A21" s="144">
        <v>15</v>
      </c>
      <c r="B21" s="122">
        <f>'[1]апрель 20'!K20</f>
        <v>248.92699999999999</v>
      </c>
      <c r="C21" s="123">
        <f t="shared" si="16"/>
        <v>1.2986110385775749</v>
      </c>
      <c r="D21" s="145">
        <f t="shared" si="17"/>
        <v>245.69440649999999</v>
      </c>
      <c r="E21" s="125">
        <f t="shared" si="18"/>
        <v>38.56724332836535</v>
      </c>
      <c r="F21" s="146">
        <f t="shared" si="19"/>
        <v>2.2524239686468648</v>
      </c>
      <c r="G21" s="127"/>
      <c r="H21" s="126">
        <f t="shared" si="20"/>
        <v>1.8440814677301067</v>
      </c>
      <c r="I21" s="230">
        <f>'[1]июль 20'!AI20</f>
        <v>0</v>
      </c>
      <c r="J21" s="247">
        <f>'[1]апрель 20'!AA20</f>
        <v>9.6379999999999999</v>
      </c>
      <c r="K21" s="276">
        <f>'[1]сентябрь 20'!AM20</f>
        <v>0</v>
      </c>
      <c r="L21" s="122">
        <f>'[1]апрель 20'!AE20</f>
        <v>44.542000000000002</v>
      </c>
      <c r="M21" s="128">
        <f t="shared" si="21"/>
        <v>0.40834250091675844</v>
      </c>
      <c r="N21" s="400">
        <f>'[1]апрель 20'!W20</f>
        <v>0</v>
      </c>
      <c r="O21" s="403">
        <f>'[1]апрель 20'!AU20</f>
        <v>1.4930000000000001</v>
      </c>
      <c r="P21" s="401">
        <f t="shared" si="0"/>
        <v>150.245</v>
      </c>
      <c r="Q21" s="122">
        <f>'[1]апрель 20'!S20</f>
        <v>150.245</v>
      </c>
      <c r="R21" s="123">
        <f t="shared" si="22"/>
        <v>4.26</v>
      </c>
      <c r="S21" s="129">
        <v>10.63</v>
      </c>
      <c r="T21" s="125">
        <f t="shared" si="1"/>
        <v>143.84456299999999</v>
      </c>
      <c r="U21" s="147">
        <f t="shared" si="2"/>
        <v>1.3187070315364871</v>
      </c>
      <c r="V21" s="130">
        <v>109.08</v>
      </c>
      <c r="W21" s="130">
        <v>109.08</v>
      </c>
      <c r="X21" s="129">
        <v>0.61</v>
      </c>
      <c r="Y21" s="131">
        <v>508</v>
      </c>
      <c r="Z21" s="150">
        <v>1152</v>
      </c>
      <c r="AA21" s="168" t="s">
        <v>236</v>
      </c>
      <c r="AB21" s="149">
        <v>76.91</v>
      </c>
      <c r="AC21" s="150">
        <v>99</v>
      </c>
      <c r="AD21" s="151">
        <v>4</v>
      </c>
      <c r="AE21" s="149"/>
      <c r="AF21" s="134">
        <f t="shared" si="3"/>
        <v>0</v>
      </c>
      <c r="AG21" s="152"/>
      <c r="AH21" s="129">
        <v>70.400000000000006</v>
      </c>
      <c r="AI21" s="134">
        <f t="shared" si="4"/>
        <v>645.39787312064561</v>
      </c>
      <c r="AJ21" s="136">
        <v>15.22</v>
      </c>
      <c r="AK21" s="154"/>
      <c r="AL21" s="155">
        <v>5.34</v>
      </c>
      <c r="AM21" s="156">
        <v>25.14</v>
      </c>
      <c r="AN21" s="126">
        <f t="shared" si="23"/>
        <v>0.18323615160349857</v>
      </c>
      <c r="AO21" s="157" t="s">
        <v>203</v>
      </c>
      <c r="AP21" s="156">
        <v>8.08</v>
      </c>
      <c r="AQ21" s="156">
        <v>6.45</v>
      </c>
      <c r="AR21" s="149"/>
      <c r="AS21" s="149">
        <v>8.99</v>
      </c>
      <c r="AT21" s="149">
        <v>137.19999999999999</v>
      </c>
      <c r="AU21" s="149">
        <v>2.36</v>
      </c>
      <c r="AV21" s="149"/>
      <c r="AW21" s="149"/>
      <c r="AX21" s="158">
        <f t="shared" si="5"/>
        <v>0</v>
      </c>
      <c r="AY21" s="125">
        <f t="shared" si="6"/>
        <v>109.07999999999998</v>
      </c>
      <c r="AZ21" s="125">
        <f t="shared" si="29"/>
        <v>109.61158398502178</v>
      </c>
      <c r="BA21" s="159">
        <f t="shared" si="7"/>
        <v>4.9027154929577463</v>
      </c>
      <c r="BB21" s="160">
        <f t="shared" si="8"/>
        <v>4.3631999999999991</v>
      </c>
      <c r="BC21" s="161">
        <f t="shared" si="9"/>
        <v>0.88534812794874485</v>
      </c>
      <c r="BD21" s="160">
        <f t="shared" si="24"/>
        <v>9.2659154929577454</v>
      </c>
      <c r="BE21" s="162">
        <v>0.85899999999999999</v>
      </c>
      <c r="BF21" s="25">
        <f t="shared" si="25"/>
        <v>1765.7000000000003</v>
      </c>
      <c r="BG21" s="25">
        <f t="shared" si="10"/>
        <v>125</v>
      </c>
      <c r="BH21" s="25">
        <f t="shared" si="26"/>
        <v>1875</v>
      </c>
      <c r="BI21" s="26">
        <f t="shared" si="11"/>
        <v>1</v>
      </c>
      <c r="BJ21" s="37">
        <f t="shared" si="27"/>
        <v>1875</v>
      </c>
      <c r="BK21" s="38"/>
      <c r="BL21" s="31">
        <v>177.83</v>
      </c>
      <c r="BM21" s="31"/>
      <c r="BN21" s="234"/>
      <c r="BO21" s="42"/>
      <c r="BP21" s="40">
        <v>26.555</v>
      </c>
      <c r="BQ21" s="411">
        <v>44.542000000000002</v>
      </c>
      <c r="BR21" s="33"/>
      <c r="BS21" s="34">
        <v>1.44</v>
      </c>
      <c r="BT21" s="35"/>
      <c r="BU21" s="35"/>
      <c r="BV21" s="235"/>
      <c r="BW21" s="235">
        <v>2.5299999999999998</v>
      </c>
      <c r="BX21" s="36"/>
      <c r="BY21" s="33"/>
      <c r="BZ21" s="34">
        <v>37.33</v>
      </c>
      <c r="CA21" s="35"/>
      <c r="CB21" s="405"/>
      <c r="CC21" s="404"/>
      <c r="CD21" s="235">
        <v>38.26</v>
      </c>
      <c r="CE21" s="413">
        <v>43.69</v>
      </c>
      <c r="CF21" s="30">
        <v>150.245</v>
      </c>
      <c r="CG21" s="30"/>
      <c r="CH21" s="31"/>
      <c r="CI21" s="32"/>
      <c r="CJ21" s="33">
        <v>4.26</v>
      </c>
      <c r="CK21" s="33"/>
      <c r="CL21" s="35"/>
      <c r="CM21" s="36"/>
      <c r="CN21" s="286"/>
      <c r="CO21" s="249">
        <f t="shared" si="12"/>
        <v>0</v>
      </c>
      <c r="CP21" s="12">
        <f t="shared" si="12"/>
        <v>175.269248</v>
      </c>
      <c r="CQ21" s="12">
        <f t="shared" si="12"/>
        <v>0</v>
      </c>
      <c r="CR21" s="12">
        <f t="shared" si="12"/>
        <v>0</v>
      </c>
      <c r="CS21" s="11">
        <f t="shared" si="12"/>
        <v>0</v>
      </c>
      <c r="CT21" s="11">
        <f t="shared" si="12"/>
        <v>25.8831585</v>
      </c>
      <c r="CU21" s="272">
        <f t="shared" si="12"/>
        <v>44.542000000000002</v>
      </c>
      <c r="CV21" s="249">
        <f t="shared" si="13"/>
        <v>143.84456299999999</v>
      </c>
      <c r="CW21" s="12">
        <f t="shared" si="13"/>
        <v>0</v>
      </c>
      <c r="CX21" s="249">
        <f t="shared" si="13"/>
        <v>0</v>
      </c>
      <c r="CY21" s="272">
        <f t="shared" si="13"/>
        <v>0</v>
      </c>
      <c r="CZ21" s="13"/>
      <c r="DA21" s="240">
        <f>(D21+'[2]апрель 20 '!D21)/(AY21+'[2]апрель 20 '!AX21)</f>
        <v>2.313212984531714</v>
      </c>
      <c r="DB21" s="241">
        <f>(T21+'[2]апрель 20 '!R21)/(AY21+'[2]апрель 20 '!AX21)</f>
        <v>1.3782121874558553</v>
      </c>
      <c r="DD21" s="292">
        <f t="shared" si="14"/>
        <v>9.6379999999999999</v>
      </c>
      <c r="DE21" s="291">
        <v>0.23</v>
      </c>
      <c r="DF21" s="291">
        <v>16.420000000000002</v>
      </c>
      <c r="DG21" s="145">
        <f t="shared" si="15"/>
        <v>9.6158325999999992</v>
      </c>
      <c r="DH21" s="293">
        <f t="shared" si="28"/>
        <v>2.0529446273826548</v>
      </c>
      <c r="DJ21" s="322"/>
    </row>
    <row r="22" spans="1:114" s="76" customFormat="1" ht="16.5" customHeight="1" thickBot="1">
      <c r="A22" s="144">
        <v>16</v>
      </c>
      <c r="B22" s="122">
        <f>'[1]апрель 20'!K21</f>
        <v>260.05399999999997</v>
      </c>
      <c r="C22" s="123">
        <f t="shared" si="16"/>
        <v>0.91550274173825452</v>
      </c>
      <c r="D22" s="145">
        <f t="shared" si="17"/>
        <v>257.67319850000001</v>
      </c>
      <c r="E22" s="125">
        <f t="shared" si="18"/>
        <v>38.89857825682359</v>
      </c>
      <c r="F22" s="146">
        <f t="shared" si="19"/>
        <v>2.3633238420618174</v>
      </c>
      <c r="G22" s="127"/>
      <c r="H22" s="126">
        <f t="shared" si="20"/>
        <v>1.918051898560029</v>
      </c>
      <c r="I22" s="230">
        <f>'[1]июль 20'!AI21</f>
        <v>0</v>
      </c>
      <c r="J22" s="247">
        <f>'[1]апрель 20'!AA21</f>
        <v>10.282999999999999</v>
      </c>
      <c r="K22" s="276">
        <f>'[1]сентябрь 20'!AM21</f>
        <v>0</v>
      </c>
      <c r="L22" s="122">
        <f>'[1]апрель 20'!AE21</f>
        <v>48.548000000000002</v>
      </c>
      <c r="M22" s="128">
        <f t="shared" si="21"/>
        <v>0.44527194350178845</v>
      </c>
      <c r="N22" s="400">
        <f>'[1]апрель 20'!W21</f>
        <v>0</v>
      </c>
      <c r="O22" s="403">
        <f>'[1]апрель 20'!AU21</f>
        <v>1.3720000000000001</v>
      </c>
      <c r="P22" s="401">
        <f t="shared" si="0"/>
        <v>157.09200000000001</v>
      </c>
      <c r="Q22" s="122">
        <f>'[1]апрель 20'!S21</f>
        <v>157.09200000000001</v>
      </c>
      <c r="R22" s="123">
        <f t="shared" si="22"/>
        <v>4.2699999999999996</v>
      </c>
      <c r="S22" s="129">
        <v>8.02</v>
      </c>
      <c r="T22" s="125">
        <f t="shared" si="1"/>
        <v>150.38417160000003</v>
      </c>
      <c r="U22" s="147">
        <f t="shared" si="2"/>
        <v>1.3792916775199486</v>
      </c>
      <c r="V22" s="130">
        <v>109.03</v>
      </c>
      <c r="W22" s="130">
        <v>82.82</v>
      </c>
      <c r="X22" s="129">
        <v>0.78</v>
      </c>
      <c r="Y22" s="131">
        <v>471</v>
      </c>
      <c r="Z22" s="150">
        <v>1171</v>
      </c>
      <c r="AA22" s="148" t="s">
        <v>231</v>
      </c>
      <c r="AB22" s="149">
        <v>77.33</v>
      </c>
      <c r="AC22" s="150">
        <v>104</v>
      </c>
      <c r="AD22" s="151">
        <v>4</v>
      </c>
      <c r="AE22" s="149"/>
      <c r="AF22" s="134">
        <f t="shared" si="3"/>
        <v>0</v>
      </c>
      <c r="AG22" s="152"/>
      <c r="AH22" s="129">
        <v>72.150000000000006</v>
      </c>
      <c r="AI22" s="134">
        <f t="shared" si="4"/>
        <v>661.74447399798214</v>
      </c>
      <c r="AJ22" s="153">
        <v>15.42</v>
      </c>
      <c r="AK22" s="154"/>
      <c r="AL22" s="155">
        <v>5.51</v>
      </c>
      <c r="AM22" s="156">
        <v>30.88</v>
      </c>
      <c r="AN22" s="126">
        <f t="shared" si="23"/>
        <v>0.21444444444444444</v>
      </c>
      <c r="AO22" s="157" t="s">
        <v>117</v>
      </c>
      <c r="AP22" s="156">
        <v>8.44</v>
      </c>
      <c r="AQ22" s="156">
        <v>7.04</v>
      </c>
      <c r="AR22" s="151"/>
      <c r="AS22" s="149">
        <v>7.54</v>
      </c>
      <c r="AT22" s="149">
        <v>144</v>
      </c>
      <c r="AU22" s="149">
        <v>1.42</v>
      </c>
      <c r="AV22" s="149"/>
      <c r="AW22" s="149"/>
      <c r="AX22" s="158">
        <f t="shared" si="5"/>
        <v>0</v>
      </c>
      <c r="AY22" s="125">
        <f t="shared" si="6"/>
        <v>109.03000000000002</v>
      </c>
      <c r="AZ22" s="125">
        <f t="shared" si="29"/>
        <v>114.92856240809422</v>
      </c>
      <c r="BA22" s="159">
        <f t="shared" si="7"/>
        <v>4.2141697183098596</v>
      </c>
      <c r="BB22" s="160">
        <f t="shared" si="8"/>
        <v>4.3612000000000011</v>
      </c>
      <c r="BC22" s="161">
        <f t="shared" si="9"/>
        <v>0.84118408184608473</v>
      </c>
      <c r="BD22" s="160">
        <f t="shared" si="24"/>
        <v>8.5753697183098616</v>
      </c>
      <c r="BE22" s="162">
        <v>0.85699999999999998</v>
      </c>
      <c r="BF22" s="25">
        <f t="shared" si="25"/>
        <v>1874.7300000000002</v>
      </c>
      <c r="BG22" s="25">
        <f t="shared" si="10"/>
        <v>125</v>
      </c>
      <c r="BH22" s="25">
        <f t="shared" si="26"/>
        <v>2000</v>
      </c>
      <c r="BI22" s="26">
        <f t="shared" si="11"/>
        <v>1</v>
      </c>
      <c r="BJ22" s="37">
        <f t="shared" si="27"/>
        <v>2000</v>
      </c>
      <c r="BK22" s="38"/>
      <c r="BL22" s="31">
        <v>185.41499999999999</v>
      </c>
      <c r="BM22" s="31"/>
      <c r="BN22" s="234"/>
      <c r="BO22" s="42"/>
      <c r="BP22" s="40">
        <v>26.091000000000001</v>
      </c>
      <c r="BQ22" s="411">
        <v>48.548000000000002</v>
      </c>
      <c r="BR22" s="33"/>
      <c r="BS22" s="34">
        <v>1.08</v>
      </c>
      <c r="BT22" s="35"/>
      <c r="BU22" s="35"/>
      <c r="BV22" s="235"/>
      <c r="BW22" s="235">
        <v>1.45</v>
      </c>
      <c r="BX22" s="36"/>
      <c r="BY22" s="33"/>
      <c r="BZ22" s="34">
        <v>37.53</v>
      </c>
      <c r="CA22" s="35"/>
      <c r="CB22" s="405"/>
      <c r="CC22" s="404"/>
      <c r="CD22" s="235">
        <v>39.56</v>
      </c>
      <c r="CE22" s="413">
        <v>43.77</v>
      </c>
      <c r="CF22" s="30">
        <v>157.09200000000001</v>
      </c>
      <c r="CG22" s="30"/>
      <c r="CH22" s="31"/>
      <c r="CI22" s="32"/>
      <c r="CJ22" s="33">
        <v>4.2699999999999996</v>
      </c>
      <c r="CK22" s="33"/>
      <c r="CL22" s="35"/>
      <c r="CM22" s="36"/>
      <c r="CN22" s="286"/>
      <c r="CO22" s="249">
        <f t="shared" si="12"/>
        <v>0</v>
      </c>
      <c r="CP22" s="12">
        <f t="shared" si="12"/>
        <v>183.41251799999998</v>
      </c>
      <c r="CQ22" s="12">
        <f t="shared" si="12"/>
        <v>0</v>
      </c>
      <c r="CR22" s="12">
        <f t="shared" si="12"/>
        <v>0</v>
      </c>
      <c r="CS22" s="11">
        <f t="shared" si="12"/>
        <v>0</v>
      </c>
      <c r="CT22" s="11">
        <f t="shared" si="12"/>
        <v>25.712680499999998</v>
      </c>
      <c r="CU22" s="272">
        <f t="shared" si="12"/>
        <v>48.548000000000002</v>
      </c>
      <c r="CV22" s="249">
        <f t="shared" si="13"/>
        <v>150.38417160000003</v>
      </c>
      <c r="CW22" s="12">
        <f t="shared" si="13"/>
        <v>0</v>
      </c>
      <c r="CX22" s="249">
        <f t="shared" si="13"/>
        <v>0</v>
      </c>
      <c r="CY22" s="272">
        <f t="shared" si="13"/>
        <v>0</v>
      </c>
      <c r="CZ22" s="13"/>
      <c r="DA22" s="240">
        <f>(D22+'[2]апрель 20 '!D22)/(AY22+'[2]апрель 20 '!AX22)</f>
        <v>2.2535223365632282</v>
      </c>
      <c r="DB22" s="241">
        <f>(T22+'[2]апрель 20 '!R22)/(AY22+'[2]апрель 20 '!AX22)</f>
        <v>1.333264355451981</v>
      </c>
      <c r="DD22" s="292">
        <f t="shared" si="14"/>
        <v>10.282999999999999</v>
      </c>
      <c r="DE22" s="291">
        <v>0.4</v>
      </c>
      <c r="DF22" s="291">
        <v>13.4</v>
      </c>
      <c r="DG22" s="145">
        <f t="shared" si="15"/>
        <v>10.241868</v>
      </c>
      <c r="DH22" s="293">
        <f t="shared" si="28"/>
        <v>1.7747450045260573</v>
      </c>
      <c r="DJ22" s="322"/>
    </row>
    <row r="23" spans="1:114" s="76" customFormat="1" ht="16.5" customHeight="1" thickBot="1">
      <c r="A23" s="144">
        <v>17</v>
      </c>
      <c r="B23" s="122">
        <f>'[1]апрель 20'!K22</f>
        <v>272.38799999999998</v>
      </c>
      <c r="C23" s="123">
        <f t="shared" si="16"/>
        <v>1.2061627164192257</v>
      </c>
      <c r="D23" s="145">
        <f t="shared" si="17"/>
        <v>269.10255749999999</v>
      </c>
      <c r="E23" s="125">
        <f t="shared" si="18"/>
        <v>38.83030397814882</v>
      </c>
      <c r="F23" s="146">
        <f t="shared" si="19"/>
        <v>2.2795642312579414</v>
      </c>
      <c r="G23" s="127"/>
      <c r="H23" s="126">
        <f t="shared" si="20"/>
        <v>1.8182088733587463</v>
      </c>
      <c r="I23" s="230">
        <f>'[1]июль 20'!AI22</f>
        <v>0</v>
      </c>
      <c r="J23" s="247">
        <f>'[1]апрель 20'!AA22</f>
        <v>10.832000000000001</v>
      </c>
      <c r="K23" s="276">
        <f>'[1]сентябрь 20'!AM22</f>
        <v>0</v>
      </c>
      <c r="L23" s="122">
        <f>'[1]апрель 20'!AE22</f>
        <v>54.463000000000001</v>
      </c>
      <c r="M23" s="128">
        <f t="shared" si="21"/>
        <v>0.46135535789919524</v>
      </c>
      <c r="N23" s="400">
        <f>'[1]апрель 20'!W22</f>
        <v>0</v>
      </c>
      <c r="O23" s="403">
        <f>'[1]апрель 20'!AU22</f>
        <v>0.52200000000000002</v>
      </c>
      <c r="P23" s="401">
        <f t="shared" si="0"/>
        <v>164.47900000000001</v>
      </c>
      <c r="Q23" s="122">
        <f>'[1]апрель 20'!S22</f>
        <v>164.47900000000001</v>
      </c>
      <c r="R23" s="123">
        <f t="shared" si="22"/>
        <v>4.34</v>
      </c>
      <c r="S23" s="129">
        <v>16.47</v>
      </c>
      <c r="T23" s="125">
        <f t="shared" si="1"/>
        <v>157.3406114</v>
      </c>
      <c r="U23" s="147">
        <f t="shared" si="2"/>
        <v>1.3328302532825074</v>
      </c>
      <c r="V23" s="130">
        <v>118.05</v>
      </c>
      <c r="W23" s="130">
        <v>118.05</v>
      </c>
      <c r="X23" s="129">
        <v>0.42</v>
      </c>
      <c r="Y23" s="131">
        <v>456</v>
      </c>
      <c r="Z23" s="150">
        <v>1176</v>
      </c>
      <c r="AA23" s="148" t="s">
        <v>238</v>
      </c>
      <c r="AB23" s="149">
        <v>76.430000000000007</v>
      </c>
      <c r="AC23" s="150">
        <v>109</v>
      </c>
      <c r="AD23" s="151">
        <v>4</v>
      </c>
      <c r="AE23" s="149"/>
      <c r="AF23" s="134">
        <f t="shared" si="3"/>
        <v>0</v>
      </c>
      <c r="AG23" s="152"/>
      <c r="AH23" s="129">
        <v>81.05</v>
      </c>
      <c r="AI23" s="134">
        <f t="shared" si="4"/>
        <v>686.57348581109693</v>
      </c>
      <c r="AJ23" s="136">
        <v>12.48</v>
      </c>
      <c r="AK23" s="154"/>
      <c r="AL23" s="155">
        <v>6.92</v>
      </c>
      <c r="AM23" s="156">
        <v>29.49</v>
      </c>
      <c r="AN23" s="126">
        <f t="shared" si="23"/>
        <v>0.19325032765399738</v>
      </c>
      <c r="AO23" s="157" t="s">
        <v>239</v>
      </c>
      <c r="AP23" s="156">
        <v>8.31</v>
      </c>
      <c r="AQ23" s="156">
        <v>7.04</v>
      </c>
      <c r="AR23" s="151"/>
      <c r="AS23" s="149">
        <v>8.6300000000000008</v>
      </c>
      <c r="AT23" s="149">
        <v>152.6</v>
      </c>
      <c r="AU23" s="149">
        <v>1.86</v>
      </c>
      <c r="AV23" s="149"/>
      <c r="AW23" s="149"/>
      <c r="AX23" s="158">
        <f t="shared" si="5"/>
        <v>0</v>
      </c>
      <c r="AY23" s="125">
        <f t="shared" si="6"/>
        <v>118.05000000000001</v>
      </c>
      <c r="AZ23" s="125">
        <f t="shared" si="29"/>
        <v>121.31667713610416</v>
      </c>
      <c r="BA23" s="159">
        <f t="shared" si="7"/>
        <v>5.4183637323943659</v>
      </c>
      <c r="BB23" s="160">
        <f t="shared" si="8"/>
        <v>4.7220000000000004</v>
      </c>
      <c r="BC23" s="161">
        <f>IF((D23*E23)=0,0,(AY23*AB23)/(D23*E23))</f>
        <v>0.86345803530290499</v>
      </c>
      <c r="BD23" s="160">
        <f t="shared" si="24"/>
        <v>10.140363732394366</v>
      </c>
      <c r="BE23" s="162">
        <v>0.86</v>
      </c>
      <c r="BF23" s="25">
        <f t="shared" si="25"/>
        <v>1992.7800000000002</v>
      </c>
      <c r="BG23" s="25">
        <f t="shared" si="10"/>
        <v>125</v>
      </c>
      <c r="BH23" s="25">
        <f t="shared" si="26"/>
        <v>2125</v>
      </c>
      <c r="BI23" s="26">
        <f t="shared" si="11"/>
        <v>1</v>
      </c>
      <c r="BJ23" s="37">
        <f t="shared" si="27"/>
        <v>2125</v>
      </c>
      <c r="BK23" s="38"/>
      <c r="BL23" s="31">
        <v>190.72900000000001</v>
      </c>
      <c r="BM23" s="31"/>
      <c r="BN23" s="234"/>
      <c r="BO23" s="42"/>
      <c r="BP23" s="40">
        <v>27.196000000000002</v>
      </c>
      <c r="BQ23" s="411">
        <v>54.463000000000001</v>
      </c>
      <c r="BR23" s="33"/>
      <c r="BS23" s="34">
        <v>1.57</v>
      </c>
      <c r="BT23" s="35"/>
      <c r="BU23" s="35"/>
      <c r="BV23" s="235"/>
      <c r="BW23" s="235">
        <v>1.07</v>
      </c>
      <c r="BX23" s="36"/>
      <c r="BY23" s="33"/>
      <c r="BZ23" s="34">
        <v>37.26</v>
      </c>
      <c r="CA23" s="35"/>
      <c r="CB23" s="405"/>
      <c r="CC23" s="404"/>
      <c r="CD23" s="235">
        <v>39.369999999999997</v>
      </c>
      <c r="CE23" s="413">
        <v>44.06</v>
      </c>
      <c r="CF23" s="30">
        <v>164.47900000000001</v>
      </c>
      <c r="CG23" s="30"/>
      <c r="CH23" s="31"/>
      <c r="CI23" s="32"/>
      <c r="CJ23" s="33">
        <v>4.34</v>
      </c>
      <c r="CK23" s="33"/>
      <c r="CL23" s="35"/>
      <c r="CM23" s="36"/>
      <c r="CN23" s="286"/>
      <c r="CO23" s="249">
        <f t="shared" ref="CO23:CU37" si="30">BK23*((100-BR23)/100)</f>
        <v>0</v>
      </c>
      <c r="CP23" s="12">
        <f t="shared" si="30"/>
        <v>187.73455470000002</v>
      </c>
      <c r="CQ23" s="12">
        <f t="shared" si="30"/>
        <v>0</v>
      </c>
      <c r="CR23" s="12">
        <f t="shared" si="30"/>
        <v>0</v>
      </c>
      <c r="CS23" s="11">
        <f t="shared" si="30"/>
        <v>0</v>
      </c>
      <c r="CT23" s="11">
        <f t="shared" si="30"/>
        <v>26.905002800000002</v>
      </c>
      <c r="CU23" s="272">
        <f t="shared" si="30"/>
        <v>54.463000000000001</v>
      </c>
      <c r="CV23" s="249">
        <f t="shared" si="13"/>
        <v>157.3406114</v>
      </c>
      <c r="CW23" s="11">
        <f t="shared" si="13"/>
        <v>0</v>
      </c>
      <c r="CX23" s="249">
        <f t="shared" si="13"/>
        <v>0</v>
      </c>
      <c r="CY23" s="272">
        <f t="shared" si="13"/>
        <v>0</v>
      </c>
      <c r="CZ23" s="13"/>
      <c r="DA23" s="240">
        <f>(D23+'[2]апрель 20 '!D23)/(AY23+'[2]апрель 20 '!AX23)</f>
        <v>2.3676634150231579</v>
      </c>
      <c r="DB23" s="241">
        <f>(T23+'[2]апрель 20 '!R23)/(AY23+'[2]апрель 20 '!AX23)</f>
        <v>1.4062835058123486</v>
      </c>
      <c r="DD23" s="292">
        <f t="shared" si="14"/>
        <v>10.832000000000001</v>
      </c>
      <c r="DE23" s="291">
        <v>0.47</v>
      </c>
      <c r="DF23" s="291">
        <v>13.91</v>
      </c>
      <c r="DG23" s="145">
        <f t="shared" si="15"/>
        <v>10.7810896</v>
      </c>
      <c r="DH23" s="293">
        <f t="shared" si="28"/>
        <v>1.9621216320293076</v>
      </c>
      <c r="DJ23" s="322"/>
    </row>
    <row r="24" spans="1:114" s="76" customFormat="1" ht="16.5" customHeight="1" thickBot="1">
      <c r="A24" s="144">
        <v>18</v>
      </c>
      <c r="B24" s="122">
        <f>'[1]апрель 20'!K23</f>
        <v>252.47399999999999</v>
      </c>
      <c r="C24" s="123">
        <f t="shared" si="16"/>
        <v>1.1850153283110341</v>
      </c>
      <c r="D24" s="145">
        <f t="shared" si="17"/>
        <v>249.48214439999998</v>
      </c>
      <c r="E24" s="125">
        <f t="shared" si="18"/>
        <v>39.251969153259346</v>
      </c>
      <c r="F24" s="146">
        <f t="shared" si="19"/>
        <v>2.2195920320284697</v>
      </c>
      <c r="G24" s="127"/>
      <c r="H24" s="126">
        <f t="shared" si="20"/>
        <v>1.7703126725978648</v>
      </c>
      <c r="I24" s="230">
        <f>'[1]июль 20'!AI23</f>
        <v>0</v>
      </c>
      <c r="J24" s="247">
        <f>'[1]апрель 20'!AA23</f>
        <v>10.425000000000001</v>
      </c>
      <c r="K24" s="276">
        <f>'[1]сентябрь 20'!AM23</f>
        <v>0</v>
      </c>
      <c r="L24" s="122">
        <f>'[1]апрель 20'!AE23</f>
        <v>50.499000000000002</v>
      </c>
      <c r="M24" s="128">
        <f t="shared" si="21"/>
        <v>0.44927935943060504</v>
      </c>
      <c r="N24" s="400">
        <f>'[1]апрель 20'!W23</f>
        <v>0</v>
      </c>
      <c r="O24" s="403">
        <f>'[1]апрель 20'!AU23</f>
        <v>0</v>
      </c>
      <c r="P24" s="401">
        <f t="shared" si="0"/>
        <v>153.84399999999999</v>
      </c>
      <c r="Q24" s="122">
        <f>'[1]апрель 20'!S23</f>
        <v>153.84399999999999</v>
      </c>
      <c r="R24" s="123">
        <f t="shared" si="22"/>
        <v>4.38</v>
      </c>
      <c r="S24" s="129"/>
      <c r="T24" s="125">
        <f t="shared" si="1"/>
        <v>147.1056328</v>
      </c>
      <c r="U24" s="147">
        <f t="shared" si="2"/>
        <v>1.3087689750889679</v>
      </c>
      <c r="V24" s="130">
        <v>112.4</v>
      </c>
      <c r="W24" s="130">
        <v>112.4</v>
      </c>
      <c r="X24" s="129">
        <v>0.39</v>
      </c>
      <c r="Y24" s="150">
        <v>480</v>
      </c>
      <c r="Z24" s="150">
        <v>1171</v>
      </c>
      <c r="AA24" s="148" t="s">
        <v>240</v>
      </c>
      <c r="AB24" s="149">
        <v>76.930000000000007</v>
      </c>
      <c r="AC24" s="150">
        <v>101</v>
      </c>
      <c r="AD24" s="151">
        <v>4</v>
      </c>
      <c r="AE24" s="149"/>
      <c r="AF24" s="134">
        <f t="shared" si="3"/>
        <v>0</v>
      </c>
      <c r="AG24" s="152"/>
      <c r="AH24" s="129">
        <v>77.150000000000006</v>
      </c>
      <c r="AI24" s="134">
        <f t="shared" si="4"/>
        <v>686.38790035587192</v>
      </c>
      <c r="AJ24" s="153">
        <v>14.45</v>
      </c>
      <c r="AK24" s="154"/>
      <c r="AL24" s="155">
        <v>6.71</v>
      </c>
      <c r="AM24" s="156">
        <v>28.92</v>
      </c>
      <c r="AN24" s="126">
        <f t="shared" si="23"/>
        <v>0.19794661190965093</v>
      </c>
      <c r="AO24" s="157" t="s">
        <v>185</v>
      </c>
      <c r="AP24" s="156">
        <v>8.15</v>
      </c>
      <c r="AQ24" s="156">
        <v>6.8</v>
      </c>
      <c r="AR24" s="151"/>
      <c r="AS24" s="149">
        <v>9.6199999999999992</v>
      </c>
      <c r="AT24" s="149">
        <v>146.1</v>
      </c>
      <c r="AU24" s="149">
        <v>1.93</v>
      </c>
      <c r="AV24" s="164"/>
      <c r="AW24" s="149"/>
      <c r="AX24" s="158">
        <f t="shared" si="5"/>
        <v>0</v>
      </c>
      <c r="AY24" s="125">
        <f t="shared" si="6"/>
        <v>112.39999999999999</v>
      </c>
      <c r="AZ24" s="125">
        <f t="shared" si="29"/>
        <v>113.40351734135594</v>
      </c>
      <c r="BA24" s="159">
        <f t="shared" si="7"/>
        <v>5.7493049295774643</v>
      </c>
      <c r="BB24" s="160">
        <f t="shared" si="8"/>
        <v>4.4959999999999996</v>
      </c>
      <c r="BC24" s="161">
        <f t="shared" si="9"/>
        <v>0.88300085980336651</v>
      </c>
      <c r="BD24" s="160">
        <f t="shared" si="24"/>
        <v>10.245304929577465</v>
      </c>
      <c r="BE24" s="162">
        <v>0.86099999999999999</v>
      </c>
      <c r="BF24" s="25">
        <f t="shared" si="25"/>
        <v>2105.1800000000003</v>
      </c>
      <c r="BG24" s="25">
        <f t="shared" si="10"/>
        <v>125</v>
      </c>
      <c r="BH24" s="25">
        <f t="shared" si="26"/>
        <v>2250</v>
      </c>
      <c r="BI24" s="26">
        <f t="shared" si="11"/>
        <v>1</v>
      </c>
      <c r="BJ24" s="37">
        <f t="shared" si="27"/>
        <v>2250</v>
      </c>
      <c r="BK24" s="38"/>
      <c r="BL24" s="31">
        <v>176.77199999999999</v>
      </c>
      <c r="BM24" s="31"/>
      <c r="BN24" s="234"/>
      <c r="BO24" s="42"/>
      <c r="BP24" s="40">
        <v>25.202999999999999</v>
      </c>
      <c r="BQ24" s="411">
        <v>50.499000000000002</v>
      </c>
      <c r="BR24" s="33"/>
      <c r="BS24" s="34">
        <v>1.51</v>
      </c>
      <c r="BT24" s="35"/>
      <c r="BU24" s="35"/>
      <c r="BV24" s="235"/>
      <c r="BW24" s="235">
        <v>1.28</v>
      </c>
      <c r="BX24" s="36"/>
      <c r="BY24" s="33"/>
      <c r="BZ24" s="34">
        <v>37.94</v>
      </c>
      <c r="CA24" s="35"/>
      <c r="CB24" s="405"/>
      <c r="CC24" s="404"/>
      <c r="CD24" s="235">
        <v>38.700000000000003</v>
      </c>
      <c r="CE24" s="413">
        <v>44.12</v>
      </c>
      <c r="CF24" s="30">
        <v>153.84399999999999</v>
      </c>
      <c r="CG24" s="30"/>
      <c r="CH24" s="31"/>
      <c r="CI24" s="32"/>
      <c r="CJ24" s="33">
        <v>4.38</v>
      </c>
      <c r="CK24" s="33"/>
      <c r="CL24" s="35"/>
      <c r="CM24" s="36"/>
      <c r="CN24" s="286"/>
      <c r="CO24" s="249">
        <f t="shared" si="30"/>
        <v>0</v>
      </c>
      <c r="CP24" s="12">
        <f t="shared" si="30"/>
        <v>174.10274279999999</v>
      </c>
      <c r="CQ24" s="12">
        <f t="shared" si="30"/>
        <v>0</v>
      </c>
      <c r="CR24" s="12">
        <f t="shared" si="30"/>
        <v>0</v>
      </c>
      <c r="CS24" s="11">
        <f t="shared" si="30"/>
        <v>0</v>
      </c>
      <c r="CT24" s="11">
        <f t="shared" si="30"/>
        <v>24.880401599999999</v>
      </c>
      <c r="CU24" s="272">
        <f t="shared" si="30"/>
        <v>50.499000000000002</v>
      </c>
      <c r="CV24" s="249">
        <f t="shared" si="13"/>
        <v>147.1056328</v>
      </c>
      <c r="CW24" s="12">
        <f t="shared" si="13"/>
        <v>0</v>
      </c>
      <c r="CX24" s="249">
        <f t="shared" si="13"/>
        <v>0</v>
      </c>
      <c r="CY24" s="272">
        <f t="shared" si="13"/>
        <v>0</v>
      </c>
      <c r="CZ24" s="13"/>
      <c r="DA24" s="240">
        <f>(D24+'[2]апрель 20 '!D24)/(AY24+'[2]апрель 20 '!AX24)</f>
        <v>2.3026829070737658</v>
      </c>
      <c r="DB24" s="241">
        <f>(T24+'[2]апрель 20 '!R24)/(AY24+'[2]апрель 20 '!AX24)</f>
        <v>1.3824457888068233</v>
      </c>
      <c r="DD24" s="292">
        <f t="shared" si="14"/>
        <v>10.425000000000001</v>
      </c>
      <c r="DE24" s="291">
        <v>0.24</v>
      </c>
      <c r="DF24" s="291">
        <v>16.84</v>
      </c>
      <c r="DG24" s="145">
        <f t="shared" si="15"/>
        <v>10.399980000000001</v>
      </c>
      <c r="DH24" s="293">
        <f t="shared" si="28"/>
        <v>2.2765587313141813</v>
      </c>
      <c r="DJ24" s="322"/>
    </row>
    <row r="25" spans="1:114" s="76" customFormat="1" ht="16.5" customHeight="1" thickBot="1">
      <c r="A25" s="144">
        <v>19</v>
      </c>
      <c r="B25" s="122">
        <f>'[1]апрель 20'!K24</f>
        <v>272.74799999999999</v>
      </c>
      <c r="C25" s="123">
        <f t="shared" si="16"/>
        <v>1.1453796178157127</v>
      </c>
      <c r="D25" s="145">
        <f t="shared" si="17"/>
        <v>269.62399999999997</v>
      </c>
      <c r="E25" s="125">
        <f t="shared" si="18"/>
        <v>39.071272383298869</v>
      </c>
      <c r="F25" s="146">
        <f t="shared" si="19"/>
        <v>2.1482272328898095</v>
      </c>
      <c r="G25" s="127"/>
      <c r="H25" s="126">
        <f t="shared" si="20"/>
        <v>1.7141901043741539</v>
      </c>
      <c r="I25" s="230">
        <f>'[1]июль 20'!AI24</f>
        <v>0</v>
      </c>
      <c r="J25" s="247">
        <f>'[1]апрель 20'!AA24</f>
        <v>10.978</v>
      </c>
      <c r="K25" s="276">
        <f>'[1]сентябрь 20'!AM24</f>
        <v>0</v>
      </c>
      <c r="L25" s="122">
        <f>'[1]апрель 20'!AE24</f>
        <v>54.475999999999999</v>
      </c>
      <c r="M25" s="128">
        <f t="shared" si="21"/>
        <v>0.43403712851565612</v>
      </c>
      <c r="N25" s="400">
        <f>'[1]апрель 20'!W24</f>
        <v>0</v>
      </c>
      <c r="O25" s="403">
        <f>'[1]апрель 20'!AU24</f>
        <v>0.57499999999999996</v>
      </c>
      <c r="P25" s="401">
        <f t="shared" si="0"/>
        <v>169.78800000000001</v>
      </c>
      <c r="Q25" s="122">
        <f>'[1]апрель 20'!S24</f>
        <v>169.78800000000001</v>
      </c>
      <c r="R25" s="123">
        <f>IF(Q25=0,0,(CI25*CM25+CG25*CK25+CH25*CL25+CF25*CJ25)/Q25)</f>
        <v>4.3600000000000003</v>
      </c>
      <c r="S25" s="129">
        <v>8.16</v>
      </c>
      <c r="T25" s="125">
        <f t="shared" si="1"/>
        <v>162.38524320000002</v>
      </c>
      <c r="U25" s="147">
        <f t="shared" si="2"/>
        <v>1.2938032284280139</v>
      </c>
      <c r="V25" s="130">
        <v>125.51</v>
      </c>
      <c r="W25" s="130">
        <v>94.27</v>
      </c>
      <c r="X25" s="129">
        <v>0.67</v>
      </c>
      <c r="Y25" s="150">
        <v>500</v>
      </c>
      <c r="Z25" s="150">
        <v>1173</v>
      </c>
      <c r="AA25" s="148" t="s">
        <v>126</v>
      </c>
      <c r="AB25" s="149">
        <v>76.83</v>
      </c>
      <c r="AC25" s="150">
        <v>109</v>
      </c>
      <c r="AD25" s="151">
        <v>4</v>
      </c>
      <c r="AE25" s="149"/>
      <c r="AF25" s="134">
        <f t="shared" si="3"/>
        <v>0</v>
      </c>
      <c r="AG25" s="152"/>
      <c r="AH25" s="129">
        <v>73.599999999999994</v>
      </c>
      <c r="AI25" s="134">
        <f t="shared" si="4"/>
        <v>586.40745757310174</v>
      </c>
      <c r="AJ25" s="136">
        <v>13.36</v>
      </c>
      <c r="AK25" s="154"/>
      <c r="AL25" s="155">
        <v>5.52</v>
      </c>
      <c r="AM25" s="156">
        <v>25.58</v>
      </c>
      <c r="AN25" s="126">
        <f t="shared" si="23"/>
        <v>0.16621182586094865</v>
      </c>
      <c r="AO25" s="157" t="s">
        <v>203</v>
      </c>
      <c r="AP25" s="156">
        <v>8.69</v>
      </c>
      <c r="AQ25" s="156">
        <v>6.56</v>
      </c>
      <c r="AR25" s="152"/>
      <c r="AS25" s="149">
        <v>8.02</v>
      </c>
      <c r="AT25" s="149">
        <v>153.9</v>
      </c>
      <c r="AU25" s="149">
        <v>2.71</v>
      </c>
      <c r="AV25" s="164"/>
      <c r="AW25" s="149"/>
      <c r="AX25" s="158">
        <f t="shared" si="5"/>
        <v>0</v>
      </c>
      <c r="AY25" s="125">
        <f t="shared" si="6"/>
        <v>125.50999999999999</v>
      </c>
      <c r="AZ25" s="125">
        <f t="shared" si="29"/>
        <v>121.91923964922687</v>
      </c>
      <c r="BA25" s="159">
        <f t="shared" si="7"/>
        <v>4.5725295774647883</v>
      </c>
      <c r="BB25" s="160">
        <f t="shared" si="8"/>
        <v>5.0203999999999995</v>
      </c>
      <c r="BC25" s="161">
        <f t="shared" si="9"/>
        <v>0.91536238256612745</v>
      </c>
      <c r="BD25" s="160">
        <f t="shared" si="24"/>
        <v>9.5929295774647869</v>
      </c>
      <c r="BE25" s="162">
        <v>0.86399999999999999</v>
      </c>
      <c r="BF25" s="25">
        <f t="shared" si="25"/>
        <v>2230.6900000000005</v>
      </c>
      <c r="BG25" s="25">
        <f t="shared" si="10"/>
        <v>125</v>
      </c>
      <c r="BH25" s="25">
        <f t="shared" si="26"/>
        <v>2375</v>
      </c>
      <c r="BI25" s="26">
        <f t="shared" si="11"/>
        <v>1</v>
      </c>
      <c r="BJ25" s="37">
        <f t="shared" si="27"/>
        <v>2375</v>
      </c>
      <c r="BK25" s="38"/>
      <c r="BL25" s="31">
        <v>191.00800000000001</v>
      </c>
      <c r="BM25" s="31"/>
      <c r="BN25" s="234"/>
      <c r="BO25" s="42"/>
      <c r="BP25" s="40">
        <v>27.263999999999999</v>
      </c>
      <c r="BQ25" s="411">
        <v>54.475999999999999</v>
      </c>
      <c r="BR25" s="33"/>
      <c r="BS25" s="34">
        <v>1.42</v>
      </c>
      <c r="BT25" s="35"/>
      <c r="BU25" s="35"/>
      <c r="BV25" s="235"/>
      <c r="BW25" s="235">
        <v>1.51</v>
      </c>
      <c r="BX25" s="36"/>
      <c r="BY25" s="33"/>
      <c r="BZ25" s="34">
        <v>37.700000000000003</v>
      </c>
      <c r="CA25" s="35"/>
      <c r="CB25" s="405"/>
      <c r="CC25" s="404"/>
      <c r="CD25" s="235">
        <v>39.01</v>
      </c>
      <c r="CE25" s="413">
        <v>43.91</v>
      </c>
      <c r="CF25" s="30">
        <v>169.78800000000001</v>
      </c>
      <c r="CG25" s="30"/>
      <c r="CH25" s="31"/>
      <c r="CI25" s="32"/>
      <c r="CJ25" s="33">
        <v>4.3600000000000003</v>
      </c>
      <c r="CK25" s="33"/>
      <c r="CL25" s="35"/>
      <c r="CM25" s="36"/>
      <c r="CN25" s="286"/>
      <c r="CO25" s="249">
        <f t="shared" si="30"/>
        <v>0</v>
      </c>
      <c r="CP25" s="12">
        <f t="shared" si="30"/>
        <v>188.29568640000002</v>
      </c>
      <c r="CQ25" s="12">
        <f t="shared" si="30"/>
        <v>0</v>
      </c>
      <c r="CR25" s="12">
        <f t="shared" si="30"/>
        <v>0</v>
      </c>
      <c r="CS25" s="11">
        <f t="shared" si="30"/>
        <v>0</v>
      </c>
      <c r="CT25" s="11">
        <f t="shared" si="30"/>
        <v>26.852313599999999</v>
      </c>
      <c r="CU25" s="272">
        <f t="shared" si="30"/>
        <v>54.475999999999999</v>
      </c>
      <c r="CV25" s="249">
        <f t="shared" si="13"/>
        <v>162.38524320000002</v>
      </c>
      <c r="CW25" s="251">
        <f t="shared" si="13"/>
        <v>0</v>
      </c>
      <c r="CX25" s="249">
        <f t="shared" si="13"/>
        <v>0</v>
      </c>
      <c r="CY25" s="272">
        <f t="shared" si="13"/>
        <v>0</v>
      </c>
      <c r="CZ25" s="13"/>
      <c r="DA25" s="240">
        <f>(D25+'[2]апрель 20 '!D25)/(AY25+'[2]апрель 20 '!AX25)</f>
        <v>2.2081514423271553</v>
      </c>
      <c r="DB25" s="241">
        <f>(T25+'[2]апрель 20 '!R25)/(AY25+'[2]апрель 20 '!AX25)</f>
        <v>1.3383605910418417</v>
      </c>
      <c r="DD25" s="292">
        <f t="shared" si="14"/>
        <v>10.978</v>
      </c>
      <c r="DE25" s="291">
        <v>0.25</v>
      </c>
      <c r="DF25" s="291">
        <v>15.56</v>
      </c>
      <c r="DG25" s="145">
        <f t="shared" si="15"/>
        <v>10.950555</v>
      </c>
      <c r="DH25" s="293">
        <f t="shared" si="28"/>
        <v>2.2177617571261226</v>
      </c>
      <c r="DJ25" s="322"/>
    </row>
    <row r="26" spans="1:114" s="76" customFormat="1" ht="16.5" customHeight="1" thickBot="1">
      <c r="A26" s="144">
        <v>20</v>
      </c>
      <c r="B26" s="122">
        <f>'[1]апрель 20'!K25</f>
        <v>257.71100000000001</v>
      </c>
      <c r="C26" s="123">
        <f t="shared" si="16"/>
        <v>1.1774206766494251</v>
      </c>
      <c r="D26" s="145">
        <f t="shared" si="17"/>
        <v>254.67665740000001</v>
      </c>
      <c r="E26" s="125">
        <f t="shared" si="18"/>
        <v>39.355000717858374</v>
      </c>
      <c r="F26" s="146">
        <f t="shared" si="19"/>
        <v>2.2424641842035746</v>
      </c>
      <c r="G26" s="127"/>
      <c r="H26" s="126">
        <f t="shared" si="20"/>
        <v>1.789413202430219</v>
      </c>
      <c r="I26" s="230">
        <f>'[1]июль 20'!AI25</f>
        <v>0</v>
      </c>
      <c r="J26" s="247">
        <f>'[1]апрель 20'!AA25</f>
        <v>10.118</v>
      </c>
      <c r="K26" s="276">
        <f>'[1]сентябрь 20'!AM25</f>
        <v>0</v>
      </c>
      <c r="L26" s="122">
        <f>'[1]апрель 20'!AE25</f>
        <v>51.453000000000003</v>
      </c>
      <c r="M26" s="128">
        <f t="shared" si="21"/>
        <v>0.45305098177335562</v>
      </c>
      <c r="N26" s="400">
        <f>'[1]апрель 20'!W25</f>
        <v>0</v>
      </c>
      <c r="O26" s="403">
        <f>'[1]апрель 20'!AU25</f>
        <v>0</v>
      </c>
      <c r="P26" s="401">
        <f t="shared" si="0"/>
        <v>158.30500000000001</v>
      </c>
      <c r="Q26" s="122">
        <f>'[1]апрель 20'!S25</f>
        <v>158.30500000000001</v>
      </c>
      <c r="R26" s="123">
        <f t="shared" si="22"/>
        <v>4.38</v>
      </c>
      <c r="S26" s="129">
        <v>16.170000000000002</v>
      </c>
      <c r="T26" s="125">
        <f t="shared" si="1"/>
        <v>151.37124100000003</v>
      </c>
      <c r="U26" s="147">
        <f t="shared" si="2"/>
        <v>1.3328453024566349</v>
      </c>
      <c r="V26" s="169">
        <v>113.57</v>
      </c>
      <c r="W26" s="169">
        <v>83.79</v>
      </c>
      <c r="X26" s="170">
        <v>0.74</v>
      </c>
      <c r="Y26" s="166">
        <v>503</v>
      </c>
      <c r="Z26" s="166">
        <v>1166</v>
      </c>
      <c r="AA26" s="148" t="s">
        <v>241</v>
      </c>
      <c r="AB26" s="164">
        <v>76.8</v>
      </c>
      <c r="AC26" s="166">
        <v>101</v>
      </c>
      <c r="AD26" s="171">
        <v>4</v>
      </c>
      <c r="AE26" s="164"/>
      <c r="AF26" s="172">
        <f t="shared" si="3"/>
        <v>0</v>
      </c>
      <c r="AG26" s="173"/>
      <c r="AH26" s="170">
        <v>72.75</v>
      </c>
      <c r="AI26" s="134">
        <f t="shared" si="4"/>
        <v>640.5740952716385</v>
      </c>
      <c r="AJ26" s="174">
        <v>14.03</v>
      </c>
      <c r="AK26" s="175"/>
      <c r="AL26" s="176">
        <v>5.53</v>
      </c>
      <c r="AM26" s="177">
        <v>29.07</v>
      </c>
      <c r="AN26" s="126">
        <f t="shared" si="23"/>
        <v>0.19822707125809749</v>
      </c>
      <c r="AO26" s="178" t="s">
        <v>207</v>
      </c>
      <c r="AP26" s="177">
        <v>8.9</v>
      </c>
      <c r="AQ26" s="177">
        <v>6.95</v>
      </c>
      <c r="AR26" s="171"/>
      <c r="AS26" s="164">
        <v>7.43</v>
      </c>
      <c r="AT26" s="149">
        <v>146.65</v>
      </c>
      <c r="AU26" s="164">
        <v>1.52</v>
      </c>
      <c r="AV26" s="164"/>
      <c r="AW26" s="164"/>
      <c r="AX26" s="179">
        <f t="shared" si="5"/>
        <v>0</v>
      </c>
      <c r="AY26" s="125">
        <f t="shared" si="6"/>
        <v>113.57000000000001</v>
      </c>
      <c r="AZ26" s="125">
        <f t="shared" si="29"/>
        <v>116.19265978259541</v>
      </c>
      <c r="BA26" s="159">
        <f t="shared" si="7"/>
        <v>4.1872235915492961</v>
      </c>
      <c r="BB26" s="159">
        <f t="shared" si="8"/>
        <v>4.5428000000000006</v>
      </c>
      <c r="BC26" s="180">
        <f t="shared" si="9"/>
        <v>0.87023346467224172</v>
      </c>
      <c r="BD26" s="159">
        <f t="shared" si="24"/>
        <v>8.7300235915492976</v>
      </c>
      <c r="BE26" s="167">
        <v>0.86399999999999999</v>
      </c>
      <c r="BF26" s="25">
        <f t="shared" si="25"/>
        <v>2344.2600000000007</v>
      </c>
      <c r="BG26" s="25">
        <f t="shared" si="10"/>
        <v>125</v>
      </c>
      <c r="BH26" s="25">
        <f t="shared" si="26"/>
        <v>2500</v>
      </c>
      <c r="BI26" s="26">
        <f t="shared" si="11"/>
        <v>1</v>
      </c>
      <c r="BJ26" s="37">
        <f t="shared" si="27"/>
        <v>2500</v>
      </c>
      <c r="BK26" s="38"/>
      <c r="BL26" s="43">
        <v>180.61</v>
      </c>
      <c r="BM26" s="31"/>
      <c r="BN26" s="406"/>
      <c r="BO26" s="42"/>
      <c r="BP26" s="40">
        <v>25.648</v>
      </c>
      <c r="BQ26" s="412">
        <v>51.453000000000003</v>
      </c>
      <c r="BR26" s="33"/>
      <c r="BS26" s="34">
        <v>1.45</v>
      </c>
      <c r="BT26" s="35"/>
      <c r="BU26" s="35"/>
      <c r="BV26" s="235"/>
      <c r="BW26" s="235">
        <v>1.62</v>
      </c>
      <c r="BX26" s="36"/>
      <c r="BY26" s="33"/>
      <c r="BZ26" s="34">
        <v>38.200000000000003</v>
      </c>
      <c r="CA26" s="35"/>
      <c r="CB26" s="405"/>
      <c r="CC26" s="404"/>
      <c r="CD26" s="235">
        <v>38.19</v>
      </c>
      <c r="CE26" s="413">
        <v>43.99</v>
      </c>
      <c r="CF26" s="30">
        <v>158.30500000000001</v>
      </c>
      <c r="CG26" s="30"/>
      <c r="CH26" s="43"/>
      <c r="CI26" s="32"/>
      <c r="CJ26" s="33">
        <v>4.38</v>
      </c>
      <c r="CK26" s="33"/>
      <c r="CL26" s="35"/>
      <c r="CM26" s="36"/>
      <c r="CN26" s="286"/>
      <c r="CO26" s="249">
        <f t="shared" si="30"/>
        <v>0</v>
      </c>
      <c r="CP26" s="12">
        <f t="shared" si="30"/>
        <v>177.99115499999999</v>
      </c>
      <c r="CQ26" s="12">
        <f t="shared" si="30"/>
        <v>0</v>
      </c>
      <c r="CR26" s="12">
        <f t="shared" si="30"/>
        <v>0</v>
      </c>
      <c r="CS26" s="11">
        <f t="shared" si="30"/>
        <v>0</v>
      </c>
      <c r="CT26" s="11">
        <f t="shared" si="30"/>
        <v>25.232502400000001</v>
      </c>
      <c r="CU26" s="272">
        <f t="shared" si="30"/>
        <v>51.453000000000003</v>
      </c>
      <c r="CV26" s="249">
        <f t="shared" si="13"/>
        <v>151.37124100000003</v>
      </c>
      <c r="CW26" s="12">
        <f t="shared" si="13"/>
        <v>0</v>
      </c>
      <c r="CX26" s="249">
        <f t="shared" si="13"/>
        <v>0</v>
      </c>
      <c r="CY26" s="274">
        <f t="shared" si="13"/>
        <v>0</v>
      </c>
      <c r="CZ26" s="13"/>
      <c r="DA26" s="240">
        <f>(D26+'[2]апрель 20 '!D26)/(AY26+'[2]апрель 20 '!AX26)</f>
        <v>2.2747963268760576</v>
      </c>
      <c r="DB26" s="241">
        <f>(T26+'[2]апрель 20 '!R26)/(AY26+'[2]апрель 20 '!AX26)</f>
        <v>1.3765946993918876</v>
      </c>
      <c r="DD26" s="292">
        <f t="shared" si="14"/>
        <v>10.118</v>
      </c>
      <c r="DE26" s="291">
        <v>0.31</v>
      </c>
      <c r="DF26" s="291">
        <v>17.22</v>
      </c>
      <c r="DG26" s="145">
        <f t="shared" si="15"/>
        <v>10.086634200000001</v>
      </c>
      <c r="DH26" s="293">
        <f t="shared" si="28"/>
        <v>2.2616125120312502</v>
      </c>
      <c r="DJ26" s="322"/>
    </row>
    <row r="27" spans="1:114" s="76" customFormat="1" ht="16.5" customHeight="1" thickBot="1">
      <c r="A27" s="144">
        <v>21</v>
      </c>
      <c r="B27" s="122">
        <f>'[1]апрель 20'!K26</f>
        <v>250.01400000000001</v>
      </c>
      <c r="C27" s="123">
        <f t="shared" si="16"/>
        <v>0.93422392346028615</v>
      </c>
      <c r="D27" s="145">
        <f t="shared" si="17"/>
        <v>247.67830940000005</v>
      </c>
      <c r="E27" s="125">
        <f t="shared" si="18"/>
        <v>38.641141936051582</v>
      </c>
      <c r="F27" s="146">
        <f t="shared" si="19"/>
        <v>2.3350458131422647</v>
      </c>
      <c r="G27" s="127"/>
      <c r="H27" s="126">
        <f t="shared" si="20"/>
        <v>1.8639795361553688</v>
      </c>
      <c r="I27" s="230">
        <f>'[1]июль 20'!AI26</f>
        <v>0</v>
      </c>
      <c r="J27" s="247">
        <f>'[1]апрель 20'!AA26</f>
        <v>9.9550000000000001</v>
      </c>
      <c r="K27" s="276">
        <f>'[1]сентябрь 20'!AM26</f>
        <v>0</v>
      </c>
      <c r="L27" s="122">
        <f>'[1]апрель 20'!AE26</f>
        <v>49.966000000000001</v>
      </c>
      <c r="M27" s="128">
        <f t="shared" si="21"/>
        <v>0.4710662769868954</v>
      </c>
      <c r="N27" s="400">
        <f>'[1]апрель 20'!W26</f>
        <v>0</v>
      </c>
      <c r="O27" s="403">
        <f>'[1]апрель 20'!AU26</f>
        <v>0</v>
      </c>
      <c r="P27" s="401">
        <f t="shared" si="0"/>
        <v>154.19200000000001</v>
      </c>
      <c r="Q27" s="122">
        <f>'[1]апрель 20'!S26</f>
        <v>154.19200000000001</v>
      </c>
      <c r="R27" s="123">
        <f t="shared" si="22"/>
        <v>4.53</v>
      </c>
      <c r="S27" s="129">
        <v>7.11</v>
      </c>
      <c r="T27" s="125">
        <f t="shared" si="1"/>
        <v>147.2071024</v>
      </c>
      <c r="U27" s="147">
        <f t="shared" si="2"/>
        <v>1.3878297577071743</v>
      </c>
      <c r="V27" s="130">
        <v>106.07</v>
      </c>
      <c r="W27" s="130">
        <v>106.07</v>
      </c>
      <c r="X27" s="129">
        <v>0.7</v>
      </c>
      <c r="Y27" s="150">
        <v>507</v>
      </c>
      <c r="Z27" s="150">
        <v>1174</v>
      </c>
      <c r="AA27" s="148" t="s">
        <v>242</v>
      </c>
      <c r="AB27" s="149">
        <v>76.55</v>
      </c>
      <c r="AC27" s="150">
        <v>100</v>
      </c>
      <c r="AD27" s="151">
        <v>4</v>
      </c>
      <c r="AE27" s="149"/>
      <c r="AF27" s="134">
        <f t="shared" si="3"/>
        <v>0</v>
      </c>
      <c r="AG27" s="152"/>
      <c r="AH27" s="129">
        <v>65.150000000000006</v>
      </c>
      <c r="AI27" s="134">
        <f t="shared" si="4"/>
        <v>614.21702649193935</v>
      </c>
      <c r="AJ27" s="136">
        <v>13.43</v>
      </c>
      <c r="AK27" s="154"/>
      <c r="AL27" s="155">
        <v>6.66</v>
      </c>
      <c r="AM27" s="156">
        <v>29.56</v>
      </c>
      <c r="AN27" s="126">
        <f t="shared" si="23"/>
        <v>0.20994318181818178</v>
      </c>
      <c r="AO27" s="157" t="s">
        <v>217</v>
      </c>
      <c r="AP27" s="156">
        <v>8.86</v>
      </c>
      <c r="AQ27" s="156">
        <v>6.88</v>
      </c>
      <c r="AR27" s="151"/>
      <c r="AS27" s="149">
        <v>7.74</v>
      </c>
      <c r="AT27" s="149">
        <v>140.80000000000001</v>
      </c>
      <c r="AU27" s="149">
        <v>1.49</v>
      </c>
      <c r="AV27" s="164"/>
      <c r="AW27" s="149"/>
      <c r="AX27" s="158">
        <f t="shared" si="5"/>
        <v>0</v>
      </c>
      <c r="AY27" s="125">
        <f t="shared" si="6"/>
        <v>106.07000000000001</v>
      </c>
      <c r="AZ27" s="125">
        <f t="shared" si="29"/>
        <v>111.24057387850883</v>
      </c>
      <c r="BA27" s="159">
        <f t="shared" si="7"/>
        <v>3.9062471830985919</v>
      </c>
      <c r="BB27" s="160">
        <f t="shared" si="8"/>
        <v>4.2428000000000008</v>
      </c>
      <c r="BC27" s="161">
        <f t="shared" si="9"/>
        <v>0.8483983924187869</v>
      </c>
      <c r="BD27" s="160">
        <f t="shared" si="24"/>
        <v>8.1490471830985918</v>
      </c>
      <c r="BE27" s="162">
        <v>0.86399999999999999</v>
      </c>
      <c r="BF27" s="25">
        <f t="shared" si="25"/>
        <v>2450.3300000000008</v>
      </c>
      <c r="BG27" s="25">
        <f t="shared" si="10"/>
        <v>125</v>
      </c>
      <c r="BH27" s="25">
        <f t="shared" si="26"/>
        <v>2625</v>
      </c>
      <c r="BI27" s="26">
        <f t="shared" si="11"/>
        <v>1</v>
      </c>
      <c r="BJ27" s="37">
        <f t="shared" si="27"/>
        <v>2625</v>
      </c>
      <c r="BK27" s="38"/>
      <c r="BL27" s="31">
        <v>175.02099999999999</v>
      </c>
      <c r="BM27" s="31"/>
      <c r="BN27" s="234"/>
      <c r="BO27" s="42"/>
      <c r="BP27" s="40">
        <v>25.027000000000001</v>
      </c>
      <c r="BQ27" s="411">
        <v>49.966000000000001</v>
      </c>
      <c r="BR27" s="33"/>
      <c r="BS27" s="34">
        <v>1.0900000000000001</v>
      </c>
      <c r="BT27" s="35"/>
      <c r="BU27" s="35"/>
      <c r="BV27" s="235"/>
      <c r="BW27" s="235">
        <v>1.71</v>
      </c>
      <c r="BX27" s="36"/>
      <c r="BY27" s="33"/>
      <c r="BZ27" s="34">
        <v>37.06</v>
      </c>
      <c r="CA27" s="35"/>
      <c r="CB27" s="405"/>
      <c r="CC27" s="404"/>
      <c r="CD27" s="235">
        <v>38.799999999999997</v>
      </c>
      <c r="CE27" s="413">
        <v>44.1</v>
      </c>
      <c r="CF27" s="30">
        <v>154.19200000000001</v>
      </c>
      <c r="CG27" s="30"/>
      <c r="CH27" s="31"/>
      <c r="CI27" s="32"/>
      <c r="CJ27" s="33">
        <v>4.53</v>
      </c>
      <c r="CK27" s="33"/>
      <c r="CL27" s="35"/>
      <c r="CM27" s="36"/>
      <c r="CN27" s="286"/>
      <c r="CO27" s="249">
        <f t="shared" si="30"/>
        <v>0</v>
      </c>
      <c r="CP27" s="12">
        <f t="shared" si="30"/>
        <v>173.11327109999999</v>
      </c>
      <c r="CQ27" s="12">
        <f t="shared" si="30"/>
        <v>0</v>
      </c>
      <c r="CR27" s="12">
        <f t="shared" si="30"/>
        <v>0</v>
      </c>
      <c r="CS27" s="11">
        <f t="shared" si="30"/>
        <v>0</v>
      </c>
      <c r="CT27" s="11">
        <f t="shared" si="30"/>
        <v>24.599038300000004</v>
      </c>
      <c r="CU27" s="272">
        <f t="shared" si="30"/>
        <v>49.966000000000001</v>
      </c>
      <c r="CV27" s="249">
        <f t="shared" si="13"/>
        <v>147.2071024</v>
      </c>
      <c r="CW27" s="11">
        <f t="shared" si="13"/>
        <v>0</v>
      </c>
      <c r="CX27" s="249">
        <f t="shared" si="13"/>
        <v>0</v>
      </c>
      <c r="CY27" s="272">
        <f t="shared" si="13"/>
        <v>0</v>
      </c>
      <c r="CZ27" s="13"/>
      <c r="DA27" s="240">
        <f>(D27+'[2]апрель 20 '!D27)/(AY27+'[2]апрель 20 '!AX27)</f>
        <v>2.3791824075391181</v>
      </c>
      <c r="DB27" s="241">
        <f>(T27+'[2]апрель 20 '!R27)/(AY27+'[2]апрель 20 '!AX27)</f>
        <v>1.4378866623561362</v>
      </c>
      <c r="DD27" s="292">
        <f t="shared" si="14"/>
        <v>9.9550000000000001</v>
      </c>
      <c r="DE27" s="291">
        <v>0.69</v>
      </c>
      <c r="DF27" s="291">
        <v>16.22</v>
      </c>
      <c r="DG27" s="145">
        <f t="shared" si="15"/>
        <v>9.8863105000000004</v>
      </c>
      <c r="DH27" s="293">
        <f t="shared" si="28"/>
        <v>2.0947871497060744</v>
      </c>
      <c r="DJ27" s="322"/>
    </row>
    <row r="28" spans="1:114" s="76" customFormat="1" ht="16.5" customHeight="1" thickBot="1">
      <c r="A28" s="144">
        <v>22</v>
      </c>
      <c r="B28" s="122">
        <f>'[1]апрель 20'!K27</f>
        <v>226.982</v>
      </c>
      <c r="C28" s="123">
        <f t="shared" si="16"/>
        <v>0.85586046470645261</v>
      </c>
      <c r="D28" s="145">
        <f t="shared" si="17"/>
        <v>225.03935080000002</v>
      </c>
      <c r="E28" s="125">
        <f t="shared" si="18"/>
        <v>39.120782440898402</v>
      </c>
      <c r="F28" s="146">
        <f t="shared" si="19"/>
        <v>2.0662873087870723</v>
      </c>
      <c r="G28" s="127"/>
      <c r="H28" s="126">
        <f t="shared" si="20"/>
        <v>1.6491906234505558</v>
      </c>
      <c r="I28" s="230">
        <f>'[1]июль 20'!AI27</f>
        <v>0</v>
      </c>
      <c r="J28" s="247">
        <f>'[1]апрель 20'!AA27</f>
        <v>9.1679999999999993</v>
      </c>
      <c r="K28" s="276">
        <f>'[1]сентябрь 20'!AM27</f>
        <v>0</v>
      </c>
      <c r="L28" s="122">
        <f>'[1]апрель 20'!AE27</f>
        <v>45.426000000000002</v>
      </c>
      <c r="M28" s="128">
        <f t="shared" si="21"/>
        <v>0.41709668533651639</v>
      </c>
      <c r="N28" s="400">
        <f>'[1]апрель 20'!W27</f>
        <v>0</v>
      </c>
      <c r="O28" s="403">
        <f>'[1]апрель 20'!AU27</f>
        <v>9.0709999999999997</v>
      </c>
      <c r="P28" s="401">
        <f t="shared" si="0"/>
        <v>143.672</v>
      </c>
      <c r="Q28" s="122">
        <f>'[1]апрель 20'!S27</f>
        <v>143.672</v>
      </c>
      <c r="R28" s="123">
        <f t="shared" si="22"/>
        <v>4.8099999999999996</v>
      </c>
      <c r="S28" s="129">
        <v>6.81</v>
      </c>
      <c r="T28" s="125">
        <f t="shared" si="1"/>
        <v>136.76137679999999</v>
      </c>
      <c r="U28" s="147">
        <f t="shared" si="2"/>
        <v>1.2557283702139381</v>
      </c>
      <c r="V28" s="130">
        <v>108.91</v>
      </c>
      <c r="W28" s="130">
        <v>108.91</v>
      </c>
      <c r="X28" s="129">
        <v>0.49</v>
      </c>
      <c r="Y28" s="150">
        <v>525</v>
      </c>
      <c r="Z28" s="150">
        <v>1178</v>
      </c>
      <c r="AA28" s="148" t="s">
        <v>240</v>
      </c>
      <c r="AB28" s="149">
        <v>76.31</v>
      </c>
      <c r="AC28" s="150">
        <v>91</v>
      </c>
      <c r="AD28" s="151">
        <v>4</v>
      </c>
      <c r="AE28" s="149">
        <v>4.3499999999999996</v>
      </c>
      <c r="AF28" s="134">
        <f t="shared" si="3"/>
        <v>39.941235882839038</v>
      </c>
      <c r="AG28" s="152"/>
      <c r="AH28" s="129">
        <v>67.349999999999994</v>
      </c>
      <c r="AI28" s="134">
        <f t="shared" si="4"/>
        <v>618.40051418602513</v>
      </c>
      <c r="AJ28" s="153">
        <v>14.43</v>
      </c>
      <c r="AK28" s="154"/>
      <c r="AL28" s="155">
        <v>5.05</v>
      </c>
      <c r="AM28" s="156">
        <v>30.12</v>
      </c>
      <c r="AN28" s="126">
        <f t="shared" si="23"/>
        <v>0.21226215644820295</v>
      </c>
      <c r="AO28" s="157" t="s">
        <v>197</v>
      </c>
      <c r="AP28" s="156">
        <v>8.0500000000000007</v>
      </c>
      <c r="AQ28" s="156">
        <v>6.73</v>
      </c>
      <c r="AR28" s="151"/>
      <c r="AS28" s="149">
        <v>7.25</v>
      </c>
      <c r="AT28" s="149">
        <v>141.9</v>
      </c>
      <c r="AU28" s="149">
        <v>2.1800000000000002</v>
      </c>
      <c r="AV28" s="164"/>
      <c r="AW28" s="149"/>
      <c r="AX28" s="158">
        <f t="shared" si="5"/>
        <v>0</v>
      </c>
      <c r="AY28" s="125">
        <f t="shared" si="6"/>
        <v>108.91</v>
      </c>
      <c r="AZ28" s="125">
        <f t="shared" si="29"/>
        <v>102.98483299235048</v>
      </c>
      <c r="BA28" s="159">
        <f t="shared" si="7"/>
        <v>3.7825088028169009</v>
      </c>
      <c r="BB28" s="160">
        <f t="shared" si="8"/>
        <v>4.3563999999999998</v>
      </c>
      <c r="BC28" s="161">
        <f t="shared" si="9"/>
        <v>0.94402438558773372</v>
      </c>
      <c r="BD28" s="160">
        <f t="shared" si="24"/>
        <v>8.1389088028168999</v>
      </c>
      <c r="BE28" s="162">
        <v>0.86699999999999999</v>
      </c>
      <c r="BF28" s="25">
        <f t="shared" si="25"/>
        <v>2559.2400000000007</v>
      </c>
      <c r="BG28" s="25">
        <f t="shared" si="10"/>
        <v>125</v>
      </c>
      <c r="BH28" s="25">
        <f t="shared" si="26"/>
        <v>2750</v>
      </c>
      <c r="BI28" s="26">
        <f t="shared" si="11"/>
        <v>1</v>
      </c>
      <c r="BJ28" s="37">
        <f t="shared" si="27"/>
        <v>2750</v>
      </c>
      <c r="BK28" s="38"/>
      <c r="BL28" s="31">
        <v>181.55600000000001</v>
      </c>
      <c r="BM28" s="31"/>
      <c r="BN28" s="234"/>
      <c r="BO28" s="42"/>
      <c r="BP28" s="40"/>
      <c r="BQ28" s="411">
        <v>45.426000000000002</v>
      </c>
      <c r="BR28" s="33"/>
      <c r="BS28" s="34">
        <v>1.07</v>
      </c>
      <c r="BT28" s="35"/>
      <c r="BU28" s="35"/>
      <c r="BV28" s="235"/>
      <c r="BW28" s="235"/>
      <c r="BX28" s="36"/>
      <c r="BY28" s="33"/>
      <c r="BZ28" s="34">
        <v>37.92</v>
      </c>
      <c r="CA28" s="35"/>
      <c r="CB28" s="405"/>
      <c r="CC28" s="404"/>
      <c r="CD28" s="235"/>
      <c r="CE28" s="36">
        <v>43.92</v>
      </c>
      <c r="CF28" s="30">
        <v>143.672</v>
      </c>
      <c r="CG28" s="30"/>
      <c r="CH28" s="31"/>
      <c r="CI28" s="32"/>
      <c r="CJ28" s="33">
        <v>4.8099999999999996</v>
      </c>
      <c r="CK28" s="33"/>
      <c r="CL28" s="35"/>
      <c r="CM28" s="36"/>
      <c r="CN28" s="286"/>
      <c r="CO28" s="249">
        <f t="shared" si="30"/>
        <v>0</v>
      </c>
      <c r="CP28" s="12">
        <f t="shared" si="30"/>
        <v>179.61335080000003</v>
      </c>
      <c r="CQ28" s="12">
        <f t="shared" si="30"/>
        <v>0</v>
      </c>
      <c r="CR28" s="12">
        <f t="shared" si="30"/>
        <v>0</v>
      </c>
      <c r="CS28" s="11">
        <f t="shared" si="30"/>
        <v>0</v>
      </c>
      <c r="CT28" s="11">
        <f t="shared" si="30"/>
        <v>0</v>
      </c>
      <c r="CU28" s="272">
        <f t="shared" si="30"/>
        <v>45.426000000000002</v>
      </c>
      <c r="CV28" s="249">
        <f t="shared" si="13"/>
        <v>136.76137679999999</v>
      </c>
      <c r="CW28" s="12">
        <f t="shared" si="13"/>
        <v>0</v>
      </c>
      <c r="CX28" s="249">
        <f t="shared" si="13"/>
        <v>0</v>
      </c>
      <c r="CY28" s="272">
        <f t="shared" si="13"/>
        <v>0</v>
      </c>
      <c r="CZ28" s="13"/>
      <c r="DA28" s="240">
        <f>(D28+'[2]апрель 20 '!D28)/(AY28+'[2]апрель 20 '!AX28)</f>
        <v>2.1400996685242126</v>
      </c>
      <c r="DB28" s="241">
        <f>(T28+'[2]апрель 20 '!R28)/(AY28+'[2]апрель 20 '!AX28)</f>
        <v>1.3183812990007686</v>
      </c>
      <c r="DD28" s="292">
        <f t="shared" si="14"/>
        <v>9.1679999999999993</v>
      </c>
      <c r="DE28" s="305">
        <v>0.19</v>
      </c>
      <c r="DF28" s="291">
        <v>18.920000000000002</v>
      </c>
      <c r="DG28" s="145">
        <f t="shared" si="15"/>
        <v>9.1505807999999984</v>
      </c>
      <c r="DH28" s="293">
        <f t="shared" si="28"/>
        <v>2.2687588616957144</v>
      </c>
      <c r="DJ28" s="322"/>
    </row>
    <row r="29" spans="1:114" s="76" customFormat="1" ht="16.5" customHeight="1" thickBot="1">
      <c r="A29" s="144">
        <v>23</v>
      </c>
      <c r="B29" s="122">
        <f>'[1]апрель 20'!K28</f>
        <v>170.02099999999999</v>
      </c>
      <c r="C29" s="123">
        <f t="shared" si="16"/>
        <v>1.3412016162709315</v>
      </c>
      <c r="D29" s="145">
        <f t="shared" si="17"/>
        <v>167.74067559999997</v>
      </c>
      <c r="E29" s="125">
        <f t="shared" si="18"/>
        <v>38.70419524646956</v>
      </c>
      <c r="F29" s="146">
        <f t="shared" si="19"/>
        <v>2.2053730686300286</v>
      </c>
      <c r="G29" s="127"/>
      <c r="H29" s="126">
        <f t="shared" si="20"/>
        <v>1.756556344990797</v>
      </c>
      <c r="I29" s="230">
        <f>'[1]июль 20'!AI28</f>
        <v>0</v>
      </c>
      <c r="J29" s="247">
        <f>'[1]апрель 20'!AA28</f>
        <v>6.7539999999999996</v>
      </c>
      <c r="K29" s="276">
        <f>'[1]сентябрь 20'!AM28</f>
        <v>0</v>
      </c>
      <c r="L29" s="122">
        <f>'[1]апрель 20'!AE28</f>
        <v>34.137</v>
      </c>
      <c r="M29" s="128">
        <f t="shared" si="21"/>
        <v>0.4488167236392322</v>
      </c>
      <c r="N29" s="400">
        <f>'[1]апрель 20'!W28</f>
        <v>0</v>
      </c>
      <c r="O29" s="403">
        <f>'[1]апрель 20'!AU28</f>
        <v>6.4409999999999998</v>
      </c>
      <c r="P29" s="401">
        <f t="shared" si="0"/>
        <v>114.852</v>
      </c>
      <c r="Q29" s="122">
        <f>'[1]апрель 20'!S28</f>
        <v>114.852</v>
      </c>
      <c r="R29" s="123">
        <f t="shared" si="22"/>
        <v>4.96</v>
      </c>
      <c r="S29" s="129">
        <v>7.9</v>
      </c>
      <c r="T29" s="125">
        <f t="shared" si="1"/>
        <v>109.1553408</v>
      </c>
      <c r="U29" s="147">
        <f t="shared" si="2"/>
        <v>1.4351214935577177</v>
      </c>
      <c r="V29" s="130">
        <v>32.840000000000003</v>
      </c>
      <c r="W29" s="130">
        <v>52.81</v>
      </c>
      <c r="X29" s="129">
        <v>1.04</v>
      </c>
      <c r="Y29" s="150">
        <v>517</v>
      </c>
      <c r="Z29" s="150">
        <v>1078</v>
      </c>
      <c r="AA29" s="148" t="s">
        <v>243</v>
      </c>
      <c r="AB29" s="149">
        <v>75.17</v>
      </c>
      <c r="AC29" s="150">
        <v>70</v>
      </c>
      <c r="AD29" s="151">
        <v>3</v>
      </c>
      <c r="AE29" s="149">
        <v>8.3000000000000007</v>
      </c>
      <c r="AF29" s="134">
        <f t="shared" si="3"/>
        <v>109.12437549303182</v>
      </c>
      <c r="AG29" s="152"/>
      <c r="AH29" s="129">
        <v>55.65</v>
      </c>
      <c r="AI29" s="134">
        <f t="shared" si="4"/>
        <v>731.65921640809881</v>
      </c>
      <c r="AJ29" s="136">
        <v>10.71</v>
      </c>
      <c r="AK29" s="154"/>
      <c r="AL29" s="155">
        <v>4.9400000000000004</v>
      </c>
      <c r="AM29" s="156">
        <v>18.22</v>
      </c>
      <c r="AN29" s="126">
        <f t="shared" si="23"/>
        <v>0.18535096642929805</v>
      </c>
      <c r="AO29" s="157" t="s">
        <v>199</v>
      </c>
      <c r="AP29" s="156">
        <v>7.25</v>
      </c>
      <c r="AQ29" s="156">
        <v>6.83</v>
      </c>
      <c r="AR29" s="149"/>
      <c r="AS29" s="149">
        <v>9.0299999999999994</v>
      </c>
      <c r="AT29" s="149">
        <v>98.3</v>
      </c>
      <c r="AU29" s="149">
        <v>0.92</v>
      </c>
      <c r="AV29" s="164"/>
      <c r="AW29" s="149"/>
      <c r="AX29" s="158">
        <f t="shared" si="5"/>
        <v>0</v>
      </c>
      <c r="AY29" s="125">
        <f t="shared" si="6"/>
        <v>76.06</v>
      </c>
      <c r="AZ29" s="125">
        <f t="shared" si="29"/>
        <v>77.080406373913505</v>
      </c>
      <c r="BA29" s="159">
        <f t="shared" si="7"/>
        <v>3.8927566901408444</v>
      </c>
      <c r="BB29" s="160">
        <f t="shared" si="8"/>
        <v>3.0424000000000002</v>
      </c>
      <c r="BC29" s="161">
        <f t="shared" si="9"/>
        <v>0.88065223493521505</v>
      </c>
      <c r="BD29" s="160">
        <f t="shared" si="24"/>
        <v>6.935156690140845</v>
      </c>
      <c r="BE29" s="162">
        <v>0.86699999999999999</v>
      </c>
      <c r="BF29" s="25">
        <f t="shared" si="25"/>
        <v>2635.3000000000006</v>
      </c>
      <c r="BG29" s="25">
        <f t="shared" si="10"/>
        <v>125</v>
      </c>
      <c r="BH29" s="25">
        <f t="shared" si="26"/>
        <v>2875</v>
      </c>
      <c r="BI29" s="26">
        <f t="shared" si="11"/>
        <v>1</v>
      </c>
      <c r="BJ29" s="37">
        <f t="shared" si="27"/>
        <v>2875</v>
      </c>
      <c r="BK29" s="328"/>
      <c r="BL29" s="31">
        <v>134.434</v>
      </c>
      <c r="BM29" s="31"/>
      <c r="BN29" s="31"/>
      <c r="BO29" s="40"/>
      <c r="BP29" s="40">
        <v>1.45</v>
      </c>
      <c r="BQ29" s="32">
        <v>34.137</v>
      </c>
      <c r="BR29" s="33"/>
      <c r="BS29" s="34">
        <v>1.66</v>
      </c>
      <c r="BT29" s="35"/>
      <c r="BU29" s="35"/>
      <c r="BV29" s="235"/>
      <c r="BW29" s="235">
        <v>3.36</v>
      </c>
      <c r="BX29" s="36"/>
      <c r="BY29" s="33"/>
      <c r="BZ29" s="34">
        <v>37.36</v>
      </c>
      <c r="CA29" s="35"/>
      <c r="CB29" s="35"/>
      <c r="CC29" s="235"/>
      <c r="CD29" s="235">
        <v>38.18</v>
      </c>
      <c r="CE29" s="36">
        <v>44.02</v>
      </c>
      <c r="CF29" s="30">
        <v>114.852</v>
      </c>
      <c r="CG29" s="30"/>
      <c r="CH29" s="31"/>
      <c r="CI29" s="32"/>
      <c r="CJ29" s="33">
        <v>4.96</v>
      </c>
      <c r="CK29" s="33"/>
      <c r="CL29" s="35"/>
      <c r="CM29" s="36"/>
      <c r="CN29" s="286"/>
      <c r="CO29" s="249">
        <f t="shared" si="30"/>
        <v>0</v>
      </c>
      <c r="CP29" s="12">
        <f t="shared" si="30"/>
        <v>132.20239560000002</v>
      </c>
      <c r="CQ29" s="12">
        <f t="shared" si="30"/>
        <v>0</v>
      </c>
      <c r="CR29" s="12">
        <f t="shared" si="30"/>
        <v>0</v>
      </c>
      <c r="CS29" s="11">
        <f t="shared" si="30"/>
        <v>0</v>
      </c>
      <c r="CT29" s="11">
        <f t="shared" si="30"/>
        <v>1.4012800000000001</v>
      </c>
      <c r="CU29" s="272">
        <f t="shared" si="30"/>
        <v>34.137</v>
      </c>
      <c r="CV29" s="249">
        <f t="shared" si="13"/>
        <v>109.1553408</v>
      </c>
      <c r="CW29" s="12">
        <f t="shared" si="13"/>
        <v>0</v>
      </c>
      <c r="CX29" s="249">
        <f t="shared" si="13"/>
        <v>0</v>
      </c>
      <c r="CY29" s="272">
        <f t="shared" si="13"/>
        <v>0</v>
      </c>
      <c r="CZ29" s="13"/>
      <c r="DA29" s="240">
        <f>(D29+'[2]апрель 20 '!D29)/(AY29+'[2]апрель 20 '!AX29)</f>
        <v>2.2070785187303406</v>
      </c>
      <c r="DB29" s="241">
        <f>(T29+'[2]апрель 20 '!R29)/(AY29+'[2]апрель 20 '!AX29)</f>
        <v>1.3881374778381472</v>
      </c>
      <c r="DD29" s="292">
        <f t="shared" si="14"/>
        <v>6.7539999999999996</v>
      </c>
      <c r="DE29" s="291">
        <v>0.04</v>
      </c>
      <c r="DF29" s="291">
        <v>18.72</v>
      </c>
      <c r="DG29" s="145">
        <f t="shared" si="15"/>
        <v>6.7512983999999987</v>
      </c>
      <c r="DH29" s="293">
        <f t="shared" si="28"/>
        <v>1.6813131042703198</v>
      </c>
      <c r="DJ29" s="322"/>
    </row>
    <row r="30" spans="1:114" s="76" customFormat="1" ht="16.5" customHeight="1" thickBot="1">
      <c r="A30" s="144">
        <v>24</v>
      </c>
      <c r="B30" s="122">
        <f>'[1]апрель 20'!K29</f>
        <v>247.58099999999999</v>
      </c>
      <c r="C30" s="123">
        <f t="shared" si="16"/>
        <v>2.1095005271002223</v>
      </c>
      <c r="D30" s="145">
        <f t="shared" si="17"/>
        <v>242.35827749999999</v>
      </c>
      <c r="E30" s="125">
        <f t="shared" si="18"/>
        <v>38.999261494218054</v>
      </c>
      <c r="F30" s="146">
        <f t="shared" si="19"/>
        <v>2.3677049384525208</v>
      </c>
      <c r="G30" s="127"/>
      <c r="H30" s="126">
        <f t="shared" si="20"/>
        <v>1.8531093933177025</v>
      </c>
      <c r="I30" s="230">
        <f>'[1]июль 20'!AI29</f>
        <v>0</v>
      </c>
      <c r="J30" s="247">
        <f>'[1]апрель 20'!AA29</f>
        <v>9.8209999999999997</v>
      </c>
      <c r="K30" s="276">
        <f>'[1]сентябрь 20'!AM29</f>
        <v>0</v>
      </c>
      <c r="L30" s="122">
        <f>'[1]апрель 20'!AE29</f>
        <v>52.673999999999999</v>
      </c>
      <c r="M30" s="128">
        <f t="shared" si="21"/>
        <v>0.51459554513481831</v>
      </c>
      <c r="N30" s="400">
        <f>'[1]апрель 20'!W29</f>
        <v>0</v>
      </c>
      <c r="O30" s="403">
        <f>'[1]апрель 20'!AU29</f>
        <v>0</v>
      </c>
      <c r="P30" s="401">
        <f t="shared" si="0"/>
        <v>154.054</v>
      </c>
      <c r="Q30" s="122">
        <f>'[1]апрель 20'!S29</f>
        <v>154.054</v>
      </c>
      <c r="R30" s="123">
        <f t="shared" si="22"/>
        <v>4.03</v>
      </c>
      <c r="S30" s="170">
        <v>7.39</v>
      </c>
      <c r="T30" s="125">
        <f t="shared" si="1"/>
        <v>147.8456238</v>
      </c>
      <c r="U30" s="147">
        <f t="shared" si="2"/>
        <v>1.444369126611958</v>
      </c>
      <c r="V30" s="169">
        <v>102.36</v>
      </c>
      <c r="W30" s="169"/>
      <c r="X30" s="170">
        <v>1.42</v>
      </c>
      <c r="Y30" s="166">
        <v>498</v>
      </c>
      <c r="Z30" s="166">
        <v>1158</v>
      </c>
      <c r="AA30" s="148" t="s">
        <v>244</v>
      </c>
      <c r="AB30" s="164">
        <v>75.87</v>
      </c>
      <c r="AC30" s="166">
        <v>99</v>
      </c>
      <c r="AD30" s="171">
        <v>4</v>
      </c>
      <c r="AE30" s="164">
        <v>3.8</v>
      </c>
      <c r="AF30" s="172">
        <f t="shared" si="3"/>
        <v>37.123876514263387</v>
      </c>
      <c r="AG30" s="173"/>
      <c r="AH30" s="170">
        <v>78.650000000000006</v>
      </c>
      <c r="AI30" s="134">
        <f t="shared" si="4"/>
        <v>768.3665494333726</v>
      </c>
      <c r="AJ30" s="174">
        <v>14.16</v>
      </c>
      <c r="AK30" s="175"/>
      <c r="AL30" s="176">
        <v>5.52</v>
      </c>
      <c r="AM30" s="177">
        <v>31.5</v>
      </c>
      <c r="AN30" s="126">
        <f t="shared" si="23"/>
        <v>0.22959183673469391</v>
      </c>
      <c r="AO30" s="178" t="s">
        <v>245</v>
      </c>
      <c r="AP30" s="177">
        <v>8.31</v>
      </c>
      <c r="AQ30" s="177">
        <v>6.44</v>
      </c>
      <c r="AR30" s="171"/>
      <c r="AS30" s="164">
        <v>7.41</v>
      </c>
      <c r="AT30" s="149">
        <v>137.19999999999999</v>
      </c>
      <c r="AU30" s="164">
        <v>2.1800000000000002</v>
      </c>
      <c r="AV30" s="164"/>
      <c r="AW30" s="164"/>
      <c r="AX30" s="179">
        <f t="shared" si="5"/>
        <v>0</v>
      </c>
      <c r="AY30" s="125">
        <f t="shared" si="6"/>
        <v>102.35999999999999</v>
      </c>
      <c r="AZ30" s="125">
        <f t="shared" si="29"/>
        <v>111.13156260492809</v>
      </c>
      <c r="BA30" s="159">
        <f t="shared" si="7"/>
        <v>4.5146207746478879</v>
      </c>
      <c r="BB30" s="159">
        <f t="shared" si="8"/>
        <v>4.0943999999999994</v>
      </c>
      <c r="BC30" s="180">
        <f t="shared" si="9"/>
        <v>0.82164860256854488</v>
      </c>
      <c r="BD30" s="159">
        <f t="shared" si="24"/>
        <v>8.6090207746478882</v>
      </c>
      <c r="BE30" s="167">
        <v>0.86499999999999999</v>
      </c>
      <c r="BF30" s="25">
        <f t="shared" si="25"/>
        <v>2737.6600000000008</v>
      </c>
      <c r="BG30" s="25">
        <f t="shared" si="10"/>
        <v>125</v>
      </c>
      <c r="BH30" s="25">
        <f t="shared" si="26"/>
        <v>3000</v>
      </c>
      <c r="BI30" s="26">
        <f t="shared" si="11"/>
        <v>1</v>
      </c>
      <c r="BJ30" s="37">
        <f t="shared" si="27"/>
        <v>3000</v>
      </c>
      <c r="BK30" s="38"/>
      <c r="BL30" s="31">
        <v>160.21700000000001</v>
      </c>
      <c r="BM30" s="31"/>
      <c r="BN30" s="31"/>
      <c r="BO30" s="40"/>
      <c r="BP30" s="40">
        <v>34.69</v>
      </c>
      <c r="BQ30" s="44">
        <v>52.673999999999999</v>
      </c>
      <c r="BR30" s="45"/>
      <c r="BS30" s="46">
        <v>2.4500000000000002</v>
      </c>
      <c r="BT30" s="47"/>
      <c r="BU30" s="47"/>
      <c r="BV30" s="283"/>
      <c r="BW30" s="283">
        <v>3.74</v>
      </c>
      <c r="BX30" s="48"/>
      <c r="BY30" s="45"/>
      <c r="BZ30" s="46">
        <v>37.36</v>
      </c>
      <c r="CA30" s="47"/>
      <c r="CB30" s="47"/>
      <c r="CC30" s="283"/>
      <c r="CD30" s="283">
        <v>38.81</v>
      </c>
      <c r="CE30" s="48">
        <v>44.11</v>
      </c>
      <c r="CF30" s="49">
        <v>154.054</v>
      </c>
      <c r="CG30" s="49"/>
      <c r="CH30" s="43"/>
      <c r="CI30" s="32"/>
      <c r="CJ30" s="33">
        <v>4.03</v>
      </c>
      <c r="CK30" s="33"/>
      <c r="CL30" s="35"/>
      <c r="CM30" s="36"/>
      <c r="CN30" s="286"/>
      <c r="CO30" s="249">
        <f t="shared" si="30"/>
        <v>0</v>
      </c>
      <c r="CP30" s="12">
        <f t="shared" si="30"/>
        <v>156.2916835</v>
      </c>
      <c r="CQ30" s="12">
        <f t="shared" si="30"/>
        <v>0</v>
      </c>
      <c r="CR30" s="12">
        <f t="shared" si="30"/>
        <v>0</v>
      </c>
      <c r="CS30" s="11">
        <f t="shared" si="30"/>
        <v>0</v>
      </c>
      <c r="CT30" s="11">
        <f t="shared" si="30"/>
        <v>33.392593999999995</v>
      </c>
      <c r="CU30" s="272">
        <f t="shared" si="30"/>
        <v>52.673999999999999</v>
      </c>
      <c r="CV30" s="249">
        <f t="shared" si="13"/>
        <v>147.8456238</v>
      </c>
      <c r="CW30" s="11">
        <f t="shared" si="13"/>
        <v>0</v>
      </c>
      <c r="CX30" s="252">
        <f t="shared" si="13"/>
        <v>0</v>
      </c>
      <c r="CY30" s="272">
        <f t="shared" si="13"/>
        <v>0</v>
      </c>
      <c r="CZ30" s="13"/>
      <c r="DA30" s="240">
        <f>(D30+'[2]апрель 20 '!D30)/(AY30+'[2]апрель 20 '!AX30)</f>
        <v>2.2795128329258358</v>
      </c>
      <c r="DB30" s="241">
        <f>(T30+'[2]апрель 20 '!R30)/(AY30+'[2]апрель 20 '!AX30)</f>
        <v>1.3899449838630809</v>
      </c>
      <c r="DD30" s="292">
        <f t="shared" si="14"/>
        <v>9.8209999999999997</v>
      </c>
      <c r="DE30" s="291">
        <v>0.37</v>
      </c>
      <c r="DF30" s="291">
        <v>18.41</v>
      </c>
      <c r="DG30" s="145">
        <f t="shared" si="15"/>
        <v>9.784662299999999</v>
      </c>
      <c r="DH30" s="293">
        <f t="shared" si="28"/>
        <v>2.3742669427046259</v>
      </c>
      <c r="DJ30" s="322"/>
    </row>
    <row r="31" spans="1:114" s="76" customFormat="1" ht="16.5" customHeight="1" thickBot="1">
      <c r="A31" s="144">
        <v>25</v>
      </c>
      <c r="B31" s="122">
        <f>'[1]апрель 20'!K30</f>
        <v>269.85399999999998</v>
      </c>
      <c r="C31" s="123">
        <f t="shared" si="16"/>
        <v>2.2341171522378773</v>
      </c>
      <c r="D31" s="145">
        <f t="shared" si="17"/>
        <v>263.82514550000002</v>
      </c>
      <c r="E31" s="125">
        <f t="shared" si="18"/>
        <v>38.915299198826034</v>
      </c>
      <c r="F31" s="146">
        <f t="shared" si="19"/>
        <v>2.0266181095406361</v>
      </c>
      <c r="G31" s="127"/>
      <c r="H31" s="126">
        <f t="shared" si="20"/>
        <v>1.6128218274696573</v>
      </c>
      <c r="I31" s="230">
        <f>'[1]июль 20'!AI30</f>
        <v>0</v>
      </c>
      <c r="J31" s="247">
        <f>'[1]апрель 20'!AA30</f>
        <v>10.728999999999999</v>
      </c>
      <c r="K31" s="276">
        <f>'[1]сентябрь 20'!AM30</f>
        <v>0</v>
      </c>
      <c r="L31" s="122">
        <f>'[1]апрель 20'!AE30</f>
        <v>53.868000000000002</v>
      </c>
      <c r="M31" s="128">
        <f t="shared" si="21"/>
        <v>0.41379628207097863</v>
      </c>
      <c r="N31" s="400">
        <f>'[1]апрель 20'!W30</f>
        <v>0</v>
      </c>
      <c r="O31" s="403">
        <f>'[1]апрель 20'!AU30</f>
        <v>0</v>
      </c>
      <c r="P31" s="401">
        <f t="shared" si="0"/>
        <v>164.93299999999999</v>
      </c>
      <c r="Q31" s="122">
        <f>'[1]апрель 20'!S30</f>
        <v>164.93299999999999</v>
      </c>
      <c r="R31" s="123">
        <f t="shared" si="22"/>
        <v>2.88</v>
      </c>
      <c r="S31" s="129">
        <v>7.23</v>
      </c>
      <c r="T31" s="125">
        <f t="shared" si="1"/>
        <v>160.18292959999999</v>
      </c>
      <c r="U31" s="147">
        <f t="shared" si="2"/>
        <v>1.2304726501766783</v>
      </c>
      <c r="V31" s="130">
        <v>69.27</v>
      </c>
      <c r="W31" s="130"/>
      <c r="X31" s="129">
        <v>1.71</v>
      </c>
      <c r="Y31" s="150">
        <v>566</v>
      </c>
      <c r="Z31" s="150">
        <v>1173</v>
      </c>
      <c r="AA31" s="148" t="s">
        <v>122</v>
      </c>
      <c r="AB31" s="149">
        <v>75.11</v>
      </c>
      <c r="AC31" s="150">
        <v>108</v>
      </c>
      <c r="AD31" s="151">
        <v>4</v>
      </c>
      <c r="AE31" s="149">
        <v>7.1</v>
      </c>
      <c r="AF31" s="134">
        <f t="shared" si="3"/>
        <v>54.539867875249648</v>
      </c>
      <c r="AG31" s="152"/>
      <c r="AH31" s="129">
        <v>78.75</v>
      </c>
      <c r="AI31" s="134">
        <f t="shared" si="4"/>
        <v>604.93163312336765</v>
      </c>
      <c r="AJ31" s="136">
        <v>13.27</v>
      </c>
      <c r="AK31" s="154"/>
      <c r="AL31" s="155">
        <v>5.79</v>
      </c>
      <c r="AM31" s="156">
        <v>30.9</v>
      </c>
      <c r="AN31" s="126">
        <f t="shared" si="23"/>
        <v>0.18744313011828936</v>
      </c>
      <c r="AO31" s="157" t="s">
        <v>216</v>
      </c>
      <c r="AP31" s="156">
        <v>9.93</v>
      </c>
      <c r="AQ31" s="156">
        <v>6.36</v>
      </c>
      <c r="AR31" s="151"/>
      <c r="AS31" s="149">
        <v>7.34</v>
      </c>
      <c r="AT31" s="149">
        <v>164.85</v>
      </c>
      <c r="AU31" s="149">
        <v>2.02</v>
      </c>
      <c r="AV31" s="164"/>
      <c r="AW31" s="149"/>
      <c r="AX31" s="158">
        <f t="shared" si="5"/>
        <v>0</v>
      </c>
      <c r="AY31" s="125">
        <f t="shared" si="6"/>
        <v>130.18</v>
      </c>
      <c r="AZ31" s="125">
        <f t="shared" si="29"/>
        <v>122.58853836778607</v>
      </c>
      <c r="BA31" s="159">
        <f t="shared" si="7"/>
        <v>4.477658450704225</v>
      </c>
      <c r="BB31" s="160">
        <f t="shared" si="8"/>
        <v>5.2072000000000003</v>
      </c>
      <c r="BC31" s="161">
        <f t="shared" si="9"/>
        <v>0.95236947916344161</v>
      </c>
      <c r="BD31" s="160">
        <f t="shared" si="24"/>
        <v>9.6848584507042261</v>
      </c>
      <c r="BE31" s="162">
        <v>0.86899999999999999</v>
      </c>
      <c r="BF31" s="25">
        <f t="shared" si="25"/>
        <v>2867.8400000000006</v>
      </c>
      <c r="BG31" s="25">
        <f t="shared" si="10"/>
        <v>125</v>
      </c>
      <c r="BH31" s="25">
        <f t="shared" si="26"/>
        <v>3125</v>
      </c>
      <c r="BI31" s="26">
        <f t="shared" si="11"/>
        <v>1</v>
      </c>
      <c r="BJ31" s="37">
        <f t="shared" si="27"/>
        <v>3125</v>
      </c>
      <c r="BK31" s="38"/>
      <c r="BL31" s="31">
        <v>178.18100000000001</v>
      </c>
      <c r="BM31" s="31"/>
      <c r="BN31" s="31"/>
      <c r="BO31" s="40"/>
      <c r="BP31" s="40">
        <v>37.805</v>
      </c>
      <c r="BQ31" s="32">
        <v>53.868000000000002</v>
      </c>
      <c r="BR31" s="33"/>
      <c r="BS31" s="34">
        <v>2.4500000000000002</v>
      </c>
      <c r="BT31" s="35"/>
      <c r="BU31" s="35"/>
      <c r="BV31" s="235"/>
      <c r="BW31" s="235">
        <v>4.4000000000000004</v>
      </c>
      <c r="BX31" s="36"/>
      <c r="BY31" s="33"/>
      <c r="BZ31" s="34">
        <v>37.44</v>
      </c>
      <c r="CA31" s="35"/>
      <c r="CB31" s="35"/>
      <c r="CC31" s="235"/>
      <c r="CD31" s="235">
        <v>38.31</v>
      </c>
      <c r="CE31" s="36">
        <v>44.22</v>
      </c>
      <c r="CF31" s="30">
        <v>164.93299999999999</v>
      </c>
      <c r="CG31" s="30"/>
      <c r="CH31" s="31"/>
      <c r="CI31" s="32"/>
      <c r="CJ31" s="33">
        <v>2.88</v>
      </c>
      <c r="CK31" s="33"/>
      <c r="CL31" s="35"/>
      <c r="CM31" s="36"/>
      <c r="CN31" s="286"/>
      <c r="CO31" s="249">
        <f t="shared" si="30"/>
        <v>0</v>
      </c>
      <c r="CP31" s="12">
        <f t="shared" si="30"/>
        <v>173.81556549999999</v>
      </c>
      <c r="CQ31" s="12">
        <f t="shared" si="30"/>
        <v>0</v>
      </c>
      <c r="CR31" s="12">
        <f t="shared" si="30"/>
        <v>0</v>
      </c>
      <c r="CS31" s="11">
        <f t="shared" si="30"/>
        <v>0</v>
      </c>
      <c r="CT31" s="11">
        <f t="shared" si="30"/>
        <v>36.141579999999998</v>
      </c>
      <c r="CU31" s="272">
        <f t="shared" si="30"/>
        <v>53.868000000000002</v>
      </c>
      <c r="CV31" s="249">
        <f t="shared" si="13"/>
        <v>160.18292959999999</v>
      </c>
      <c r="CW31" s="12">
        <f t="shared" si="13"/>
        <v>0</v>
      </c>
      <c r="CX31" s="249">
        <f t="shared" si="13"/>
        <v>0</v>
      </c>
      <c r="CY31" s="272">
        <f t="shared" si="13"/>
        <v>0</v>
      </c>
      <c r="CZ31" s="13"/>
      <c r="DA31" s="240">
        <f>(D31+'[2]апрель 20 '!D31)/(AY31+'[2]апрель 20 '!AX31)</f>
        <v>2.1876928354592957</v>
      </c>
      <c r="DB31" s="241">
        <f>(T31+'[2]апрель 20 '!R31)/(AY31+'[2]апрель 20 '!AX31)</f>
        <v>1.3128314591786101</v>
      </c>
      <c r="DD31" s="292">
        <f t="shared" si="14"/>
        <v>10.728999999999999</v>
      </c>
      <c r="DE31" s="291">
        <v>0.76</v>
      </c>
      <c r="DF31" s="291">
        <v>22.98</v>
      </c>
      <c r="DG31" s="145">
        <f t="shared" si="15"/>
        <v>10.647459599999999</v>
      </c>
      <c r="DH31" s="293">
        <f t="shared" si="28"/>
        <v>3.2576038025296232</v>
      </c>
      <c r="DJ31" s="322">
        <f t="shared" ref="DJ31:DJ37" si="31">CO31+CP31+CQ31+CR31+CS31+CT31+CU31</f>
        <v>263.82514550000002</v>
      </c>
    </row>
    <row r="32" spans="1:114" s="76" customFormat="1" ht="16.5" customHeight="1" thickBot="1">
      <c r="A32" s="144">
        <v>26</v>
      </c>
      <c r="B32" s="122">
        <f>'[1]апрель 20'!K31</f>
        <v>287.58</v>
      </c>
      <c r="C32" s="123">
        <f t="shared" si="16"/>
        <v>1.4004353571180195</v>
      </c>
      <c r="D32" s="145">
        <f t="shared" si="17"/>
        <v>283.55262800000003</v>
      </c>
      <c r="E32" s="125">
        <f t="shared" si="18"/>
        <v>39.719408512413935</v>
      </c>
      <c r="F32" s="146">
        <f t="shared" si="19"/>
        <v>2.0996122028878195</v>
      </c>
      <c r="G32" s="127"/>
      <c r="H32" s="126">
        <f t="shared" si="20"/>
        <v>1.4669946538319139</v>
      </c>
      <c r="I32" s="230">
        <f>'[1]июль 20'!AI31</f>
        <v>0</v>
      </c>
      <c r="J32" s="247">
        <f>'[1]апрель 20'!AA31</f>
        <v>11.61</v>
      </c>
      <c r="K32" s="276">
        <f>'[1]сентябрь 20'!AM31</f>
        <v>0</v>
      </c>
      <c r="L32" s="122">
        <f>'[1]апрель 20'!AE31</f>
        <v>85.435000000000002</v>
      </c>
      <c r="M32" s="128">
        <f t="shared" si="21"/>
        <v>0.63261754905590517</v>
      </c>
      <c r="N32" s="400">
        <f>'[1]апрель 20'!W31</f>
        <v>0</v>
      </c>
      <c r="O32" s="403">
        <f>'[1]апрель 20'!AU31</f>
        <v>0</v>
      </c>
      <c r="P32" s="401">
        <f t="shared" si="0"/>
        <v>173.16</v>
      </c>
      <c r="Q32" s="122">
        <f>'[1]апрель 20'!S31</f>
        <v>173.16</v>
      </c>
      <c r="R32" s="123">
        <f t="shared" si="22"/>
        <v>2.98</v>
      </c>
      <c r="S32" s="129">
        <v>8.42</v>
      </c>
      <c r="T32" s="125">
        <f t="shared" si="1"/>
        <v>167.999832</v>
      </c>
      <c r="U32" s="147">
        <f t="shared" si="2"/>
        <v>1.2439824657534246</v>
      </c>
      <c r="V32" s="130">
        <v>70.95</v>
      </c>
      <c r="W32" s="130">
        <v>36.96</v>
      </c>
      <c r="X32" s="129">
        <v>1.34</v>
      </c>
      <c r="Y32" s="150">
        <v>548</v>
      </c>
      <c r="Z32" s="150">
        <v>1184</v>
      </c>
      <c r="AA32" s="148" t="s">
        <v>155</v>
      </c>
      <c r="AB32" s="149">
        <v>74.92</v>
      </c>
      <c r="AC32" s="150">
        <v>115</v>
      </c>
      <c r="AD32" s="151">
        <v>4</v>
      </c>
      <c r="AE32" s="149">
        <v>6.05</v>
      </c>
      <c r="AF32" s="134">
        <f t="shared" si="3"/>
        <v>44.798222880414656</v>
      </c>
      <c r="AG32" s="152"/>
      <c r="AH32" s="129">
        <v>80.45</v>
      </c>
      <c r="AI32" s="134">
        <f t="shared" si="4"/>
        <v>595.70529433543129</v>
      </c>
      <c r="AJ32" s="153">
        <v>16.86</v>
      </c>
      <c r="AK32" s="154"/>
      <c r="AL32" s="155">
        <v>5.32</v>
      </c>
      <c r="AM32" s="156">
        <v>30.97</v>
      </c>
      <c r="AN32" s="126">
        <f t="shared" si="23"/>
        <v>0.18255231358679633</v>
      </c>
      <c r="AO32" s="157" t="s">
        <v>216</v>
      </c>
      <c r="AP32" s="156">
        <v>9.83</v>
      </c>
      <c r="AQ32" s="156">
        <v>6.36</v>
      </c>
      <c r="AR32" s="151"/>
      <c r="AS32" s="149">
        <v>8.91</v>
      </c>
      <c r="AT32" s="149">
        <v>169.65</v>
      </c>
      <c r="AU32" s="149">
        <v>1.69</v>
      </c>
      <c r="AV32" s="149"/>
      <c r="AW32" s="149"/>
      <c r="AX32" s="158">
        <f t="shared" si="5"/>
        <v>0</v>
      </c>
      <c r="AY32" s="125">
        <f t="shared" si="6"/>
        <v>135.05000000000001</v>
      </c>
      <c r="AZ32" s="125">
        <f t="shared" si="29"/>
        <v>133.91851185398252</v>
      </c>
      <c r="BA32" s="159">
        <f t="shared" si="7"/>
        <v>5.5527496478873246</v>
      </c>
      <c r="BB32" s="160">
        <f t="shared" si="8"/>
        <v>5.4020000000000001</v>
      </c>
      <c r="BC32" s="161">
        <f t="shared" si="9"/>
        <v>0.89837138022789731</v>
      </c>
      <c r="BD32" s="160">
        <f t="shared" si="24"/>
        <v>10.954749647887326</v>
      </c>
      <c r="BE32" s="162">
        <v>0.87</v>
      </c>
      <c r="BF32" s="25">
        <f t="shared" si="25"/>
        <v>3002.8900000000008</v>
      </c>
      <c r="BG32" s="25">
        <f t="shared" si="10"/>
        <v>125</v>
      </c>
      <c r="BH32" s="25">
        <f t="shared" si="26"/>
        <v>3250</v>
      </c>
      <c r="BI32" s="26">
        <f t="shared" si="11"/>
        <v>1</v>
      </c>
      <c r="BJ32" s="37">
        <f t="shared" si="27"/>
        <v>3250</v>
      </c>
      <c r="BK32" s="38"/>
      <c r="BL32" s="31">
        <v>165.92099999999999</v>
      </c>
      <c r="BM32" s="31"/>
      <c r="BN32" s="31"/>
      <c r="BO32" s="40"/>
      <c r="BP32" s="40">
        <v>36.223999999999997</v>
      </c>
      <c r="BQ32" s="32">
        <v>85.435000000000002</v>
      </c>
      <c r="BR32" s="33"/>
      <c r="BS32" s="34">
        <v>1.84</v>
      </c>
      <c r="BT32" s="35"/>
      <c r="BU32" s="35"/>
      <c r="BV32" s="235"/>
      <c r="BW32" s="235">
        <v>2.69</v>
      </c>
      <c r="BX32" s="36"/>
      <c r="BY32" s="33"/>
      <c r="BZ32" s="34">
        <v>37.81</v>
      </c>
      <c r="CA32" s="35"/>
      <c r="CB32" s="35"/>
      <c r="CC32" s="235"/>
      <c r="CD32" s="235">
        <v>38.11</v>
      </c>
      <c r="CE32" s="36">
        <v>44.11</v>
      </c>
      <c r="CF32" s="30">
        <v>173.16</v>
      </c>
      <c r="CG32" s="30"/>
      <c r="CH32" s="31"/>
      <c r="CI32" s="50"/>
      <c r="CJ32" s="33">
        <v>2.98</v>
      </c>
      <c r="CK32" s="33"/>
      <c r="CL32" s="35"/>
      <c r="CM32" s="36"/>
      <c r="CN32" s="286"/>
      <c r="CO32" s="249">
        <f t="shared" si="30"/>
        <v>0</v>
      </c>
      <c r="CP32" s="12">
        <f t="shared" si="30"/>
        <v>162.86805359999997</v>
      </c>
      <c r="CQ32" s="12">
        <f t="shared" si="30"/>
        <v>0</v>
      </c>
      <c r="CR32" s="12">
        <f t="shared" si="30"/>
        <v>0</v>
      </c>
      <c r="CS32" s="11">
        <f t="shared" si="30"/>
        <v>0</v>
      </c>
      <c r="CT32" s="11">
        <f t="shared" si="30"/>
        <v>35.2495744</v>
      </c>
      <c r="CU32" s="272">
        <f t="shared" si="30"/>
        <v>85.435000000000002</v>
      </c>
      <c r="CV32" s="249">
        <f t="shared" si="13"/>
        <v>167.999832</v>
      </c>
      <c r="CW32" s="11">
        <f t="shared" si="13"/>
        <v>0</v>
      </c>
      <c r="CX32" s="249">
        <f t="shared" si="13"/>
        <v>0</v>
      </c>
      <c r="CY32" s="272">
        <f t="shared" si="13"/>
        <v>0</v>
      </c>
      <c r="CZ32" s="13"/>
      <c r="DA32" s="240">
        <f>(D32+'[2]апрель 20 '!D32)/(AY32+'[2]апрель 20 '!AX32)</f>
        <v>2.1439156872495388</v>
      </c>
      <c r="DB32" s="241">
        <f>(T32+'[2]апрель 20 '!R32)/(AY32+'[2]апрель 20 '!AX32)</f>
        <v>1.2608003978120335</v>
      </c>
      <c r="DD32" s="292">
        <f t="shared" si="14"/>
        <v>11.61</v>
      </c>
      <c r="DE32" s="291">
        <v>0.17</v>
      </c>
      <c r="DF32" s="291">
        <v>17.34</v>
      </c>
      <c r="DG32" s="145">
        <f t="shared" si="15"/>
        <v>11.590262999999998</v>
      </c>
      <c r="DH32" s="293">
        <f t="shared" si="28"/>
        <v>2.6825301711158569</v>
      </c>
      <c r="DJ32" s="322">
        <f t="shared" si="31"/>
        <v>283.55262799999997</v>
      </c>
    </row>
    <row r="33" spans="1:114" s="76" customFormat="1" ht="16.5" customHeight="1" thickBot="1">
      <c r="A33" s="144">
        <v>27</v>
      </c>
      <c r="B33" s="122">
        <f>'[1]апрель 20'!K32</f>
        <v>285.04000000000002</v>
      </c>
      <c r="C33" s="123">
        <f t="shared" si="16"/>
        <v>1.1306404364299747</v>
      </c>
      <c r="D33" s="145">
        <f t="shared" si="17"/>
        <v>281.81722250000001</v>
      </c>
      <c r="E33" s="125">
        <f t="shared" si="18"/>
        <v>39.378794309570587</v>
      </c>
      <c r="F33" s="146">
        <f t="shared" si="19"/>
        <v>1.9863068966732451</v>
      </c>
      <c r="G33" s="127"/>
      <c r="H33" s="126">
        <f t="shared" si="20"/>
        <v>1.4253187376656329</v>
      </c>
      <c r="I33" s="230">
        <f>'[1]июль 20'!AI32</f>
        <v>0</v>
      </c>
      <c r="J33" s="247">
        <f>'[1]апрель 20'!AA32</f>
        <v>11.135</v>
      </c>
      <c r="K33" s="276">
        <f>'[1]сентябрь 20'!AM32</f>
        <v>0</v>
      </c>
      <c r="L33" s="122">
        <f>'[1]апрель 20'!AE32</f>
        <v>79.593000000000004</v>
      </c>
      <c r="M33" s="128">
        <f t="shared" si="21"/>
        <v>0.56098815900761212</v>
      </c>
      <c r="N33" s="400">
        <f>'[1]апрель 20'!W32</f>
        <v>0</v>
      </c>
      <c r="O33" s="403">
        <f>'[1]апрель 20'!AU32</f>
        <v>0.24</v>
      </c>
      <c r="P33" s="401">
        <f t="shared" si="0"/>
        <v>169.62200000000001</v>
      </c>
      <c r="Q33" s="122">
        <f>'[1]апрель 20'!S32</f>
        <v>169.62200000000001</v>
      </c>
      <c r="R33" s="123">
        <f t="shared" si="22"/>
        <v>3.6</v>
      </c>
      <c r="S33" s="129">
        <v>35.340000000000003</v>
      </c>
      <c r="T33" s="125">
        <f t="shared" si="1"/>
        <v>163.51560800000001</v>
      </c>
      <c r="U33" s="147">
        <f t="shared" si="2"/>
        <v>1.1524923033549479</v>
      </c>
      <c r="V33" s="130"/>
      <c r="W33" s="130"/>
      <c r="X33" s="129">
        <v>1.34</v>
      </c>
      <c r="Y33" s="150">
        <v>540</v>
      </c>
      <c r="Z33" s="150">
        <v>1168</v>
      </c>
      <c r="AA33" s="148" t="s">
        <v>122</v>
      </c>
      <c r="AB33" s="149">
        <v>72.91</v>
      </c>
      <c r="AC33" s="150">
        <v>114</v>
      </c>
      <c r="AD33" s="151">
        <v>4</v>
      </c>
      <c r="AE33" s="149">
        <v>7.25</v>
      </c>
      <c r="AF33" s="134">
        <f t="shared" si="3"/>
        <v>51.099520721736681</v>
      </c>
      <c r="AG33" s="152"/>
      <c r="AH33" s="129">
        <v>88.95</v>
      </c>
      <c r="AI33" s="134">
        <f t="shared" si="4"/>
        <v>626.93825768254862</v>
      </c>
      <c r="AJ33" s="136">
        <v>13.75</v>
      </c>
      <c r="AK33" s="154"/>
      <c r="AL33" s="155">
        <v>5.05</v>
      </c>
      <c r="AM33" s="156">
        <v>30.84</v>
      </c>
      <c r="AN33" s="126">
        <f t="shared" si="23"/>
        <v>0.17458250778375317</v>
      </c>
      <c r="AO33" s="157" t="s">
        <v>219</v>
      </c>
      <c r="AP33" s="156">
        <v>9.8800000000000008</v>
      </c>
      <c r="AQ33" s="156">
        <v>6.1</v>
      </c>
      <c r="AR33" s="151"/>
      <c r="AS33" s="149">
        <v>10.119999999999999</v>
      </c>
      <c r="AT33" s="149">
        <v>176.65</v>
      </c>
      <c r="AU33" s="149">
        <v>1.1200000000000001</v>
      </c>
      <c r="AV33" s="149"/>
      <c r="AW33" s="149"/>
      <c r="AX33" s="158">
        <f t="shared" si="5"/>
        <v>0</v>
      </c>
      <c r="AY33" s="125">
        <f t="shared" si="6"/>
        <v>141.88</v>
      </c>
      <c r="AZ33" s="125">
        <f t="shared" si="29"/>
        <v>135.41036771048275</v>
      </c>
      <c r="BA33" s="159">
        <f t="shared" si="7"/>
        <v>6.9731788732394362</v>
      </c>
      <c r="BB33" s="160">
        <f t="shared" si="8"/>
        <v>5.6752000000000002</v>
      </c>
      <c r="BC33" s="161">
        <f t="shared" si="9"/>
        <v>0.93213396455425024</v>
      </c>
      <c r="BD33" s="160">
        <f t="shared" si="24"/>
        <v>12.648378873239437</v>
      </c>
      <c r="BE33" s="162">
        <v>0.873</v>
      </c>
      <c r="BF33" s="25">
        <f t="shared" si="25"/>
        <v>3144.7700000000009</v>
      </c>
      <c r="BG33" s="25">
        <f t="shared" si="10"/>
        <v>125</v>
      </c>
      <c r="BH33" s="25">
        <f t="shared" si="26"/>
        <v>3375</v>
      </c>
      <c r="BI33" s="26">
        <f t="shared" si="11"/>
        <v>1</v>
      </c>
      <c r="BJ33" s="37">
        <f t="shared" si="27"/>
        <v>3375</v>
      </c>
      <c r="BK33" s="38"/>
      <c r="BL33" s="31">
        <v>167.655</v>
      </c>
      <c r="BM33" s="31"/>
      <c r="BN33" s="31"/>
      <c r="BO33" s="40"/>
      <c r="BP33" s="40">
        <v>37.792000000000002</v>
      </c>
      <c r="BQ33" s="32">
        <v>79.593000000000004</v>
      </c>
      <c r="BR33" s="33"/>
      <c r="BS33" s="34">
        <v>1.37</v>
      </c>
      <c r="BT33" s="35"/>
      <c r="BU33" s="35"/>
      <c r="BV33" s="235"/>
      <c r="BW33" s="235">
        <v>2.4500000000000002</v>
      </c>
      <c r="BX33" s="36"/>
      <c r="BY33" s="33"/>
      <c r="BZ33" s="34">
        <v>37.43</v>
      </c>
      <c r="CA33" s="35"/>
      <c r="CB33" s="35"/>
      <c r="CC33" s="235"/>
      <c r="CD33" s="235">
        <v>38.46</v>
      </c>
      <c r="CE33" s="36">
        <v>43.92</v>
      </c>
      <c r="CF33" s="30">
        <v>169.62200000000001</v>
      </c>
      <c r="CG33" s="30"/>
      <c r="CH33" s="31"/>
      <c r="CI33" s="32"/>
      <c r="CJ33" s="33">
        <v>3.6</v>
      </c>
      <c r="CK33" s="33"/>
      <c r="CL33" s="35"/>
      <c r="CM33" s="36"/>
      <c r="CN33" s="270"/>
      <c r="CO33" s="249">
        <f t="shared" si="30"/>
        <v>0</v>
      </c>
      <c r="CP33" s="12">
        <f t="shared" si="30"/>
        <v>165.3581265</v>
      </c>
      <c r="CQ33" s="12">
        <f t="shared" si="30"/>
        <v>0</v>
      </c>
      <c r="CR33" s="12">
        <f t="shared" si="30"/>
        <v>0</v>
      </c>
      <c r="CS33" s="11">
        <f t="shared" si="30"/>
        <v>0</v>
      </c>
      <c r="CT33" s="11">
        <f t="shared" si="30"/>
        <v>36.866095999999999</v>
      </c>
      <c r="CU33" s="272">
        <f t="shared" si="30"/>
        <v>79.593000000000004</v>
      </c>
      <c r="CV33" s="249">
        <f t="shared" si="13"/>
        <v>163.51560800000001</v>
      </c>
      <c r="CW33" s="12">
        <f t="shared" si="13"/>
        <v>0</v>
      </c>
      <c r="CX33" s="254">
        <f t="shared" si="13"/>
        <v>0</v>
      </c>
      <c r="CY33" s="275">
        <f t="shared" si="13"/>
        <v>0</v>
      </c>
      <c r="CZ33" s="13"/>
      <c r="DA33" s="240">
        <f>(D33+'[2]апрель 20 '!D33)/(AY33+'[2]апрель 20 '!AX33)</f>
        <v>2.1435305123515924</v>
      </c>
      <c r="DB33" s="241">
        <f>(T33+'[2]апрель 20 '!R33)/(AY33+'[2]апрель 20 '!AX33)</f>
        <v>1.245799901303376</v>
      </c>
      <c r="DD33" s="292">
        <f t="shared" si="14"/>
        <v>11.135</v>
      </c>
      <c r="DE33" s="291">
        <v>0.28000000000000003</v>
      </c>
      <c r="DF33" s="291">
        <v>16.62</v>
      </c>
      <c r="DG33" s="145">
        <f t="shared" si="15"/>
        <v>11.103821999999999</v>
      </c>
      <c r="DH33" s="293">
        <f t="shared" si="28"/>
        <v>2.5311414297078589</v>
      </c>
      <c r="DJ33" s="322">
        <f t="shared" si="31"/>
        <v>281.81722250000001</v>
      </c>
    </row>
    <row r="34" spans="1:114" s="76" customFormat="1" ht="16.5" customHeight="1" thickBot="1">
      <c r="A34" s="144">
        <v>28</v>
      </c>
      <c r="B34" s="122">
        <f>'[1]апрель 20'!K33</f>
        <v>292.50799999999998</v>
      </c>
      <c r="C34" s="123">
        <f t="shared" si="16"/>
        <v>1.4495893103778359</v>
      </c>
      <c r="D34" s="145">
        <f t="shared" si="17"/>
        <v>288.2678353</v>
      </c>
      <c r="E34" s="125">
        <f t="shared" si="18"/>
        <v>39.266712773667734</v>
      </c>
      <c r="F34" s="146">
        <f t="shared" si="19"/>
        <v>2.1115428896864925</v>
      </c>
      <c r="G34" s="127"/>
      <c r="H34" s="126">
        <f t="shared" si="20"/>
        <v>1.6218197721945502</v>
      </c>
      <c r="I34" s="230">
        <f>'[1]июль 20'!AI33</f>
        <v>0</v>
      </c>
      <c r="J34" s="247">
        <f>'[1]апрель 20'!AA33</f>
        <v>11.646000000000001</v>
      </c>
      <c r="K34" s="276">
        <f>'[1]сентябрь 20'!AM33</f>
        <v>0</v>
      </c>
      <c r="L34" s="122">
        <f>'[1]апрель 20'!AE33</f>
        <v>66.856999999999999</v>
      </c>
      <c r="M34" s="128">
        <f t="shared" si="21"/>
        <v>0.48972311749194253</v>
      </c>
      <c r="N34" s="400">
        <f>'[1]апрель 20'!W33</f>
        <v>0</v>
      </c>
      <c r="O34" s="403">
        <f>'[1]апрель 20'!AU33</f>
        <v>0</v>
      </c>
      <c r="P34" s="401">
        <f t="shared" si="0"/>
        <v>173.02699999999999</v>
      </c>
      <c r="Q34" s="122">
        <f>'[1]апрель 20'!S33</f>
        <v>173.02699999999999</v>
      </c>
      <c r="R34" s="123">
        <f t="shared" si="22"/>
        <v>2.83</v>
      </c>
      <c r="S34" s="170">
        <v>9.74</v>
      </c>
      <c r="T34" s="125">
        <f t="shared" si="1"/>
        <v>168.13033589999998</v>
      </c>
      <c r="U34" s="147">
        <f t="shared" si="2"/>
        <v>1.2315436265748605</v>
      </c>
      <c r="V34" s="169">
        <v>35.76</v>
      </c>
      <c r="W34" s="169">
        <v>100.76</v>
      </c>
      <c r="X34" s="170">
        <v>0.95</v>
      </c>
      <c r="Y34" s="166">
        <v>505</v>
      </c>
      <c r="Z34" s="166">
        <v>1172</v>
      </c>
      <c r="AA34" s="148" t="s">
        <v>174</v>
      </c>
      <c r="AB34" s="164">
        <v>74.7</v>
      </c>
      <c r="AC34" s="166">
        <v>117</v>
      </c>
      <c r="AD34" s="171">
        <v>4</v>
      </c>
      <c r="AE34" s="164">
        <v>5</v>
      </c>
      <c r="AF34" s="172">
        <f t="shared" si="3"/>
        <v>36.624670377966595</v>
      </c>
      <c r="AG34" s="173"/>
      <c r="AH34" s="170">
        <v>90.35</v>
      </c>
      <c r="AI34" s="134">
        <f t="shared" si="4"/>
        <v>661.80779372985637</v>
      </c>
      <c r="AJ34" s="174">
        <v>13.51</v>
      </c>
      <c r="AK34" s="175"/>
      <c r="AL34" s="176">
        <v>8.66</v>
      </c>
      <c r="AM34" s="177">
        <v>29.29</v>
      </c>
      <c r="AN34" s="126">
        <f t="shared" si="23"/>
        <v>0.17004354136429609</v>
      </c>
      <c r="AO34" s="178" t="s">
        <v>246</v>
      </c>
      <c r="AP34" s="177">
        <v>9.34</v>
      </c>
      <c r="AQ34" s="177">
        <v>5.89</v>
      </c>
      <c r="AR34" s="171"/>
      <c r="AS34" s="164">
        <v>9.64</v>
      </c>
      <c r="AT34" s="149">
        <v>172.25</v>
      </c>
      <c r="AU34" s="164">
        <v>2.2200000000000002</v>
      </c>
      <c r="AV34" s="164"/>
      <c r="AW34" s="164"/>
      <c r="AX34" s="179">
        <f t="shared" si="5"/>
        <v>0</v>
      </c>
      <c r="AY34" s="125">
        <f t="shared" si="6"/>
        <v>136.52000000000001</v>
      </c>
      <c r="AZ34" s="125">
        <f t="shared" si="29"/>
        <v>135.19561744353848</v>
      </c>
      <c r="BA34" s="159">
        <f t="shared" si="7"/>
        <v>6.7469816901408448</v>
      </c>
      <c r="BB34" s="159">
        <f t="shared" si="8"/>
        <v>5.4608000000000008</v>
      </c>
      <c r="BC34" s="180">
        <f t="shared" si="9"/>
        <v>0.90094058024421997</v>
      </c>
      <c r="BD34" s="159">
        <f t="shared" si="24"/>
        <v>12.207781690140845</v>
      </c>
      <c r="BE34" s="167">
        <v>0.874</v>
      </c>
      <c r="BF34" s="25">
        <f t="shared" si="25"/>
        <v>3281.2900000000009</v>
      </c>
      <c r="BG34" s="25">
        <f t="shared" si="10"/>
        <v>125</v>
      </c>
      <c r="BH34" s="25">
        <f t="shared" si="26"/>
        <v>3500</v>
      </c>
      <c r="BI34" s="26">
        <f t="shared" si="11"/>
        <v>1</v>
      </c>
      <c r="BJ34" s="37">
        <f t="shared" si="27"/>
        <v>3500</v>
      </c>
      <c r="BK34" s="38"/>
      <c r="BL34" s="30">
        <v>184.66900000000001</v>
      </c>
      <c r="BM34" s="43"/>
      <c r="BN34" s="43"/>
      <c r="BO34" s="281"/>
      <c r="BP34" s="281">
        <v>40.981999999999999</v>
      </c>
      <c r="BQ34" s="44">
        <v>66.856999999999999</v>
      </c>
      <c r="BR34" s="45"/>
      <c r="BS34" s="46">
        <v>1.87</v>
      </c>
      <c r="BT34" s="47"/>
      <c r="BU34" s="47"/>
      <c r="BV34" s="283"/>
      <c r="BW34" s="283">
        <v>1.92</v>
      </c>
      <c r="BX34" s="48"/>
      <c r="BY34" s="45"/>
      <c r="BZ34" s="46">
        <v>37.909999999999997</v>
      </c>
      <c r="CA34" s="47"/>
      <c r="CB34" s="47"/>
      <c r="CC34" s="283"/>
      <c r="CD34" s="283">
        <v>37.74</v>
      </c>
      <c r="CE34" s="48">
        <v>43.95</v>
      </c>
      <c r="CF34" s="49">
        <v>173.02699999999999</v>
      </c>
      <c r="CG34" s="49"/>
      <c r="CH34" s="43"/>
      <c r="CI34" s="32"/>
      <c r="CJ34" s="33">
        <v>2.83</v>
      </c>
      <c r="CK34" s="33"/>
      <c r="CL34" s="35"/>
      <c r="CM34" s="36"/>
      <c r="CN34" s="270"/>
      <c r="CO34" s="249">
        <f t="shared" si="30"/>
        <v>0</v>
      </c>
      <c r="CP34" s="12">
        <f t="shared" si="30"/>
        <v>181.21568970000001</v>
      </c>
      <c r="CQ34" s="12">
        <f t="shared" si="30"/>
        <v>0</v>
      </c>
      <c r="CR34" s="12">
        <f t="shared" si="30"/>
        <v>0</v>
      </c>
      <c r="CS34" s="11">
        <f t="shared" si="30"/>
        <v>0</v>
      </c>
      <c r="CT34" s="11">
        <f t="shared" si="30"/>
        <v>40.195145599999996</v>
      </c>
      <c r="CU34" s="272">
        <f t="shared" si="30"/>
        <v>66.856999999999999</v>
      </c>
      <c r="CV34" s="249">
        <f t="shared" si="13"/>
        <v>168.13033589999998</v>
      </c>
      <c r="CW34" s="12">
        <f t="shared" si="13"/>
        <v>0</v>
      </c>
      <c r="CX34" s="249">
        <f t="shared" si="13"/>
        <v>0</v>
      </c>
      <c r="CY34" s="272">
        <f t="shared" si="13"/>
        <v>0</v>
      </c>
      <c r="CZ34" s="13"/>
      <c r="DA34" s="240">
        <f>(D34+'[2]апрель 20 '!D34)/(AY34+'[2]апрель 20 '!AX34)</f>
        <v>2.1842365605223102</v>
      </c>
      <c r="DB34" s="241">
        <f>(T34+'[2]апрель 20 '!R34)/(AY34+'[2]апрель 20 '!AX34)</f>
        <v>1.3072992706080271</v>
      </c>
      <c r="DD34" s="292">
        <f t="shared" si="14"/>
        <v>11.646000000000001</v>
      </c>
      <c r="DE34" s="291">
        <v>0.31</v>
      </c>
      <c r="DF34" s="291">
        <v>18.72</v>
      </c>
      <c r="DG34" s="145">
        <f t="shared" si="15"/>
        <v>11.609897400000001</v>
      </c>
      <c r="DH34" s="293">
        <f t="shared" si="28"/>
        <v>2.9094682640963856</v>
      </c>
      <c r="DJ34" s="322">
        <f t="shared" si="31"/>
        <v>288.2678353</v>
      </c>
    </row>
    <row r="35" spans="1:114" s="76" customFormat="1" ht="16.5" customHeight="1" thickBot="1">
      <c r="A35" s="144">
        <v>29</v>
      </c>
      <c r="B35" s="122">
        <f>'[1]апрель 20'!K34</f>
        <v>292.15899999999999</v>
      </c>
      <c r="C35" s="123">
        <f t="shared" si="16"/>
        <v>1.3915873890586976</v>
      </c>
      <c r="D35" s="145">
        <f t="shared" si="17"/>
        <v>288.09335219999997</v>
      </c>
      <c r="E35" s="125">
        <f t="shared" si="18"/>
        <v>38.82996912640035</v>
      </c>
      <c r="F35" s="146">
        <f t="shared" si="19"/>
        <v>2.242669719757123</v>
      </c>
      <c r="G35" s="127"/>
      <c r="H35" s="126">
        <f t="shared" si="20"/>
        <v>1.8025093585551928</v>
      </c>
      <c r="I35" s="230">
        <f>'[1]июль 20'!AI34</f>
        <v>0</v>
      </c>
      <c r="J35" s="247">
        <f>'[1]апрель 20'!AA34</f>
        <v>11.722</v>
      </c>
      <c r="K35" s="276">
        <f>'[1]сентябрь 20'!AM34</f>
        <v>0</v>
      </c>
      <c r="L35" s="122">
        <f>'[1]апрель 20'!AE34</f>
        <v>56.542999999999999</v>
      </c>
      <c r="M35" s="128">
        <f t="shared" si="21"/>
        <v>0.44016036120193064</v>
      </c>
      <c r="N35" s="400">
        <f>'[1]апрель 20'!W34</f>
        <v>0</v>
      </c>
      <c r="O35" s="403">
        <f>'[1]апрель 20'!AU34</f>
        <v>0</v>
      </c>
      <c r="P35" s="401">
        <f t="shared" si="0"/>
        <v>170.69300000000001</v>
      </c>
      <c r="Q35" s="122">
        <f>'[1]апрель 20'!S34</f>
        <v>170.69300000000001</v>
      </c>
      <c r="R35" s="123">
        <f t="shared" si="22"/>
        <v>2.27</v>
      </c>
      <c r="S35" s="129">
        <v>8.64</v>
      </c>
      <c r="T35" s="125">
        <f t="shared" si="1"/>
        <v>166.81826890000002</v>
      </c>
      <c r="U35" s="147">
        <f t="shared" si="2"/>
        <v>1.2986008788728012</v>
      </c>
      <c r="V35" s="130">
        <v>98.61</v>
      </c>
      <c r="W35" s="130">
        <v>29.85</v>
      </c>
      <c r="X35" s="129">
        <v>1.02</v>
      </c>
      <c r="Y35" s="150">
        <v>503</v>
      </c>
      <c r="Z35" s="150">
        <v>1182</v>
      </c>
      <c r="AA35" s="148" t="s">
        <v>116</v>
      </c>
      <c r="AB35" s="149">
        <v>75.349999999999994</v>
      </c>
      <c r="AC35" s="150">
        <v>117</v>
      </c>
      <c r="AD35" s="151">
        <v>4</v>
      </c>
      <c r="AE35" s="181">
        <v>5.45</v>
      </c>
      <c r="AF35" s="134">
        <f t="shared" si="3"/>
        <v>42.425657792308897</v>
      </c>
      <c r="AG35" s="182"/>
      <c r="AH35" s="129">
        <v>90.4</v>
      </c>
      <c r="AI35" s="134">
        <f t="shared" si="4"/>
        <v>703.72100264673838</v>
      </c>
      <c r="AJ35" s="136">
        <v>14.89</v>
      </c>
      <c r="AK35" s="154"/>
      <c r="AL35" s="155">
        <v>5.96</v>
      </c>
      <c r="AM35" s="183">
        <v>37.83</v>
      </c>
      <c r="AN35" s="126">
        <f t="shared" si="23"/>
        <v>0.22058309037900872</v>
      </c>
      <c r="AO35" s="184" t="s">
        <v>247</v>
      </c>
      <c r="AP35" s="183">
        <v>9.06</v>
      </c>
      <c r="AQ35" s="183">
        <v>6.14</v>
      </c>
      <c r="AR35" s="185"/>
      <c r="AS35" s="181">
        <v>10.25</v>
      </c>
      <c r="AT35" s="149">
        <v>171.5</v>
      </c>
      <c r="AU35" s="181">
        <v>0.75</v>
      </c>
      <c r="AV35" s="149"/>
      <c r="AW35" s="149"/>
      <c r="AX35" s="158">
        <f t="shared" si="5"/>
        <v>0</v>
      </c>
      <c r="AY35" s="125">
        <f t="shared" si="6"/>
        <v>128.45999999999998</v>
      </c>
      <c r="AZ35" s="125">
        <f t="shared" si="29"/>
        <v>132.41741331165744</v>
      </c>
      <c r="BA35" s="159">
        <f t="shared" si="7"/>
        <v>7.1778873239436614</v>
      </c>
      <c r="BB35" s="160">
        <f t="shared" si="8"/>
        <v>5.138399999999999</v>
      </c>
      <c r="BC35" s="161">
        <f t="shared" si="9"/>
        <v>0.86526849710099718</v>
      </c>
      <c r="BD35" s="160">
        <f t="shared" si="24"/>
        <v>12.31628732394366</v>
      </c>
      <c r="BE35" s="162">
        <v>0.874</v>
      </c>
      <c r="BF35" s="25">
        <f t="shared" si="25"/>
        <v>3409.7500000000009</v>
      </c>
      <c r="BG35" s="25">
        <f t="shared" si="10"/>
        <v>125</v>
      </c>
      <c r="BH35" s="25">
        <f t="shared" si="26"/>
        <v>3625</v>
      </c>
      <c r="BI35" s="26">
        <f t="shared" si="11"/>
        <v>1</v>
      </c>
      <c r="BJ35" s="37">
        <f t="shared" si="27"/>
        <v>3625</v>
      </c>
      <c r="BK35" s="38"/>
      <c r="BL35" s="31">
        <v>195.06700000000001</v>
      </c>
      <c r="BM35" s="31"/>
      <c r="BN35" s="31"/>
      <c r="BO35" s="40"/>
      <c r="BP35" s="40">
        <v>40.548999999999999</v>
      </c>
      <c r="BQ35" s="32">
        <v>56.542999999999999</v>
      </c>
      <c r="BR35" s="33"/>
      <c r="BS35" s="34">
        <v>1.55</v>
      </c>
      <c r="BT35" s="35"/>
      <c r="BU35" s="35"/>
      <c r="BV35" s="235"/>
      <c r="BW35" s="235">
        <v>2.57</v>
      </c>
      <c r="BX35" s="36"/>
      <c r="BY35" s="33"/>
      <c r="BZ35" s="34">
        <v>37.79</v>
      </c>
      <c r="CA35" s="35"/>
      <c r="CB35" s="35"/>
      <c r="CC35" s="235"/>
      <c r="CD35" s="235">
        <v>37.53</v>
      </c>
      <c r="CE35" s="36">
        <v>43.35</v>
      </c>
      <c r="CF35" s="30">
        <v>170.69300000000001</v>
      </c>
      <c r="CG35" s="30"/>
      <c r="CH35" s="31"/>
      <c r="CI35" s="50"/>
      <c r="CJ35" s="33">
        <v>2.27</v>
      </c>
      <c r="CK35" s="33"/>
      <c r="CL35" s="35"/>
      <c r="CM35" s="36"/>
      <c r="CN35" s="270"/>
      <c r="CO35" s="249">
        <f t="shared" si="30"/>
        <v>0</v>
      </c>
      <c r="CP35" s="12">
        <f t="shared" si="30"/>
        <v>192.04346150000001</v>
      </c>
      <c r="CQ35" s="12">
        <f t="shared" si="30"/>
        <v>0</v>
      </c>
      <c r="CR35" s="12">
        <f t="shared" si="30"/>
        <v>0</v>
      </c>
      <c r="CS35" s="11">
        <f t="shared" si="30"/>
        <v>0</v>
      </c>
      <c r="CT35" s="11">
        <f t="shared" si="30"/>
        <v>39.5068907</v>
      </c>
      <c r="CU35" s="272">
        <f t="shared" si="30"/>
        <v>56.542999999999999</v>
      </c>
      <c r="CV35" s="249">
        <f t="shared" si="13"/>
        <v>166.81826890000002</v>
      </c>
      <c r="CW35" s="12">
        <f t="shared" si="13"/>
        <v>0</v>
      </c>
      <c r="CX35" s="249">
        <f t="shared" si="13"/>
        <v>0</v>
      </c>
      <c r="CY35" s="272">
        <f t="shared" si="13"/>
        <v>0</v>
      </c>
      <c r="CZ35" s="13"/>
      <c r="DA35" s="240">
        <f>(D35+'[2]апрель 20 '!D35)/(AY35+'[2]апрель 20 '!AX35)</f>
        <v>2.3146947727130813</v>
      </c>
      <c r="DB35" s="241">
        <f>(T35+'[2]апрель 20 '!R35)/(AY35+'[2]апрель 20 '!AX35)</f>
        <v>1.359313983453013</v>
      </c>
      <c r="DD35" s="292">
        <f t="shared" si="14"/>
        <v>11.722</v>
      </c>
      <c r="DE35" s="291">
        <v>0.22</v>
      </c>
      <c r="DF35" s="291">
        <v>18.100000000000001</v>
      </c>
      <c r="DG35" s="145">
        <f t="shared" si="15"/>
        <v>11.6962116</v>
      </c>
      <c r="DH35" s="293">
        <f t="shared" si="28"/>
        <v>2.8095743856668882</v>
      </c>
      <c r="DJ35" s="322">
        <f t="shared" si="31"/>
        <v>288.09335220000003</v>
      </c>
    </row>
    <row r="36" spans="1:114" s="76" customFormat="1" ht="16.5" customHeight="1" thickBot="1">
      <c r="A36" s="144">
        <v>30</v>
      </c>
      <c r="B36" s="122">
        <f>'[1]апрель 20'!K35</f>
        <v>282.35500000000002</v>
      </c>
      <c r="C36" s="123">
        <f t="shared" si="16"/>
        <v>1.7870726213454695</v>
      </c>
      <c r="D36" s="145">
        <f t="shared" si="17"/>
        <v>277.3091111</v>
      </c>
      <c r="E36" s="125">
        <f t="shared" si="18"/>
        <v>38.629909900656969</v>
      </c>
      <c r="F36" s="146">
        <f t="shared" si="19"/>
        <v>2.4030252261698446</v>
      </c>
      <c r="G36" s="127"/>
      <c r="H36" s="126">
        <f t="shared" si="20"/>
        <v>2.0033025225303298</v>
      </c>
      <c r="I36" s="230">
        <f>'[1]июль 20'!AI35</f>
        <v>0</v>
      </c>
      <c r="J36" s="247">
        <f>'[1]апрель 20'!AA35</f>
        <v>11.096</v>
      </c>
      <c r="K36" s="276">
        <f>'[1]сентябрь 20'!AM35</f>
        <v>0</v>
      </c>
      <c r="L36" s="122">
        <f>'[1]апрель 20'!AE35</f>
        <v>46.128</v>
      </c>
      <c r="M36" s="128">
        <f t="shared" si="21"/>
        <v>0.39972270363951479</v>
      </c>
      <c r="N36" s="400">
        <f>'[1]апрель 20'!W35</f>
        <v>0</v>
      </c>
      <c r="O36" s="403">
        <f>'[1]апрель 20'!AU35</f>
        <v>0</v>
      </c>
      <c r="P36" s="401">
        <f t="shared" si="0"/>
        <v>162.83500000000001</v>
      </c>
      <c r="Q36" s="122">
        <f>'[1]апрель 20'!S35</f>
        <v>162.83500000000001</v>
      </c>
      <c r="R36" s="123">
        <f t="shared" si="22"/>
        <v>1.89</v>
      </c>
      <c r="S36" s="129">
        <v>7.98</v>
      </c>
      <c r="T36" s="125">
        <f t="shared" si="1"/>
        <v>159.7574185</v>
      </c>
      <c r="U36" s="147">
        <f t="shared" si="2"/>
        <v>1.3843797097053729</v>
      </c>
      <c r="V36" s="130">
        <v>115.4</v>
      </c>
      <c r="W36" s="130">
        <v>88.69</v>
      </c>
      <c r="X36" s="129">
        <v>0.81</v>
      </c>
      <c r="Y36" s="150">
        <v>500</v>
      </c>
      <c r="Z36" s="150">
        <v>1179</v>
      </c>
      <c r="AA36" s="148" t="s">
        <v>248</v>
      </c>
      <c r="AB36" s="149">
        <v>75.97</v>
      </c>
      <c r="AC36" s="150">
        <v>113</v>
      </c>
      <c r="AD36" s="151">
        <v>4</v>
      </c>
      <c r="AE36" s="149">
        <v>3.55</v>
      </c>
      <c r="AF36" s="134">
        <f t="shared" si="3"/>
        <v>30.762564991334493</v>
      </c>
      <c r="AG36" s="152"/>
      <c r="AH36" s="129">
        <v>91.4</v>
      </c>
      <c r="AI36" s="134">
        <f t="shared" si="4"/>
        <v>792.02772963604878</v>
      </c>
      <c r="AJ36" s="153">
        <v>13.54</v>
      </c>
      <c r="AK36" s="154"/>
      <c r="AL36" s="155">
        <v>5.31</v>
      </c>
      <c r="AM36" s="156">
        <v>36.24</v>
      </c>
      <c r="AN36" s="126">
        <f t="shared" si="23"/>
        <v>0.23090156100669007</v>
      </c>
      <c r="AO36" s="157" t="s">
        <v>217</v>
      </c>
      <c r="AP36" s="156">
        <v>9.08</v>
      </c>
      <c r="AQ36" s="156">
        <v>6.4</v>
      </c>
      <c r="AR36" s="151"/>
      <c r="AS36" s="149">
        <v>7.03</v>
      </c>
      <c r="AT36" s="149">
        <v>156.94999999999999</v>
      </c>
      <c r="AU36" s="149"/>
      <c r="AV36" s="149"/>
      <c r="AW36" s="149"/>
      <c r="AX36" s="158">
        <f t="shared" si="5"/>
        <v>0</v>
      </c>
      <c r="AY36" s="125">
        <f t="shared" si="6"/>
        <v>115.39999999999998</v>
      </c>
      <c r="AZ36" s="125">
        <f t="shared" si="29"/>
        <v>125.09778214298261</v>
      </c>
      <c r="BA36" s="159">
        <f t="shared" si="7"/>
        <v>4.977438028169014</v>
      </c>
      <c r="BB36" s="160">
        <f t="shared" si="8"/>
        <v>4.6159999999999988</v>
      </c>
      <c r="BC36" s="161">
        <f t="shared" si="9"/>
        <v>0.81838959907812936</v>
      </c>
      <c r="BD36" s="160">
        <f t="shared" si="24"/>
        <v>9.5934380281690128</v>
      </c>
      <c r="BE36" s="162">
        <v>0.872</v>
      </c>
      <c r="BF36" s="25">
        <f t="shared" si="25"/>
        <v>3525.150000000001</v>
      </c>
      <c r="BG36" s="25">
        <f t="shared" si="10"/>
        <v>125</v>
      </c>
      <c r="BH36" s="25">
        <f t="shared" si="26"/>
        <v>3750</v>
      </c>
      <c r="BI36" s="26">
        <f t="shared" si="11"/>
        <v>1</v>
      </c>
      <c r="BJ36" s="37">
        <f t="shared" si="27"/>
        <v>3750</v>
      </c>
      <c r="BK36" s="38"/>
      <c r="BL36" s="31">
        <v>196.66900000000001</v>
      </c>
      <c r="BM36" s="31"/>
      <c r="BN36" s="31"/>
      <c r="BO36" s="40"/>
      <c r="BP36" s="40">
        <v>39.558</v>
      </c>
      <c r="BQ36" s="32">
        <v>46.128</v>
      </c>
      <c r="BR36" s="33"/>
      <c r="BS36" s="34">
        <v>2.27</v>
      </c>
      <c r="BT36" s="35"/>
      <c r="BU36" s="35"/>
      <c r="BV36" s="235"/>
      <c r="BW36" s="235">
        <v>1.47</v>
      </c>
      <c r="BX36" s="36"/>
      <c r="BY36" s="33"/>
      <c r="BZ36" s="34">
        <v>37.729999999999997</v>
      </c>
      <c r="CA36" s="35"/>
      <c r="CB36" s="35"/>
      <c r="CC36" s="235"/>
      <c r="CD36" s="235">
        <v>37.46</v>
      </c>
      <c r="CE36" s="36">
        <v>43.47</v>
      </c>
      <c r="CF36" s="30">
        <v>162.83500000000001</v>
      </c>
      <c r="CG36" s="30"/>
      <c r="CH36" s="34"/>
      <c r="CI36" s="50"/>
      <c r="CJ36" s="33">
        <v>1.89</v>
      </c>
      <c r="CK36" s="33"/>
      <c r="CL36" s="35"/>
      <c r="CM36" s="36"/>
      <c r="CN36" s="270"/>
      <c r="CO36" s="249">
        <f t="shared" si="30"/>
        <v>0</v>
      </c>
      <c r="CP36" s="12">
        <f t="shared" si="30"/>
        <v>192.20461370000001</v>
      </c>
      <c r="CQ36" s="12">
        <f t="shared" si="30"/>
        <v>0</v>
      </c>
      <c r="CR36" s="12">
        <f t="shared" si="30"/>
        <v>0</v>
      </c>
      <c r="CS36" s="11">
        <f t="shared" si="30"/>
        <v>0</v>
      </c>
      <c r="CT36" s="11">
        <f t="shared" si="30"/>
        <v>38.9764974</v>
      </c>
      <c r="CU36" s="272">
        <f t="shared" si="30"/>
        <v>46.128</v>
      </c>
      <c r="CV36" s="249">
        <f t="shared" si="13"/>
        <v>159.7574185</v>
      </c>
      <c r="CW36" s="12">
        <f t="shared" si="13"/>
        <v>0</v>
      </c>
      <c r="CX36" s="249">
        <f t="shared" si="13"/>
        <v>0</v>
      </c>
      <c r="CY36" s="274">
        <f t="shared" si="13"/>
        <v>0</v>
      </c>
      <c r="CZ36" s="13"/>
      <c r="DA36" s="240">
        <f>(D36+'[2]апрель 20 '!D36)/(AY36+'[2]апрель 20 '!AX36)</f>
        <v>2.2501280108118302</v>
      </c>
      <c r="DB36" s="241">
        <f>(T36+'[2]апрель 20 '!R36)/(AY36+'[2]апрель 20 '!AX36)</f>
        <v>1.3311041848697238</v>
      </c>
      <c r="DD36" s="292">
        <f t="shared" si="14"/>
        <v>11.096</v>
      </c>
      <c r="DE36" s="291">
        <v>0.26</v>
      </c>
      <c r="DF36" s="291">
        <v>13.71</v>
      </c>
      <c r="DG36" s="145">
        <f t="shared" si="15"/>
        <v>11.067150399999999</v>
      </c>
      <c r="DH36" s="293">
        <f t="shared" si="28"/>
        <v>1.9972440698170328</v>
      </c>
      <c r="DJ36" s="322">
        <f t="shared" si="31"/>
        <v>277.3091111</v>
      </c>
    </row>
    <row r="37" spans="1:114" s="76" customFormat="1" ht="16.5" customHeight="1" thickBot="1">
      <c r="A37" s="186">
        <v>31</v>
      </c>
      <c r="B37" s="122">
        <f>'[1]апрель 20'!K36</f>
        <v>0</v>
      </c>
      <c r="C37" s="123">
        <f t="shared" si="16"/>
        <v>0</v>
      </c>
      <c r="D37" s="187">
        <f t="shared" si="17"/>
        <v>0</v>
      </c>
      <c r="E37" s="285">
        <f t="shared" si="18"/>
        <v>0</v>
      </c>
      <c r="F37" s="189">
        <f t="shared" si="19"/>
        <v>0</v>
      </c>
      <c r="G37" s="127"/>
      <c r="H37" s="126">
        <f t="shared" si="20"/>
        <v>0</v>
      </c>
      <c r="I37" s="230">
        <f>'[1]июль 20'!AI36</f>
        <v>0</v>
      </c>
      <c r="J37" s="277">
        <f>'[1]апрель 20'!AA36</f>
        <v>0</v>
      </c>
      <c r="K37" s="276">
        <f>'[1]сентябрь 20'!AM36</f>
        <v>0</v>
      </c>
      <c r="L37" s="122">
        <f>'[1]апрель 20'!AE36</f>
        <v>0</v>
      </c>
      <c r="M37" s="128">
        <f t="shared" si="21"/>
        <v>0</v>
      </c>
      <c r="N37" s="128">
        <f>'[1]апрель 20'!W36</f>
        <v>0</v>
      </c>
      <c r="O37" s="399">
        <f>'[1]апрель 20'!AU36</f>
        <v>0</v>
      </c>
      <c r="P37" s="125">
        <f t="shared" si="0"/>
        <v>0</v>
      </c>
      <c r="Q37" s="122">
        <f>'[1]апрель 20'!S36</f>
        <v>0</v>
      </c>
      <c r="R37" s="123">
        <f t="shared" si="22"/>
        <v>0</v>
      </c>
      <c r="S37" s="190"/>
      <c r="T37" s="125">
        <f t="shared" si="1"/>
        <v>0</v>
      </c>
      <c r="U37" s="191">
        <f t="shared" si="2"/>
        <v>0</v>
      </c>
      <c r="V37" s="192"/>
      <c r="W37" s="192"/>
      <c r="X37" s="190"/>
      <c r="Y37" s="193"/>
      <c r="Z37" s="194"/>
      <c r="AA37" s="195"/>
      <c r="AB37" s="196"/>
      <c r="AC37" s="194"/>
      <c r="AD37" s="193"/>
      <c r="AE37" s="196"/>
      <c r="AF37" s="134">
        <f t="shared" si="3"/>
        <v>0</v>
      </c>
      <c r="AG37" s="197"/>
      <c r="AH37" s="190"/>
      <c r="AI37" s="134">
        <f t="shared" si="4"/>
        <v>0</v>
      </c>
      <c r="AJ37" s="196"/>
      <c r="AK37" s="198"/>
      <c r="AL37" s="199"/>
      <c r="AM37" s="200"/>
      <c r="AN37" s="126">
        <f t="shared" si="23"/>
        <v>0</v>
      </c>
      <c r="AO37" s="201"/>
      <c r="AP37" s="200"/>
      <c r="AQ37" s="201"/>
      <c r="AR37" s="193"/>
      <c r="AS37" s="196"/>
      <c r="AT37" s="242"/>
      <c r="AU37" s="196"/>
      <c r="AV37" s="196"/>
      <c r="AW37" s="196"/>
      <c r="AX37" s="202">
        <f t="shared" si="5"/>
        <v>0</v>
      </c>
      <c r="AY37" s="188">
        <f t="shared" si="6"/>
        <v>0</v>
      </c>
      <c r="AZ37" s="125">
        <f t="shared" si="29"/>
        <v>0</v>
      </c>
      <c r="BA37" s="203">
        <f t="shared" si="7"/>
        <v>0</v>
      </c>
      <c r="BB37" s="204">
        <f t="shared" si="8"/>
        <v>0</v>
      </c>
      <c r="BC37" s="205">
        <f t="shared" si="9"/>
        <v>0</v>
      </c>
      <c r="BD37" s="206">
        <f t="shared" si="24"/>
        <v>0</v>
      </c>
      <c r="BE37" s="207"/>
      <c r="BF37" s="25">
        <f t="shared" si="25"/>
        <v>3525.150000000001</v>
      </c>
      <c r="BG37" s="25">
        <f t="shared" si="10"/>
        <v>0</v>
      </c>
      <c r="BH37" s="25">
        <f t="shared" si="26"/>
        <v>3750</v>
      </c>
      <c r="BI37" s="26">
        <f t="shared" si="11"/>
        <v>0</v>
      </c>
      <c r="BJ37" s="37">
        <f t="shared" si="27"/>
        <v>3750</v>
      </c>
      <c r="BK37" s="51"/>
      <c r="BL37" s="53"/>
      <c r="BM37" s="53"/>
      <c r="BN37" s="53"/>
      <c r="BO37" s="282"/>
      <c r="BP37" s="282"/>
      <c r="BQ37" s="54"/>
      <c r="BR37" s="55"/>
      <c r="BS37" s="52"/>
      <c r="BT37" s="56"/>
      <c r="BU37" s="56"/>
      <c r="BV37" s="284"/>
      <c r="BW37" s="284"/>
      <c r="BX37" s="57"/>
      <c r="BY37" s="55"/>
      <c r="BZ37" s="52"/>
      <c r="CA37" s="56"/>
      <c r="CB37" s="56"/>
      <c r="CC37" s="284"/>
      <c r="CD37" s="284"/>
      <c r="CE37" s="57"/>
      <c r="CF37" s="58"/>
      <c r="CG37" s="58"/>
      <c r="CH37" s="52"/>
      <c r="CI37" s="54"/>
      <c r="CJ37" s="33"/>
      <c r="CK37" s="265"/>
      <c r="CL37" s="59"/>
      <c r="CM37" s="60"/>
      <c r="CN37" s="270"/>
      <c r="CO37" s="269">
        <f t="shared" si="30"/>
        <v>0</v>
      </c>
      <c r="CP37" s="18">
        <f t="shared" si="30"/>
        <v>0</v>
      </c>
      <c r="CQ37" s="18">
        <f t="shared" si="30"/>
        <v>0</v>
      </c>
      <c r="CR37" s="18">
        <f t="shared" si="30"/>
        <v>0</v>
      </c>
      <c r="CS37" s="251">
        <f t="shared" si="30"/>
        <v>0</v>
      </c>
      <c r="CT37" s="11">
        <f t="shared" si="30"/>
        <v>0</v>
      </c>
      <c r="CU37" s="273">
        <f t="shared" si="30"/>
        <v>0</v>
      </c>
      <c r="CV37" s="269">
        <f t="shared" si="13"/>
        <v>0</v>
      </c>
      <c r="CW37" s="18">
        <f t="shared" si="13"/>
        <v>0</v>
      </c>
      <c r="CX37" s="261">
        <f t="shared" si="13"/>
        <v>0</v>
      </c>
      <c r="CY37" s="273">
        <f t="shared" si="13"/>
        <v>0</v>
      </c>
      <c r="CZ37" s="13"/>
      <c r="DA37" s="240" t="e">
        <f>(D37+'[2]апрель 20 '!D37)/(AY37+'[2]апрель 20 '!AX37)</f>
        <v>#DIV/0!</v>
      </c>
      <c r="DB37" s="241" t="e">
        <f>(T37+'[2]апрель 20 '!R37)/(AY37+'[2]апрель 20 '!AX37)</f>
        <v>#DIV/0!</v>
      </c>
      <c r="DD37" s="292">
        <f t="shared" si="14"/>
        <v>0</v>
      </c>
      <c r="DE37" s="294"/>
      <c r="DF37" s="294"/>
      <c r="DG37" s="323">
        <f t="shared" si="15"/>
        <v>0</v>
      </c>
      <c r="DH37" s="293">
        <f t="shared" si="28"/>
        <v>0</v>
      </c>
      <c r="DJ37" s="322">
        <f t="shared" si="31"/>
        <v>0</v>
      </c>
    </row>
    <row r="38" spans="1:114" s="214" customFormat="1" ht="16.5" customHeight="1" thickBot="1">
      <c r="A38" s="91" t="s">
        <v>56</v>
      </c>
      <c r="B38" s="92">
        <f>SUM(B7:B37)</f>
        <v>8011.8319999999985</v>
      </c>
      <c r="C38" s="330"/>
      <c r="D38" s="331">
        <f>SUM(D7:D37)</f>
        <v>7889.4879915749698</v>
      </c>
      <c r="E38" s="332"/>
      <c r="F38" s="331"/>
      <c r="G38" s="333">
        <f>SUM(G7:G37)</f>
        <v>0</v>
      </c>
      <c r="H38" s="329"/>
      <c r="I38" s="334">
        <f>SUM(I7:I37)</f>
        <v>0</v>
      </c>
      <c r="J38" s="329">
        <f>SUM(J7:J37)</f>
        <v>319.709</v>
      </c>
      <c r="K38" s="329">
        <f>SUM(K7:K37)</f>
        <v>0</v>
      </c>
      <c r="L38" s="396">
        <f>SUM(L7:L37)</f>
        <v>1688.4359999999995</v>
      </c>
      <c r="M38" s="335"/>
      <c r="N38" s="329">
        <f>SUM(N7:N37)</f>
        <v>0</v>
      </c>
      <c r="O38" s="396">
        <f>SUM(O7:O37)</f>
        <v>101.51099999999998</v>
      </c>
      <c r="P38" s="330">
        <f>SUM(P7:P37)</f>
        <v>4797.9290030000002</v>
      </c>
      <c r="Q38" s="396">
        <f>SUM(Q7:Q37)</f>
        <v>4797.9290000000001</v>
      </c>
      <c r="R38" s="336">
        <f>IF(Q38=0,0,(CA38*CH38+CE38*CI38+CF38*CJ38)/Q38)</f>
        <v>0</v>
      </c>
      <c r="S38" s="398">
        <f>SUM(S7:S37)</f>
        <v>305.44</v>
      </c>
      <c r="T38" s="331">
        <f>SUM(T7:T37)</f>
        <v>4629.9093366000006</v>
      </c>
      <c r="U38" s="337"/>
      <c r="V38" s="229">
        <f>SUM(V7:V37)</f>
        <v>2752.6600000000003</v>
      </c>
      <c r="W38" s="229">
        <f>SUM(W7:W37)</f>
        <v>2445.2400000000002</v>
      </c>
      <c r="X38" s="338"/>
      <c r="Y38" s="337"/>
      <c r="Z38" s="339"/>
      <c r="AA38" s="340"/>
      <c r="AB38" s="338"/>
      <c r="AC38" s="339"/>
      <c r="AD38" s="339">
        <f>SUM(AD7:AD37)</f>
        <v>119</v>
      </c>
      <c r="AE38" s="90">
        <f>SUM(AE7:AE37)</f>
        <v>50.849999999999994</v>
      </c>
      <c r="AF38" s="341"/>
      <c r="AG38" s="342">
        <f>SUM(AG7:AG37)</f>
        <v>0</v>
      </c>
      <c r="AH38" s="90">
        <f>SUM(AH7:AH37)</f>
        <v>2440.2000000000003</v>
      </c>
      <c r="AI38" s="341"/>
      <c r="AJ38" s="332">
        <f>SUM(AJ7:AJ37)</f>
        <v>399.42999999999995</v>
      </c>
      <c r="AK38" s="343"/>
      <c r="AL38" s="397">
        <f>SUM(AL7:AL37)</f>
        <v>183.34000000000003</v>
      </c>
      <c r="AM38" s="344">
        <f>SUM(AM7:AM37)</f>
        <v>918.97</v>
      </c>
      <c r="AN38" s="345"/>
      <c r="AO38" s="342"/>
      <c r="AP38" s="332"/>
      <c r="AQ38" s="342"/>
      <c r="AR38" s="342"/>
      <c r="AS38" s="346"/>
      <c r="AT38" s="332">
        <f>SUM(AT7:AT37)</f>
        <v>4572.4000000000005</v>
      </c>
      <c r="AU38" s="332">
        <f>SUM(AU7:AU37)</f>
        <v>55.06</v>
      </c>
      <c r="AV38" s="347">
        <f>SUM(AV7:AV37)</f>
        <v>0</v>
      </c>
      <c r="AW38" s="332">
        <f>SUM(AW7:AW37)</f>
        <v>0</v>
      </c>
      <c r="AX38" s="331"/>
      <c r="AY38" s="90">
        <f>SUM(AY7:AY37)</f>
        <v>3525.150000000001</v>
      </c>
      <c r="AZ38" s="330">
        <f>SUM(AZ7:AZ37)</f>
        <v>3604.4191204605231</v>
      </c>
      <c r="BA38" s="342">
        <f>SUM(BA7:BA37)</f>
        <v>160.92572394366198</v>
      </c>
      <c r="BB38" s="342">
        <f>SUM(BB7:BB37)</f>
        <v>141.00599999999997</v>
      </c>
      <c r="BC38" s="332"/>
      <c r="BD38" s="89">
        <f>SUM(BD7:BD37)</f>
        <v>301.93172394366201</v>
      </c>
      <c r="BE38" s="348"/>
      <c r="BF38" s="19"/>
      <c r="BG38" s="19">
        <f t="shared" si="10"/>
        <v>0</v>
      </c>
      <c r="BH38" s="19"/>
      <c r="BI38" s="208">
        <f>SUM(BI7:BI37)</f>
        <v>30</v>
      </c>
      <c r="BJ38" s="209"/>
      <c r="BK38" s="278">
        <f t="shared" ref="BK38:BQ38" si="32">SUM(BK7:BK37)</f>
        <v>40.402000999999998</v>
      </c>
      <c r="BL38" s="61">
        <f>SUM(BL7:BL37)</f>
        <v>5625.6639999999989</v>
      </c>
      <c r="BM38" s="61">
        <f t="shared" si="32"/>
        <v>9.9999999999999995E-7</v>
      </c>
      <c r="BN38" s="61">
        <f t="shared" si="32"/>
        <v>285.84300000000002</v>
      </c>
      <c r="BO38" s="61">
        <f t="shared" si="32"/>
        <v>9.9999999999999995E-7</v>
      </c>
      <c r="BP38" s="61">
        <f t="shared" si="32"/>
        <v>657.33000099999992</v>
      </c>
      <c r="BQ38" s="64">
        <f t="shared" si="32"/>
        <v>1402.5930009999997</v>
      </c>
      <c r="BR38" s="63"/>
      <c r="BS38" s="24"/>
      <c r="BT38" s="24"/>
      <c r="BU38" s="24"/>
      <c r="BV38" s="62"/>
      <c r="BW38" s="62"/>
      <c r="BX38" s="65"/>
      <c r="BY38" s="63"/>
      <c r="BZ38" s="24"/>
      <c r="CA38" s="24"/>
      <c r="CB38" s="24"/>
      <c r="CC38" s="62"/>
      <c r="CD38" s="62"/>
      <c r="CE38" s="62"/>
      <c r="CF38" s="66">
        <f>SUM(CF7:CF37)</f>
        <v>4797.9290000000001</v>
      </c>
      <c r="CG38" s="66">
        <f>SUM(CG7:CG37)</f>
        <v>9.9999999999999995E-7</v>
      </c>
      <c r="CH38" s="61">
        <f>SUM(CH7:CH37)</f>
        <v>9.9999999999999995E-7</v>
      </c>
      <c r="CI38" s="67">
        <f>SUM(CI7:CI37)</f>
        <v>9.9999999999999995E-7</v>
      </c>
      <c r="CJ38" s="210"/>
      <c r="CK38" s="266"/>
      <c r="CL38" s="211"/>
      <c r="CM38" s="212"/>
      <c r="CN38" s="213"/>
      <c r="CO38" s="68">
        <f t="shared" ref="CO38:CY38" si="33">SUM(CO7:CO37)</f>
        <v>34.361901999999986</v>
      </c>
      <c r="CP38" s="69">
        <f t="shared" si="33"/>
        <v>5524.9313607000004</v>
      </c>
      <c r="CQ38" s="70">
        <f t="shared" si="33"/>
        <v>9.9999998999999992E-7</v>
      </c>
      <c r="CR38" s="69">
        <f t="shared" si="33"/>
        <v>285.84299947496999</v>
      </c>
      <c r="CS38" s="72">
        <f t="shared" si="33"/>
        <v>9.9999998999999992E-7</v>
      </c>
      <c r="CT38" s="72">
        <f t="shared" si="33"/>
        <v>641.75873139999987</v>
      </c>
      <c r="CU38" s="71">
        <f t="shared" si="33"/>
        <v>1402.5930009999997</v>
      </c>
      <c r="CV38" s="72">
        <f t="shared" si="33"/>
        <v>4629.9093366000006</v>
      </c>
      <c r="CW38" s="72">
        <f t="shared" si="33"/>
        <v>9.9999998999999992E-7</v>
      </c>
      <c r="CX38" s="72">
        <f t="shared" si="33"/>
        <v>9.9999998999999992E-7</v>
      </c>
      <c r="CY38" s="72">
        <f t="shared" si="33"/>
        <v>9.9999998999999992E-7</v>
      </c>
      <c r="CZ38" s="70"/>
      <c r="DA38" s="240">
        <f>(D38+'[2]апрель 20 '!D38)/(AY38+'[2]апрель 20 '!AX38)</f>
        <v>2.2575159799977857</v>
      </c>
      <c r="DB38" s="241">
        <f>(T38+'[2]апрель 20 '!R38)/(AY38+'[2]апрель 20 '!AX38)</f>
        <v>1.3410944524959989</v>
      </c>
      <c r="DD38" s="295">
        <f>SUM(DD7:DD37)</f>
        <v>319.709</v>
      </c>
      <c r="DE38" s="296">
        <f>(SUMPRODUCT(DD7:DD37,DE7:DE37))/DD38</f>
        <v>0.43388021607149008</v>
      </c>
      <c r="DF38" s="296">
        <f>(SUMPRODUCT(DD7:DD37,DF7:DF37))/DD38</f>
        <v>17.739545680603293</v>
      </c>
      <c r="DG38" s="296">
        <f>(SUMPRODUCT(DE7:DE37,DG7:DG37))/DE38</f>
        <v>313.88342890140086</v>
      </c>
      <c r="DH38" s="324">
        <f>IF(J38=0,0,(DG38*DF38%)/(AB39/100))</f>
        <v>73.530686371317685</v>
      </c>
    </row>
    <row r="39" spans="1:114" s="214" customFormat="1" ht="16.5" customHeight="1" thickBot="1">
      <c r="A39" s="93" t="s">
        <v>57</v>
      </c>
      <c r="B39" s="349">
        <f>B38/AU2</f>
        <v>267.06106666666659</v>
      </c>
      <c r="C39" s="349">
        <f>(BK38*BR39+BM38*BT39+BQ38*BX39+BL38*BS39+BN38*BU39+BO38*BV39+BP38*BW39)/B38</f>
        <v>1.5270416107705462</v>
      </c>
      <c r="D39" s="350">
        <f>D38/AU2</f>
        <v>262.98293305249899</v>
      </c>
      <c r="E39" s="349">
        <f>(BK38*BY39+BM38*CA39+BQ38*CE39+BL38*BZ39+BN38*CB39+BO38*CC39+BP38*CD39)/B38</f>
        <v>38.818832981021075</v>
      </c>
      <c r="F39" s="351">
        <f>IF($AY$38=0,0,$D$38/$AY$38)</f>
        <v>2.2380573852389167</v>
      </c>
      <c r="G39" s="352">
        <f>G38/AU2</f>
        <v>0</v>
      </c>
      <c r="H39" s="353">
        <f>IF($AY$38=0,0,(CP38+CO38+CS38+CQ38+CT38)/AY38)</f>
        <v>1.7590888319929645</v>
      </c>
      <c r="I39" s="349">
        <f>I38/AU2</f>
        <v>0</v>
      </c>
      <c r="J39" s="349">
        <f>J38/AU2</f>
        <v>10.656966666666667</v>
      </c>
      <c r="K39" s="349">
        <f>K38/AU2</f>
        <v>0</v>
      </c>
      <c r="L39" s="349">
        <f>L38/AU2</f>
        <v>56.281199999999984</v>
      </c>
      <c r="M39" s="354">
        <f>IF($AY$38=0,0,(CR38+CU38)/$AY$38)</f>
        <v>0.4789685546643318</v>
      </c>
      <c r="N39" s="349">
        <f>N38/AU2</f>
        <v>0</v>
      </c>
      <c r="O39" s="349">
        <f>O38/AU2</f>
        <v>3.3836999999999993</v>
      </c>
      <c r="P39" s="349">
        <f>P38/AU2</f>
        <v>159.93096676666667</v>
      </c>
      <c r="Q39" s="349">
        <f>Q38/AU2</f>
        <v>159.93096666666668</v>
      </c>
      <c r="R39" s="349">
        <f>(SUMPRODUCT(R7:R37,Q7:Q37))/Q38</f>
        <v>3.5019205869865941</v>
      </c>
      <c r="S39" s="355">
        <f>S38/AU2</f>
        <v>10.181333333333333</v>
      </c>
      <c r="T39" s="356"/>
      <c r="U39" s="354">
        <f>IF($AY$38=0,0,$T$38/$AY$38)</f>
        <v>1.3133935681034847</v>
      </c>
      <c r="V39" s="349">
        <f>V38/AU2</f>
        <v>91.75533333333334</v>
      </c>
      <c r="W39" s="349">
        <f>W38/AU2</f>
        <v>81.50800000000001</v>
      </c>
      <c r="X39" s="349">
        <f>(SUMPRODUCT(X7:X37,AY7:AY37))/AY38</f>
        <v>0.81563224259960554</v>
      </c>
      <c r="Y39" s="357">
        <f>AVERAGE(Y7:Y37)</f>
        <v>505.9</v>
      </c>
      <c r="Z39" s="357">
        <f>AVERAGE(Z7:Z37)</f>
        <v>1169.0333333333333</v>
      </c>
      <c r="AA39" s="357"/>
      <c r="AB39" s="349">
        <f>(SUMPRODUCT(AB7:AB37,AY7:AY37))/AY38</f>
        <v>75.72551950980808</v>
      </c>
      <c r="AC39" s="358">
        <f>AVERAGE(AC7:AC37)</f>
        <v>106.8</v>
      </c>
      <c r="AD39" s="358">
        <f>AVERAGE(AD7:AD37)</f>
        <v>3.9666666666666668</v>
      </c>
      <c r="AE39" s="349">
        <f>AE38/AU2</f>
        <v>1.6949999999999998</v>
      </c>
      <c r="AF39" s="355">
        <f>IF(AY38=0,0,AE38/AY38*1000)</f>
        <v>14.424918088591969</v>
      </c>
      <c r="AG39" s="356" t="e">
        <f>AG38/$AW$2</f>
        <v>#DIV/0!</v>
      </c>
      <c r="AH39" s="349">
        <f>AH38/AU2</f>
        <v>81.34</v>
      </c>
      <c r="AI39" s="355">
        <f>IF(AY38=0,0,AH38/AY38*1000)</f>
        <v>692.22586272924548</v>
      </c>
      <c r="AJ39" s="349">
        <f>AJ38/AU2</f>
        <v>13.314333333333332</v>
      </c>
      <c r="AK39" s="359"/>
      <c r="AL39" s="349">
        <f>AL38/AU2</f>
        <v>6.1113333333333344</v>
      </c>
      <c r="AM39" s="349">
        <f>AM38/AU2</f>
        <v>30.632333333333335</v>
      </c>
      <c r="AN39" s="360">
        <f>IF(AM39=0,0,AM39/AT39)</f>
        <v>0.20098197882949873</v>
      </c>
      <c r="AO39" s="356"/>
      <c r="AP39" s="349">
        <f>AVERAGE(AP7:AP37)</f>
        <v>8.7060000000000013</v>
      </c>
      <c r="AQ39" s="349">
        <f>AVERAGE(AQ7:AQ37)</f>
        <v>6.6539999999999999</v>
      </c>
      <c r="AR39" s="356"/>
      <c r="AS39" s="349">
        <f>AVERAGE(AS7:AS37)</f>
        <v>8.4686666666666675</v>
      </c>
      <c r="AT39" s="349">
        <f>AT38/AU2</f>
        <v>152.41333333333336</v>
      </c>
      <c r="AU39" s="349">
        <f>AU38/AU2</f>
        <v>1.8353333333333335</v>
      </c>
      <c r="AV39" s="349" t="e">
        <f>AV38/$AW$2</f>
        <v>#DIV/0!</v>
      </c>
      <c r="AW39" s="349" t="e">
        <f>AW38/$AW$2</f>
        <v>#DIV/0!</v>
      </c>
      <c r="AX39" s="349" t="e">
        <f>IF(AY39=0,0,AW39/AY39*100)</f>
        <v>#DIV/0!</v>
      </c>
      <c r="AY39" s="349">
        <f>AY38/AU2</f>
        <v>117.50500000000004</v>
      </c>
      <c r="AZ39" s="349">
        <f>AZ38/AU2</f>
        <v>120.14730401535077</v>
      </c>
      <c r="BA39" s="356"/>
      <c r="BB39" s="356"/>
      <c r="BC39" s="351">
        <f>(AY38*AB39)/(D38*E39)</f>
        <v>0.87162277297365653</v>
      </c>
      <c r="BD39" s="349">
        <f>BD38/AU2</f>
        <v>10.064390798122067</v>
      </c>
      <c r="BE39" s="361"/>
      <c r="BF39" s="19"/>
      <c r="BG39" s="19"/>
      <c r="BH39" s="19"/>
      <c r="BI39" s="19"/>
      <c r="BJ39" s="215"/>
      <c r="BK39" s="73"/>
      <c r="BL39" s="216"/>
      <c r="BM39" s="216"/>
      <c r="BN39" s="216"/>
      <c r="BO39" s="219"/>
      <c r="BP39" s="219"/>
      <c r="BQ39" s="217"/>
      <c r="BR39" s="73">
        <f t="shared" ref="BR39:BX39" si="34">(SUMPRODUCT(BK7:BK37,BR7:BR37))/BK38</f>
        <v>14.949999629968847</v>
      </c>
      <c r="BS39" s="29">
        <f>(SUMPRODUCT(BL7:BL37,BS7:BS37))/BL38</f>
        <v>1.7905911071119784</v>
      </c>
      <c r="BT39" s="29">
        <f t="shared" si="34"/>
        <v>9.9999999999999995E-7</v>
      </c>
      <c r="BU39" s="29">
        <f t="shared" si="34"/>
        <v>1.8367775317219588E-7</v>
      </c>
      <c r="BV39" s="29">
        <f t="shared" si="34"/>
        <v>9.9999999999999995E-7</v>
      </c>
      <c r="BW39" s="29">
        <f t="shared" si="34"/>
        <v>2.3688664105261199</v>
      </c>
      <c r="BX39" s="74">
        <f t="shared" si="34"/>
        <v>7.1296520037319097E-16</v>
      </c>
      <c r="BY39" s="73">
        <f t="shared" ref="BY39:CE39" si="35">(SUMPRODUCT(BK7:BK37,BY7:BY37))/BK38</f>
        <v>43.369998926538337</v>
      </c>
      <c r="BZ39" s="29">
        <f t="shared" si="35"/>
        <v>37.324503260415128</v>
      </c>
      <c r="CA39" s="29">
        <f t="shared" si="35"/>
        <v>9.9999999999999995E-7</v>
      </c>
      <c r="CB39" s="29">
        <f t="shared" si="35"/>
        <v>43.812260786515672</v>
      </c>
      <c r="CC39" s="29">
        <f t="shared" si="35"/>
        <v>9.9999999999999995E-7</v>
      </c>
      <c r="CD39" s="29">
        <f t="shared" si="35"/>
        <v>38.467111103301079</v>
      </c>
      <c r="CE39" s="74">
        <f t="shared" si="35"/>
        <v>43.828541099357743</v>
      </c>
      <c r="CF39" s="218"/>
      <c r="CG39" s="218"/>
      <c r="CH39" s="216"/>
      <c r="CI39" s="219"/>
      <c r="CJ39" s="75">
        <f>(SUMPRODUCT(CF7:CF37,CJ7:CJ37))/CF38</f>
        <v>3.5019205869865933</v>
      </c>
      <c r="CK39" s="75">
        <f>(SUMPRODUCT(CG7:CG37,CK7:CK37))/CG38</f>
        <v>9.9999999999999995E-7</v>
      </c>
      <c r="CL39" s="29">
        <f>(SUMPRODUCT(CH7:CH37,CL7:CL37))/CH38</f>
        <v>9.9999999999999995E-7</v>
      </c>
      <c r="CM39" s="74">
        <f>(SUMPRODUCT(CI7:CI37,CM7:CM37))/CI38</f>
        <v>9.9999999999999995E-7</v>
      </c>
      <c r="CN39" s="19"/>
      <c r="CO39" s="596">
        <f>CO38+CP38</f>
        <v>5559.2932627</v>
      </c>
      <c r="CP39" s="596"/>
      <c r="CQ39" s="597">
        <f>CQ38+CR38+CU38+CS38+CT38</f>
        <v>2330.1947338749696</v>
      </c>
      <c r="CR39" s="597"/>
      <c r="CS39" s="597"/>
      <c r="CT39" s="597"/>
      <c r="CU39" s="597"/>
      <c r="CV39" s="597">
        <f>CV38+CX38+CY38+CW38</f>
        <v>4629.9093396000017</v>
      </c>
      <c r="CW39" s="597"/>
      <c r="CX39" s="597"/>
      <c r="CY39" s="597"/>
      <c r="DA39" s="236"/>
      <c r="DB39" s="238"/>
      <c r="DD39" s="297"/>
      <c r="DE39" s="298"/>
      <c r="DF39" s="298"/>
      <c r="DG39" s="299"/>
      <c r="DH39" s="300"/>
    </row>
    <row r="40" spans="1:114" s="214" customFormat="1" ht="16.5" customHeight="1" thickBot="1">
      <c r="A40" s="94" t="s">
        <v>58</v>
      </c>
      <c r="B40" s="362"/>
      <c r="C40" s="362"/>
      <c r="D40" s="363"/>
      <c r="E40" s="364">
        <v>38</v>
      </c>
      <c r="F40" s="363">
        <v>2.13</v>
      </c>
      <c r="G40" s="365">
        <v>13.1</v>
      </c>
      <c r="H40" s="410">
        <v>1.7465999999999999</v>
      </c>
      <c r="I40" s="363"/>
      <c r="J40" s="363">
        <v>10.625</v>
      </c>
      <c r="K40" s="363"/>
      <c r="L40" s="363"/>
      <c r="M40" s="410">
        <v>0.38340000000000002</v>
      </c>
      <c r="N40" s="363"/>
      <c r="O40" s="363">
        <v>15</v>
      </c>
      <c r="P40" s="366"/>
      <c r="Q40" s="362"/>
      <c r="R40" s="367"/>
      <c r="S40" s="368">
        <v>14.875</v>
      </c>
      <c r="T40" s="362"/>
      <c r="U40" s="369">
        <v>1.32</v>
      </c>
      <c r="V40" s="370">
        <v>3750</v>
      </c>
      <c r="W40" s="370">
        <v>3750</v>
      </c>
      <c r="X40" s="371"/>
      <c r="Y40" s="371"/>
      <c r="Z40" s="372">
        <v>1190</v>
      </c>
      <c r="AA40" s="372"/>
      <c r="AB40" s="362">
        <v>76</v>
      </c>
      <c r="AC40" s="362"/>
      <c r="AD40" s="362"/>
      <c r="AE40" s="362"/>
      <c r="AF40" s="362"/>
      <c r="AG40" s="362"/>
      <c r="AH40" s="362"/>
      <c r="AI40" s="362">
        <v>780</v>
      </c>
      <c r="AJ40" s="373"/>
      <c r="AK40" s="374"/>
      <c r="AL40" s="375"/>
      <c r="AM40" s="362"/>
      <c r="AN40" s="362"/>
      <c r="AO40" s="362"/>
      <c r="AP40" s="362"/>
      <c r="AQ40" s="362"/>
      <c r="AR40" s="362"/>
      <c r="AS40" s="362"/>
      <c r="AT40" s="376">
        <v>3750</v>
      </c>
      <c r="AU40" s="377">
        <v>26.3</v>
      </c>
      <c r="AV40" s="377"/>
      <c r="AW40" s="378"/>
      <c r="AX40" s="362"/>
      <c r="AY40" s="379">
        <v>125</v>
      </c>
      <c r="AZ40" s="362"/>
      <c r="BA40" s="362"/>
      <c r="BB40" s="362"/>
      <c r="BC40" s="363">
        <v>0.9</v>
      </c>
      <c r="BD40" s="362"/>
      <c r="BE40" s="380"/>
      <c r="BF40" s="19"/>
      <c r="BG40" s="19"/>
      <c r="BH40" s="19"/>
      <c r="BI40" s="19"/>
      <c r="BJ40" s="215"/>
      <c r="BK40" s="220"/>
      <c r="BL40" s="221"/>
      <c r="BM40" s="216"/>
      <c r="BN40" s="216"/>
      <c r="BO40" s="219"/>
      <c r="BP40" s="219"/>
      <c r="BQ40" s="217"/>
      <c r="BR40" s="218"/>
      <c r="BS40" s="216"/>
      <c r="BT40" s="216"/>
      <c r="BU40" s="216"/>
      <c r="BV40" s="219"/>
      <c r="BW40" s="219"/>
      <c r="BX40" s="217"/>
      <c r="BY40" s="218"/>
      <c r="BZ40" s="216"/>
      <c r="CA40" s="216"/>
      <c r="CB40" s="216"/>
      <c r="CC40" s="219"/>
      <c r="CD40" s="219"/>
      <c r="CE40" s="217"/>
      <c r="CF40" s="218"/>
      <c r="CG40" s="218"/>
      <c r="CH40" s="216"/>
      <c r="CI40" s="219"/>
      <c r="CJ40" s="220"/>
      <c r="CK40" s="218"/>
      <c r="CL40" s="216"/>
      <c r="CM40" s="217"/>
      <c r="CN40" s="213"/>
      <c r="CO40" s="604">
        <f>CO39+CQ39</f>
        <v>7889.4879965749697</v>
      </c>
      <c r="CP40" s="604"/>
      <c r="CQ40" s="604"/>
      <c r="CR40" s="604"/>
      <c r="CS40" s="604"/>
      <c r="CT40" s="604"/>
      <c r="CU40" s="604"/>
      <c r="DA40" s="237"/>
      <c r="DB40" s="239"/>
      <c r="DD40" s="301"/>
      <c r="DE40" s="302"/>
      <c r="DF40" s="302"/>
      <c r="DG40" s="303"/>
      <c r="DH40" s="304"/>
    </row>
    <row r="41" spans="1:114" s="214" customFormat="1" ht="16.5" customHeight="1" thickBot="1">
      <c r="A41" s="95" t="s">
        <v>59</v>
      </c>
      <c r="B41" s="381"/>
      <c r="C41" s="381"/>
      <c r="D41" s="382"/>
      <c r="E41" s="381"/>
      <c r="F41" s="383">
        <f>F39-F40</f>
        <v>0.10805738523891684</v>
      </c>
      <c r="G41" s="384">
        <f>G39-G40</f>
        <v>-13.1</v>
      </c>
      <c r="H41" s="383"/>
      <c r="I41" s="385">
        <f>I39-I40</f>
        <v>0</v>
      </c>
      <c r="J41" s="385"/>
      <c r="K41" s="385"/>
      <c r="L41" s="385"/>
      <c r="M41" s="385"/>
      <c r="N41" s="385"/>
      <c r="O41" s="385"/>
      <c r="P41" s="383"/>
      <c r="Q41" s="386"/>
      <c r="R41" s="385">
        <f>R39-R40</f>
        <v>3.5019205869865941</v>
      </c>
      <c r="S41" s="386"/>
      <c r="T41" s="386"/>
      <c r="U41" s="383">
        <f>U39-U40</f>
        <v>-6.6064318965153301E-3</v>
      </c>
      <c r="V41" s="383"/>
      <c r="W41" s="383"/>
      <c r="X41" s="383"/>
      <c r="Y41" s="383"/>
      <c r="Z41" s="387">
        <f>Z39-Z40</f>
        <v>-20.966666666666697</v>
      </c>
      <c r="AA41" s="388"/>
      <c r="AB41" s="381"/>
      <c r="AC41" s="381"/>
      <c r="AD41" s="381"/>
      <c r="AE41" s="381"/>
      <c r="AF41" s="381"/>
      <c r="AG41" s="381"/>
      <c r="AH41" s="381"/>
      <c r="AI41" s="381"/>
      <c r="AJ41" s="381"/>
      <c r="AK41" s="389"/>
      <c r="AL41" s="390"/>
      <c r="AM41" s="381"/>
      <c r="AN41" s="381"/>
      <c r="AO41" s="381"/>
      <c r="AP41" s="381"/>
      <c r="AQ41" s="381"/>
      <c r="AR41" s="381"/>
      <c r="AS41" s="381"/>
      <c r="AT41" s="391">
        <f>AT38+AV38-AT40</f>
        <v>822.40000000000055</v>
      </c>
      <c r="AU41" s="392"/>
      <c r="AV41" s="393"/>
      <c r="AW41" s="390"/>
      <c r="AX41" s="381"/>
      <c r="AY41" s="385"/>
      <c r="AZ41" s="381"/>
      <c r="BA41" s="381"/>
      <c r="BB41" s="381"/>
      <c r="BC41" s="394"/>
      <c r="BD41" s="381"/>
      <c r="BE41" s="395"/>
      <c r="BF41" s="222"/>
      <c r="BG41" s="222"/>
      <c r="BH41" s="222"/>
      <c r="BI41" s="222"/>
      <c r="BJ41" s="222"/>
      <c r="BK41" s="223"/>
      <c r="BL41" s="224"/>
      <c r="BM41" s="225"/>
      <c r="BN41" s="225"/>
      <c r="BO41" s="224"/>
      <c r="BP41" s="224"/>
      <c r="BQ41" s="226"/>
      <c r="BR41" s="227"/>
      <c r="BS41" s="225"/>
      <c r="BT41" s="225"/>
      <c r="BU41" s="225"/>
      <c r="BV41" s="224"/>
      <c r="BW41" s="224"/>
      <c r="BX41" s="224"/>
      <c r="BY41" s="228"/>
      <c r="BZ41" s="225"/>
      <c r="CA41" s="225"/>
      <c r="CB41" s="225"/>
      <c r="CC41" s="224"/>
      <c r="CD41" s="224"/>
      <c r="CE41" s="226"/>
      <c r="CF41" s="227"/>
      <c r="CG41" s="227"/>
      <c r="CH41" s="225"/>
      <c r="CI41" s="224"/>
      <c r="CJ41" s="228"/>
      <c r="CK41" s="227"/>
      <c r="CL41" s="225"/>
      <c r="CM41" s="226"/>
      <c r="CN41" s="213"/>
      <c r="CO41" s="213"/>
      <c r="CP41" s="213"/>
      <c r="CQ41" s="213"/>
      <c r="DA41" s="21"/>
      <c r="DH41" s="309"/>
    </row>
    <row r="42" spans="1:114" ht="15" hidden="1" customHeight="1">
      <c r="A42" s="96"/>
      <c r="B42" s="96"/>
      <c r="C42" s="96"/>
      <c r="D42" s="97"/>
      <c r="E42" s="96"/>
      <c r="F42" s="98"/>
      <c r="G42" s="99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1"/>
      <c r="AF42" s="101"/>
      <c r="AG42" s="100"/>
      <c r="AH42" s="100"/>
      <c r="AI42" s="100"/>
      <c r="AJ42" s="100"/>
      <c r="AK42" s="100"/>
      <c r="AL42" s="100"/>
      <c r="AM42" s="100"/>
      <c r="AN42" s="100"/>
      <c r="AO42" s="100"/>
      <c r="AP42" s="100"/>
      <c r="AQ42" s="100"/>
      <c r="AR42" s="100"/>
      <c r="AS42" s="96"/>
      <c r="AT42" s="612"/>
      <c r="AU42" s="612"/>
      <c r="AV42" s="612"/>
      <c r="AW42" s="96"/>
      <c r="AX42" s="96"/>
      <c r="AY42" s="100"/>
      <c r="AZ42" s="100"/>
      <c r="BA42" s="100"/>
      <c r="BB42" s="100"/>
      <c r="BC42" s="100"/>
      <c r="BD42" s="100"/>
      <c r="BE42" s="100"/>
      <c r="BK42" s="20"/>
      <c r="BL42" s="20"/>
      <c r="BM42" s="20"/>
    </row>
    <row r="43" spans="1:114">
      <c r="A43" s="100"/>
      <c r="B43" s="100"/>
      <c r="C43" s="100"/>
      <c r="D43" s="102"/>
      <c r="E43" s="100"/>
      <c r="F43" s="100"/>
      <c r="G43" s="96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1"/>
      <c r="AF43" s="101"/>
      <c r="AG43" s="100"/>
      <c r="AH43" s="100"/>
      <c r="AI43" s="100"/>
      <c r="AJ43" s="100"/>
      <c r="AK43" s="100"/>
      <c r="AL43" s="100"/>
      <c r="AM43" s="100"/>
      <c r="AN43" s="100"/>
      <c r="AO43" s="100"/>
      <c r="AP43" s="100"/>
      <c r="AQ43" s="100"/>
      <c r="AR43" s="100"/>
      <c r="AS43" s="96" t="s">
        <v>60</v>
      </c>
      <c r="AT43" s="103">
        <f>AT40/BE43</f>
        <v>125</v>
      </c>
      <c r="AU43" s="104"/>
      <c r="AV43" s="96"/>
      <c r="AW43" s="96" t="s">
        <v>61</v>
      </c>
      <c r="AX43" s="96"/>
      <c r="AY43" s="100"/>
      <c r="AZ43" s="100"/>
      <c r="BA43" s="100"/>
      <c r="BB43" s="100"/>
      <c r="BC43" s="100"/>
      <c r="BD43" s="105" t="s">
        <v>62</v>
      </c>
      <c r="BE43" s="100">
        <v>30</v>
      </c>
      <c r="CR43">
        <v>7889.4880000000003</v>
      </c>
    </row>
    <row r="44" spans="1:114" ht="12" customHeight="1">
      <c r="A44" s="100"/>
      <c r="B44" s="100"/>
      <c r="C44" s="100"/>
      <c r="D44" s="102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100"/>
      <c r="AG44" s="100"/>
      <c r="AH44" s="100"/>
      <c r="AI44" s="100"/>
      <c r="AJ44" s="100"/>
      <c r="AK44" s="100"/>
      <c r="AL44" s="100"/>
      <c r="AM44" s="100"/>
      <c r="AN44" s="100"/>
      <c r="AO44" s="100"/>
      <c r="AP44" s="100"/>
      <c r="AQ44" s="100"/>
      <c r="AR44" s="100"/>
      <c r="AS44" s="100"/>
      <c r="AT44" s="100"/>
      <c r="AU44" s="100"/>
      <c r="AV44" s="100"/>
      <c r="AW44" s="100"/>
      <c r="AX44" s="100"/>
      <c r="AY44" s="100"/>
      <c r="AZ44" s="100"/>
      <c r="BA44" s="100"/>
      <c r="BB44" s="100"/>
      <c r="BC44" s="100"/>
      <c r="BD44" s="96"/>
      <c r="BE44" s="96"/>
    </row>
    <row r="45" spans="1:114" ht="13.5" thickBot="1">
      <c r="A45" s="100"/>
      <c r="B45" s="100"/>
      <c r="C45" s="100"/>
      <c r="D45" s="102"/>
      <c r="E45" s="100"/>
      <c r="F45" s="100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101"/>
      <c r="AE45" s="101"/>
      <c r="AF45" s="101"/>
      <c r="AG45" s="100"/>
      <c r="AH45" s="100"/>
      <c r="AI45" s="100"/>
      <c r="AJ45" s="100"/>
      <c r="AK45" s="100"/>
      <c r="AL45" s="100"/>
      <c r="AM45" s="106" t="s">
        <v>63</v>
      </c>
      <c r="AN45" s="106"/>
      <c r="AO45" s="106"/>
      <c r="AP45" s="106"/>
      <c r="AQ45" s="106"/>
      <c r="AR45" s="106"/>
      <c r="AS45" s="107" t="s">
        <v>64</v>
      </c>
      <c r="AT45" s="108">
        <v>29</v>
      </c>
      <c r="AU45" s="108"/>
      <c r="AV45" s="100"/>
      <c r="AW45" s="100"/>
      <c r="AX45" s="100"/>
      <c r="AY45" s="100"/>
      <c r="AZ45" s="100"/>
      <c r="BA45" s="100"/>
      <c r="BB45" s="100"/>
      <c r="BC45" s="100"/>
      <c r="BD45" s="96"/>
      <c r="BE45" s="96"/>
      <c r="BS45" s="1"/>
    </row>
    <row r="46" spans="1:114" ht="12.75" customHeight="1" thickBot="1">
      <c r="A46" s="100"/>
      <c r="B46" s="100"/>
      <c r="C46" s="109" t="s">
        <v>65</v>
      </c>
      <c r="D46" s="102"/>
      <c r="E46" s="100"/>
      <c r="F46" s="100"/>
      <c r="G46" s="100"/>
      <c r="H46" s="100"/>
      <c r="I46" s="100"/>
      <c r="J46" s="100"/>
      <c r="K46" s="100"/>
      <c r="L46" s="110">
        <f>AT38/AD38</f>
        <v>38.423529411764711</v>
      </c>
      <c r="M46" s="109" t="s">
        <v>88</v>
      </c>
      <c r="N46" s="606"/>
      <c r="O46" s="606"/>
      <c r="P46" s="111"/>
      <c r="Q46" s="100"/>
      <c r="R46" s="100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101"/>
      <c r="AE46" s="101"/>
      <c r="AF46" s="101"/>
      <c r="AG46" s="100"/>
      <c r="AH46" s="100"/>
      <c r="AI46" s="100"/>
      <c r="AJ46" s="100"/>
      <c r="AK46" s="100"/>
      <c r="AL46" s="100"/>
      <c r="AM46" s="100"/>
      <c r="AN46" s="100"/>
      <c r="AO46" s="106"/>
      <c r="AP46" s="106"/>
      <c r="AQ46" s="106"/>
      <c r="AR46" s="106"/>
      <c r="AS46" s="107" t="s">
        <v>66</v>
      </c>
      <c r="AT46" s="112">
        <f>AT40/AT45</f>
        <v>129.31034482758622</v>
      </c>
      <c r="AU46" s="112"/>
      <c r="AV46" s="100"/>
      <c r="AW46" s="100"/>
      <c r="AX46" s="100">
        <v>0</v>
      </c>
      <c r="AY46" s="100"/>
      <c r="AZ46" s="607" t="s">
        <v>67</v>
      </c>
      <c r="BA46" s="607"/>
      <c r="BB46" s="607"/>
      <c r="BC46" s="607"/>
      <c r="BD46" s="607"/>
      <c r="BE46" s="607"/>
    </row>
    <row r="47" spans="1:114">
      <c r="A47" s="100"/>
      <c r="B47" s="100"/>
      <c r="C47" s="100"/>
      <c r="D47" s="102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100"/>
      <c r="AI47" s="100"/>
      <c r="AJ47" s="100"/>
      <c r="AK47" s="100"/>
      <c r="AL47" s="100"/>
      <c r="AM47" s="100"/>
      <c r="AN47" s="100"/>
      <c r="AO47" s="100"/>
      <c r="AP47" s="100"/>
      <c r="AQ47" s="100"/>
      <c r="AR47" s="100"/>
      <c r="AS47" s="100"/>
      <c r="AT47" s="100"/>
      <c r="AU47" s="100"/>
      <c r="AV47" s="100"/>
      <c r="AW47" s="100"/>
      <c r="AX47" s="100"/>
      <c r="AY47" s="100"/>
      <c r="AZ47" s="607"/>
      <c r="BA47" s="607"/>
      <c r="BB47" s="607"/>
      <c r="BC47" s="607"/>
      <c r="BD47" s="607"/>
      <c r="BE47" s="607"/>
    </row>
    <row r="48" spans="1:114">
      <c r="A48" s="100"/>
      <c r="B48" s="100"/>
      <c r="C48" s="100"/>
      <c r="D48" s="102"/>
      <c r="E48" s="100"/>
      <c r="F48" s="100"/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13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  <c r="AE48" s="100"/>
      <c r="AF48" s="100"/>
      <c r="AG48" s="100"/>
      <c r="AH48" s="100"/>
      <c r="AI48" s="100"/>
      <c r="AJ48" s="100"/>
      <c r="AK48" s="100"/>
      <c r="AL48" s="100"/>
      <c r="AM48" s="100"/>
      <c r="AN48" s="100"/>
      <c r="AO48" s="100"/>
      <c r="AP48" s="100"/>
      <c r="AQ48" s="100"/>
      <c r="AR48" s="100"/>
      <c r="AS48" s="100"/>
      <c r="AT48" s="100"/>
      <c r="AU48" s="100"/>
      <c r="AV48" s="100"/>
      <c r="AW48" s="100"/>
      <c r="AX48" s="100"/>
      <c r="AY48" s="100"/>
      <c r="AZ48" s="608">
        <f>BF37-BJ37</f>
        <v>-224.849999999999</v>
      </c>
      <c r="BA48" s="608"/>
      <c r="BB48" s="608"/>
      <c r="BC48" s="608"/>
      <c r="BD48" s="609" t="s">
        <v>68</v>
      </c>
      <c r="BE48" s="114"/>
    </row>
    <row r="49" spans="1:57" ht="12" customHeight="1">
      <c r="A49" s="100"/>
      <c r="B49" s="100"/>
      <c r="C49" s="100"/>
      <c r="D49" s="102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15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100"/>
      <c r="AI49" s="100"/>
      <c r="AJ49" s="100"/>
      <c r="AK49" s="100"/>
      <c r="AL49" s="100"/>
      <c r="AM49" s="100"/>
      <c r="AN49" s="100"/>
      <c r="AO49" s="100"/>
      <c r="AP49" s="100"/>
      <c r="AQ49" s="100"/>
      <c r="AR49" s="100"/>
      <c r="AS49" s="100"/>
      <c r="AT49" s="100"/>
      <c r="AU49" s="100"/>
      <c r="AV49" s="100"/>
      <c r="AW49" s="100"/>
      <c r="AX49" s="100"/>
      <c r="AY49" s="100"/>
      <c r="AZ49" s="608"/>
      <c r="BA49" s="608"/>
      <c r="BB49" s="608"/>
      <c r="BC49" s="608"/>
      <c r="BD49" s="609"/>
      <c r="BE49" s="114"/>
    </row>
    <row r="50" spans="1:57" ht="13.5" customHeight="1">
      <c r="A50" s="100"/>
      <c r="B50" s="100"/>
      <c r="C50" s="100"/>
      <c r="D50" s="102"/>
      <c r="E50" s="100"/>
      <c r="F50" s="100"/>
      <c r="G50" s="100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100"/>
      <c r="AC50" s="100"/>
      <c r="AD50" s="100"/>
      <c r="AE50" s="100"/>
      <c r="AF50" s="100"/>
      <c r="AG50" s="100"/>
      <c r="AH50" s="100"/>
      <c r="AI50" s="100"/>
      <c r="AJ50" s="100"/>
      <c r="AK50" s="100"/>
      <c r="AL50" s="100"/>
      <c r="AM50" s="100"/>
      <c r="AN50" s="100"/>
      <c r="AO50" s="100"/>
      <c r="AP50" s="100"/>
      <c r="AQ50" s="100"/>
      <c r="AR50" s="100"/>
      <c r="AS50" s="100"/>
      <c r="AT50" s="100"/>
      <c r="AU50" s="100"/>
      <c r="AV50" s="100"/>
      <c r="AW50" s="100"/>
      <c r="AX50" s="100"/>
      <c r="AY50" s="100"/>
      <c r="AZ50" s="116"/>
      <c r="BA50" s="96"/>
      <c r="BB50" s="96"/>
      <c r="BC50" s="96"/>
      <c r="BD50" s="96"/>
      <c r="BE50" s="114"/>
    </row>
    <row r="51" spans="1:57" ht="13.5" customHeight="1" thickBot="1">
      <c r="A51" s="100"/>
      <c r="B51" s="100"/>
      <c r="C51" s="100"/>
      <c r="D51" s="102"/>
      <c r="E51" s="100"/>
      <c r="F51" s="100"/>
      <c r="G51" s="100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0"/>
      <c r="AC51" s="100"/>
      <c r="AD51" s="100"/>
      <c r="AE51" s="100"/>
      <c r="AF51" s="100"/>
      <c r="AG51" s="100"/>
      <c r="AH51" s="100"/>
      <c r="AI51" s="100"/>
      <c r="AJ51" s="100"/>
      <c r="AK51" s="100"/>
      <c r="AL51" s="100"/>
      <c r="AM51" s="100"/>
      <c r="AN51" s="100"/>
      <c r="AO51" s="100"/>
      <c r="AP51" s="100"/>
      <c r="AQ51" s="100"/>
      <c r="AR51" s="100"/>
      <c r="AS51" s="100"/>
      <c r="AT51" s="100"/>
      <c r="AU51" s="100"/>
      <c r="AV51" s="100"/>
      <c r="AW51" s="100"/>
      <c r="AX51" s="100"/>
      <c r="AY51" s="100"/>
      <c r="AZ51" s="610">
        <f>AZ48/AT40*100</f>
        <v>-5.9959999999999738</v>
      </c>
      <c r="BA51" s="610"/>
      <c r="BB51" s="610"/>
      <c r="BC51" s="610"/>
      <c r="BD51" s="611" t="s">
        <v>69</v>
      </c>
      <c r="BE51" s="114"/>
    </row>
    <row r="52" spans="1:57" ht="13.5" thickBot="1">
      <c r="A52" s="100"/>
      <c r="B52" s="100"/>
      <c r="C52" s="100"/>
      <c r="D52" s="102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  <c r="AF52" s="100"/>
      <c r="AG52" s="100"/>
      <c r="AH52" s="100"/>
      <c r="AI52" s="100"/>
      <c r="AJ52" s="100"/>
      <c r="AK52" s="100"/>
      <c r="AL52" s="100"/>
      <c r="AM52" s="100"/>
      <c r="AN52" s="100"/>
      <c r="AO52" s="100"/>
      <c r="AP52" s="100"/>
      <c r="AQ52" s="100"/>
      <c r="AR52" s="100"/>
      <c r="AS52" s="100"/>
      <c r="AT52" s="100"/>
      <c r="AU52" s="100"/>
      <c r="AV52" s="100"/>
      <c r="AW52" s="100"/>
      <c r="AX52" s="100"/>
      <c r="AY52" s="100"/>
      <c r="AZ52" s="610"/>
      <c r="BA52" s="610"/>
      <c r="BB52" s="610"/>
      <c r="BC52" s="610"/>
      <c r="BD52" s="611"/>
      <c r="BE52" s="117"/>
    </row>
    <row r="53" spans="1:57">
      <c r="A53" s="100"/>
      <c r="B53" s="100"/>
      <c r="C53" s="100"/>
      <c r="D53" s="102"/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100"/>
      <c r="AI53" s="100"/>
      <c r="AJ53" s="100"/>
      <c r="AK53" s="100"/>
      <c r="AL53" s="100"/>
      <c r="AM53" s="100"/>
      <c r="AN53" s="100"/>
      <c r="AO53" s="100"/>
      <c r="AP53" s="100"/>
      <c r="AQ53" s="100"/>
      <c r="AR53" s="100"/>
      <c r="AS53" s="100"/>
      <c r="AT53" s="100"/>
      <c r="AU53" s="100"/>
      <c r="AV53" s="100"/>
      <c r="AW53" s="100"/>
      <c r="AX53" s="100"/>
      <c r="AY53" s="100"/>
      <c r="AZ53" s="100"/>
      <c r="BA53" s="100"/>
      <c r="BB53" s="100"/>
      <c r="BC53" s="100"/>
      <c r="BD53" s="100"/>
      <c r="BE53" s="100"/>
    </row>
    <row r="54" spans="1:57">
      <c r="A54" s="100"/>
      <c r="B54" s="100"/>
      <c r="C54" s="100"/>
      <c r="D54" s="102"/>
      <c r="E54" s="100"/>
      <c r="F54" s="100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100"/>
      <c r="AI54" s="100"/>
      <c r="AJ54" s="100"/>
      <c r="AK54" s="100"/>
      <c r="AL54" s="100"/>
      <c r="AM54" s="100"/>
      <c r="AN54" s="100"/>
      <c r="AO54" s="100"/>
      <c r="AP54" s="100"/>
      <c r="AQ54" s="100"/>
      <c r="AR54" s="100"/>
      <c r="AS54" s="100"/>
      <c r="AT54" s="100"/>
      <c r="AU54" s="100"/>
      <c r="AV54" s="100"/>
      <c r="AW54" s="100"/>
      <c r="AX54" s="100"/>
      <c r="AY54" s="100"/>
      <c r="AZ54" s="100"/>
      <c r="BA54" s="100"/>
      <c r="BB54" s="100"/>
      <c r="BC54" s="100"/>
      <c r="BD54" s="100"/>
      <c r="BE54" s="100"/>
    </row>
    <row r="55" spans="1:57">
      <c r="A55" s="100"/>
      <c r="B55" s="100"/>
      <c r="C55" s="100"/>
      <c r="D55" s="102"/>
      <c r="E55" s="100"/>
      <c r="F55" s="100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  <c r="AH55" s="100"/>
      <c r="AI55" s="100"/>
      <c r="AJ55" s="100"/>
      <c r="AK55" s="100"/>
      <c r="AL55" s="100"/>
      <c r="AM55" s="100"/>
      <c r="AN55" s="100"/>
      <c r="AO55" s="100"/>
      <c r="AP55" s="100"/>
      <c r="AQ55" s="100"/>
      <c r="AR55" s="100"/>
      <c r="AS55" s="100"/>
      <c r="AT55" s="100"/>
      <c r="AU55" s="100"/>
      <c r="AV55" s="100"/>
      <c r="AW55" s="100"/>
      <c r="AX55" s="100"/>
      <c r="AY55" s="100"/>
      <c r="AZ55" s="100"/>
      <c r="BA55" s="100"/>
      <c r="BB55" s="100"/>
      <c r="BC55" s="100"/>
      <c r="BD55" s="100"/>
      <c r="BE55" s="100"/>
    </row>
    <row r="56" spans="1:57">
      <c r="A56" s="100"/>
      <c r="B56" s="100"/>
      <c r="C56" s="100"/>
      <c r="D56" s="102"/>
      <c r="E56" s="100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/>
      <c r="AE56" s="100"/>
      <c r="AF56" s="100"/>
      <c r="AG56" s="100"/>
      <c r="AH56" s="100"/>
      <c r="AI56" s="100"/>
      <c r="AJ56" s="100"/>
      <c r="AK56" s="100"/>
      <c r="AL56" s="100"/>
      <c r="AM56" s="100"/>
      <c r="AN56" s="100"/>
      <c r="AO56" s="100"/>
      <c r="AP56" s="100"/>
      <c r="AQ56" s="100"/>
      <c r="AR56" s="100"/>
      <c r="AS56" s="100"/>
      <c r="AT56" s="100"/>
      <c r="AU56" s="100"/>
      <c r="AV56" s="100"/>
      <c r="AW56" s="100"/>
      <c r="AX56" s="100"/>
      <c r="AY56" s="100"/>
      <c r="AZ56" s="100"/>
      <c r="BA56" s="100"/>
      <c r="BB56" s="100"/>
      <c r="BC56" s="100"/>
      <c r="BD56" s="100"/>
      <c r="BE56" s="100"/>
    </row>
    <row r="57" spans="1:57">
      <c r="A57" s="100"/>
      <c r="B57" s="100"/>
      <c r="C57" s="100"/>
      <c r="D57" s="102"/>
      <c r="E57" s="100"/>
      <c r="F57" s="100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100"/>
      <c r="AI57" s="100"/>
      <c r="AJ57" s="100"/>
      <c r="AK57" s="100"/>
      <c r="AL57" s="100"/>
      <c r="AM57" s="100"/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X57" s="100"/>
      <c r="AY57" s="100"/>
      <c r="AZ57" s="100"/>
      <c r="BA57" s="100"/>
      <c r="BB57" s="100"/>
      <c r="BC57" s="100"/>
      <c r="BD57" s="100"/>
      <c r="BE57" s="100"/>
    </row>
    <row r="58" spans="1:57">
      <c r="A58" s="100"/>
      <c r="B58" s="100"/>
      <c r="C58" s="100"/>
      <c r="D58" s="102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  <c r="AA58" s="100"/>
      <c r="AB58" s="100"/>
      <c r="AC58" s="100"/>
      <c r="AD58" s="100"/>
      <c r="AE58" s="100"/>
      <c r="AF58" s="100"/>
      <c r="AG58" s="100"/>
      <c r="AH58" s="100"/>
      <c r="AI58" s="100"/>
      <c r="AJ58" s="100"/>
      <c r="AK58" s="100"/>
      <c r="AL58" s="100"/>
      <c r="AM58" s="100"/>
      <c r="AN58" s="100"/>
      <c r="AO58" s="100"/>
      <c r="AP58" s="100"/>
      <c r="AQ58" s="100"/>
      <c r="AR58" s="100"/>
      <c r="AS58" s="100"/>
      <c r="AT58" s="100"/>
      <c r="AU58" s="100"/>
      <c r="AV58" s="100"/>
      <c r="AW58" s="100"/>
      <c r="AX58" s="100"/>
      <c r="AY58" s="100"/>
      <c r="AZ58" s="100"/>
      <c r="BA58" s="100"/>
      <c r="BB58" s="100"/>
      <c r="BC58" s="100"/>
      <c r="BD58" s="100"/>
      <c r="BE58" s="100"/>
    </row>
    <row r="59" spans="1:57">
      <c r="A59" s="100"/>
      <c r="B59" s="100"/>
      <c r="C59" s="100"/>
      <c r="D59" s="102"/>
      <c r="E59" s="100"/>
      <c r="F59" s="100"/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  <c r="AE59" s="100"/>
      <c r="AF59" s="100"/>
      <c r="AG59" s="100"/>
      <c r="AH59" s="100"/>
      <c r="AI59" s="100"/>
      <c r="AJ59" s="100"/>
      <c r="AK59" s="100"/>
      <c r="AL59" s="100"/>
      <c r="AM59" s="100"/>
      <c r="AN59" s="100"/>
      <c r="AO59" s="100"/>
      <c r="AP59" s="100"/>
      <c r="AQ59" s="100"/>
      <c r="AR59" s="100"/>
      <c r="AS59" s="100"/>
      <c r="AT59" s="100"/>
      <c r="AU59" s="100"/>
      <c r="AV59" s="100"/>
      <c r="AW59" s="100"/>
      <c r="AX59" s="100"/>
      <c r="AY59" s="100"/>
      <c r="AZ59" s="100"/>
      <c r="BA59" s="100"/>
      <c r="BB59" s="100"/>
      <c r="BC59" s="100"/>
      <c r="BD59" s="100"/>
      <c r="BE59" s="100"/>
    </row>
    <row r="60" spans="1:57">
      <c r="A60" s="100"/>
      <c r="B60" s="100"/>
      <c r="C60" s="100"/>
      <c r="D60" s="102"/>
      <c r="E60" s="100"/>
      <c r="F60" s="100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  <c r="AE60" s="100"/>
      <c r="AF60" s="100"/>
      <c r="AG60" s="100"/>
      <c r="AH60" s="100"/>
      <c r="AI60" s="100"/>
      <c r="AJ60" s="100"/>
      <c r="AK60" s="100"/>
      <c r="AL60" s="100"/>
      <c r="AM60" s="100"/>
      <c r="AN60" s="100"/>
      <c r="AO60" s="100"/>
      <c r="AP60" s="100"/>
      <c r="AQ60" s="100"/>
      <c r="AR60" s="100"/>
      <c r="AS60" s="100"/>
      <c r="AT60" s="100"/>
      <c r="AU60" s="100"/>
      <c r="AV60" s="100"/>
      <c r="AW60" s="100"/>
      <c r="AX60" s="100"/>
      <c r="AY60" s="100"/>
      <c r="AZ60" s="100"/>
      <c r="BA60" s="100"/>
      <c r="BB60" s="100"/>
      <c r="BC60" s="100"/>
      <c r="BD60" s="100"/>
      <c r="BE60" s="100"/>
    </row>
    <row r="61" spans="1:57">
      <c r="A61" s="100"/>
      <c r="B61" s="100"/>
      <c r="C61" s="100"/>
      <c r="D61" s="102"/>
      <c r="E61" s="100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/>
      <c r="AE61" s="100"/>
      <c r="AF61" s="100"/>
      <c r="AG61" s="100"/>
      <c r="AH61" s="100"/>
      <c r="AI61" s="100"/>
      <c r="AJ61" s="100"/>
      <c r="AK61" s="100"/>
      <c r="AL61" s="100"/>
      <c r="AM61" s="100"/>
      <c r="AN61" s="100"/>
      <c r="AO61" s="100"/>
      <c r="AP61" s="100"/>
      <c r="AQ61" s="100"/>
      <c r="AR61" s="100"/>
      <c r="AS61" s="100"/>
      <c r="AT61" s="100"/>
      <c r="AU61" s="100"/>
      <c r="AV61" s="100"/>
      <c r="AW61" s="100"/>
      <c r="AX61" s="100"/>
      <c r="AY61" s="100"/>
      <c r="AZ61" s="100"/>
      <c r="BA61" s="100"/>
      <c r="BB61" s="100"/>
      <c r="BC61" s="100"/>
      <c r="BD61" s="100"/>
      <c r="BE61" s="100"/>
    </row>
    <row r="62" spans="1:57">
      <c r="A62" s="100"/>
      <c r="B62" s="100"/>
      <c r="C62" s="100"/>
      <c r="D62" s="102"/>
      <c r="E62" s="100"/>
      <c r="F62" s="100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100"/>
      <c r="AC62" s="100"/>
      <c r="AD62" s="100"/>
      <c r="AE62" s="100"/>
      <c r="AF62" s="100"/>
      <c r="AG62" s="100"/>
      <c r="AH62" s="100"/>
      <c r="AI62" s="100"/>
      <c r="AJ62" s="100"/>
      <c r="AK62" s="100"/>
      <c r="AL62" s="100"/>
      <c r="AM62" s="100"/>
      <c r="AN62" s="100"/>
      <c r="AO62" s="100"/>
      <c r="AP62" s="100"/>
      <c r="AQ62" s="100"/>
      <c r="AR62" s="100"/>
      <c r="AS62" s="100"/>
      <c r="AT62" s="100"/>
      <c r="AU62" s="100"/>
      <c r="AV62" s="100"/>
      <c r="AW62" s="100"/>
      <c r="AX62" s="100"/>
      <c r="AY62" s="100"/>
      <c r="AZ62" s="100"/>
      <c r="BA62" s="100"/>
      <c r="BB62" s="100"/>
      <c r="BC62" s="100"/>
      <c r="BD62" s="100"/>
      <c r="BE62" s="100"/>
    </row>
    <row r="63" spans="1:57">
      <c r="A63" s="100"/>
      <c r="B63" s="100"/>
      <c r="C63" s="100"/>
      <c r="D63" s="102"/>
      <c r="E63" s="100"/>
      <c r="F63" s="100"/>
      <c r="G63" s="100"/>
      <c r="H63" s="100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  <c r="AA63" s="100"/>
      <c r="AB63" s="100"/>
      <c r="AC63" s="100"/>
      <c r="AD63" s="100"/>
      <c r="AE63" s="100"/>
      <c r="AF63" s="100"/>
      <c r="AG63" s="100"/>
      <c r="AH63" s="100"/>
      <c r="AI63" s="100"/>
      <c r="AJ63" s="100"/>
      <c r="AK63" s="100"/>
      <c r="AL63" s="100"/>
      <c r="AM63" s="100"/>
      <c r="AN63" s="100"/>
      <c r="AO63" s="100"/>
      <c r="AP63" s="100"/>
      <c r="AQ63" s="100"/>
      <c r="AR63" s="100"/>
      <c r="AS63" s="100"/>
      <c r="AT63" s="100"/>
      <c r="AU63" s="100"/>
      <c r="AV63" s="100"/>
      <c r="AW63" s="100"/>
      <c r="AX63" s="100"/>
      <c r="AY63" s="100"/>
      <c r="AZ63" s="100"/>
      <c r="BA63" s="100"/>
      <c r="BB63" s="100"/>
      <c r="BC63" s="100"/>
      <c r="BD63" s="100"/>
      <c r="BE63" s="100"/>
    </row>
    <row r="64" spans="1:57">
      <c r="A64" s="100"/>
      <c r="B64" s="100"/>
      <c r="C64" s="100"/>
      <c r="D64" s="102"/>
      <c r="E64" s="100"/>
      <c r="F64" s="100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  <c r="AE64" s="100"/>
      <c r="AF64" s="100"/>
      <c r="AG64" s="100"/>
      <c r="AH64" s="100"/>
      <c r="AI64" s="100"/>
      <c r="AJ64" s="100"/>
      <c r="AK64" s="100"/>
      <c r="AL64" s="100"/>
      <c r="AM64" s="100"/>
      <c r="AN64" s="100"/>
      <c r="AO64" s="100"/>
      <c r="AP64" s="100"/>
      <c r="AQ64" s="100"/>
      <c r="AR64" s="100"/>
      <c r="AS64" s="100"/>
      <c r="AT64" s="100"/>
      <c r="AU64" s="100"/>
      <c r="AV64" s="100"/>
      <c r="AW64" s="100"/>
      <c r="AX64" s="100"/>
      <c r="AY64" s="100"/>
      <c r="AZ64" s="100"/>
      <c r="BA64" s="100"/>
      <c r="BB64" s="100"/>
      <c r="BC64" s="100"/>
      <c r="BD64" s="100"/>
      <c r="BE64" s="100"/>
    </row>
    <row r="65" spans="1:57">
      <c r="A65" s="100"/>
      <c r="B65" s="100"/>
      <c r="C65" s="100"/>
      <c r="D65" s="102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/>
      <c r="AE65" s="100"/>
      <c r="AF65" s="100"/>
      <c r="AG65" s="100"/>
      <c r="AH65" s="100"/>
      <c r="AI65" s="100"/>
      <c r="AJ65" s="100"/>
      <c r="AK65" s="100"/>
      <c r="AL65" s="100"/>
      <c r="AM65" s="100"/>
      <c r="AN65" s="100"/>
      <c r="AO65" s="100"/>
      <c r="AP65" s="100"/>
      <c r="AQ65" s="100"/>
      <c r="AR65" s="100"/>
      <c r="AS65" s="100"/>
      <c r="AT65" s="100"/>
      <c r="AU65" s="100"/>
      <c r="AV65" s="100"/>
      <c r="AW65" s="100"/>
      <c r="AX65" s="100"/>
      <c r="AY65" s="100"/>
      <c r="AZ65" s="100"/>
      <c r="BA65" s="100"/>
      <c r="BB65" s="100"/>
      <c r="BC65" s="100"/>
      <c r="BD65" s="100"/>
      <c r="BE65" s="100"/>
    </row>
    <row r="66" spans="1:57">
      <c r="A66" s="100"/>
      <c r="B66" s="100"/>
      <c r="C66" s="100"/>
      <c r="D66" s="102"/>
      <c r="E66" s="100"/>
      <c r="F66" s="100"/>
      <c r="G66" s="100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/>
      <c r="AE66" s="100"/>
      <c r="AF66" s="100"/>
      <c r="AG66" s="100"/>
      <c r="AH66" s="100"/>
      <c r="AI66" s="100"/>
      <c r="AJ66" s="100"/>
      <c r="AK66" s="100"/>
      <c r="AL66" s="100"/>
      <c r="AM66" s="100"/>
      <c r="AN66" s="100"/>
      <c r="AO66" s="100"/>
      <c r="AP66" s="100"/>
      <c r="AQ66" s="100"/>
      <c r="AR66" s="100"/>
      <c r="AS66" s="100"/>
      <c r="AT66" s="100"/>
      <c r="AU66" s="100"/>
      <c r="AV66" s="100"/>
      <c r="AW66" s="100"/>
      <c r="AX66" s="100"/>
      <c r="AY66" s="100"/>
      <c r="AZ66" s="100"/>
      <c r="BA66" s="100"/>
      <c r="BB66" s="100"/>
      <c r="BC66" s="100"/>
      <c r="BD66" s="100"/>
      <c r="BE66" s="100"/>
    </row>
    <row r="67" spans="1:57">
      <c r="A67" s="100"/>
      <c r="B67" s="100"/>
      <c r="C67" s="100"/>
      <c r="D67" s="102"/>
      <c r="E67" s="100"/>
      <c r="F67" s="100"/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  <c r="AD67" s="100"/>
      <c r="AE67" s="100"/>
      <c r="AF67" s="100"/>
      <c r="AG67" s="100"/>
      <c r="AH67" s="100"/>
      <c r="AI67" s="100"/>
      <c r="AJ67" s="100"/>
      <c r="AK67" s="100"/>
      <c r="AL67" s="100"/>
      <c r="AM67" s="100"/>
      <c r="AN67" s="100"/>
      <c r="AO67" s="100"/>
      <c r="AP67" s="100"/>
      <c r="AQ67" s="100"/>
      <c r="AR67" s="100"/>
      <c r="AS67" s="100"/>
      <c r="AT67" s="100"/>
      <c r="AU67" s="100"/>
      <c r="AV67" s="100"/>
      <c r="AW67" s="100"/>
      <c r="AX67" s="100"/>
      <c r="AY67" s="100"/>
      <c r="AZ67" s="100"/>
      <c r="BA67" s="100"/>
      <c r="BB67" s="100"/>
      <c r="BC67" s="100"/>
      <c r="BD67" s="100"/>
      <c r="BE67" s="100"/>
    </row>
    <row r="68" spans="1:57">
      <c r="A68" s="100"/>
      <c r="B68" s="100"/>
      <c r="C68" s="100"/>
      <c r="D68" s="102"/>
      <c r="E68" s="100"/>
      <c r="F68" s="100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  <c r="AI68" s="100"/>
      <c r="AJ68" s="100"/>
      <c r="AK68" s="100"/>
      <c r="AL68" s="100"/>
      <c r="AM68" s="100"/>
      <c r="AN68" s="100"/>
      <c r="AO68" s="100"/>
      <c r="AP68" s="100"/>
      <c r="AQ68" s="100"/>
      <c r="AR68" s="100"/>
      <c r="AS68" s="100"/>
      <c r="AT68" s="100"/>
      <c r="AU68" s="100"/>
      <c r="AV68" s="100"/>
      <c r="AW68" s="100"/>
      <c r="AX68" s="100"/>
      <c r="AY68" s="100"/>
      <c r="AZ68" s="100"/>
      <c r="BA68" s="100"/>
      <c r="BB68" s="100"/>
      <c r="BC68" s="100"/>
      <c r="BD68" s="100"/>
      <c r="BE68" s="100"/>
    </row>
    <row r="69" spans="1:57">
      <c r="A69" s="100"/>
      <c r="B69" s="100"/>
      <c r="C69" s="100"/>
      <c r="D69" s="102"/>
      <c r="E69" s="100"/>
      <c r="F69" s="100"/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100"/>
      <c r="AC69" s="100"/>
      <c r="AD69" s="100"/>
      <c r="AE69" s="100"/>
      <c r="AF69" s="100"/>
      <c r="AG69" s="100"/>
      <c r="AH69" s="100"/>
      <c r="AI69" s="100"/>
      <c r="AJ69" s="100"/>
      <c r="AK69" s="100"/>
      <c r="AL69" s="100"/>
      <c r="AM69" s="100"/>
      <c r="AN69" s="100"/>
      <c r="AO69" s="100"/>
      <c r="AP69" s="100"/>
      <c r="AQ69" s="100"/>
      <c r="AR69" s="100"/>
      <c r="AS69" s="100"/>
      <c r="AT69" s="100"/>
      <c r="AU69" s="100"/>
      <c r="AV69" s="100"/>
      <c r="AW69" s="100"/>
      <c r="AX69" s="100"/>
      <c r="AY69" s="100"/>
      <c r="AZ69" s="100"/>
      <c r="BA69" s="100"/>
      <c r="BB69" s="100"/>
      <c r="BC69" s="100"/>
      <c r="BD69" s="100"/>
      <c r="BE69" s="100"/>
    </row>
    <row r="70" spans="1:57">
      <c r="A70" s="100"/>
      <c r="B70" s="100"/>
      <c r="C70" s="100"/>
      <c r="D70" s="102"/>
      <c r="E70" s="100"/>
      <c r="F70" s="100"/>
      <c r="G70" s="100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  <c r="AE70" s="100"/>
      <c r="AF70" s="100"/>
      <c r="AG70" s="100"/>
      <c r="AH70" s="100"/>
      <c r="AI70" s="100"/>
      <c r="AJ70" s="100"/>
      <c r="AK70" s="100"/>
      <c r="AL70" s="100"/>
      <c r="AM70" s="100"/>
      <c r="AN70" s="100"/>
      <c r="AO70" s="100"/>
      <c r="AP70" s="100"/>
      <c r="AQ70" s="100"/>
      <c r="AR70" s="100"/>
      <c r="AS70" s="100"/>
      <c r="AT70" s="100"/>
      <c r="AU70" s="100"/>
      <c r="AV70" s="100"/>
      <c r="AW70" s="100"/>
      <c r="AX70" s="100"/>
      <c r="AY70" s="100"/>
      <c r="AZ70" s="100"/>
      <c r="BA70" s="100"/>
      <c r="BB70" s="100"/>
      <c r="BC70" s="100"/>
      <c r="BD70" s="100"/>
      <c r="BE70" s="100"/>
    </row>
    <row r="71" spans="1:57" ht="18" customHeight="1">
      <c r="A71" s="318" t="s">
        <v>70</v>
      </c>
      <c r="B71" s="319"/>
      <c r="C71" s="318"/>
      <c r="D71" s="318"/>
      <c r="E71" s="318"/>
      <c r="F71" s="318"/>
      <c r="G71" s="318"/>
      <c r="H71" s="318"/>
      <c r="I71" s="318"/>
      <c r="J71" s="320"/>
      <c r="K71" s="320"/>
      <c r="L71" s="605" t="s">
        <v>158</v>
      </c>
      <c r="M71" s="605"/>
      <c r="N71" s="605"/>
      <c r="O71" s="605"/>
      <c r="P71" s="605"/>
      <c r="Q71" s="605"/>
      <c r="R71" s="109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/>
      <c r="AE71" s="100"/>
      <c r="AF71" s="100"/>
      <c r="AG71" s="100"/>
      <c r="AH71" s="100"/>
      <c r="AI71" s="100"/>
      <c r="AJ71" s="100"/>
      <c r="AK71" s="100"/>
      <c r="AL71" s="100"/>
      <c r="AM71" s="100"/>
      <c r="AN71" s="100"/>
      <c r="AO71" s="100"/>
      <c r="AP71" s="100"/>
      <c r="AQ71" s="100"/>
      <c r="AR71" s="100"/>
      <c r="AS71" s="100"/>
      <c r="AT71" s="100"/>
      <c r="AU71" s="100"/>
      <c r="AV71" s="100"/>
      <c r="AW71" s="100"/>
      <c r="AX71" s="100"/>
      <c r="AY71" s="100"/>
      <c r="AZ71" s="100"/>
      <c r="BA71" s="100"/>
      <c r="BB71" s="100"/>
      <c r="BC71" s="100"/>
      <c r="BD71" s="100"/>
      <c r="BE71" s="100"/>
    </row>
    <row r="72" spans="1:57" ht="15">
      <c r="A72" s="118"/>
      <c r="B72" s="118"/>
      <c r="C72" s="119"/>
      <c r="D72" s="120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  <c r="AE72" s="100"/>
      <c r="AF72" s="100"/>
      <c r="AG72" s="100"/>
      <c r="AH72" s="100"/>
      <c r="AI72" s="100"/>
      <c r="AJ72" s="100"/>
      <c r="AK72" s="100"/>
      <c r="AL72" s="100"/>
      <c r="AM72" s="100"/>
      <c r="AN72" s="100"/>
      <c r="AO72" s="100"/>
      <c r="AP72" s="100"/>
      <c r="AQ72" s="100"/>
      <c r="AR72" s="100"/>
      <c r="AS72" s="100"/>
      <c r="AT72" s="100"/>
      <c r="AU72" s="100"/>
      <c r="AV72" s="100"/>
      <c r="AW72" s="100"/>
      <c r="AX72" s="100"/>
      <c r="AY72" s="100"/>
      <c r="AZ72" s="100"/>
      <c r="BA72" s="100"/>
      <c r="BB72" s="100"/>
      <c r="BC72" s="100"/>
      <c r="BD72" s="100"/>
      <c r="BE72" s="100"/>
    </row>
    <row r="73" spans="1:57" ht="15.75">
      <c r="A73" s="100"/>
      <c r="B73" s="100"/>
      <c r="C73" s="100"/>
      <c r="D73" s="102"/>
      <c r="E73" s="100"/>
      <c r="F73" s="100"/>
      <c r="G73" s="100"/>
      <c r="H73" s="100"/>
      <c r="I73" s="100"/>
      <c r="J73" s="100"/>
      <c r="K73" s="100"/>
      <c r="L73" s="111"/>
      <c r="M73" s="111"/>
      <c r="N73" s="111"/>
      <c r="O73" s="111"/>
      <c r="P73" s="111"/>
      <c r="Q73" s="111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00"/>
      <c r="AK73" s="100"/>
      <c r="AL73" s="100"/>
      <c r="AM73" s="100"/>
      <c r="AN73" s="100"/>
      <c r="AO73" s="100"/>
      <c r="AP73" s="100"/>
      <c r="AQ73" s="100"/>
      <c r="AR73" s="100"/>
      <c r="AS73" s="100"/>
      <c r="AT73" s="100"/>
      <c r="AU73" s="100"/>
      <c r="AV73" s="100"/>
      <c r="AW73" s="100"/>
      <c r="AX73" s="100"/>
      <c r="AY73" s="100"/>
      <c r="AZ73" s="100"/>
      <c r="BA73" s="100"/>
      <c r="BB73" s="100"/>
      <c r="BC73" s="100"/>
      <c r="BD73" s="100"/>
      <c r="BE73" s="100"/>
    </row>
    <row r="74" spans="1:57">
      <c r="A74" s="100"/>
      <c r="B74" s="100"/>
      <c r="C74" s="100"/>
      <c r="D74" s="102"/>
      <c r="E74" s="100"/>
      <c r="F74" s="100"/>
      <c r="G74" s="100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00"/>
      <c r="AK74" s="100"/>
      <c r="AL74" s="100"/>
      <c r="AM74" s="100"/>
      <c r="AN74" s="100"/>
      <c r="AO74" s="100"/>
      <c r="AP74" s="100"/>
      <c r="AQ74" s="100"/>
      <c r="AR74" s="100"/>
      <c r="AS74" s="100"/>
      <c r="AT74" s="100"/>
      <c r="AU74" s="100"/>
      <c r="AV74" s="100"/>
      <c r="AW74" s="100"/>
      <c r="AX74" s="100"/>
      <c r="AY74" s="100"/>
      <c r="AZ74" s="100"/>
      <c r="BA74" s="100"/>
      <c r="BB74" s="100"/>
      <c r="BC74" s="100"/>
      <c r="BD74" s="100"/>
      <c r="BE74" s="100"/>
    </row>
    <row r="75" spans="1:57">
      <c r="A75" s="100"/>
      <c r="B75" s="100"/>
      <c r="C75" s="100"/>
      <c r="D75" s="102"/>
      <c r="E75" s="100"/>
      <c r="F75" s="100"/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  <c r="AD75" s="100"/>
      <c r="AE75" s="100"/>
      <c r="AF75" s="100"/>
      <c r="AG75" s="100"/>
      <c r="AH75" s="100"/>
      <c r="AI75" s="100"/>
      <c r="AJ75" s="100"/>
      <c r="AK75" s="100"/>
      <c r="AL75" s="100"/>
      <c r="AM75" s="100"/>
      <c r="AN75" s="100"/>
      <c r="AO75" s="100"/>
      <c r="AP75" s="100"/>
      <c r="AQ75" s="100"/>
      <c r="AR75" s="100"/>
      <c r="AS75" s="100"/>
      <c r="AT75" s="100"/>
      <c r="AU75" s="100"/>
      <c r="AV75" s="100"/>
      <c r="AW75" s="100"/>
      <c r="AX75" s="100"/>
      <c r="AY75" s="100"/>
      <c r="AZ75" s="100"/>
      <c r="BA75" s="100"/>
      <c r="BB75" s="100"/>
      <c r="BC75" s="100"/>
      <c r="BD75" s="100"/>
      <c r="BE75" s="100"/>
    </row>
  </sheetData>
  <sheetProtection selectLockedCells="1" selectUnlockedCells="1"/>
  <mergeCells count="78">
    <mergeCell ref="CO40:CU40"/>
    <mergeCell ref="L71:Q71"/>
    <mergeCell ref="N46:O46"/>
    <mergeCell ref="AZ46:BE47"/>
    <mergeCell ref="AZ48:BC49"/>
    <mergeCell ref="BD48:BD49"/>
    <mergeCell ref="AZ51:BC52"/>
    <mergeCell ref="BD51:BD52"/>
    <mergeCell ref="AT42:AV42"/>
    <mergeCell ref="AC3:AC6"/>
    <mergeCell ref="AD3:AD6"/>
    <mergeCell ref="DA5:DB5"/>
    <mergeCell ref="CO39:CP39"/>
    <mergeCell ref="CQ39:CU39"/>
    <mergeCell ref="CV39:CY39"/>
    <mergeCell ref="AX5:AX6"/>
    <mergeCell ref="AY5:AY6"/>
    <mergeCell ref="AJ3:AK6"/>
    <mergeCell ref="AL3:AL6"/>
    <mergeCell ref="AM3:AM6"/>
    <mergeCell ref="AN3:AN6"/>
    <mergeCell ref="AO3:AO6"/>
    <mergeCell ref="AP3:AP6"/>
    <mergeCell ref="AT5:AT6"/>
    <mergeCell ref="AW5:AW6"/>
    <mergeCell ref="Q4:Q6"/>
    <mergeCell ref="R4:R6"/>
    <mergeCell ref="S4:S6"/>
    <mergeCell ref="T4:T6"/>
    <mergeCell ref="U4:U6"/>
    <mergeCell ref="AA3:AA6"/>
    <mergeCell ref="AB3:AB6"/>
    <mergeCell ref="N4:N6"/>
    <mergeCell ref="O4:O6"/>
    <mergeCell ref="DD4:DH4"/>
    <mergeCell ref="AE5:AE6"/>
    <mergeCell ref="AF5:AF6"/>
    <mergeCell ref="AG5:AG6"/>
    <mergeCell ref="AH5:AH6"/>
    <mergeCell ref="CF3:CI5"/>
    <mergeCell ref="AQ3:AQ6"/>
    <mergeCell ref="AS3:AS6"/>
    <mergeCell ref="AT3:AY4"/>
    <mergeCell ref="AZ3:AZ6"/>
    <mergeCell ref="BA3:BB4"/>
    <mergeCell ref="BC3:BC6"/>
    <mergeCell ref="CJ3:CM5"/>
    <mergeCell ref="B4:B6"/>
    <mergeCell ref="C4:C6"/>
    <mergeCell ref="D4:D6"/>
    <mergeCell ref="E4:E6"/>
    <mergeCell ref="F4:F6"/>
    <mergeCell ref="G4:G6"/>
    <mergeCell ref="H4:H6"/>
    <mergeCell ref="I4:I6"/>
    <mergeCell ref="J4:J6"/>
    <mergeCell ref="BD3:BD6"/>
    <mergeCell ref="BE3:BE6"/>
    <mergeCell ref="BK3:BQ5"/>
    <mergeCell ref="BR3:BX5"/>
    <mergeCell ref="BY3:CE5"/>
    <mergeCell ref="K4:K6"/>
    <mergeCell ref="AE3:AF4"/>
    <mergeCell ref="AG3:AI4"/>
    <mergeCell ref="AI5:AI6"/>
    <mergeCell ref="AY2:BC2"/>
    <mergeCell ref="A3:A6"/>
    <mergeCell ref="B3:G3"/>
    <mergeCell ref="H3:P3"/>
    <mergeCell ref="Q3:U3"/>
    <mergeCell ref="V3:V6"/>
    <mergeCell ref="W3:W6"/>
    <mergeCell ref="X3:X6"/>
    <mergeCell ref="Y3:Y6"/>
    <mergeCell ref="Z3:Z6"/>
    <mergeCell ref="P4:P6"/>
    <mergeCell ref="L4:L6"/>
    <mergeCell ref="M4:M6"/>
  </mergeCells>
  <printOptions horizontalCentered="1" verticalCentered="1"/>
  <pageMargins left="0" right="0" top="0" bottom="0" header="0" footer="0"/>
  <pageSetup paperSize="9" scale="46" firstPageNumber="0" orientation="landscape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DQ75"/>
  <sheetViews>
    <sheetView showZeros="0" zoomScale="90" zoomScaleNormal="90" workbookViewId="0">
      <pane xSplit="1" ySplit="6" topLeftCell="B15" activePane="bottomRight" state="frozen"/>
      <selection pane="topRight" activeCell="B1" sqref="B1"/>
      <selection pane="bottomLeft" activeCell="A7" sqref="A7"/>
      <selection pane="bottomRight" activeCell="N34" sqref="N34"/>
    </sheetView>
  </sheetViews>
  <sheetFormatPr defaultColWidth="8.7109375" defaultRowHeight="12.75"/>
  <cols>
    <col min="1" max="1" width="3.5703125" customWidth="1"/>
    <col min="2" max="2" width="10.7109375" customWidth="1"/>
    <col min="3" max="3" width="6" customWidth="1"/>
    <col min="4" max="4" width="12" style="1" hidden="1" customWidth="1"/>
    <col min="5" max="5" width="7.140625" customWidth="1"/>
    <col min="6" max="6" width="7.5703125" customWidth="1"/>
    <col min="7" max="7" width="8" customWidth="1"/>
    <col min="8" max="8" width="7.28515625" customWidth="1"/>
    <col min="9" max="9" width="7.42578125" hidden="1" customWidth="1"/>
    <col min="10" max="10" width="9.140625" customWidth="1"/>
    <col min="11" max="11" width="5.5703125" hidden="1" customWidth="1"/>
    <col min="12" max="12" width="8.42578125" customWidth="1"/>
    <col min="13" max="13" width="7" customWidth="1"/>
    <col min="14" max="14" width="8.42578125" customWidth="1"/>
    <col min="15" max="15" width="7.28515625" customWidth="1"/>
    <col min="16" max="16" width="9.85546875" hidden="1" customWidth="1"/>
    <col min="17" max="17" width="9.28515625" customWidth="1"/>
    <col min="18" max="18" width="6" customWidth="1"/>
    <col min="19" max="19" width="6.7109375" customWidth="1"/>
    <col min="20" max="20" width="9.140625" hidden="1" customWidth="1"/>
    <col min="21" max="21" width="7.140625" customWidth="1"/>
    <col min="22" max="22" width="7.85546875" customWidth="1"/>
    <col min="23" max="23" width="8.28515625" customWidth="1"/>
    <col min="24" max="24" width="6" customWidth="1"/>
    <col min="25" max="25" width="5.42578125" customWidth="1"/>
    <col min="26" max="26" width="6.85546875" customWidth="1"/>
    <col min="27" max="27" width="6.5703125" customWidth="1"/>
    <col min="28" max="28" width="7.5703125" customWidth="1"/>
    <col min="29" max="29" width="6.5703125" customWidth="1"/>
    <col min="30" max="30" width="4.28515625" customWidth="1"/>
    <col min="31" max="32" width="6.85546875" customWidth="1"/>
    <col min="33" max="33" width="0" hidden="1" customWidth="1"/>
    <col min="34" max="34" width="8.42578125" customWidth="1"/>
    <col min="35" max="35" width="7" customWidth="1"/>
    <col min="36" max="36" width="7.85546875" customWidth="1"/>
    <col min="37" max="37" width="0" hidden="1" customWidth="1"/>
    <col min="38" max="38" width="6.7109375" customWidth="1"/>
    <col min="39" max="39" width="7.7109375" customWidth="1"/>
    <col min="40" max="40" width="7" customWidth="1"/>
    <col min="41" max="41" width="9.42578125" customWidth="1"/>
    <col min="42" max="42" width="6.28515625" customWidth="1"/>
    <col min="43" max="43" width="6.85546875" customWidth="1"/>
    <col min="44" max="44" width="0" hidden="1" customWidth="1"/>
    <col min="45" max="45" width="6.7109375" customWidth="1"/>
    <col min="46" max="46" width="9.7109375" customWidth="1"/>
    <col min="47" max="47" width="7" customWidth="1"/>
    <col min="48" max="48" width="0" hidden="1" customWidth="1"/>
    <col min="49" max="49" width="6.140625" hidden="1" customWidth="1"/>
    <col min="50" max="50" width="5.140625" hidden="1" customWidth="1"/>
    <col min="51" max="51" width="8.42578125" customWidth="1"/>
    <col min="52" max="52" width="10" customWidth="1"/>
    <col min="53" max="53" width="8.7109375" hidden="1" customWidth="1"/>
    <col min="54" max="54" width="3.85546875" hidden="1" customWidth="1"/>
    <col min="55" max="55" width="6.5703125" customWidth="1"/>
    <col min="56" max="56" width="6.140625" customWidth="1"/>
    <col min="57" max="57" width="6.7109375" customWidth="1"/>
    <col min="58" max="58" width="8.85546875" customWidth="1"/>
    <col min="59" max="59" width="7.85546875" customWidth="1"/>
    <col min="60" max="60" width="9.85546875" customWidth="1"/>
    <col min="61" max="62" width="8.7109375" customWidth="1"/>
    <col min="63" max="63" width="10.28515625" customWidth="1"/>
    <col min="64" max="64" width="10.85546875" customWidth="1"/>
    <col min="65" max="65" width="10.7109375" customWidth="1"/>
    <col min="66" max="66" width="11.28515625" customWidth="1"/>
    <col min="67" max="68" width="8.85546875" customWidth="1"/>
    <col min="69" max="69" width="11.28515625" customWidth="1"/>
    <col min="70" max="70" width="7.7109375" customWidth="1"/>
    <col min="71" max="71" width="10" customWidth="1"/>
    <col min="72" max="72" width="8.85546875" customWidth="1"/>
    <col min="73" max="73" width="10.140625" customWidth="1"/>
    <col min="74" max="75" width="8.85546875" customWidth="1"/>
    <col min="76" max="76" width="10.85546875" customWidth="1"/>
    <col min="77" max="78" width="8.7109375" customWidth="1"/>
    <col min="79" max="79" width="10" customWidth="1"/>
    <col min="80" max="80" width="10.42578125" customWidth="1"/>
    <col min="81" max="82" width="8.42578125" customWidth="1"/>
    <col min="83" max="83" width="9.85546875" customWidth="1"/>
    <col min="84" max="85" width="11.42578125" customWidth="1"/>
    <col min="86" max="86" width="11.140625" customWidth="1"/>
    <col min="87" max="87" width="11.28515625" customWidth="1"/>
    <col min="88" max="89" width="10" customWidth="1"/>
    <col min="90" max="90" width="8.7109375" customWidth="1"/>
    <col min="91" max="91" width="11.85546875" customWidth="1"/>
    <col min="92" max="92" width="8.7109375" customWidth="1"/>
    <col min="93" max="93" width="12.140625" customWidth="1"/>
    <col min="94" max="94" width="12.5703125" customWidth="1"/>
    <col min="95" max="95" width="11.7109375" customWidth="1"/>
    <col min="96" max="98" width="12.28515625" customWidth="1"/>
    <col min="99" max="99" width="13.28515625" customWidth="1"/>
    <col min="100" max="100" width="12.85546875" customWidth="1"/>
    <col min="101" max="101" width="13.42578125" customWidth="1"/>
    <col min="102" max="103" width="12.5703125" customWidth="1"/>
    <col min="104" max="104" width="9.5703125" customWidth="1"/>
    <col min="105" max="105" width="19.140625" customWidth="1"/>
    <col min="106" max="106" width="19.42578125" customWidth="1"/>
    <col min="111" max="111" width="8.7109375" hidden="1" customWidth="1"/>
    <col min="112" max="112" width="9" bestFit="1" customWidth="1"/>
    <col min="114" max="114" width="9.5703125" bestFit="1" customWidth="1"/>
    <col min="117" max="117" width="11.7109375" customWidth="1"/>
  </cols>
  <sheetData>
    <row r="1" spans="1:121" ht="17.25" customHeight="1">
      <c r="A1" s="310" t="s">
        <v>0</v>
      </c>
      <c r="B1" s="310"/>
      <c r="C1" s="310"/>
      <c r="D1" s="311"/>
      <c r="E1" s="310"/>
      <c r="F1" s="310"/>
      <c r="G1" s="310"/>
      <c r="H1" s="310"/>
      <c r="I1" s="310"/>
      <c r="J1" s="310"/>
      <c r="K1" s="310"/>
      <c r="L1" s="310"/>
      <c r="M1" s="310"/>
      <c r="N1" s="310"/>
      <c r="O1" s="310"/>
      <c r="P1" s="77"/>
      <c r="Q1" s="77"/>
      <c r="R1" s="77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</row>
    <row r="2" spans="1:121" ht="19.5" customHeight="1" thickBot="1">
      <c r="A2" s="22"/>
      <c r="B2" s="78"/>
      <c r="C2" s="78"/>
      <c r="D2" s="79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80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80"/>
      <c r="AT2" s="312" t="s">
        <v>1</v>
      </c>
      <c r="AU2" s="313">
        <v>30</v>
      </c>
      <c r="AV2" s="314"/>
      <c r="AW2" s="314"/>
      <c r="AX2" s="315" t="s">
        <v>81</v>
      </c>
      <c r="AY2" s="556" t="s">
        <v>218</v>
      </c>
      <c r="AZ2" s="556"/>
      <c r="BA2" s="556"/>
      <c r="BB2" s="556"/>
      <c r="BC2" s="556"/>
      <c r="BD2" s="316" t="s">
        <v>107</v>
      </c>
      <c r="BE2" s="317"/>
    </row>
    <row r="3" spans="1:121" ht="39.75" customHeight="1" thickBot="1">
      <c r="A3" s="557" t="s">
        <v>3</v>
      </c>
      <c r="B3" s="558" t="s">
        <v>71</v>
      </c>
      <c r="C3" s="558"/>
      <c r="D3" s="558"/>
      <c r="E3" s="558"/>
      <c r="F3" s="558"/>
      <c r="G3" s="558"/>
      <c r="H3" s="554" t="s">
        <v>4</v>
      </c>
      <c r="I3" s="554"/>
      <c r="J3" s="554"/>
      <c r="K3" s="554"/>
      <c r="L3" s="554"/>
      <c r="M3" s="554"/>
      <c r="N3" s="554"/>
      <c r="O3" s="554"/>
      <c r="P3" s="559"/>
      <c r="Q3" s="560" t="s">
        <v>5</v>
      </c>
      <c r="R3" s="561"/>
      <c r="S3" s="561"/>
      <c r="T3" s="561"/>
      <c r="U3" s="562"/>
      <c r="V3" s="563" t="s">
        <v>6</v>
      </c>
      <c r="W3" s="563" t="s">
        <v>7</v>
      </c>
      <c r="X3" s="564" t="s">
        <v>8</v>
      </c>
      <c r="Y3" s="564" t="s">
        <v>9</v>
      </c>
      <c r="Z3" s="564" t="s">
        <v>10</v>
      </c>
      <c r="AA3" s="564" t="s">
        <v>11</v>
      </c>
      <c r="AB3" s="564" t="s">
        <v>12</v>
      </c>
      <c r="AC3" s="564" t="s">
        <v>13</v>
      </c>
      <c r="AD3" s="564" t="s">
        <v>14</v>
      </c>
      <c r="AE3" s="554" t="s">
        <v>15</v>
      </c>
      <c r="AF3" s="554"/>
      <c r="AG3" s="554" t="s">
        <v>16</v>
      </c>
      <c r="AH3" s="554"/>
      <c r="AI3" s="554"/>
      <c r="AJ3" s="593" t="s">
        <v>17</v>
      </c>
      <c r="AK3" s="593"/>
      <c r="AL3" s="564" t="s">
        <v>18</v>
      </c>
      <c r="AM3" s="599" t="s">
        <v>19</v>
      </c>
      <c r="AN3" s="600" t="s">
        <v>95</v>
      </c>
      <c r="AO3" s="603" t="s">
        <v>20</v>
      </c>
      <c r="AP3" s="564" t="s">
        <v>105</v>
      </c>
      <c r="AQ3" s="564" t="s">
        <v>21</v>
      </c>
      <c r="AR3" s="81"/>
      <c r="AS3" s="593" t="s">
        <v>22</v>
      </c>
      <c r="AT3" s="554" t="s">
        <v>23</v>
      </c>
      <c r="AU3" s="554"/>
      <c r="AV3" s="554"/>
      <c r="AW3" s="554"/>
      <c r="AX3" s="554"/>
      <c r="AY3" s="554"/>
      <c r="AZ3" s="564" t="s">
        <v>24</v>
      </c>
      <c r="BA3" s="594" t="s">
        <v>25</v>
      </c>
      <c r="BB3" s="594"/>
      <c r="BC3" s="564" t="s">
        <v>26</v>
      </c>
      <c r="BD3" s="564" t="s">
        <v>27</v>
      </c>
      <c r="BE3" s="572" t="s">
        <v>28</v>
      </c>
      <c r="BF3" s="3"/>
      <c r="BG3" s="3"/>
      <c r="BH3" s="3"/>
      <c r="BI3" s="3"/>
      <c r="BJ3" s="3"/>
      <c r="BK3" s="573" t="s">
        <v>29</v>
      </c>
      <c r="BL3" s="574"/>
      <c r="BM3" s="574"/>
      <c r="BN3" s="574"/>
      <c r="BO3" s="575"/>
      <c r="BP3" s="575"/>
      <c r="BQ3" s="576"/>
      <c r="BR3" s="573" t="s">
        <v>30</v>
      </c>
      <c r="BS3" s="585"/>
      <c r="BT3" s="585"/>
      <c r="BU3" s="585"/>
      <c r="BV3" s="585"/>
      <c r="BW3" s="585"/>
      <c r="BX3" s="586"/>
      <c r="BY3" s="566" t="s">
        <v>31</v>
      </c>
      <c r="BZ3" s="566"/>
      <c r="CA3" s="566"/>
      <c r="CB3" s="566"/>
      <c r="CC3" s="566"/>
      <c r="CD3" s="566"/>
      <c r="CE3" s="566"/>
      <c r="CF3" s="566" t="s">
        <v>87</v>
      </c>
      <c r="CG3" s="566"/>
      <c r="CH3" s="566"/>
      <c r="CI3" s="566"/>
      <c r="CJ3" s="566" t="s">
        <v>32</v>
      </c>
      <c r="CK3" s="566"/>
      <c r="CL3" s="566"/>
      <c r="CM3" s="566"/>
      <c r="CN3" s="4"/>
      <c r="CO3" s="5"/>
      <c r="CP3" s="6"/>
      <c r="CQ3" s="6"/>
    </row>
    <row r="4" spans="1:121" s="7" customFormat="1" ht="30.75" customHeight="1" thickBot="1">
      <c r="A4" s="557"/>
      <c r="B4" s="565" t="s">
        <v>72</v>
      </c>
      <c r="C4" s="565" t="s">
        <v>73</v>
      </c>
      <c r="D4" s="568" t="s">
        <v>33</v>
      </c>
      <c r="E4" s="565" t="s">
        <v>74</v>
      </c>
      <c r="F4" s="569" t="s">
        <v>75</v>
      </c>
      <c r="G4" s="569" t="s">
        <v>34</v>
      </c>
      <c r="H4" s="555" t="s">
        <v>76</v>
      </c>
      <c r="I4" s="570" t="s">
        <v>101</v>
      </c>
      <c r="J4" s="555" t="s">
        <v>89</v>
      </c>
      <c r="K4" s="565" t="s">
        <v>35</v>
      </c>
      <c r="L4" s="565" t="s">
        <v>77</v>
      </c>
      <c r="M4" s="565" t="s">
        <v>78</v>
      </c>
      <c r="N4" s="565" t="s">
        <v>101</v>
      </c>
      <c r="O4" s="565" t="s">
        <v>96</v>
      </c>
      <c r="P4" s="555" t="s">
        <v>79</v>
      </c>
      <c r="Q4" s="555" t="s">
        <v>36</v>
      </c>
      <c r="R4" s="555" t="s">
        <v>32</v>
      </c>
      <c r="S4" s="555" t="s">
        <v>37</v>
      </c>
      <c r="T4" s="555" t="s">
        <v>38</v>
      </c>
      <c r="U4" s="555" t="s">
        <v>39</v>
      </c>
      <c r="V4" s="563"/>
      <c r="W4" s="563"/>
      <c r="X4" s="564"/>
      <c r="Y4" s="564"/>
      <c r="Z4" s="564"/>
      <c r="AA4" s="564"/>
      <c r="AB4" s="564"/>
      <c r="AC4" s="564"/>
      <c r="AD4" s="564"/>
      <c r="AE4" s="554"/>
      <c r="AF4" s="554"/>
      <c r="AG4" s="554"/>
      <c r="AH4" s="554"/>
      <c r="AI4" s="554"/>
      <c r="AJ4" s="593"/>
      <c r="AK4" s="593"/>
      <c r="AL4" s="564"/>
      <c r="AM4" s="599"/>
      <c r="AN4" s="601"/>
      <c r="AO4" s="603"/>
      <c r="AP4" s="564"/>
      <c r="AQ4" s="564"/>
      <c r="AR4" s="82"/>
      <c r="AS4" s="593"/>
      <c r="AT4" s="554"/>
      <c r="AU4" s="554"/>
      <c r="AV4" s="554"/>
      <c r="AW4" s="554"/>
      <c r="AX4" s="554"/>
      <c r="AY4" s="554"/>
      <c r="AZ4" s="564"/>
      <c r="BA4" s="594"/>
      <c r="BB4" s="594"/>
      <c r="BC4" s="564"/>
      <c r="BD4" s="564"/>
      <c r="BE4" s="572"/>
      <c r="BF4" s="3"/>
      <c r="BG4" s="3"/>
      <c r="BH4" s="3"/>
      <c r="BI4" s="3"/>
      <c r="BJ4" s="3"/>
      <c r="BK4" s="577"/>
      <c r="BL4" s="578"/>
      <c r="BM4" s="578"/>
      <c r="BN4" s="578"/>
      <c r="BO4" s="579"/>
      <c r="BP4" s="579"/>
      <c r="BQ4" s="580"/>
      <c r="BR4" s="577"/>
      <c r="BS4" s="566"/>
      <c r="BT4" s="566"/>
      <c r="BU4" s="566"/>
      <c r="BV4" s="566"/>
      <c r="BW4" s="566"/>
      <c r="BX4" s="587"/>
      <c r="BY4" s="566"/>
      <c r="BZ4" s="566"/>
      <c r="CA4" s="566"/>
      <c r="CB4" s="566"/>
      <c r="CC4" s="566"/>
      <c r="CD4" s="566"/>
      <c r="CE4" s="566"/>
      <c r="CF4" s="566"/>
      <c r="CG4" s="566"/>
      <c r="CH4" s="566"/>
      <c r="CI4" s="566"/>
      <c r="CJ4" s="566"/>
      <c r="CK4" s="566"/>
      <c r="CL4" s="566"/>
      <c r="CM4" s="566"/>
      <c r="CN4" s="4"/>
      <c r="CO4" s="6"/>
      <c r="CP4" s="6"/>
      <c r="CQ4" s="262"/>
      <c r="CR4" s="231"/>
      <c r="CS4" s="231"/>
      <c r="CT4" s="231"/>
      <c r="CU4" s="231"/>
      <c r="CV4" s="231"/>
      <c r="CW4" s="231"/>
      <c r="CX4" s="231"/>
      <c r="CY4" s="231"/>
      <c r="DD4" s="590" t="s">
        <v>90</v>
      </c>
      <c r="DE4" s="591"/>
      <c r="DF4" s="591"/>
      <c r="DG4" s="591"/>
      <c r="DH4" s="592"/>
    </row>
    <row r="5" spans="1:121" s="7" customFormat="1" ht="8.25" hidden="1" customHeight="1">
      <c r="A5" s="557"/>
      <c r="B5" s="565"/>
      <c r="C5" s="565"/>
      <c r="D5" s="568"/>
      <c r="E5" s="565"/>
      <c r="F5" s="569"/>
      <c r="G5" s="569"/>
      <c r="H5" s="555"/>
      <c r="I5" s="570"/>
      <c r="J5" s="565"/>
      <c r="K5" s="565"/>
      <c r="L5" s="565"/>
      <c r="M5" s="565"/>
      <c r="N5" s="565"/>
      <c r="O5" s="565"/>
      <c r="P5" s="555"/>
      <c r="Q5" s="555"/>
      <c r="R5" s="555"/>
      <c r="S5" s="555"/>
      <c r="T5" s="555"/>
      <c r="U5" s="555"/>
      <c r="V5" s="563"/>
      <c r="W5" s="563"/>
      <c r="X5" s="564"/>
      <c r="Y5" s="564"/>
      <c r="Z5" s="564"/>
      <c r="AA5" s="564"/>
      <c r="AB5" s="564"/>
      <c r="AC5" s="564"/>
      <c r="AD5" s="564"/>
      <c r="AE5" s="555" t="s">
        <v>40</v>
      </c>
      <c r="AF5" s="555" t="s">
        <v>41</v>
      </c>
      <c r="AG5" s="555" t="s">
        <v>42</v>
      </c>
      <c r="AH5" s="555" t="s">
        <v>40</v>
      </c>
      <c r="AI5" s="555" t="s">
        <v>41</v>
      </c>
      <c r="AJ5" s="593"/>
      <c r="AK5" s="593"/>
      <c r="AL5" s="564"/>
      <c r="AM5" s="599"/>
      <c r="AN5" s="601"/>
      <c r="AO5" s="603"/>
      <c r="AP5" s="564"/>
      <c r="AQ5" s="564"/>
      <c r="AR5" s="83"/>
      <c r="AS5" s="593"/>
      <c r="AT5" s="555" t="s">
        <v>43</v>
      </c>
      <c r="AU5" s="84"/>
      <c r="AV5" s="85"/>
      <c r="AW5" s="598" t="s">
        <v>44</v>
      </c>
      <c r="AX5" s="598" t="s">
        <v>45</v>
      </c>
      <c r="AY5" s="555" t="s">
        <v>46</v>
      </c>
      <c r="AZ5" s="564"/>
      <c r="BA5" s="86" t="s">
        <v>47</v>
      </c>
      <c r="BB5" s="86" t="s">
        <v>48</v>
      </c>
      <c r="BC5" s="564"/>
      <c r="BD5" s="564"/>
      <c r="BE5" s="572"/>
      <c r="BF5" s="3"/>
      <c r="BG5" s="3"/>
      <c r="BH5" s="3"/>
      <c r="BI5" s="3"/>
      <c r="BJ5" s="3"/>
      <c r="BK5" s="581"/>
      <c r="BL5" s="582"/>
      <c r="BM5" s="582"/>
      <c r="BN5" s="582"/>
      <c r="BO5" s="583"/>
      <c r="BP5" s="583"/>
      <c r="BQ5" s="584"/>
      <c r="BR5" s="581"/>
      <c r="BS5" s="588"/>
      <c r="BT5" s="588"/>
      <c r="BU5" s="588"/>
      <c r="BV5" s="588"/>
      <c r="BW5" s="588"/>
      <c r="BX5" s="589"/>
      <c r="BY5" s="567"/>
      <c r="BZ5" s="566"/>
      <c r="CA5" s="566"/>
      <c r="CB5" s="566"/>
      <c r="CC5" s="566"/>
      <c r="CD5" s="566"/>
      <c r="CE5" s="566"/>
      <c r="CF5" s="567"/>
      <c r="CG5" s="567"/>
      <c r="CH5" s="567"/>
      <c r="CI5" s="567"/>
      <c r="CJ5" s="567"/>
      <c r="CK5" s="567"/>
      <c r="CL5" s="567"/>
      <c r="CM5" s="567"/>
      <c r="CN5" s="4"/>
      <c r="CO5"/>
      <c r="CP5"/>
      <c r="CQ5" s="255"/>
      <c r="CR5" s="256"/>
      <c r="CS5" s="256"/>
      <c r="CT5" s="256"/>
      <c r="CU5" s="256"/>
      <c r="CV5" s="257"/>
      <c r="CW5" s="257"/>
      <c r="CX5" s="257"/>
      <c r="CY5" s="258"/>
      <c r="DA5" s="595" t="s">
        <v>49</v>
      </c>
      <c r="DB5" s="595"/>
    </row>
    <row r="6" spans="1:121" s="7" customFormat="1" ht="106.5" customHeight="1" thickBot="1">
      <c r="A6" s="557"/>
      <c r="B6" s="565"/>
      <c r="C6" s="565"/>
      <c r="D6" s="568"/>
      <c r="E6" s="565"/>
      <c r="F6" s="569"/>
      <c r="G6" s="569"/>
      <c r="H6" s="555"/>
      <c r="I6" s="570"/>
      <c r="J6" s="571"/>
      <c r="K6" s="565"/>
      <c r="L6" s="565"/>
      <c r="M6" s="565"/>
      <c r="N6" s="565"/>
      <c r="O6" s="565"/>
      <c r="P6" s="565"/>
      <c r="Q6" s="565"/>
      <c r="R6" s="565"/>
      <c r="S6" s="565"/>
      <c r="T6" s="555"/>
      <c r="U6" s="555"/>
      <c r="V6" s="563"/>
      <c r="W6" s="563"/>
      <c r="X6" s="564"/>
      <c r="Y6" s="564"/>
      <c r="Z6" s="564"/>
      <c r="AA6" s="564"/>
      <c r="AB6" s="564"/>
      <c r="AC6" s="564"/>
      <c r="AD6" s="564"/>
      <c r="AE6" s="555"/>
      <c r="AF6" s="555"/>
      <c r="AG6" s="555"/>
      <c r="AH6" s="555"/>
      <c r="AI6" s="555"/>
      <c r="AJ6" s="593"/>
      <c r="AK6" s="593"/>
      <c r="AL6" s="564"/>
      <c r="AM6" s="599"/>
      <c r="AN6" s="602"/>
      <c r="AO6" s="603"/>
      <c r="AP6" s="564"/>
      <c r="AQ6" s="564"/>
      <c r="AR6" s="458"/>
      <c r="AS6" s="593"/>
      <c r="AT6" s="555"/>
      <c r="AU6" s="457" t="s">
        <v>50</v>
      </c>
      <c r="AV6" s="457" t="s">
        <v>51</v>
      </c>
      <c r="AW6" s="598"/>
      <c r="AX6" s="598"/>
      <c r="AY6" s="555"/>
      <c r="AZ6" s="555"/>
      <c r="BA6" s="87"/>
      <c r="BB6" s="88">
        <v>0.04</v>
      </c>
      <c r="BC6" s="564"/>
      <c r="BD6" s="564"/>
      <c r="BE6" s="572"/>
      <c r="BF6" s="8" t="s">
        <v>52</v>
      </c>
      <c r="BG6" s="8" t="s">
        <v>53</v>
      </c>
      <c r="BH6" s="8" t="s">
        <v>54</v>
      </c>
      <c r="BI6" s="3"/>
      <c r="BJ6" s="3"/>
      <c r="BK6" s="308" t="s">
        <v>104</v>
      </c>
      <c r="BL6" s="280" t="s">
        <v>82</v>
      </c>
      <c r="BM6" s="279" t="s">
        <v>100</v>
      </c>
      <c r="BN6" s="307" t="s">
        <v>102</v>
      </c>
      <c r="BO6" s="308" t="s">
        <v>97</v>
      </c>
      <c r="BP6" s="326" t="s">
        <v>99</v>
      </c>
      <c r="BQ6" s="306" t="s">
        <v>86</v>
      </c>
      <c r="BR6" s="308" t="s">
        <v>104</v>
      </c>
      <c r="BS6" s="280" t="s">
        <v>82</v>
      </c>
      <c r="BT6" s="279" t="s">
        <v>100</v>
      </c>
      <c r="BU6" s="327"/>
      <c r="BV6" s="308" t="s">
        <v>97</v>
      </c>
      <c r="BW6" s="326" t="s">
        <v>99</v>
      </c>
      <c r="BX6" s="306"/>
      <c r="BY6" s="308" t="s">
        <v>104</v>
      </c>
      <c r="BZ6" s="280" t="s">
        <v>82</v>
      </c>
      <c r="CA6" s="279" t="s">
        <v>100</v>
      </c>
      <c r="CB6" s="307" t="s">
        <v>102</v>
      </c>
      <c r="CC6" s="308" t="s">
        <v>97</v>
      </c>
      <c r="CD6" s="326" t="s">
        <v>99</v>
      </c>
      <c r="CE6" s="306" t="s">
        <v>86</v>
      </c>
      <c r="CF6" s="267" t="s">
        <v>106</v>
      </c>
      <c r="CG6" s="268" t="s">
        <v>85</v>
      </c>
      <c r="CH6" s="244" t="s">
        <v>109</v>
      </c>
      <c r="CI6" s="245" t="s">
        <v>103</v>
      </c>
      <c r="CJ6" s="267" t="s">
        <v>106</v>
      </c>
      <c r="CK6" s="268" t="s">
        <v>85</v>
      </c>
      <c r="CL6" s="244" t="s">
        <v>109</v>
      </c>
      <c r="CM6" s="245" t="s">
        <v>103</v>
      </c>
      <c r="CN6" s="243"/>
      <c r="CO6" s="248" t="s">
        <v>104</v>
      </c>
      <c r="CP6" s="10" t="s">
        <v>82</v>
      </c>
      <c r="CQ6" s="264" t="s">
        <v>100</v>
      </c>
      <c r="CR6" s="23" t="s">
        <v>102</v>
      </c>
      <c r="CS6" s="248" t="s">
        <v>98</v>
      </c>
      <c r="CT6" s="248" t="s">
        <v>99</v>
      </c>
      <c r="CU6" s="9" t="s">
        <v>83</v>
      </c>
      <c r="CV6" s="259" t="s">
        <v>106</v>
      </c>
      <c r="CW6" s="248" t="s">
        <v>84</v>
      </c>
      <c r="CX6" s="232" t="s">
        <v>108</v>
      </c>
      <c r="CY6" s="263" t="s">
        <v>103</v>
      </c>
      <c r="CZ6" s="253"/>
      <c r="DA6" s="321" t="s">
        <v>80</v>
      </c>
      <c r="DB6" s="321" t="s">
        <v>55</v>
      </c>
      <c r="DD6" s="288" t="s">
        <v>91</v>
      </c>
      <c r="DE6" s="289" t="s">
        <v>92</v>
      </c>
      <c r="DF6" s="290" t="s">
        <v>93</v>
      </c>
      <c r="DG6" s="290"/>
      <c r="DH6" s="289" t="s">
        <v>94</v>
      </c>
    </row>
    <row r="7" spans="1:121" s="76" customFormat="1" ht="16.5" customHeight="1" thickBot="1">
      <c r="A7" s="121">
        <v>1</v>
      </c>
      <c r="B7" s="122">
        <f>BK7+BL7+BP7</f>
        <v>330.62600199999997</v>
      </c>
      <c r="C7" s="123">
        <f>IF(B7=0,0,(BK7*BR7+BL7*BS7+BM7*BT7+BN7*BU7+BQ7*BX7+BO7*BV7+BP7*BW7)/B7)</f>
        <v>1.5799999904423918</v>
      </c>
      <c r="D7" s="124">
        <f>B7*((100-C7)/100)</f>
        <v>325.40211119999992</v>
      </c>
      <c r="E7" s="125">
        <f>IF(B7=0,0,(BK7*BY7+BL7*BZ7+BM7*CA7+BQ7*CE7+BN7*CB7+BO7*CC7+BP7*CD7)/B7)</f>
        <v>36.879999776908086</v>
      </c>
      <c r="F7" s="126">
        <f>IF(AY7=0,0,D7/AY7)</f>
        <v>2.7931511690987114</v>
      </c>
      <c r="G7" s="127"/>
      <c r="H7" s="126">
        <f>IF(AY7=0,0,(CP7+CO7+CS7+CQ7+CT7)/AY7)</f>
        <v>2.793151186266094</v>
      </c>
      <c r="I7" s="230">
        <f>'[1]июль 20'!AI6</f>
        <v>0</v>
      </c>
      <c r="J7" s="246">
        <f>'[1]апрель 20'!AA6</f>
        <v>10.566000000000001</v>
      </c>
      <c r="K7" s="276">
        <f>'[1]сентябрь 20'!AM6</f>
        <v>0</v>
      </c>
      <c r="L7" s="122"/>
      <c r="M7" s="128">
        <f>IF(AY7=0,0,(CR7+CU7)/AY7)</f>
        <v>1.7167381802575103E-8</v>
      </c>
      <c r="N7" s="128">
        <f>'[1]апрель 20'!W6</f>
        <v>0</v>
      </c>
      <c r="O7" s="402">
        <f>'[1]апрель 20'!AU6</f>
        <v>10.776</v>
      </c>
      <c r="P7" s="125">
        <f t="shared" ref="P7:P37" si="0">CF7+CH7+CI7+CG7</f>
        <v>192.091003</v>
      </c>
      <c r="Q7" s="122">
        <f>CF7</f>
        <v>192.09100000000001</v>
      </c>
      <c r="R7" s="123">
        <f>IF(Q7=0,0,(CI7*CM7+CG7*CK7+CH7*CL7+CF7*CJ7)/Q7)</f>
        <v>2.7100000000000151</v>
      </c>
      <c r="S7" s="129">
        <v>7.23</v>
      </c>
      <c r="T7" s="125">
        <f t="shared" ref="T7:T37" si="1">Q7*((100-R7)/100)</f>
        <v>186.88533389999998</v>
      </c>
      <c r="U7" s="128">
        <f t="shared" ref="U7:U37" si="2">IF(AY7=0,0,T7/AY7)</f>
        <v>1.6041659562231756</v>
      </c>
      <c r="V7" s="130">
        <f>DQ7</f>
        <v>116.5</v>
      </c>
      <c r="W7" s="130">
        <v>73.489999999999995</v>
      </c>
      <c r="X7" s="129">
        <v>0.74</v>
      </c>
      <c r="Y7" s="131">
        <v>514</v>
      </c>
      <c r="Z7" s="131">
        <v>1178</v>
      </c>
      <c r="AA7" s="132" t="s">
        <v>226</v>
      </c>
      <c r="AB7" s="129">
        <v>76.739999999999995</v>
      </c>
      <c r="AC7" s="131">
        <v>105</v>
      </c>
      <c r="AD7" s="133">
        <v>4</v>
      </c>
      <c r="AE7" s="129"/>
      <c r="AF7" s="134">
        <f t="shared" ref="AF7:AF37" si="3">IF(AY7=0,0,AE7/AY7*1000)</f>
        <v>0</v>
      </c>
      <c r="AG7" s="135"/>
      <c r="AH7" s="129">
        <v>74.900000000000006</v>
      </c>
      <c r="AI7" s="134">
        <f t="shared" ref="AI7:AI37" si="4">IF(AY7=0,0,AH7/AY7*1000)</f>
        <v>642.91845493562232</v>
      </c>
      <c r="AJ7" s="136">
        <v>12.3</v>
      </c>
      <c r="AK7" s="127"/>
      <c r="AL7" s="137">
        <v>10.01</v>
      </c>
      <c r="AM7" s="138">
        <v>29.5</v>
      </c>
      <c r="AN7" s="126">
        <f>IF(AM7=0,0,AM7/AT7)</f>
        <v>0.19262161279791054</v>
      </c>
      <c r="AO7" s="139" t="s">
        <v>185</v>
      </c>
      <c r="AP7" s="138">
        <v>8.19</v>
      </c>
      <c r="AQ7" s="138">
        <v>7.15</v>
      </c>
      <c r="AR7" s="129"/>
      <c r="AS7" s="129">
        <v>8.77</v>
      </c>
      <c r="AT7" s="129">
        <f>DK7</f>
        <v>153.15</v>
      </c>
      <c r="AU7" s="129">
        <v>2.86</v>
      </c>
      <c r="AV7" s="129"/>
      <c r="AW7" s="129"/>
      <c r="AX7" s="140">
        <f t="shared" ref="AX7:AX37" si="5">IF(AY7=0,0,AW7/AY7*100)</f>
        <v>0</v>
      </c>
      <c r="AY7" s="125">
        <f t="shared" ref="AY7:AY37" si="6">AT7-AL7-AM7+AV7+AW7+AU7</f>
        <v>116.50000000000001</v>
      </c>
      <c r="AZ7" s="125">
        <f>IF(AB7=0,0,((D7*0.97)*(E7/100)*0.9)/(AB7/100))+DH7</f>
        <v>138.55362089492857</v>
      </c>
      <c r="BA7" s="141">
        <f t="shared" ref="BA7:BA37" si="7">(AH7*AS7)/100*(55/71)</f>
        <v>5.0884528169014089</v>
      </c>
      <c r="BB7" s="142">
        <f t="shared" ref="BB7:BB37" si="8">AY7*$BB$6</f>
        <v>4.660000000000001</v>
      </c>
      <c r="BC7" s="122">
        <f t="shared" ref="BC7:BC37" si="9">IF((D7*E7)=0,0,(AY7*AB7)/(D7*E7))</f>
        <v>0.74496598631836719</v>
      </c>
      <c r="BD7" s="142">
        <f>BA7+BB7</f>
        <v>9.7484528169014091</v>
      </c>
      <c r="BE7" s="143">
        <v>0.745</v>
      </c>
      <c r="BF7" s="25">
        <f>AY7</f>
        <v>116.50000000000001</v>
      </c>
      <c r="BG7" s="25">
        <f t="shared" ref="BG7:BG38" si="10">IF(A7&lt;=$BE$43,$AT$43,0)</f>
        <v>125</v>
      </c>
      <c r="BH7" s="25">
        <f>BG7</f>
        <v>125</v>
      </c>
      <c r="BI7" s="26">
        <f t="shared" ref="BI7:BI37" si="11">IF(AY7&lt;&gt;0,1,0)</f>
        <v>1</v>
      </c>
      <c r="BJ7" s="27">
        <f>BG7*BI7</f>
        <v>125</v>
      </c>
      <c r="BK7" s="28">
        <v>9.9999999999999995E-7</v>
      </c>
      <c r="BL7" s="28">
        <f>DM7</f>
        <v>330.62599999999998</v>
      </c>
      <c r="BM7" s="28">
        <v>9.9999999999999995E-7</v>
      </c>
      <c r="BN7" s="28">
        <v>9.9999999999999995E-7</v>
      </c>
      <c r="BO7" s="28">
        <v>9.9999999999999995E-7</v>
      </c>
      <c r="BP7" s="28">
        <v>9.9999999999999995E-7</v>
      </c>
      <c r="BQ7" s="28">
        <v>9.9999999999999995E-7</v>
      </c>
      <c r="BR7" s="28">
        <v>9.9999999999999995E-7</v>
      </c>
      <c r="BS7" s="28">
        <v>1.58</v>
      </c>
      <c r="BT7" s="28">
        <v>9.9999999999999995E-7</v>
      </c>
      <c r="BU7" s="28">
        <v>9.9999999999999995E-7</v>
      </c>
      <c r="BV7" s="28">
        <v>9.9999999999999995E-7</v>
      </c>
      <c r="BW7" s="28">
        <v>9.9999999999999995E-7</v>
      </c>
      <c r="BX7" s="28">
        <v>9.9999999999999995E-7</v>
      </c>
      <c r="BY7" s="28">
        <v>9.9999999999999995E-7</v>
      </c>
      <c r="BZ7" s="28">
        <v>36.880000000000003</v>
      </c>
      <c r="CA7" s="28">
        <v>9.9999999999999995E-7</v>
      </c>
      <c r="CB7" s="28">
        <v>9.9999999999999995E-7</v>
      </c>
      <c r="CC7" s="28">
        <v>9.9999999999999995E-7</v>
      </c>
      <c r="CD7" s="28">
        <v>9.9999999999999995E-7</v>
      </c>
      <c r="CE7" s="28">
        <v>9.9999999999999995E-7</v>
      </c>
      <c r="CF7" s="28">
        <f>DO7</f>
        <v>192.09100000000001</v>
      </c>
      <c r="CG7" s="28">
        <v>9.9999999999999995E-7</v>
      </c>
      <c r="CH7" s="28">
        <v>9.9999999999999995E-7</v>
      </c>
      <c r="CI7" s="28">
        <v>9.9999999999999995E-7</v>
      </c>
      <c r="CJ7" s="28">
        <v>2.71</v>
      </c>
      <c r="CK7" s="28">
        <v>9.9999999999999995E-7</v>
      </c>
      <c r="CL7" s="28">
        <v>9.9999999999999995E-7</v>
      </c>
      <c r="CM7" s="28">
        <v>9.9999999999999995E-7</v>
      </c>
      <c r="CN7" s="286"/>
      <c r="CO7" s="252">
        <f t="shared" ref="CO7:CU22" si="12">BK7*((100-BR7)/100)</f>
        <v>9.9999998999999992E-7</v>
      </c>
      <c r="CP7" s="11">
        <f t="shared" si="12"/>
        <v>325.40210919999998</v>
      </c>
      <c r="CQ7" s="11">
        <f t="shared" si="12"/>
        <v>9.9999998999999992E-7</v>
      </c>
      <c r="CR7" s="11">
        <f t="shared" si="12"/>
        <v>9.9999998999999992E-7</v>
      </c>
      <c r="CS7" s="11">
        <f t="shared" si="12"/>
        <v>9.9999998999999992E-7</v>
      </c>
      <c r="CT7" s="11">
        <f t="shared" si="12"/>
        <v>9.9999998999999992E-7</v>
      </c>
      <c r="CU7" s="271">
        <f t="shared" si="12"/>
        <v>9.9999998999999992E-7</v>
      </c>
      <c r="CV7" s="260">
        <f t="shared" ref="CV7:CY37" si="13">CF7*((100-CJ7)/100)</f>
        <v>186.88533390000003</v>
      </c>
      <c r="CW7" s="250">
        <f t="shared" si="13"/>
        <v>9.9999998999999992E-7</v>
      </c>
      <c r="CX7" s="260">
        <f t="shared" si="13"/>
        <v>9.9999998999999992E-7</v>
      </c>
      <c r="CY7" s="271">
        <f t="shared" si="13"/>
        <v>9.9999998999999992E-7</v>
      </c>
      <c r="CZ7" s="13"/>
      <c r="DA7" s="240">
        <f>(D7+'[2]апрель 20 '!D7)/(AY7+'[2]апрель 20 '!AX7)</f>
        <v>2.5438491668871901</v>
      </c>
      <c r="DB7" s="241">
        <f>(T7+'[2]апрель 20 '!R7)/(AY7+'[2]апрель 20 '!AX7)</f>
        <v>1.4736898376645522</v>
      </c>
      <c r="DD7" s="292">
        <f t="shared" ref="DD7:DD37" si="14">J7</f>
        <v>10.566000000000001</v>
      </c>
      <c r="DE7" s="291">
        <v>0.25</v>
      </c>
      <c r="DF7" s="291">
        <v>14.79</v>
      </c>
      <c r="DG7" s="145">
        <f t="shared" ref="DG7:DG37" si="15">DD7*((100-DE7)/100)</f>
        <v>10.539585000000001</v>
      </c>
      <c r="DH7" s="293">
        <f>IF(AB7=0,0,(DG7*DF7%)/(AB7/100))</f>
        <v>2.031280455433933</v>
      </c>
      <c r="DJ7" s="129">
        <v>135.05000000000001</v>
      </c>
      <c r="DK7" s="459">
        <f>DJ7+18.1</f>
        <v>153.15</v>
      </c>
      <c r="DL7" s="28">
        <v>262.62599999999998</v>
      </c>
      <c r="DM7" s="322">
        <f>DL7+68</f>
        <v>330.62599999999998</v>
      </c>
      <c r="DN7" s="28">
        <v>152.09100000000001</v>
      </c>
      <c r="DO7" s="460">
        <f>DN7+40</f>
        <v>192.09100000000001</v>
      </c>
      <c r="DP7" s="130">
        <v>98.4</v>
      </c>
      <c r="DQ7" s="461">
        <f>DP7+18.1</f>
        <v>116.5</v>
      </c>
    </row>
    <row r="8" spans="1:121" s="76" customFormat="1" ht="16.5" customHeight="1" thickBot="1">
      <c r="A8" s="144">
        <v>2</v>
      </c>
      <c r="B8" s="122">
        <f t="shared" ref="B8:B36" si="16">BK8+BL8+BP8</f>
        <v>310.44800000000004</v>
      </c>
      <c r="C8" s="123">
        <f t="shared" ref="C8:C37" si="17">IF(B8=0,0,(BK8*BR8+BL8*BS8+BM8*BT8+BN8*BU8+BQ8*BX8+BO8*BV8+BP8*BW8)/B8)</f>
        <v>2.3917832293975154</v>
      </c>
      <c r="D8" s="145">
        <f t="shared" ref="D8:D37" si="18">B8*((100-C8)/100)</f>
        <v>303.02275680000002</v>
      </c>
      <c r="E8" s="125">
        <f t="shared" ref="E8:E37" si="19">IF(B8=0,0,(BK8*BY8+BL8*BZ8+BM8*CA8+BQ8*CE8+BN8*CB8+BO8*CC8+BP8*CD8)/B8)</f>
        <v>37.385081173014477</v>
      </c>
      <c r="F8" s="146">
        <f t="shared" ref="F8:F37" si="20">IF(AY8=0,0,D8/AY8)</f>
        <v>2.5336350903010034</v>
      </c>
      <c r="G8" s="127"/>
      <c r="H8" s="126">
        <f t="shared" ref="H8:H37" si="21">IF(AY8=0,0,(CP8+CO8+CS8+CQ8+CT8)/AY8)</f>
        <v>2.533635090301003</v>
      </c>
      <c r="I8" s="230">
        <f>'[1]июль 20'!AI7</f>
        <v>0</v>
      </c>
      <c r="J8" s="247">
        <f>'[1]апрель 20'!AA7</f>
        <v>9.83</v>
      </c>
      <c r="K8" s="276">
        <f>'[1]сентябрь 20'!AM7</f>
        <v>0</v>
      </c>
      <c r="L8" s="122"/>
      <c r="M8" s="128">
        <f t="shared" ref="M8:M37" si="22">IF(AY8=0,0,(CR8+CU8)/AY8)</f>
        <v>0</v>
      </c>
      <c r="N8" s="400">
        <f>'[1]апрель 20'!W7</f>
        <v>0</v>
      </c>
      <c r="O8" s="403">
        <f>'[1]апрель 20'!AU7</f>
        <v>3.573</v>
      </c>
      <c r="P8" s="401">
        <f t="shared" si="0"/>
        <v>179.82900000000001</v>
      </c>
      <c r="Q8" s="122">
        <f t="shared" ref="Q8:Q36" si="23">CF8</f>
        <v>179.82900000000001</v>
      </c>
      <c r="R8" s="123">
        <f t="shared" ref="R8:R37" si="24">IF(Q8=0,0,(CI8*CM8+CG8*CK8+CH8*CL8+CF8*CJ8)/Q8)</f>
        <v>2.65</v>
      </c>
      <c r="S8" s="129">
        <v>7.87</v>
      </c>
      <c r="T8" s="125">
        <f t="shared" si="1"/>
        <v>175.06353149999998</v>
      </c>
      <c r="U8" s="147">
        <f t="shared" si="2"/>
        <v>1.4637419021739129</v>
      </c>
      <c r="V8" s="130">
        <f t="shared" ref="V8:V36" si="25">DQ8</f>
        <v>119.6</v>
      </c>
      <c r="W8" s="130">
        <v>101.5</v>
      </c>
      <c r="X8" s="129">
        <v>0.64</v>
      </c>
      <c r="Y8" s="131">
        <v>505</v>
      </c>
      <c r="Z8" s="131">
        <v>1179</v>
      </c>
      <c r="AA8" s="148" t="s">
        <v>227</v>
      </c>
      <c r="AB8" s="149">
        <v>76.72</v>
      </c>
      <c r="AC8" s="150">
        <v>97</v>
      </c>
      <c r="AD8" s="151">
        <v>4</v>
      </c>
      <c r="AE8" s="149"/>
      <c r="AF8" s="134">
        <f t="shared" si="3"/>
        <v>0</v>
      </c>
      <c r="AG8" s="152"/>
      <c r="AH8" s="129">
        <v>70.849999999999994</v>
      </c>
      <c r="AI8" s="134">
        <f t="shared" si="4"/>
        <v>592.39130434782589</v>
      </c>
      <c r="AJ8" s="153">
        <v>12.17</v>
      </c>
      <c r="AK8" s="154"/>
      <c r="AL8" s="155">
        <v>6.32</v>
      </c>
      <c r="AM8" s="156">
        <v>29.12</v>
      </c>
      <c r="AN8" s="126">
        <f t="shared" ref="AN8:AN37" si="26">IF(AM8=0,0,AM8/AT8)</f>
        <v>0.19170506912442395</v>
      </c>
      <c r="AO8" s="157" t="s">
        <v>228</v>
      </c>
      <c r="AP8" s="156">
        <v>8.9499999999999993</v>
      </c>
      <c r="AQ8" s="156">
        <v>6.88</v>
      </c>
      <c r="AR8" s="149"/>
      <c r="AS8" s="149">
        <v>7.06</v>
      </c>
      <c r="AT8" s="129">
        <f t="shared" ref="AT8:AT36" si="27">DK8</f>
        <v>151.9</v>
      </c>
      <c r="AU8" s="149">
        <v>3.14</v>
      </c>
      <c r="AV8" s="149"/>
      <c r="AW8" s="149"/>
      <c r="AX8" s="158">
        <f t="shared" si="5"/>
        <v>0</v>
      </c>
      <c r="AY8" s="125">
        <f t="shared" si="6"/>
        <v>119.60000000000001</v>
      </c>
      <c r="AZ8" s="125">
        <f>IF(AB8=0,0,((D8*0.97)*(E8/100)*0.9)/(AB8/100))+DH8</f>
        <v>131.3216825611095</v>
      </c>
      <c r="BA8" s="159">
        <f t="shared" si="7"/>
        <v>3.8747964788732387</v>
      </c>
      <c r="BB8" s="160">
        <f t="shared" si="8"/>
        <v>4.7840000000000007</v>
      </c>
      <c r="BC8" s="161">
        <f t="shared" si="9"/>
        <v>0.80996490349757277</v>
      </c>
      <c r="BD8" s="160">
        <f t="shared" ref="BD8:BD37" si="28">BA8+BB8</f>
        <v>8.6587964788732386</v>
      </c>
      <c r="BE8" s="162">
        <v>0.77</v>
      </c>
      <c r="BF8" s="25">
        <f t="shared" ref="BF8:BF37" si="29">BF7+AY8</f>
        <v>236.10000000000002</v>
      </c>
      <c r="BG8" s="25">
        <f t="shared" si="10"/>
        <v>125</v>
      </c>
      <c r="BH8" s="25">
        <f t="shared" ref="BH8:BH37" si="30">BG8+BH7</f>
        <v>250</v>
      </c>
      <c r="BI8" s="26">
        <f t="shared" si="11"/>
        <v>1</v>
      </c>
      <c r="BJ8" s="27">
        <f t="shared" ref="BJ8:BJ37" si="31">BG8*BI8+BJ7</f>
        <v>250</v>
      </c>
      <c r="BK8" s="30">
        <v>25.04</v>
      </c>
      <c r="BL8" s="28">
        <f t="shared" ref="BL8:BL36" si="32">DM8</f>
        <v>285.40800000000002</v>
      </c>
      <c r="BM8" s="31"/>
      <c r="BN8" s="31"/>
      <c r="BO8" s="40"/>
      <c r="BP8" s="40"/>
      <c r="BQ8" s="32"/>
      <c r="BR8" s="33">
        <v>14.95</v>
      </c>
      <c r="BS8" s="34">
        <v>1.29</v>
      </c>
      <c r="BT8" s="35"/>
      <c r="BU8" s="28"/>
      <c r="BV8" s="287"/>
      <c r="BW8" s="28"/>
      <c r="BX8" s="36"/>
      <c r="BY8" s="33">
        <v>43.37</v>
      </c>
      <c r="BZ8" s="34">
        <v>36.86</v>
      </c>
      <c r="CA8" s="35"/>
      <c r="CB8" s="35"/>
      <c r="CC8" s="235"/>
      <c r="CD8" s="235"/>
      <c r="CE8" s="36"/>
      <c r="CF8" s="28">
        <f t="shared" ref="CF8:CF36" si="33">DO8</f>
        <v>179.82900000000001</v>
      </c>
      <c r="CG8" s="30"/>
      <c r="CH8" s="31"/>
      <c r="CI8" s="32"/>
      <c r="CJ8" s="33">
        <v>2.65</v>
      </c>
      <c r="CK8" s="33"/>
      <c r="CL8" s="35"/>
      <c r="CM8" s="28"/>
      <c r="CN8" s="286"/>
      <c r="CO8" s="249">
        <f t="shared" si="12"/>
        <v>21.296519999999997</v>
      </c>
      <c r="CP8" s="12">
        <f t="shared" si="12"/>
        <v>281.72623679999998</v>
      </c>
      <c r="CQ8" s="12">
        <f t="shared" si="12"/>
        <v>0</v>
      </c>
      <c r="CR8" s="12">
        <f t="shared" si="12"/>
        <v>0</v>
      </c>
      <c r="CS8" s="11">
        <f t="shared" si="12"/>
        <v>0</v>
      </c>
      <c r="CT8" s="11">
        <f t="shared" si="12"/>
        <v>0</v>
      </c>
      <c r="CU8" s="272">
        <f t="shared" si="12"/>
        <v>0</v>
      </c>
      <c r="CV8" s="249">
        <f t="shared" si="13"/>
        <v>175.06353149999998</v>
      </c>
      <c r="CW8" s="12">
        <f t="shared" si="13"/>
        <v>0</v>
      </c>
      <c r="CX8" s="254">
        <f t="shared" si="13"/>
        <v>0</v>
      </c>
      <c r="CY8" s="272">
        <f t="shared" si="13"/>
        <v>0</v>
      </c>
      <c r="CZ8" s="13"/>
      <c r="DA8" s="240">
        <f>(D8+'[2]апрель 20 '!D8)/(AY8+'[2]апрель 20 '!AX8)</f>
        <v>2.4056102025806454</v>
      </c>
      <c r="DB8" s="241">
        <f>(T8+'[2]апрель 20 '!R8)/(AY8+'[2]апрель 20 '!AX8)</f>
        <v>1.4090113919354839</v>
      </c>
      <c r="DD8" s="292">
        <f t="shared" si="14"/>
        <v>9.83</v>
      </c>
      <c r="DE8" s="291">
        <v>0.32</v>
      </c>
      <c r="DF8" s="291">
        <v>18.899999999999999</v>
      </c>
      <c r="DG8" s="145">
        <f t="shared" si="15"/>
        <v>9.7985439999999997</v>
      </c>
      <c r="DH8" s="293">
        <f t="shared" ref="DH8:DH37" si="34">IF(AB8=0,0,(DG8*DF8%)/(AB8/100))</f>
        <v>2.4138748905109484</v>
      </c>
      <c r="DJ8" s="149">
        <v>133.80000000000001</v>
      </c>
      <c r="DK8" s="459">
        <f t="shared" ref="DK8:DK35" si="35">DJ8+18.1</f>
        <v>151.9</v>
      </c>
      <c r="DL8" s="31">
        <v>217.40799999999999</v>
      </c>
      <c r="DM8" s="322">
        <f t="shared" ref="DM8:DM35" si="36">DL8+68</f>
        <v>285.40800000000002</v>
      </c>
      <c r="DN8" s="30">
        <v>139.82900000000001</v>
      </c>
      <c r="DO8" s="460">
        <f t="shared" ref="DO8:DO35" si="37">DN8+40</f>
        <v>179.82900000000001</v>
      </c>
      <c r="DP8" s="130">
        <v>101.5</v>
      </c>
      <c r="DQ8" s="461">
        <f t="shared" ref="DQ8:DQ36" si="38">DP8+18.1</f>
        <v>119.6</v>
      </c>
    </row>
    <row r="9" spans="1:121" s="76" customFormat="1" ht="16.5" customHeight="1" thickBot="1">
      <c r="A9" s="144">
        <v>3</v>
      </c>
      <c r="B9" s="122">
        <f t="shared" si="16"/>
        <v>340.995</v>
      </c>
      <c r="C9" s="123">
        <f t="shared" si="17"/>
        <v>3.5097051569671107</v>
      </c>
      <c r="D9" s="145">
        <f>B9*((100-C9)/100)</f>
        <v>329.02708089999999</v>
      </c>
      <c r="E9" s="125">
        <f t="shared" si="19"/>
        <v>36.799947535887618</v>
      </c>
      <c r="F9" s="146">
        <f t="shared" si="20"/>
        <v>2.2880881842837275</v>
      </c>
      <c r="G9" s="127"/>
      <c r="H9" s="126">
        <f t="shared" si="21"/>
        <v>2.2880881842837275</v>
      </c>
      <c r="I9" s="230">
        <f>'[1]июль 20'!AI8</f>
        <v>0</v>
      </c>
      <c r="J9" s="247">
        <f>'[1]апрель 20'!AA8</f>
        <v>10.863</v>
      </c>
      <c r="K9" s="276">
        <f>'[1]сентябрь 20'!AM8</f>
        <v>0</v>
      </c>
      <c r="L9" s="122"/>
      <c r="M9" s="128">
        <f t="shared" si="22"/>
        <v>0</v>
      </c>
      <c r="N9" s="400">
        <f>'[1]апрель 20'!W8</f>
        <v>0</v>
      </c>
      <c r="O9" s="403">
        <f>'[1]апрель 20'!AU8</f>
        <v>5.1790000000000003</v>
      </c>
      <c r="P9" s="401">
        <f t="shared" si="0"/>
        <v>197.95599999999999</v>
      </c>
      <c r="Q9" s="122">
        <f t="shared" si="23"/>
        <v>197.95599999999999</v>
      </c>
      <c r="R9" s="123">
        <f t="shared" si="24"/>
        <v>2.71</v>
      </c>
      <c r="S9" s="129">
        <v>8.85</v>
      </c>
      <c r="T9" s="125">
        <f t="shared" si="1"/>
        <v>192.59139240000002</v>
      </c>
      <c r="U9" s="147">
        <f>IF(AY9=0,0,T9/AY9)</f>
        <v>1.3393003643949932</v>
      </c>
      <c r="V9" s="130">
        <f t="shared" si="25"/>
        <v>0</v>
      </c>
      <c r="W9" s="130">
        <v>94.94</v>
      </c>
      <c r="X9" s="129">
        <v>0.72</v>
      </c>
      <c r="Y9" s="131">
        <v>508</v>
      </c>
      <c r="Z9" s="131">
        <v>1182</v>
      </c>
      <c r="AA9" s="148" t="s">
        <v>223</v>
      </c>
      <c r="AB9" s="149">
        <v>72.89</v>
      </c>
      <c r="AC9" s="150">
        <v>109</v>
      </c>
      <c r="AD9" s="151">
        <v>4</v>
      </c>
      <c r="AE9" s="149"/>
      <c r="AF9" s="134">
        <f t="shared" si="3"/>
        <v>0</v>
      </c>
      <c r="AG9" s="152"/>
      <c r="AH9" s="129">
        <v>77.150000000000006</v>
      </c>
      <c r="AI9" s="134">
        <f t="shared" si="4"/>
        <v>536.50904033379709</v>
      </c>
      <c r="AJ9" s="153">
        <v>12.14</v>
      </c>
      <c r="AK9" s="154"/>
      <c r="AL9" s="155">
        <v>5.71</v>
      </c>
      <c r="AM9" s="156">
        <v>25.39</v>
      </c>
      <c r="AN9" s="126">
        <f t="shared" si="26"/>
        <v>0.14697539797395079</v>
      </c>
      <c r="AO9" s="157" t="s">
        <v>157</v>
      </c>
      <c r="AP9" s="156">
        <v>10.81</v>
      </c>
      <c r="AQ9" s="156">
        <v>7.27</v>
      </c>
      <c r="AR9" s="149"/>
      <c r="AS9" s="149">
        <v>8.82</v>
      </c>
      <c r="AT9" s="129">
        <f t="shared" si="27"/>
        <v>172.75</v>
      </c>
      <c r="AU9" s="149">
        <v>2.15</v>
      </c>
      <c r="AV9" s="149"/>
      <c r="AW9" s="149"/>
      <c r="AX9" s="158">
        <f t="shared" si="5"/>
        <v>0</v>
      </c>
      <c r="AY9" s="125">
        <f t="shared" si="6"/>
        <v>143.79999999999998</v>
      </c>
      <c r="AZ9" s="125">
        <f t="shared" ref="AZ9:AZ37" si="39">IF(AB9=0,0,((D9*0.97)*(E9/100)*0.9)/(AB9/100))+DH9</f>
        <v>147.43348833267191</v>
      </c>
      <c r="BA9" s="159">
        <f t="shared" si="7"/>
        <v>5.2711922535211269</v>
      </c>
      <c r="BB9" s="160">
        <f t="shared" si="8"/>
        <v>5.7519999999999998</v>
      </c>
      <c r="BC9" s="161">
        <f t="shared" si="9"/>
        <v>0.86566127964504691</v>
      </c>
      <c r="BD9" s="160">
        <f t="shared" si="28"/>
        <v>11.023192253521128</v>
      </c>
      <c r="BE9" s="162">
        <v>0.80700000000000005</v>
      </c>
      <c r="BF9" s="25">
        <f t="shared" si="29"/>
        <v>379.9</v>
      </c>
      <c r="BG9" s="25">
        <f t="shared" si="10"/>
        <v>125</v>
      </c>
      <c r="BH9" s="25">
        <f t="shared" si="30"/>
        <v>375</v>
      </c>
      <c r="BI9" s="26">
        <f t="shared" si="11"/>
        <v>1</v>
      </c>
      <c r="BJ9" s="37">
        <f t="shared" si="31"/>
        <v>375</v>
      </c>
      <c r="BK9" s="38">
        <v>15.362</v>
      </c>
      <c r="BL9" s="28">
        <f t="shared" si="32"/>
        <v>325.63299999999998</v>
      </c>
      <c r="BM9" s="31"/>
      <c r="BN9" s="31"/>
      <c r="BO9" s="40"/>
      <c r="BP9" s="40"/>
      <c r="BQ9" s="32"/>
      <c r="BR9" s="33">
        <v>14.95</v>
      </c>
      <c r="BS9" s="34">
        <v>2.97</v>
      </c>
      <c r="BT9" s="35"/>
      <c r="BU9" s="28"/>
      <c r="BV9" s="287"/>
      <c r="BW9" s="287"/>
      <c r="BX9" s="36"/>
      <c r="BY9" s="33">
        <v>43.37</v>
      </c>
      <c r="BZ9" s="34">
        <v>36.49</v>
      </c>
      <c r="CA9" s="35"/>
      <c r="CB9" s="35"/>
      <c r="CC9" s="235"/>
      <c r="CD9" s="235"/>
      <c r="CE9" s="36"/>
      <c r="CF9" s="28">
        <f t="shared" si="33"/>
        <v>197.95599999999999</v>
      </c>
      <c r="CG9" s="30"/>
      <c r="CH9" s="31"/>
      <c r="CI9" s="32"/>
      <c r="CJ9" s="33">
        <v>2.71</v>
      </c>
      <c r="CK9" s="33"/>
      <c r="CL9" s="35"/>
      <c r="CM9" s="36"/>
      <c r="CN9" s="286"/>
      <c r="CO9" s="249">
        <f t="shared" si="12"/>
        <v>13.065380999999999</v>
      </c>
      <c r="CP9" s="12">
        <f t="shared" si="12"/>
        <v>315.96169989999999</v>
      </c>
      <c r="CQ9" s="12">
        <f t="shared" si="12"/>
        <v>0</v>
      </c>
      <c r="CR9" s="12">
        <f t="shared" si="12"/>
        <v>0</v>
      </c>
      <c r="CS9" s="11">
        <f t="shared" si="12"/>
        <v>0</v>
      </c>
      <c r="CT9" s="11">
        <f t="shared" si="12"/>
        <v>0</v>
      </c>
      <c r="CU9" s="272">
        <f t="shared" si="12"/>
        <v>0</v>
      </c>
      <c r="CV9" s="249">
        <f t="shared" si="13"/>
        <v>192.59139240000002</v>
      </c>
      <c r="CW9" s="251">
        <f t="shared" si="13"/>
        <v>0</v>
      </c>
      <c r="CX9" s="249">
        <f t="shared" si="13"/>
        <v>0</v>
      </c>
      <c r="CY9" s="272">
        <f t="shared" si="13"/>
        <v>0</v>
      </c>
      <c r="CZ9" s="13"/>
      <c r="DA9" s="240">
        <f>(D9+'[2]апрель 20 '!D9)/(AY9+'[2]апрель 20 '!AX9)</f>
        <v>2.1343588189178404</v>
      </c>
      <c r="DB9" s="241">
        <f>(T9+'[2]апрель 20 '!R9)/(AY9+'[2]апрель 20 '!AX9)</f>
        <v>1.2592262740179032</v>
      </c>
      <c r="DD9" s="292">
        <f t="shared" si="14"/>
        <v>10.863</v>
      </c>
      <c r="DE9" s="291">
        <v>0.12</v>
      </c>
      <c r="DF9" s="291">
        <v>16.22</v>
      </c>
      <c r="DG9" s="145">
        <f t="shared" si="15"/>
        <v>10.849964399999999</v>
      </c>
      <c r="DH9" s="293">
        <f t="shared" si="34"/>
        <v>2.4144110655508295</v>
      </c>
      <c r="DJ9" s="149">
        <v>154.65</v>
      </c>
      <c r="DK9" s="459">
        <f t="shared" si="35"/>
        <v>172.75</v>
      </c>
      <c r="DL9" s="31">
        <v>257.63299999999998</v>
      </c>
      <c r="DM9" s="322">
        <f t="shared" si="36"/>
        <v>325.63299999999998</v>
      </c>
      <c r="DN9" s="30">
        <v>157.95599999999999</v>
      </c>
      <c r="DO9" s="460">
        <f t="shared" si="37"/>
        <v>197.95599999999999</v>
      </c>
      <c r="DP9" s="130"/>
      <c r="DQ9" s="461"/>
    </row>
    <row r="10" spans="1:121" s="76" customFormat="1" ht="16.5" customHeight="1" thickBot="1">
      <c r="A10" s="144">
        <v>4</v>
      </c>
      <c r="B10" s="122">
        <f t="shared" si="16"/>
        <v>375.59500000000003</v>
      </c>
      <c r="C10" s="123">
        <f t="shared" si="17"/>
        <v>2</v>
      </c>
      <c r="D10" s="145">
        <f t="shared" si="18"/>
        <v>368.0831</v>
      </c>
      <c r="E10" s="125">
        <f>IF(B10=0,0,(BK10*BY10+BL10*BZ10+BM10*CA10+BQ10*CE10+BN10*CB10+BO10*CC10+BP10*CD10)/B10)</f>
        <v>36.979999999999997</v>
      </c>
      <c r="F10" s="146">
        <f t="shared" si="20"/>
        <v>2.3308200354609929</v>
      </c>
      <c r="G10" s="127"/>
      <c r="H10" s="126">
        <f t="shared" si="21"/>
        <v>2.3308200354609929</v>
      </c>
      <c r="I10" s="230">
        <f>'[1]июль 20'!AI9</f>
        <v>0</v>
      </c>
      <c r="J10" s="247">
        <f>'[1]апрель 20'!AA9</f>
        <v>12.077999999999999</v>
      </c>
      <c r="K10" s="276">
        <f>'[1]сентябрь 20'!AM9</f>
        <v>0</v>
      </c>
      <c r="L10" s="122"/>
      <c r="M10" s="128">
        <f t="shared" si="22"/>
        <v>0</v>
      </c>
      <c r="N10" s="400">
        <f>'[1]апрель 20'!W9</f>
        <v>0</v>
      </c>
      <c r="O10" s="403">
        <f>'[1]апрель 20'!AU9</f>
        <v>12.17</v>
      </c>
      <c r="P10" s="401">
        <f t="shared" si="0"/>
        <v>219.928</v>
      </c>
      <c r="Q10" s="122">
        <f t="shared" si="23"/>
        <v>219.928</v>
      </c>
      <c r="R10" s="123">
        <f t="shared" si="24"/>
        <v>2.13</v>
      </c>
      <c r="S10" s="129"/>
      <c r="T10" s="125">
        <f t="shared" si="1"/>
        <v>215.24353360000001</v>
      </c>
      <c r="U10" s="147">
        <f t="shared" si="2"/>
        <v>1.362990967578521</v>
      </c>
      <c r="V10" s="130">
        <f t="shared" si="25"/>
        <v>81.97</v>
      </c>
      <c r="W10" s="130">
        <v>139.82</v>
      </c>
      <c r="X10" s="129">
        <v>0.49</v>
      </c>
      <c r="Y10" s="131">
        <v>508</v>
      </c>
      <c r="Z10" s="131">
        <v>1179</v>
      </c>
      <c r="AA10" s="148" t="s">
        <v>122</v>
      </c>
      <c r="AB10" s="149">
        <v>75.03</v>
      </c>
      <c r="AC10" s="150">
        <v>123</v>
      </c>
      <c r="AD10" s="151">
        <v>4</v>
      </c>
      <c r="AE10" s="149"/>
      <c r="AF10" s="134">
        <f t="shared" si="3"/>
        <v>0</v>
      </c>
      <c r="AG10" s="152"/>
      <c r="AH10" s="129">
        <v>103.9</v>
      </c>
      <c r="AI10" s="134">
        <f t="shared" si="4"/>
        <v>657.92806484295852</v>
      </c>
      <c r="AJ10" s="153">
        <v>11.49</v>
      </c>
      <c r="AK10" s="154"/>
      <c r="AL10" s="155">
        <v>6.37</v>
      </c>
      <c r="AM10" s="156">
        <v>34.93</v>
      </c>
      <c r="AN10" s="126">
        <f t="shared" si="26"/>
        <v>0.17712981744421907</v>
      </c>
      <c r="AO10" s="157" t="s">
        <v>117</v>
      </c>
      <c r="AP10" s="156">
        <v>8.5</v>
      </c>
      <c r="AQ10" s="156">
        <v>6.71</v>
      </c>
      <c r="AR10" s="149"/>
      <c r="AS10" s="149">
        <v>10</v>
      </c>
      <c r="AT10" s="129">
        <f t="shared" si="27"/>
        <v>197.2</v>
      </c>
      <c r="AU10" s="149">
        <v>2.02</v>
      </c>
      <c r="AV10" s="149"/>
      <c r="AW10" s="149"/>
      <c r="AX10" s="158">
        <f t="shared" si="5"/>
        <v>0</v>
      </c>
      <c r="AY10" s="125">
        <f>AT10-AL10-AM10+AV10+AW10+AU10</f>
        <v>157.91999999999999</v>
      </c>
      <c r="AZ10" s="125">
        <f>IF(AB10=0,0,((D10*0.97)*(E10/100)*0.9)/(AB10/100))+DH10</f>
        <v>161.41663908868449</v>
      </c>
      <c r="BA10" s="159">
        <f t="shared" si="7"/>
        <v>8.0485915492957751</v>
      </c>
      <c r="BB10" s="160">
        <f t="shared" si="8"/>
        <v>6.3167999999999997</v>
      </c>
      <c r="BC10" s="161">
        <f t="shared" si="9"/>
        <v>0.87048100168742337</v>
      </c>
      <c r="BD10" s="160">
        <f t="shared" si="28"/>
        <v>14.365391549295776</v>
      </c>
      <c r="BE10" s="162">
        <v>0.82499999999999996</v>
      </c>
      <c r="BF10" s="25">
        <f t="shared" si="29"/>
        <v>537.81999999999994</v>
      </c>
      <c r="BG10" s="25">
        <f t="shared" si="10"/>
        <v>125</v>
      </c>
      <c r="BH10" s="25">
        <f t="shared" si="30"/>
        <v>500</v>
      </c>
      <c r="BI10" s="26">
        <f t="shared" si="11"/>
        <v>1</v>
      </c>
      <c r="BJ10" s="37">
        <f t="shared" si="31"/>
        <v>500</v>
      </c>
      <c r="BK10" s="38"/>
      <c r="BL10" s="28">
        <f t="shared" si="32"/>
        <v>375.59500000000003</v>
      </c>
      <c r="BM10" s="31"/>
      <c r="BN10" s="31"/>
      <c r="BO10" s="40"/>
      <c r="BP10" s="40"/>
      <c r="BQ10" s="32"/>
      <c r="BR10" s="33"/>
      <c r="BS10" s="34">
        <v>2</v>
      </c>
      <c r="BT10" s="35"/>
      <c r="BU10" s="28"/>
      <c r="BV10" s="287"/>
      <c r="BW10" s="287"/>
      <c r="BX10" s="36"/>
      <c r="BY10" s="33"/>
      <c r="BZ10" s="34">
        <v>36.979999999999997</v>
      </c>
      <c r="CA10" s="35"/>
      <c r="CB10" s="35"/>
      <c r="CC10" s="235"/>
      <c r="CD10" s="235"/>
      <c r="CE10" s="36"/>
      <c r="CF10" s="28">
        <f t="shared" si="33"/>
        <v>219.928</v>
      </c>
      <c r="CG10" s="30"/>
      <c r="CH10" s="31"/>
      <c r="CI10" s="32"/>
      <c r="CJ10" s="33">
        <v>2.13</v>
      </c>
      <c r="CK10" s="33"/>
      <c r="CL10" s="35"/>
      <c r="CM10" s="36"/>
      <c r="CN10" s="286"/>
      <c r="CO10" s="249">
        <f t="shared" si="12"/>
        <v>0</v>
      </c>
      <c r="CP10" s="12">
        <f t="shared" si="12"/>
        <v>368.0831</v>
      </c>
      <c r="CQ10" s="12">
        <f t="shared" si="12"/>
        <v>0</v>
      </c>
      <c r="CR10" s="14">
        <f t="shared" si="12"/>
        <v>0</v>
      </c>
      <c r="CS10" s="11">
        <f t="shared" si="12"/>
        <v>0</v>
      </c>
      <c r="CT10" s="11">
        <f t="shared" si="12"/>
        <v>0</v>
      </c>
      <c r="CU10" s="272">
        <f t="shared" si="12"/>
        <v>0</v>
      </c>
      <c r="CV10" s="249">
        <f t="shared" si="13"/>
        <v>215.24353360000001</v>
      </c>
      <c r="CW10" s="12">
        <f t="shared" si="13"/>
        <v>0</v>
      </c>
      <c r="CX10" s="249">
        <f t="shared" si="13"/>
        <v>0</v>
      </c>
      <c r="CY10" s="272">
        <f t="shared" si="13"/>
        <v>0</v>
      </c>
      <c r="CZ10" s="13"/>
      <c r="DA10" s="240">
        <f>(D10+'[2]апрель 20 '!D10)/(AY10+'[2]апрель 20 '!AX10)</f>
        <v>2.2160893286146055</v>
      </c>
      <c r="DB10" s="241">
        <f>(T10+'[2]апрель 20 '!R10)/(AY10+'[2]апрель 20 '!AX10)</f>
        <v>1.2976764578543567</v>
      </c>
      <c r="DD10" s="292">
        <f t="shared" si="14"/>
        <v>12.077999999999999</v>
      </c>
      <c r="DE10" s="291">
        <v>0.25</v>
      </c>
      <c r="DF10" s="291">
        <v>18.93</v>
      </c>
      <c r="DG10" s="145">
        <f t="shared" si="15"/>
        <v>12.047805</v>
      </c>
      <c r="DH10" s="293">
        <f t="shared" si="34"/>
        <v>3.0396501219512198</v>
      </c>
      <c r="DJ10" s="149">
        <v>179.1</v>
      </c>
      <c r="DK10" s="459">
        <f t="shared" si="35"/>
        <v>197.2</v>
      </c>
      <c r="DL10" s="31">
        <v>307.59500000000003</v>
      </c>
      <c r="DM10" s="322">
        <f t="shared" si="36"/>
        <v>375.59500000000003</v>
      </c>
      <c r="DN10" s="30">
        <v>179.928</v>
      </c>
      <c r="DO10" s="460">
        <f t="shared" si="37"/>
        <v>219.928</v>
      </c>
      <c r="DP10" s="130">
        <v>63.87</v>
      </c>
      <c r="DQ10" s="461">
        <f t="shared" si="38"/>
        <v>81.97</v>
      </c>
    </row>
    <row r="11" spans="1:121" s="76" customFormat="1" ht="16.5" customHeight="1" thickBot="1">
      <c r="A11" s="144">
        <v>5</v>
      </c>
      <c r="B11" s="122">
        <f t="shared" si="16"/>
        <v>383.36399999999998</v>
      </c>
      <c r="C11" s="123">
        <f t="shared" si="17"/>
        <v>1.7000000000000002</v>
      </c>
      <c r="D11" s="145">
        <f t="shared" si="18"/>
        <v>376.84681199999994</v>
      </c>
      <c r="E11" s="125">
        <f t="shared" si="19"/>
        <v>36.869999999999997</v>
      </c>
      <c r="F11" s="146">
        <f t="shared" si="20"/>
        <v>2.4410338904003108</v>
      </c>
      <c r="G11" s="127"/>
      <c r="H11" s="126">
        <f t="shared" si="21"/>
        <v>2.4410338904003108</v>
      </c>
      <c r="I11" s="230">
        <f>'[1]июль 20'!AI10</f>
        <v>0</v>
      </c>
      <c r="J11" s="247">
        <f>'[1]апрель 20'!AA10</f>
        <v>12.853</v>
      </c>
      <c r="K11" s="276">
        <f>'[1]сентябрь 20'!AM10</f>
        <v>0</v>
      </c>
      <c r="L11" s="122"/>
      <c r="M11" s="128">
        <f t="shared" si="22"/>
        <v>0</v>
      </c>
      <c r="N11" s="400">
        <f>'[1]апрель 20'!W10</f>
        <v>0</v>
      </c>
      <c r="O11" s="403">
        <f>'[1]апрель 20'!AU10</f>
        <v>13.879</v>
      </c>
      <c r="P11" s="401">
        <f t="shared" si="0"/>
        <v>223.249</v>
      </c>
      <c r="Q11" s="122">
        <f t="shared" si="23"/>
        <v>223.249</v>
      </c>
      <c r="R11" s="123">
        <f t="shared" si="24"/>
        <v>2.75</v>
      </c>
      <c r="S11" s="129">
        <v>9.51</v>
      </c>
      <c r="T11" s="125">
        <f t="shared" si="1"/>
        <v>217.10965250000001</v>
      </c>
      <c r="U11" s="147">
        <f t="shared" si="2"/>
        <v>1.4063327665500713</v>
      </c>
      <c r="V11" s="130">
        <f t="shared" si="25"/>
        <v>119.9</v>
      </c>
      <c r="W11" s="130">
        <v>101.77</v>
      </c>
      <c r="X11" s="129">
        <v>0.81</v>
      </c>
      <c r="Y11" s="131">
        <v>521</v>
      </c>
      <c r="Z11" s="131">
        <v>1180</v>
      </c>
      <c r="AA11" s="148" t="s">
        <v>130</v>
      </c>
      <c r="AB11" s="149">
        <v>75.72</v>
      </c>
      <c r="AC11" s="150">
        <v>126</v>
      </c>
      <c r="AD11" s="151">
        <v>4</v>
      </c>
      <c r="AE11" s="149"/>
      <c r="AF11" s="134">
        <f t="shared" si="3"/>
        <v>0</v>
      </c>
      <c r="AG11" s="152"/>
      <c r="AH11" s="129">
        <v>96</v>
      </c>
      <c r="AI11" s="134">
        <f t="shared" si="4"/>
        <v>621.84220753983675</v>
      </c>
      <c r="AJ11" s="163">
        <v>10.98</v>
      </c>
      <c r="AK11" s="154"/>
      <c r="AL11" s="155">
        <v>7.18</v>
      </c>
      <c r="AM11" s="156">
        <v>34.01</v>
      </c>
      <c r="AN11" s="126">
        <f t="shared" si="26"/>
        <v>0.17580770224864306</v>
      </c>
      <c r="AO11" s="157" t="s">
        <v>196</v>
      </c>
      <c r="AP11" s="156">
        <v>8.2799999999999994</v>
      </c>
      <c r="AQ11" s="156">
        <v>6.74</v>
      </c>
      <c r="AR11" s="149"/>
      <c r="AS11" s="149">
        <v>7.2</v>
      </c>
      <c r="AT11" s="129">
        <f t="shared" si="27"/>
        <v>193.45</v>
      </c>
      <c r="AU11" s="149">
        <v>2.12</v>
      </c>
      <c r="AV11" s="149"/>
      <c r="AW11" s="149"/>
      <c r="AX11" s="158">
        <f t="shared" si="5"/>
        <v>0</v>
      </c>
      <c r="AY11" s="125">
        <f t="shared" si="6"/>
        <v>154.38</v>
      </c>
      <c r="AZ11" s="125">
        <f t="shared" si="39"/>
        <v>163.43306510117691</v>
      </c>
      <c r="BA11" s="159">
        <f t="shared" si="7"/>
        <v>5.3543661971830989</v>
      </c>
      <c r="BB11" s="160">
        <f t="shared" si="8"/>
        <v>6.1752000000000002</v>
      </c>
      <c r="BC11" s="161">
        <f t="shared" si="9"/>
        <v>0.84132473743380287</v>
      </c>
      <c r="BD11" s="160">
        <f t="shared" si="28"/>
        <v>11.529566197183099</v>
      </c>
      <c r="BE11" s="162">
        <v>0.82799999999999996</v>
      </c>
      <c r="BF11" s="25">
        <f t="shared" si="29"/>
        <v>692.19999999999993</v>
      </c>
      <c r="BG11" s="25">
        <f t="shared" si="10"/>
        <v>125</v>
      </c>
      <c r="BH11" s="25">
        <f t="shared" si="30"/>
        <v>625</v>
      </c>
      <c r="BI11" s="26">
        <f t="shared" si="11"/>
        <v>1</v>
      </c>
      <c r="BJ11" s="37">
        <f t="shared" si="31"/>
        <v>625</v>
      </c>
      <c r="BK11" s="38"/>
      <c r="BL11" s="28">
        <f t="shared" si="32"/>
        <v>383.36399999999998</v>
      </c>
      <c r="BM11" s="31"/>
      <c r="BN11" s="31"/>
      <c r="BO11" s="40"/>
      <c r="BP11" s="40"/>
      <c r="BQ11" s="32"/>
      <c r="BR11" s="33"/>
      <c r="BS11" s="34">
        <v>1.7</v>
      </c>
      <c r="BT11" s="35"/>
      <c r="BU11" s="28"/>
      <c r="BV11" s="287"/>
      <c r="BW11" s="287"/>
      <c r="BX11" s="36"/>
      <c r="BY11" s="33"/>
      <c r="BZ11" s="34">
        <v>36.869999999999997</v>
      </c>
      <c r="CA11" s="35"/>
      <c r="CB11" s="35"/>
      <c r="CC11" s="235"/>
      <c r="CD11" s="235"/>
      <c r="CE11" s="36"/>
      <c r="CF11" s="28">
        <f t="shared" si="33"/>
        <v>223.249</v>
      </c>
      <c r="CG11" s="30"/>
      <c r="CH11" s="31"/>
      <c r="CI11" s="32"/>
      <c r="CJ11" s="33">
        <v>2.75</v>
      </c>
      <c r="CK11" s="33"/>
      <c r="CL11" s="35"/>
      <c r="CM11" s="36"/>
      <c r="CN11" s="286"/>
      <c r="CO11" s="249">
        <f t="shared" si="12"/>
        <v>0</v>
      </c>
      <c r="CP11" s="12">
        <f t="shared" si="12"/>
        <v>376.84681199999994</v>
      </c>
      <c r="CQ11" s="15">
        <f t="shared" si="12"/>
        <v>0</v>
      </c>
      <c r="CR11" s="16">
        <f t="shared" si="12"/>
        <v>0</v>
      </c>
      <c r="CS11" s="11">
        <f t="shared" si="12"/>
        <v>0</v>
      </c>
      <c r="CT11" s="11">
        <f t="shared" si="12"/>
        <v>0</v>
      </c>
      <c r="CU11" s="272">
        <f t="shared" si="12"/>
        <v>0</v>
      </c>
      <c r="CV11" s="249">
        <f t="shared" si="13"/>
        <v>217.10965250000001</v>
      </c>
      <c r="CW11" s="12">
        <f t="shared" si="13"/>
        <v>0</v>
      </c>
      <c r="CX11" s="249">
        <f t="shared" si="13"/>
        <v>0</v>
      </c>
      <c r="CY11" s="272">
        <f t="shared" si="13"/>
        <v>0</v>
      </c>
      <c r="CZ11" s="13"/>
      <c r="DA11" s="240">
        <f>(D11+'[2]апрель 20 '!D11)/(AY11+'[2]апрель 20 '!AX11)</f>
        <v>2.3275760353454698</v>
      </c>
      <c r="DB11" s="241">
        <f>(T11+'[2]апрель 20 '!R11)/(AY11+'[2]апрель 20 '!AX11)</f>
        <v>1.3527085396039604</v>
      </c>
      <c r="DD11" s="292">
        <f t="shared" si="14"/>
        <v>12.853</v>
      </c>
      <c r="DE11" s="291">
        <v>0.51</v>
      </c>
      <c r="DF11" s="407">
        <v>19.190000000000001</v>
      </c>
      <c r="DG11" s="145">
        <f t="shared" si="15"/>
        <v>12.787449699999998</v>
      </c>
      <c r="DH11" s="293">
        <f t="shared" si="34"/>
        <v>3.2407707308901212</v>
      </c>
      <c r="DJ11" s="149">
        <v>175.35</v>
      </c>
      <c r="DK11" s="459">
        <f t="shared" si="35"/>
        <v>193.45</v>
      </c>
      <c r="DL11" s="31">
        <v>315.36399999999998</v>
      </c>
      <c r="DM11" s="322">
        <f t="shared" si="36"/>
        <v>383.36399999999998</v>
      </c>
      <c r="DN11" s="30">
        <v>183.249</v>
      </c>
      <c r="DO11" s="460">
        <f t="shared" si="37"/>
        <v>223.249</v>
      </c>
      <c r="DP11" s="130">
        <v>101.8</v>
      </c>
      <c r="DQ11" s="461">
        <f t="shared" si="38"/>
        <v>119.9</v>
      </c>
    </row>
    <row r="12" spans="1:121" s="76" customFormat="1" ht="16.5" customHeight="1" thickBot="1">
      <c r="A12" s="144">
        <v>6</v>
      </c>
      <c r="B12" s="122">
        <f t="shared" si="16"/>
        <v>368.24200000000002</v>
      </c>
      <c r="C12" s="123">
        <f t="shared" si="17"/>
        <v>2.09</v>
      </c>
      <c r="D12" s="145">
        <f t="shared" si="18"/>
        <v>360.54574220000001</v>
      </c>
      <c r="E12" s="125">
        <f t="shared" si="19"/>
        <v>36.76</v>
      </c>
      <c r="F12" s="146">
        <f t="shared" si="20"/>
        <v>2.3026295963724612</v>
      </c>
      <c r="G12" s="127"/>
      <c r="H12" s="126">
        <f t="shared" si="21"/>
        <v>2.3026295963724612</v>
      </c>
      <c r="I12" s="230">
        <f>'[1]июль 20'!AI11</f>
        <v>0</v>
      </c>
      <c r="J12" s="247">
        <f>'[1]апрель 20'!AA11</f>
        <v>11.805999999999999</v>
      </c>
      <c r="K12" s="276">
        <f>'[1]сентябрь 20'!AM11</f>
        <v>0</v>
      </c>
      <c r="L12" s="122"/>
      <c r="M12" s="128">
        <f t="shared" si="22"/>
        <v>0</v>
      </c>
      <c r="N12" s="400">
        <f>'[1]апрель 20'!W11</f>
        <v>0</v>
      </c>
      <c r="O12" s="403">
        <f>'[1]апрель 20'!AU11</f>
        <v>13.115</v>
      </c>
      <c r="P12" s="401">
        <f t="shared" si="0"/>
        <v>216.209</v>
      </c>
      <c r="Q12" s="122">
        <f t="shared" si="23"/>
        <v>216.209</v>
      </c>
      <c r="R12" s="123">
        <f t="shared" si="24"/>
        <v>2.93</v>
      </c>
      <c r="S12" s="129">
        <v>22.35</v>
      </c>
      <c r="T12" s="125">
        <f t="shared" si="1"/>
        <v>209.87407629999998</v>
      </c>
      <c r="U12" s="147">
        <f t="shared" si="2"/>
        <v>1.3403632411546811</v>
      </c>
      <c r="V12" s="130">
        <f t="shared" si="25"/>
        <v>156.57999999999998</v>
      </c>
      <c r="W12" s="130">
        <v>138.47999999999999</v>
      </c>
      <c r="X12" s="129">
        <v>0.55000000000000004</v>
      </c>
      <c r="Y12" s="131">
        <v>503</v>
      </c>
      <c r="Z12" s="150">
        <v>1164</v>
      </c>
      <c r="AA12" s="148" t="s">
        <v>116</v>
      </c>
      <c r="AB12" s="149">
        <v>75.91</v>
      </c>
      <c r="AC12" s="150">
        <v>120</v>
      </c>
      <c r="AD12" s="151">
        <v>4</v>
      </c>
      <c r="AE12" s="149"/>
      <c r="AF12" s="134">
        <f t="shared" si="3"/>
        <v>0</v>
      </c>
      <c r="AG12" s="152"/>
      <c r="AH12" s="129">
        <v>106</v>
      </c>
      <c r="AI12" s="134">
        <f t="shared" si="4"/>
        <v>676.9702388555371</v>
      </c>
      <c r="AJ12" s="153">
        <v>12.49</v>
      </c>
      <c r="AK12" s="154"/>
      <c r="AL12" s="155">
        <v>4.2300000000000004</v>
      </c>
      <c r="AM12" s="156">
        <v>37.1</v>
      </c>
      <c r="AN12" s="126">
        <f t="shared" si="26"/>
        <v>0.18938233792751405</v>
      </c>
      <c r="AO12" s="157" t="s">
        <v>229</v>
      </c>
      <c r="AP12" s="156">
        <v>7.8</v>
      </c>
      <c r="AQ12" s="156">
        <v>7</v>
      </c>
      <c r="AR12" s="149"/>
      <c r="AS12" s="149">
        <v>8.8800000000000008</v>
      </c>
      <c r="AT12" s="129">
        <f t="shared" si="27"/>
        <v>195.9</v>
      </c>
      <c r="AU12" s="149">
        <v>2.0099999999999998</v>
      </c>
      <c r="AV12" s="164"/>
      <c r="AW12" s="164"/>
      <c r="AX12" s="158">
        <f t="shared" si="5"/>
        <v>0</v>
      </c>
      <c r="AY12" s="125">
        <f t="shared" si="6"/>
        <v>156.58000000000001</v>
      </c>
      <c r="AZ12" s="125">
        <f t="shared" si="39"/>
        <v>155.60011472807869</v>
      </c>
      <c r="BA12" s="159">
        <f t="shared" si="7"/>
        <v>7.291605633802817</v>
      </c>
      <c r="BB12" s="160">
        <f t="shared" si="8"/>
        <v>6.2632000000000003</v>
      </c>
      <c r="BC12" s="161">
        <f t="shared" si="9"/>
        <v>0.89680786060529794</v>
      </c>
      <c r="BD12" s="160">
        <f t="shared" si="28"/>
        <v>13.554805633802818</v>
      </c>
      <c r="BE12" s="162">
        <v>0.84</v>
      </c>
      <c r="BF12" s="25">
        <f t="shared" si="29"/>
        <v>848.78</v>
      </c>
      <c r="BG12" s="25">
        <f t="shared" si="10"/>
        <v>125</v>
      </c>
      <c r="BH12" s="25">
        <f t="shared" si="30"/>
        <v>750</v>
      </c>
      <c r="BI12" s="26">
        <f t="shared" si="11"/>
        <v>1</v>
      </c>
      <c r="BJ12" s="37">
        <f t="shared" si="31"/>
        <v>750</v>
      </c>
      <c r="BK12" s="38"/>
      <c r="BL12" s="28">
        <f t="shared" si="32"/>
        <v>368.24200000000002</v>
      </c>
      <c r="BM12" s="31"/>
      <c r="BN12" s="31"/>
      <c r="BO12" s="40"/>
      <c r="BP12" s="40"/>
      <c r="BQ12" s="32"/>
      <c r="BR12" s="33"/>
      <c r="BS12" s="34">
        <v>2.09</v>
      </c>
      <c r="BT12" s="33"/>
      <c r="BU12" s="28"/>
      <c r="BV12" s="287"/>
      <c r="BW12" s="287"/>
      <c r="BX12" s="36"/>
      <c r="BY12" s="33"/>
      <c r="BZ12" s="34">
        <v>36.76</v>
      </c>
      <c r="CA12" s="33"/>
      <c r="CB12" s="35"/>
      <c r="CC12" s="235"/>
      <c r="CD12" s="235"/>
      <c r="CE12" s="36"/>
      <c r="CF12" s="28">
        <f t="shared" si="33"/>
        <v>216.209</v>
      </c>
      <c r="CG12" s="30"/>
      <c r="CH12" s="31"/>
      <c r="CI12" s="32"/>
      <c r="CJ12" s="33">
        <v>2.93</v>
      </c>
      <c r="CK12" s="33"/>
      <c r="CL12" s="35"/>
      <c r="CM12" s="36"/>
      <c r="CN12" s="286"/>
      <c r="CO12" s="249">
        <f t="shared" si="12"/>
        <v>0</v>
      </c>
      <c r="CP12" s="12">
        <f t="shared" si="12"/>
        <v>360.54574220000001</v>
      </c>
      <c r="CQ12" s="12">
        <f t="shared" si="12"/>
        <v>0</v>
      </c>
      <c r="CR12" s="12">
        <f t="shared" si="12"/>
        <v>0</v>
      </c>
      <c r="CS12" s="11">
        <f t="shared" si="12"/>
        <v>0</v>
      </c>
      <c r="CT12" s="11">
        <f t="shared" si="12"/>
        <v>0</v>
      </c>
      <c r="CU12" s="272">
        <f t="shared" si="12"/>
        <v>0</v>
      </c>
      <c r="CV12" s="249">
        <f t="shared" si="13"/>
        <v>209.87407629999998</v>
      </c>
      <c r="CW12" s="12">
        <f t="shared" si="13"/>
        <v>0</v>
      </c>
      <c r="CX12" s="252">
        <f t="shared" si="13"/>
        <v>0</v>
      </c>
      <c r="CY12" s="272">
        <f t="shared" si="13"/>
        <v>0</v>
      </c>
      <c r="CZ12" s="13"/>
      <c r="DA12" s="240">
        <f>(D12+'[2]апрель 20 '!D12)/(AY12+'[2]апрель 20 '!AX12)</f>
        <v>2.2114145116783797</v>
      </c>
      <c r="DB12" s="241">
        <f>(T12+'[2]апрель 20 '!R12)/(AY12+'[2]апрель 20 '!AX12)</f>
        <v>1.2986618341773457</v>
      </c>
      <c r="DD12" s="292">
        <f t="shared" si="14"/>
        <v>11.805999999999999</v>
      </c>
      <c r="DE12" s="291">
        <v>0.26</v>
      </c>
      <c r="DF12" s="291">
        <v>20.48</v>
      </c>
      <c r="DG12" s="145">
        <f t="shared" si="15"/>
        <v>11.775304399999998</v>
      </c>
      <c r="DH12" s="293">
        <f t="shared" si="34"/>
        <v>3.1768967739691734</v>
      </c>
      <c r="DJ12" s="149">
        <v>177.8</v>
      </c>
      <c r="DK12" s="459">
        <f t="shared" si="35"/>
        <v>195.9</v>
      </c>
      <c r="DL12" s="31">
        <v>300.24200000000002</v>
      </c>
      <c r="DM12" s="322">
        <f t="shared" si="36"/>
        <v>368.24200000000002</v>
      </c>
      <c r="DN12" s="30">
        <v>176.209</v>
      </c>
      <c r="DO12" s="460">
        <f t="shared" si="37"/>
        <v>216.209</v>
      </c>
      <c r="DP12" s="130">
        <v>138.47999999999999</v>
      </c>
      <c r="DQ12" s="461">
        <f t="shared" si="38"/>
        <v>156.57999999999998</v>
      </c>
    </row>
    <row r="13" spans="1:121" s="76" customFormat="1" ht="16.5" customHeight="1" thickBot="1">
      <c r="A13" s="144">
        <v>7</v>
      </c>
      <c r="B13" s="122">
        <f t="shared" si="16"/>
        <v>382.72699999999998</v>
      </c>
      <c r="C13" s="123">
        <f t="shared" si="17"/>
        <v>1.7907304161974462</v>
      </c>
      <c r="D13" s="145">
        <f t="shared" si="18"/>
        <v>375.87339119999996</v>
      </c>
      <c r="E13" s="125">
        <f t="shared" si="19"/>
        <v>36.691812911030581</v>
      </c>
      <c r="F13" s="146">
        <f t="shared" si="20"/>
        <v>2.4584563490090914</v>
      </c>
      <c r="G13" s="127"/>
      <c r="H13" s="126">
        <f t="shared" si="21"/>
        <v>2.4584563490090914</v>
      </c>
      <c r="I13" s="230">
        <f>'[1]июль 20'!AI12</f>
        <v>0</v>
      </c>
      <c r="J13" s="247">
        <f>'[1]апрель 20'!AA12</f>
        <v>12.968999999999999</v>
      </c>
      <c r="K13" s="276">
        <f>'[1]сентябрь 20'!AM12</f>
        <v>0</v>
      </c>
      <c r="L13" s="122"/>
      <c r="M13" s="128">
        <f t="shared" si="22"/>
        <v>0</v>
      </c>
      <c r="N13" s="400">
        <f>'[1]апрель 20'!W12</f>
        <v>0</v>
      </c>
      <c r="O13" s="403">
        <f>'[1]апрель 20'!AU12</f>
        <v>9.2829999999999995</v>
      </c>
      <c r="P13" s="401">
        <f t="shared" si="0"/>
        <v>223.42</v>
      </c>
      <c r="Q13" s="122">
        <f t="shared" si="23"/>
        <v>223.42</v>
      </c>
      <c r="R13" s="123">
        <f t="shared" si="24"/>
        <v>2.9500000000000006</v>
      </c>
      <c r="S13" s="129">
        <v>7.4</v>
      </c>
      <c r="T13" s="125">
        <f t="shared" si="1"/>
        <v>216.82910999999996</v>
      </c>
      <c r="U13" s="147">
        <f t="shared" si="2"/>
        <v>1.4182033488128718</v>
      </c>
      <c r="V13" s="130">
        <f t="shared" si="25"/>
        <v>152.88999999999999</v>
      </c>
      <c r="W13" s="130"/>
      <c r="X13" s="129">
        <v>1.45</v>
      </c>
      <c r="Y13" s="165">
        <v>500</v>
      </c>
      <c r="Z13" s="166">
        <v>1177</v>
      </c>
      <c r="AA13" s="148" t="s">
        <v>141</v>
      </c>
      <c r="AB13" s="149">
        <v>75.64</v>
      </c>
      <c r="AC13" s="150">
        <v>126</v>
      </c>
      <c r="AD13" s="151">
        <v>4</v>
      </c>
      <c r="AE13" s="149"/>
      <c r="AF13" s="134">
        <f t="shared" si="3"/>
        <v>0</v>
      </c>
      <c r="AG13" s="152"/>
      <c r="AH13" s="129">
        <v>93.2</v>
      </c>
      <c r="AI13" s="134">
        <f t="shared" si="4"/>
        <v>609.58859310615492</v>
      </c>
      <c r="AJ13" s="136">
        <v>14.87</v>
      </c>
      <c r="AK13" s="154"/>
      <c r="AL13" s="155">
        <v>5.15</v>
      </c>
      <c r="AM13" s="156">
        <v>35.409999999999997</v>
      </c>
      <c r="AN13" s="126">
        <f t="shared" si="26"/>
        <v>0.18418725617685303</v>
      </c>
      <c r="AO13" s="157" t="s">
        <v>230</v>
      </c>
      <c r="AP13" s="156">
        <v>8.43</v>
      </c>
      <c r="AQ13" s="156">
        <v>6.88</v>
      </c>
      <c r="AR13" s="149"/>
      <c r="AS13" s="149">
        <v>6.78</v>
      </c>
      <c r="AT13" s="129">
        <f t="shared" si="27"/>
        <v>192.25</v>
      </c>
      <c r="AU13" s="149">
        <v>1.2</v>
      </c>
      <c r="AV13" s="149"/>
      <c r="AW13" s="149"/>
      <c r="AX13" s="158">
        <f t="shared" si="5"/>
        <v>0</v>
      </c>
      <c r="AY13" s="125">
        <f t="shared" si="6"/>
        <v>152.88999999999999</v>
      </c>
      <c r="AZ13" s="125">
        <f t="shared" si="39"/>
        <v>162.2722771987122</v>
      </c>
      <c r="BA13" s="159">
        <f t="shared" si="7"/>
        <v>4.8949690140845075</v>
      </c>
      <c r="BB13" s="160">
        <f t="shared" si="8"/>
        <v>6.1155999999999997</v>
      </c>
      <c r="BC13" s="161">
        <f t="shared" si="9"/>
        <v>0.83853240043165866</v>
      </c>
      <c r="BD13" s="160">
        <f t="shared" si="28"/>
        <v>11.010569014084506</v>
      </c>
      <c r="BE13" s="162">
        <v>0.84</v>
      </c>
      <c r="BF13" s="25">
        <f t="shared" si="29"/>
        <v>1001.67</v>
      </c>
      <c r="BG13" s="25">
        <f t="shared" si="10"/>
        <v>125</v>
      </c>
      <c r="BH13" s="25">
        <f t="shared" si="30"/>
        <v>875</v>
      </c>
      <c r="BI13" s="26">
        <f t="shared" si="11"/>
        <v>1</v>
      </c>
      <c r="BJ13" s="37">
        <f t="shared" si="31"/>
        <v>875</v>
      </c>
      <c r="BK13" s="39"/>
      <c r="BL13" s="28">
        <f t="shared" si="32"/>
        <v>369.05099999999999</v>
      </c>
      <c r="BM13" s="325"/>
      <c r="BN13" s="31"/>
      <c r="BO13" s="40"/>
      <c r="BP13" s="40">
        <v>13.676</v>
      </c>
      <c r="BQ13" s="32"/>
      <c r="BR13" s="33"/>
      <c r="BS13" s="34">
        <v>1.76</v>
      </c>
      <c r="BT13" s="33"/>
      <c r="BU13" s="28"/>
      <c r="BV13" s="287"/>
      <c r="BW13" s="287">
        <v>2.62</v>
      </c>
      <c r="BX13" s="36"/>
      <c r="BY13" s="33"/>
      <c r="BZ13" s="34">
        <v>36.64</v>
      </c>
      <c r="CA13" s="33"/>
      <c r="CB13" s="35"/>
      <c r="CC13" s="235"/>
      <c r="CD13" s="235">
        <v>38.090000000000003</v>
      </c>
      <c r="CE13" s="36"/>
      <c r="CF13" s="28">
        <f t="shared" si="33"/>
        <v>223.42</v>
      </c>
      <c r="CG13" s="30"/>
      <c r="CH13" s="30"/>
      <c r="CI13" s="32"/>
      <c r="CJ13" s="33">
        <v>2.95</v>
      </c>
      <c r="CK13" s="33"/>
      <c r="CL13" s="33"/>
      <c r="CM13" s="36"/>
      <c r="CN13" s="286"/>
      <c r="CO13" s="249">
        <f t="shared" si="12"/>
        <v>0</v>
      </c>
      <c r="CP13" s="12">
        <f t="shared" si="12"/>
        <v>362.55570239999997</v>
      </c>
      <c r="CQ13" s="12">
        <f t="shared" si="12"/>
        <v>0</v>
      </c>
      <c r="CR13" s="12">
        <f t="shared" si="12"/>
        <v>0</v>
      </c>
      <c r="CS13" s="11">
        <f t="shared" si="12"/>
        <v>0</v>
      </c>
      <c r="CT13" s="11">
        <f t="shared" si="12"/>
        <v>13.317688800000001</v>
      </c>
      <c r="CU13" s="272">
        <f t="shared" si="12"/>
        <v>0</v>
      </c>
      <c r="CV13" s="249">
        <f t="shared" si="13"/>
        <v>216.82910999999996</v>
      </c>
      <c r="CW13" s="251">
        <f t="shared" si="13"/>
        <v>0</v>
      </c>
      <c r="CX13" s="249">
        <f t="shared" si="13"/>
        <v>0</v>
      </c>
      <c r="CY13" s="272">
        <f t="shared" si="13"/>
        <v>0</v>
      </c>
      <c r="CZ13" s="13"/>
      <c r="DA13" s="240">
        <f>(D13+'[2]апрель 20 '!D13)/(AY13+'[2]апрель 20 '!AX13)</f>
        <v>2.2509395107942667</v>
      </c>
      <c r="DB13" s="241">
        <f>(T13+'[2]апрель 20 '!R13)/(AY13+'[2]апрель 20 '!AX13)</f>
        <v>1.3155631659823162</v>
      </c>
      <c r="DD13" s="292">
        <f t="shared" si="14"/>
        <v>12.968999999999999</v>
      </c>
      <c r="DE13" s="291">
        <v>0.18</v>
      </c>
      <c r="DF13" s="291">
        <v>18.100000000000001</v>
      </c>
      <c r="DG13" s="145">
        <f t="shared" si="15"/>
        <v>12.945655799999999</v>
      </c>
      <c r="DH13" s="293">
        <f t="shared" si="34"/>
        <v>3.0977838442622958</v>
      </c>
      <c r="DJ13" s="149">
        <v>174.15</v>
      </c>
      <c r="DK13" s="459">
        <f t="shared" si="35"/>
        <v>192.25</v>
      </c>
      <c r="DL13" s="40">
        <v>301.05099999999999</v>
      </c>
      <c r="DM13" s="322">
        <f t="shared" si="36"/>
        <v>369.05099999999999</v>
      </c>
      <c r="DN13" s="30">
        <v>183.42</v>
      </c>
      <c r="DO13" s="460">
        <f t="shared" si="37"/>
        <v>223.42</v>
      </c>
      <c r="DP13" s="130">
        <v>134.79</v>
      </c>
      <c r="DQ13" s="461">
        <f t="shared" si="38"/>
        <v>152.88999999999999</v>
      </c>
    </row>
    <row r="14" spans="1:121" s="76" customFormat="1" ht="16.5" customHeight="1" thickBot="1">
      <c r="A14" s="144">
        <v>8</v>
      </c>
      <c r="B14" s="122">
        <f t="shared" si="16"/>
        <v>370.34699999999998</v>
      </c>
      <c r="C14" s="123">
        <f t="shared" si="17"/>
        <v>2.3669642254426249</v>
      </c>
      <c r="D14" s="145">
        <f t="shared" si="18"/>
        <v>361.58101899999997</v>
      </c>
      <c r="E14" s="125">
        <f t="shared" si="19"/>
        <v>36.695541100643446</v>
      </c>
      <c r="F14" s="146">
        <f t="shared" si="20"/>
        <v>2.2642683887532091</v>
      </c>
      <c r="G14" s="127"/>
      <c r="H14" s="126">
        <f t="shared" si="21"/>
        <v>2.2642683887532091</v>
      </c>
      <c r="I14" s="230">
        <f>'[1]июль 20'!AI13</f>
        <v>0</v>
      </c>
      <c r="J14" s="247">
        <f>'[1]апрель 20'!AA13</f>
        <v>12.308999999999999</v>
      </c>
      <c r="K14" s="276">
        <f>'[1]сентябрь 20'!AM13</f>
        <v>0</v>
      </c>
      <c r="L14" s="122"/>
      <c r="M14" s="128">
        <f t="shared" si="22"/>
        <v>0</v>
      </c>
      <c r="N14" s="400">
        <f>'[1]апрель 20'!W13</f>
        <v>0</v>
      </c>
      <c r="O14" s="403">
        <f>'[1]апрель 20'!AU13</f>
        <v>0.92</v>
      </c>
      <c r="P14" s="401">
        <f t="shared" si="0"/>
        <v>215.072</v>
      </c>
      <c r="Q14" s="122">
        <f t="shared" si="23"/>
        <v>215.072</v>
      </c>
      <c r="R14" s="123">
        <f t="shared" si="24"/>
        <v>2.95</v>
      </c>
      <c r="S14" s="129">
        <v>7.06</v>
      </c>
      <c r="T14" s="125">
        <f t="shared" si="1"/>
        <v>208.72737599999999</v>
      </c>
      <c r="U14" s="147">
        <f t="shared" si="2"/>
        <v>1.3070785647191434</v>
      </c>
      <c r="V14" s="130">
        <f t="shared" si="25"/>
        <v>122.15</v>
      </c>
      <c r="W14" s="130">
        <v>112.13</v>
      </c>
      <c r="X14" s="129">
        <v>0.59</v>
      </c>
      <c r="Y14" s="131">
        <v>504</v>
      </c>
      <c r="Z14" s="150">
        <v>1167</v>
      </c>
      <c r="AA14" s="148" t="s">
        <v>136</v>
      </c>
      <c r="AB14" s="149">
        <v>75.05</v>
      </c>
      <c r="AC14" s="150">
        <v>121</v>
      </c>
      <c r="AD14" s="151">
        <v>4</v>
      </c>
      <c r="AE14" s="149"/>
      <c r="AF14" s="134">
        <f t="shared" si="3"/>
        <v>0</v>
      </c>
      <c r="AG14" s="152"/>
      <c r="AH14" s="129">
        <v>99.25</v>
      </c>
      <c r="AI14" s="134">
        <f t="shared" si="4"/>
        <v>621.51668858413177</v>
      </c>
      <c r="AJ14" s="153">
        <v>14.38</v>
      </c>
      <c r="AK14" s="154"/>
      <c r="AL14" s="155">
        <v>6.3</v>
      </c>
      <c r="AM14" s="156">
        <v>35.29</v>
      </c>
      <c r="AN14" s="126">
        <f t="shared" si="26"/>
        <v>0.17693657558285286</v>
      </c>
      <c r="AO14" s="157" t="s">
        <v>117</v>
      </c>
      <c r="AP14" s="156">
        <v>9.3000000000000007</v>
      </c>
      <c r="AQ14" s="156">
        <v>6.53</v>
      </c>
      <c r="AR14" s="149"/>
      <c r="AS14" s="149">
        <v>9.7899999999999991</v>
      </c>
      <c r="AT14" s="129">
        <f t="shared" si="27"/>
        <v>199.45</v>
      </c>
      <c r="AU14" s="149">
        <v>1.83</v>
      </c>
      <c r="AV14" s="149"/>
      <c r="AW14" s="149"/>
      <c r="AX14" s="158">
        <f t="shared" si="5"/>
        <v>0</v>
      </c>
      <c r="AY14" s="125">
        <f t="shared" si="6"/>
        <v>159.69</v>
      </c>
      <c r="AZ14" s="125">
        <f t="shared" si="39"/>
        <v>157.47549671091676</v>
      </c>
      <c r="BA14" s="159">
        <f t="shared" si="7"/>
        <v>7.5269242957746467</v>
      </c>
      <c r="BB14" s="160">
        <f t="shared" si="8"/>
        <v>6.3875999999999999</v>
      </c>
      <c r="BC14" s="161">
        <f t="shared" si="9"/>
        <v>0.90325317553077333</v>
      </c>
      <c r="BD14" s="159">
        <f t="shared" si="28"/>
        <v>13.914524295774648</v>
      </c>
      <c r="BE14" s="167">
        <v>0.84799999999999998</v>
      </c>
      <c r="BF14" s="25">
        <f t="shared" si="29"/>
        <v>1161.3599999999999</v>
      </c>
      <c r="BG14" s="25">
        <f t="shared" si="10"/>
        <v>125</v>
      </c>
      <c r="BH14" s="25">
        <f t="shared" si="30"/>
        <v>1000</v>
      </c>
      <c r="BI14" s="26">
        <f t="shared" si="11"/>
        <v>1</v>
      </c>
      <c r="BJ14" s="37">
        <f t="shared" si="31"/>
        <v>1000</v>
      </c>
      <c r="BK14" s="39"/>
      <c r="BL14" s="28">
        <f t="shared" si="32"/>
        <v>331.59699999999998</v>
      </c>
      <c r="BM14" s="325"/>
      <c r="BN14" s="31"/>
      <c r="BO14" s="40"/>
      <c r="BP14" s="40">
        <v>38.75</v>
      </c>
      <c r="BQ14" s="32"/>
      <c r="BR14" s="33"/>
      <c r="BS14" s="34">
        <v>2.2999999999999998</v>
      </c>
      <c r="BT14" s="33"/>
      <c r="BU14" s="28"/>
      <c r="BV14" s="287"/>
      <c r="BW14" s="287">
        <v>2.94</v>
      </c>
      <c r="BX14" s="36"/>
      <c r="BY14" s="33"/>
      <c r="BZ14" s="34">
        <v>36.479999999999997</v>
      </c>
      <c r="CA14" s="33"/>
      <c r="CB14" s="35"/>
      <c r="CC14" s="235"/>
      <c r="CD14" s="235">
        <v>38.54</v>
      </c>
      <c r="CE14" s="36"/>
      <c r="CF14" s="28">
        <f t="shared" si="33"/>
        <v>215.072</v>
      </c>
      <c r="CG14" s="30"/>
      <c r="CH14" s="30"/>
      <c r="CI14" s="32"/>
      <c r="CJ14" s="33">
        <v>2.95</v>
      </c>
      <c r="CK14" s="33"/>
      <c r="CL14" s="33"/>
      <c r="CM14" s="36"/>
      <c r="CN14" s="286"/>
      <c r="CO14" s="249">
        <f t="shared" si="12"/>
        <v>0</v>
      </c>
      <c r="CP14" s="12">
        <f t="shared" si="12"/>
        <v>323.97026899999997</v>
      </c>
      <c r="CQ14" s="12">
        <f t="shared" si="12"/>
        <v>0</v>
      </c>
      <c r="CR14" s="12">
        <f t="shared" si="12"/>
        <v>0</v>
      </c>
      <c r="CS14" s="11">
        <f t="shared" si="12"/>
        <v>0</v>
      </c>
      <c r="CT14" s="11">
        <f t="shared" si="12"/>
        <v>37.610750000000003</v>
      </c>
      <c r="CU14" s="272">
        <f t="shared" si="12"/>
        <v>0</v>
      </c>
      <c r="CV14" s="249">
        <f t="shared" si="13"/>
        <v>208.72737599999999</v>
      </c>
      <c r="CW14" s="12">
        <f t="shared" si="13"/>
        <v>0</v>
      </c>
      <c r="CX14" s="252">
        <f t="shared" si="13"/>
        <v>0</v>
      </c>
      <c r="CY14" s="272">
        <f t="shared" si="13"/>
        <v>0</v>
      </c>
      <c r="CZ14" s="13"/>
      <c r="DA14" s="240">
        <f>(D14+'[2]апрель 20 '!D14)/(AY14+'[2]апрель 20 '!AX14)</f>
        <v>2.3105778976803641</v>
      </c>
      <c r="DB14" s="241">
        <f>(T14+'[2]апрель 20 '!R14)/(AY14+'[2]апрель 20 '!AX14)</f>
        <v>1.3501221763562281</v>
      </c>
      <c r="DD14" s="292">
        <f t="shared" si="14"/>
        <v>12.308999999999999</v>
      </c>
      <c r="DE14" s="291">
        <v>0.37</v>
      </c>
      <c r="DF14" s="291">
        <v>19.18</v>
      </c>
      <c r="DG14" s="145">
        <f t="shared" si="15"/>
        <v>12.263456699999999</v>
      </c>
      <c r="DH14" s="293">
        <f t="shared" si="34"/>
        <v>3.1340852699000661</v>
      </c>
      <c r="DJ14" s="149">
        <v>181.35</v>
      </c>
      <c r="DK14" s="459">
        <f t="shared" si="35"/>
        <v>199.45</v>
      </c>
      <c r="DL14" s="40">
        <v>263.59699999999998</v>
      </c>
      <c r="DM14" s="322">
        <f t="shared" si="36"/>
        <v>331.59699999999998</v>
      </c>
      <c r="DN14" s="30">
        <v>175.072</v>
      </c>
      <c r="DO14" s="460">
        <f t="shared" si="37"/>
        <v>215.072</v>
      </c>
      <c r="DP14" s="130">
        <v>104.05</v>
      </c>
      <c r="DQ14" s="461">
        <f t="shared" si="38"/>
        <v>122.15</v>
      </c>
    </row>
    <row r="15" spans="1:121" s="76" customFormat="1" ht="16.5" customHeight="1" thickBot="1">
      <c r="A15" s="144">
        <v>9</v>
      </c>
      <c r="B15" s="122">
        <f t="shared" si="16"/>
        <v>320.42099999999999</v>
      </c>
      <c r="C15" s="123">
        <f t="shared" si="17"/>
        <v>2.2276453478392493</v>
      </c>
      <c r="D15" s="145">
        <f t="shared" si="18"/>
        <v>313.28315650000002</v>
      </c>
      <c r="E15" s="125">
        <f t="shared" si="19"/>
        <v>36.547392024867278</v>
      </c>
      <c r="F15" s="146">
        <f t="shared" si="20"/>
        <v>2.7086560306069511</v>
      </c>
      <c r="G15" s="127"/>
      <c r="H15" s="126">
        <f t="shared" si="21"/>
        <v>2.7086560306069507</v>
      </c>
      <c r="I15" s="230">
        <f>'[1]июль 20'!AI14</f>
        <v>0</v>
      </c>
      <c r="J15" s="247">
        <f>'[1]апрель 20'!AA14</f>
        <v>10.073</v>
      </c>
      <c r="K15" s="276">
        <f>'[1]сентябрь 20'!AM14</f>
        <v>0</v>
      </c>
      <c r="L15" s="122"/>
      <c r="M15" s="128">
        <f t="shared" si="22"/>
        <v>0</v>
      </c>
      <c r="N15" s="400">
        <f>'[1]апрель 20'!W14</f>
        <v>0</v>
      </c>
      <c r="O15" s="403">
        <f>'[1]апрель 20'!AU14</f>
        <v>2.57</v>
      </c>
      <c r="P15" s="401">
        <f t="shared" si="0"/>
        <v>188.52699999999999</v>
      </c>
      <c r="Q15" s="122">
        <f t="shared" si="23"/>
        <v>188.52699999999999</v>
      </c>
      <c r="R15" s="123">
        <f t="shared" si="24"/>
        <v>2.92</v>
      </c>
      <c r="S15" s="129">
        <v>12.08</v>
      </c>
      <c r="T15" s="125">
        <f t="shared" si="1"/>
        <v>183.02201159999998</v>
      </c>
      <c r="U15" s="147">
        <f t="shared" si="2"/>
        <v>1.5824140722808226</v>
      </c>
      <c r="V15" s="130">
        <f t="shared" si="25"/>
        <v>115.66</v>
      </c>
      <c r="W15" s="130">
        <v>97.56</v>
      </c>
      <c r="X15" s="129">
        <v>0.72</v>
      </c>
      <c r="Y15" s="131">
        <v>495</v>
      </c>
      <c r="Z15" s="150">
        <v>1158</v>
      </c>
      <c r="AA15" s="148" t="s">
        <v>231</v>
      </c>
      <c r="AB15" s="149">
        <v>75.7</v>
      </c>
      <c r="AC15" s="150">
        <v>101</v>
      </c>
      <c r="AD15" s="151">
        <v>4</v>
      </c>
      <c r="AE15" s="149"/>
      <c r="AF15" s="134">
        <f t="shared" si="3"/>
        <v>0</v>
      </c>
      <c r="AG15" s="152"/>
      <c r="AH15" s="129">
        <v>84.15</v>
      </c>
      <c r="AI15" s="134">
        <f t="shared" si="4"/>
        <v>727.56354833131581</v>
      </c>
      <c r="AJ15" s="136">
        <v>12.25</v>
      </c>
      <c r="AK15" s="154"/>
      <c r="AL15" s="155">
        <v>6.76</v>
      </c>
      <c r="AM15" s="156">
        <v>34.57</v>
      </c>
      <c r="AN15" s="126">
        <f t="shared" si="26"/>
        <v>0.22281662906864325</v>
      </c>
      <c r="AO15" s="157" t="s">
        <v>184</v>
      </c>
      <c r="AP15" s="156">
        <v>9.4</v>
      </c>
      <c r="AQ15" s="156">
        <v>6.68</v>
      </c>
      <c r="AR15" s="149"/>
      <c r="AS15" s="149">
        <v>7.4</v>
      </c>
      <c r="AT15" s="129">
        <f t="shared" si="27"/>
        <v>155.15</v>
      </c>
      <c r="AU15" s="149">
        <v>1.84</v>
      </c>
      <c r="AV15" s="149"/>
      <c r="AW15" s="149"/>
      <c r="AX15" s="158">
        <f t="shared" si="5"/>
        <v>0</v>
      </c>
      <c r="AY15" s="125">
        <f t="shared" si="6"/>
        <v>115.66000000000003</v>
      </c>
      <c r="AZ15" s="125">
        <f t="shared" si="39"/>
        <v>134.55255922468154</v>
      </c>
      <c r="BA15" s="159">
        <f t="shared" si="7"/>
        <v>4.8238098591549292</v>
      </c>
      <c r="BB15" s="160">
        <f t="shared" si="8"/>
        <v>4.6264000000000012</v>
      </c>
      <c r="BC15" s="161">
        <f t="shared" si="9"/>
        <v>0.76469038559568137</v>
      </c>
      <c r="BD15" s="159">
        <f t="shared" si="28"/>
        <v>9.4502098591549313</v>
      </c>
      <c r="BE15" s="167">
        <v>0.84</v>
      </c>
      <c r="BF15" s="25">
        <f t="shared" si="29"/>
        <v>1277.02</v>
      </c>
      <c r="BG15" s="25">
        <f t="shared" si="10"/>
        <v>125</v>
      </c>
      <c r="BH15" s="25">
        <f t="shared" si="30"/>
        <v>1125</v>
      </c>
      <c r="BI15" s="26">
        <f t="shared" si="11"/>
        <v>1</v>
      </c>
      <c r="BJ15" s="37">
        <f t="shared" si="31"/>
        <v>1125</v>
      </c>
      <c r="BK15" s="38"/>
      <c r="BL15" s="28">
        <f t="shared" si="32"/>
        <v>295.11199999999997</v>
      </c>
      <c r="BM15" s="31"/>
      <c r="BN15" s="31"/>
      <c r="BO15" s="40"/>
      <c r="BP15" s="40">
        <v>25.309000000000001</v>
      </c>
      <c r="BQ15" s="32"/>
      <c r="BR15" s="33"/>
      <c r="BS15" s="35">
        <v>2.2000000000000002</v>
      </c>
      <c r="BT15" s="35"/>
      <c r="BU15" s="28"/>
      <c r="BV15" s="287"/>
      <c r="BW15" s="287">
        <v>2.5499999999999998</v>
      </c>
      <c r="BX15" s="36"/>
      <c r="BY15" s="33"/>
      <c r="BZ15" s="34">
        <v>36.5</v>
      </c>
      <c r="CA15" s="35"/>
      <c r="CB15" s="35"/>
      <c r="CC15" s="35"/>
      <c r="CD15" s="35">
        <v>37.1</v>
      </c>
      <c r="CE15" s="35"/>
      <c r="CF15" s="28">
        <f t="shared" si="33"/>
        <v>188.52699999999999</v>
      </c>
      <c r="CG15" s="30"/>
      <c r="CH15" s="30"/>
      <c r="CI15" s="32"/>
      <c r="CJ15" s="33">
        <v>2.92</v>
      </c>
      <c r="CK15" s="33"/>
      <c r="CL15" s="33"/>
      <c r="CM15" s="36"/>
      <c r="CN15" s="286"/>
      <c r="CO15" s="249">
        <f t="shared" si="12"/>
        <v>0</v>
      </c>
      <c r="CP15" s="12">
        <f t="shared" si="12"/>
        <v>288.61953599999998</v>
      </c>
      <c r="CQ15" s="12">
        <f t="shared" si="12"/>
        <v>0</v>
      </c>
      <c r="CR15" s="17">
        <f t="shared" si="12"/>
        <v>0</v>
      </c>
      <c r="CS15" s="11">
        <f t="shared" si="12"/>
        <v>0</v>
      </c>
      <c r="CT15" s="11">
        <f t="shared" si="12"/>
        <v>24.6636205</v>
      </c>
      <c r="CU15" s="272">
        <f t="shared" si="12"/>
        <v>0</v>
      </c>
      <c r="CV15" s="249">
        <f t="shared" si="13"/>
        <v>183.02201159999998</v>
      </c>
      <c r="CW15" s="12">
        <f t="shared" si="13"/>
        <v>0</v>
      </c>
      <c r="CX15" s="249">
        <f t="shared" si="13"/>
        <v>0</v>
      </c>
      <c r="CY15" s="274">
        <f t="shared" si="13"/>
        <v>0</v>
      </c>
      <c r="CZ15" s="13"/>
      <c r="DA15" s="240">
        <f>(D15+'[2]апрель 20 '!D15)/(AY15+'[2]апрель 20 '!AX15)</f>
        <v>2.3512065656565655</v>
      </c>
      <c r="DB15" s="241">
        <f>(T15+'[2]апрель 20 '!R15)/(AY15+'[2]апрель 20 '!AX15)</f>
        <v>1.3723214893806095</v>
      </c>
      <c r="DD15" s="292">
        <f t="shared" si="14"/>
        <v>10.073</v>
      </c>
      <c r="DE15" s="291">
        <v>0.17</v>
      </c>
      <c r="DF15" s="291">
        <v>18.899999999999999</v>
      </c>
      <c r="DG15" s="145">
        <f t="shared" si="15"/>
        <v>10.0558759</v>
      </c>
      <c r="DH15" s="293">
        <f t="shared" si="34"/>
        <v>2.5106480120211359</v>
      </c>
      <c r="DJ15" s="149">
        <v>137.05000000000001</v>
      </c>
      <c r="DK15" s="459">
        <f t="shared" si="35"/>
        <v>155.15</v>
      </c>
      <c r="DL15" s="42">
        <v>227.11199999999999</v>
      </c>
      <c r="DM15" s="322">
        <f t="shared" si="36"/>
        <v>295.11199999999997</v>
      </c>
      <c r="DN15" s="38">
        <v>148.52699999999999</v>
      </c>
      <c r="DO15" s="460">
        <f t="shared" si="37"/>
        <v>188.52699999999999</v>
      </c>
      <c r="DP15" s="130">
        <v>97.56</v>
      </c>
      <c r="DQ15" s="461">
        <f t="shared" si="38"/>
        <v>115.66</v>
      </c>
    </row>
    <row r="16" spans="1:121" s="76" customFormat="1" ht="16.5" customHeight="1" thickBot="1">
      <c r="A16" s="144">
        <v>10</v>
      </c>
      <c r="B16" s="122">
        <f t="shared" si="16"/>
        <v>330.89</v>
      </c>
      <c r="C16" s="123">
        <f t="shared" si="17"/>
        <v>1.7736468312732327</v>
      </c>
      <c r="D16" s="145">
        <f t="shared" si="18"/>
        <v>325.02118000000002</v>
      </c>
      <c r="E16" s="125">
        <f t="shared" si="19"/>
        <v>37.466500045332289</v>
      </c>
      <c r="F16" s="146">
        <f t="shared" si="20"/>
        <v>2.4102423433444566</v>
      </c>
      <c r="G16" s="127"/>
      <c r="H16" s="126">
        <f t="shared" si="21"/>
        <v>2.4102423433444562</v>
      </c>
      <c r="I16" s="230">
        <f>'[1]июль 20'!AI15</f>
        <v>0</v>
      </c>
      <c r="J16" s="247">
        <f>'[1]апрель 20'!AA15</f>
        <v>10.414999999999999</v>
      </c>
      <c r="K16" s="276">
        <f>'[1]сентябрь 20'!AM15</f>
        <v>0</v>
      </c>
      <c r="L16" s="122"/>
      <c r="M16" s="128">
        <f t="shared" si="22"/>
        <v>0</v>
      </c>
      <c r="N16" s="400">
        <f>'[1]апрель 20'!W15</f>
        <v>0</v>
      </c>
      <c r="O16" s="403">
        <f>'[1]апрель 20'!AU15</f>
        <v>2.6120000000000001</v>
      </c>
      <c r="P16" s="401">
        <f t="shared" si="0"/>
        <v>195.52</v>
      </c>
      <c r="Q16" s="122">
        <f t="shared" si="23"/>
        <v>195.52</v>
      </c>
      <c r="R16" s="123">
        <f t="shared" si="24"/>
        <v>3.55</v>
      </c>
      <c r="S16" s="129">
        <v>24.93</v>
      </c>
      <c r="T16" s="125">
        <f t="shared" si="1"/>
        <v>188.57904000000002</v>
      </c>
      <c r="U16" s="147">
        <f t="shared" si="2"/>
        <v>1.3984355951056728</v>
      </c>
      <c r="V16" s="130">
        <f t="shared" si="25"/>
        <v>76.75</v>
      </c>
      <c r="W16" s="130">
        <v>87.74</v>
      </c>
      <c r="X16" s="129">
        <v>0.94</v>
      </c>
      <c r="Y16" s="131">
        <v>487</v>
      </c>
      <c r="Z16" s="150">
        <v>1178</v>
      </c>
      <c r="AA16" s="148" t="s">
        <v>232</v>
      </c>
      <c r="AB16" s="149">
        <v>75.010000000000005</v>
      </c>
      <c r="AC16" s="150">
        <v>105</v>
      </c>
      <c r="AD16" s="151">
        <v>4</v>
      </c>
      <c r="AE16" s="149"/>
      <c r="AF16" s="134">
        <f t="shared" si="3"/>
        <v>0</v>
      </c>
      <c r="AG16" s="152"/>
      <c r="AH16" s="129">
        <v>72.95</v>
      </c>
      <c r="AI16" s="134">
        <f t="shared" si="4"/>
        <v>540.97144975899141</v>
      </c>
      <c r="AJ16" s="153">
        <v>12.15</v>
      </c>
      <c r="AK16" s="154"/>
      <c r="AL16" s="155">
        <v>6.38</v>
      </c>
      <c r="AM16" s="156">
        <v>29.85</v>
      </c>
      <c r="AN16" s="126">
        <f t="shared" si="26"/>
        <v>0.1768888888888889</v>
      </c>
      <c r="AO16" s="157" t="s">
        <v>198</v>
      </c>
      <c r="AP16" s="156">
        <v>9.41</v>
      </c>
      <c r="AQ16" s="156">
        <v>6.51</v>
      </c>
      <c r="AR16" s="149"/>
      <c r="AS16" s="149">
        <v>6.58</v>
      </c>
      <c r="AT16" s="129">
        <f t="shared" si="27"/>
        <v>168.75</v>
      </c>
      <c r="AU16" s="149">
        <v>2.33</v>
      </c>
      <c r="AV16" s="149"/>
      <c r="AW16" s="149"/>
      <c r="AX16" s="158">
        <f t="shared" si="5"/>
        <v>0</v>
      </c>
      <c r="AY16" s="125">
        <f t="shared" si="6"/>
        <v>134.85000000000002</v>
      </c>
      <c r="AZ16" s="125">
        <f t="shared" si="39"/>
        <v>144.541603657553</v>
      </c>
      <c r="BA16" s="159">
        <f t="shared" si="7"/>
        <v>3.718395070422535</v>
      </c>
      <c r="BB16" s="160">
        <f t="shared" si="8"/>
        <v>5.394000000000001</v>
      </c>
      <c r="BC16" s="161">
        <f t="shared" si="9"/>
        <v>0.83064475752431388</v>
      </c>
      <c r="BD16" s="160">
        <f t="shared" si="28"/>
        <v>9.1123950704225365</v>
      </c>
      <c r="BE16" s="162">
        <v>0.83899999999999997</v>
      </c>
      <c r="BF16" s="25">
        <f t="shared" si="29"/>
        <v>1411.87</v>
      </c>
      <c r="BG16" s="25">
        <f t="shared" si="10"/>
        <v>125</v>
      </c>
      <c r="BH16" s="25">
        <f t="shared" si="30"/>
        <v>1250</v>
      </c>
      <c r="BI16" s="26">
        <f t="shared" si="11"/>
        <v>1</v>
      </c>
      <c r="BJ16" s="37">
        <f t="shared" si="31"/>
        <v>1250</v>
      </c>
      <c r="BK16" s="38"/>
      <c r="BL16" s="28">
        <f t="shared" si="32"/>
        <v>304.63</v>
      </c>
      <c r="BM16" s="31"/>
      <c r="BN16" s="234"/>
      <c r="BO16" s="42"/>
      <c r="BP16" s="40">
        <v>26.26</v>
      </c>
      <c r="BQ16" s="32"/>
      <c r="BR16" s="33"/>
      <c r="BS16" s="34">
        <v>1.68</v>
      </c>
      <c r="BT16" s="35"/>
      <c r="BU16" s="28"/>
      <c r="BV16" s="287"/>
      <c r="BW16" s="287">
        <v>2.86</v>
      </c>
      <c r="BX16" s="36"/>
      <c r="BY16" s="33"/>
      <c r="BZ16" s="34">
        <v>37.28</v>
      </c>
      <c r="CA16" s="35"/>
      <c r="CB16" s="405"/>
      <c r="CC16" s="404"/>
      <c r="CD16" s="235">
        <v>39.630000000000003</v>
      </c>
      <c r="CE16" s="36"/>
      <c r="CF16" s="28">
        <f t="shared" si="33"/>
        <v>195.52</v>
      </c>
      <c r="CG16" s="30"/>
      <c r="CH16" s="30"/>
      <c r="CI16" s="32"/>
      <c r="CJ16" s="33">
        <v>3.55</v>
      </c>
      <c r="CK16" s="33"/>
      <c r="CL16" s="33"/>
      <c r="CM16" s="36"/>
      <c r="CN16" s="286"/>
      <c r="CO16" s="249">
        <f t="shared" si="12"/>
        <v>0</v>
      </c>
      <c r="CP16" s="12">
        <f t="shared" si="12"/>
        <v>299.51221599999997</v>
      </c>
      <c r="CQ16" s="12">
        <f t="shared" si="12"/>
        <v>0</v>
      </c>
      <c r="CR16" s="11">
        <f t="shared" si="12"/>
        <v>0</v>
      </c>
      <c r="CS16" s="11">
        <f t="shared" si="12"/>
        <v>0</v>
      </c>
      <c r="CT16" s="11">
        <f t="shared" si="12"/>
        <v>25.508964000000002</v>
      </c>
      <c r="CU16" s="272">
        <f t="shared" si="12"/>
        <v>0</v>
      </c>
      <c r="CV16" s="249">
        <f t="shared" si="13"/>
        <v>188.57904000000002</v>
      </c>
      <c r="CW16" s="12">
        <f t="shared" si="13"/>
        <v>0</v>
      </c>
      <c r="CX16" s="249">
        <f t="shared" si="13"/>
        <v>0</v>
      </c>
      <c r="CY16" s="272">
        <f t="shared" si="13"/>
        <v>0</v>
      </c>
      <c r="CZ16" s="13"/>
      <c r="DA16" s="240">
        <f>(D16+'[2]апрель 20 '!D16)/(AY16+'[2]апрель 20 '!AX16)</f>
        <v>2.4519710696696695</v>
      </c>
      <c r="DB16" s="241">
        <f>(T16+'[2]апрель 20 '!R16)/(AY16+'[2]апрель 20 '!AX16)</f>
        <v>1.4404175375375377</v>
      </c>
      <c r="DD16" s="292">
        <f t="shared" si="14"/>
        <v>10.414999999999999</v>
      </c>
      <c r="DE16" s="291">
        <v>0.16</v>
      </c>
      <c r="DF16" s="291">
        <v>20.309999999999999</v>
      </c>
      <c r="DG16" s="145">
        <f t="shared" si="15"/>
        <v>10.398336</v>
      </c>
      <c r="DH16" s="293">
        <f t="shared" si="34"/>
        <v>2.8154939896013857</v>
      </c>
      <c r="DJ16" s="149">
        <v>150.65</v>
      </c>
      <c r="DK16" s="459">
        <f t="shared" si="35"/>
        <v>168.75</v>
      </c>
      <c r="DL16" s="31">
        <v>236.63</v>
      </c>
      <c r="DM16" s="322">
        <f t="shared" si="36"/>
        <v>304.63</v>
      </c>
      <c r="DN16" s="38">
        <v>155.52000000000001</v>
      </c>
      <c r="DO16" s="460">
        <f t="shared" si="37"/>
        <v>195.52</v>
      </c>
      <c r="DP16" s="130">
        <v>58.65</v>
      </c>
      <c r="DQ16" s="461">
        <f t="shared" si="38"/>
        <v>76.75</v>
      </c>
    </row>
    <row r="17" spans="1:121" s="76" customFormat="1" ht="16.5" customHeight="1" thickBot="1">
      <c r="A17" s="144">
        <v>11</v>
      </c>
      <c r="B17" s="122">
        <f t="shared" si="16"/>
        <v>325.92599999999999</v>
      </c>
      <c r="C17" s="123">
        <f t="shared" si="17"/>
        <v>1.6111296736068925</v>
      </c>
      <c r="D17" s="145">
        <f t="shared" si="18"/>
        <v>320.67490950000001</v>
      </c>
      <c r="E17" s="125">
        <f t="shared" si="19"/>
        <v>38.117801402772407</v>
      </c>
      <c r="F17" s="146">
        <f t="shared" si="20"/>
        <v>2.3929177635997316</v>
      </c>
      <c r="G17" s="127"/>
      <c r="H17" s="126">
        <f t="shared" si="21"/>
        <v>2.3929177635997316</v>
      </c>
      <c r="I17" s="230">
        <f>'[1]июль 20'!AI16</f>
        <v>0</v>
      </c>
      <c r="J17" s="247">
        <f>'[1]апрель 20'!AA16</f>
        <v>10.39</v>
      </c>
      <c r="K17" s="276">
        <f>'[1]сентябрь 20'!AM16</f>
        <v>0</v>
      </c>
      <c r="L17" s="122"/>
      <c r="M17" s="128">
        <f t="shared" si="22"/>
        <v>0</v>
      </c>
      <c r="N17" s="400">
        <f>'[1]апрель 20'!W16</f>
        <v>0</v>
      </c>
      <c r="O17" s="403">
        <f>'[1]апрель 20'!AU16</f>
        <v>2.5659999999999998</v>
      </c>
      <c r="P17" s="401">
        <f t="shared" si="0"/>
        <v>197.005</v>
      </c>
      <c r="Q17" s="122">
        <f t="shared" si="23"/>
        <v>197.005</v>
      </c>
      <c r="R17" s="123">
        <f t="shared" si="24"/>
        <v>4.09</v>
      </c>
      <c r="S17" s="129">
        <v>7.71</v>
      </c>
      <c r="T17" s="125">
        <f t="shared" si="1"/>
        <v>188.94749549999997</v>
      </c>
      <c r="U17" s="147">
        <f t="shared" si="2"/>
        <v>1.4099507163644502</v>
      </c>
      <c r="V17" s="130">
        <f t="shared" si="25"/>
        <v>134.01</v>
      </c>
      <c r="W17" s="130">
        <v>87.35</v>
      </c>
      <c r="X17" s="129">
        <v>0.69</v>
      </c>
      <c r="Y17" s="131">
        <v>487</v>
      </c>
      <c r="Z17" s="150">
        <v>1173</v>
      </c>
      <c r="AA17" s="148" t="s">
        <v>233</v>
      </c>
      <c r="AB17" s="149">
        <v>76.680000000000007</v>
      </c>
      <c r="AC17" s="150">
        <v>103</v>
      </c>
      <c r="AD17" s="151">
        <v>4</v>
      </c>
      <c r="AE17" s="149"/>
      <c r="AF17" s="134">
        <f t="shared" si="3"/>
        <v>0</v>
      </c>
      <c r="AG17" s="152"/>
      <c r="AH17" s="129">
        <v>92</v>
      </c>
      <c r="AI17" s="134">
        <f t="shared" si="4"/>
        <v>686.51593164689211</v>
      </c>
      <c r="AJ17" s="136">
        <v>11.57</v>
      </c>
      <c r="AK17" s="154"/>
      <c r="AL17" s="155">
        <v>4.29</v>
      </c>
      <c r="AM17" s="156">
        <v>29.99</v>
      </c>
      <c r="AN17" s="126">
        <f t="shared" si="26"/>
        <v>0.17974228348816301</v>
      </c>
      <c r="AO17" s="157" t="s">
        <v>184</v>
      </c>
      <c r="AP17" s="156">
        <v>8</v>
      </c>
      <c r="AQ17" s="156">
        <v>6.74</v>
      </c>
      <c r="AR17" s="149"/>
      <c r="AS17" s="149">
        <v>9.19</v>
      </c>
      <c r="AT17" s="129">
        <f t="shared" si="27"/>
        <v>166.85</v>
      </c>
      <c r="AU17" s="149">
        <v>1.44</v>
      </c>
      <c r="AV17" s="149"/>
      <c r="AW17" s="149"/>
      <c r="AX17" s="158">
        <f t="shared" si="5"/>
        <v>0</v>
      </c>
      <c r="AY17" s="125">
        <f t="shared" si="6"/>
        <v>134.01</v>
      </c>
      <c r="AZ17" s="125">
        <f t="shared" si="39"/>
        <v>141.8289731434017</v>
      </c>
      <c r="BA17" s="159">
        <f t="shared" si="7"/>
        <v>6.5494929577464776</v>
      </c>
      <c r="BB17" s="160">
        <f t="shared" si="8"/>
        <v>5.3603999999999994</v>
      </c>
      <c r="BC17" s="161">
        <f t="shared" si="9"/>
        <v>0.84067181570828253</v>
      </c>
      <c r="BD17" s="160">
        <f t="shared" si="28"/>
        <v>11.909892957746477</v>
      </c>
      <c r="BE17" s="162">
        <v>0.83899999999999997</v>
      </c>
      <c r="BF17" s="25">
        <f t="shared" si="29"/>
        <v>1545.8799999999999</v>
      </c>
      <c r="BG17" s="25">
        <f t="shared" si="10"/>
        <v>125</v>
      </c>
      <c r="BH17" s="25">
        <f t="shared" si="30"/>
        <v>1375</v>
      </c>
      <c r="BI17" s="26">
        <f t="shared" si="11"/>
        <v>1</v>
      </c>
      <c r="BJ17" s="37">
        <f t="shared" si="31"/>
        <v>1375</v>
      </c>
      <c r="BK17" s="39"/>
      <c r="BL17" s="28">
        <f t="shared" si="32"/>
        <v>300.05099999999999</v>
      </c>
      <c r="BM17" s="31"/>
      <c r="BN17" s="234"/>
      <c r="BO17" s="42"/>
      <c r="BP17" s="40">
        <v>25.875</v>
      </c>
      <c r="BQ17" s="32"/>
      <c r="BR17" s="33"/>
      <c r="BS17" s="34">
        <v>1.55</v>
      </c>
      <c r="BT17" s="35"/>
      <c r="BU17" s="28"/>
      <c r="BV17" s="287"/>
      <c r="BW17" s="287">
        <v>2.3199999999999998</v>
      </c>
      <c r="BX17" s="36"/>
      <c r="BY17" s="33"/>
      <c r="BZ17" s="34">
        <v>38.04</v>
      </c>
      <c r="CA17" s="35"/>
      <c r="CB17" s="405"/>
      <c r="CC17" s="404"/>
      <c r="CD17" s="235">
        <v>39.020000000000003</v>
      </c>
      <c r="CE17" s="36"/>
      <c r="CF17" s="28">
        <f t="shared" si="33"/>
        <v>197.005</v>
      </c>
      <c r="CG17" s="42"/>
      <c r="CH17" s="234"/>
      <c r="CI17" s="233"/>
      <c r="CJ17" s="33">
        <v>4.09</v>
      </c>
      <c r="CK17" s="33"/>
      <c r="CL17" s="33"/>
      <c r="CM17" s="36"/>
      <c r="CN17" s="286"/>
      <c r="CO17" s="249">
        <f t="shared" si="12"/>
        <v>0</v>
      </c>
      <c r="CP17" s="12">
        <f t="shared" si="12"/>
        <v>295.40020950000002</v>
      </c>
      <c r="CQ17" s="12">
        <f t="shared" si="12"/>
        <v>0</v>
      </c>
      <c r="CR17" s="12">
        <f t="shared" si="12"/>
        <v>0</v>
      </c>
      <c r="CS17" s="11">
        <f t="shared" si="12"/>
        <v>0</v>
      </c>
      <c r="CT17" s="11">
        <f t="shared" si="12"/>
        <v>25.274700000000003</v>
      </c>
      <c r="CU17" s="272">
        <f t="shared" si="12"/>
        <v>0</v>
      </c>
      <c r="CV17" s="249">
        <f t="shared" si="13"/>
        <v>188.94749549999997</v>
      </c>
      <c r="CW17" s="12">
        <f t="shared" si="13"/>
        <v>0</v>
      </c>
      <c r="CX17" s="254">
        <f t="shared" si="13"/>
        <v>0</v>
      </c>
      <c r="CY17" s="272">
        <f t="shared" si="13"/>
        <v>0</v>
      </c>
      <c r="CZ17" s="13"/>
      <c r="DA17" s="240">
        <f>(D17+'[2]апрель 20 '!D17)/(AY17+'[2]апрель 20 '!AX17)</f>
        <v>2.3830412329243891</v>
      </c>
      <c r="DB17" s="241">
        <f>(T17+'[2]апрель 20 '!R17)/(AY17+'[2]апрель 20 '!AX17)</f>
        <v>1.4199875155891992</v>
      </c>
      <c r="DD17" s="292">
        <f t="shared" si="14"/>
        <v>10.39</v>
      </c>
      <c r="DE17" s="291">
        <v>0.19</v>
      </c>
      <c r="DF17" s="291">
        <v>19.71</v>
      </c>
      <c r="DG17" s="145">
        <f t="shared" si="15"/>
        <v>10.370259000000001</v>
      </c>
      <c r="DH17" s="293">
        <f t="shared" si="34"/>
        <v>2.6655947429577465</v>
      </c>
      <c r="DJ17" s="149">
        <v>148.75</v>
      </c>
      <c r="DK17" s="459">
        <f t="shared" si="35"/>
        <v>166.85</v>
      </c>
      <c r="DL17" s="31">
        <v>232.05099999999999</v>
      </c>
      <c r="DM17" s="322">
        <f t="shared" si="36"/>
        <v>300.05099999999999</v>
      </c>
      <c r="DN17" s="38">
        <v>157.005</v>
      </c>
      <c r="DO17" s="460">
        <f t="shared" si="37"/>
        <v>197.005</v>
      </c>
      <c r="DP17" s="130">
        <v>115.91</v>
      </c>
      <c r="DQ17" s="461">
        <f t="shared" si="38"/>
        <v>134.01</v>
      </c>
    </row>
    <row r="18" spans="1:121" s="76" customFormat="1" ht="16.5" customHeight="1" thickBot="1">
      <c r="A18" s="144">
        <v>12</v>
      </c>
      <c r="B18" s="122">
        <f t="shared" si="16"/>
        <v>330.61500000000001</v>
      </c>
      <c r="C18" s="123">
        <f t="shared" si="17"/>
        <v>1.7230985587465779</v>
      </c>
      <c r="D18" s="145">
        <f t="shared" si="18"/>
        <v>324.91817770000006</v>
      </c>
      <c r="E18" s="125">
        <f t="shared" si="19"/>
        <v>37.521293558973426</v>
      </c>
      <c r="F18" s="146">
        <f t="shared" si="20"/>
        <v>2.5925012183834686</v>
      </c>
      <c r="G18" s="127"/>
      <c r="H18" s="126">
        <f t="shared" si="21"/>
        <v>2.5925012183834677</v>
      </c>
      <c r="I18" s="230">
        <f>'[1]июль 20'!AI17</f>
        <v>0</v>
      </c>
      <c r="J18" s="247">
        <f>'[1]апрель 20'!AA17</f>
        <v>10.268000000000001</v>
      </c>
      <c r="K18" s="276">
        <f>'[1]сентябрь 20'!AM17</f>
        <v>0</v>
      </c>
      <c r="L18" s="122"/>
      <c r="M18" s="128">
        <f t="shared" si="22"/>
        <v>0</v>
      </c>
      <c r="N18" s="400">
        <f>'[1]апрель 20'!W17</f>
        <v>0</v>
      </c>
      <c r="O18" s="403">
        <f>'[1]апрель 20'!AU17</f>
        <v>2.1150000000000002</v>
      </c>
      <c r="P18" s="401">
        <f t="shared" si="0"/>
        <v>197.38800000000001</v>
      </c>
      <c r="Q18" s="122">
        <f t="shared" si="23"/>
        <v>197.38800000000001</v>
      </c>
      <c r="R18" s="123">
        <f t="shared" si="24"/>
        <v>4.3099999999999996</v>
      </c>
      <c r="S18" s="129"/>
      <c r="T18" s="125">
        <f t="shared" si="1"/>
        <v>188.8805772</v>
      </c>
      <c r="U18" s="147">
        <f t="shared" si="2"/>
        <v>1.5070659634564751</v>
      </c>
      <c r="V18" s="130">
        <f t="shared" si="25"/>
        <v>125.33000000000001</v>
      </c>
      <c r="W18" s="130">
        <v>107.23</v>
      </c>
      <c r="X18" s="129">
        <v>0.35</v>
      </c>
      <c r="Y18" s="131">
        <v>480</v>
      </c>
      <c r="Z18" s="150">
        <v>1178</v>
      </c>
      <c r="AA18" s="148" t="s">
        <v>234</v>
      </c>
      <c r="AB18" s="149">
        <v>76.08</v>
      </c>
      <c r="AC18" s="150">
        <v>105</v>
      </c>
      <c r="AD18" s="151">
        <v>4</v>
      </c>
      <c r="AE18" s="149"/>
      <c r="AF18" s="134">
        <f t="shared" si="3"/>
        <v>0</v>
      </c>
      <c r="AG18" s="152"/>
      <c r="AH18" s="129">
        <v>84.7</v>
      </c>
      <c r="AI18" s="134">
        <f t="shared" si="4"/>
        <v>675.81584616612156</v>
      </c>
      <c r="AJ18" s="153">
        <v>13.33</v>
      </c>
      <c r="AK18" s="154"/>
      <c r="AL18" s="155">
        <v>7.12</v>
      </c>
      <c r="AM18" s="156">
        <v>30.65</v>
      </c>
      <c r="AN18" s="126">
        <f t="shared" si="26"/>
        <v>0.18948995363214838</v>
      </c>
      <c r="AO18" s="157" t="s">
        <v>181</v>
      </c>
      <c r="AP18" s="156">
        <v>7.76</v>
      </c>
      <c r="AQ18" s="156">
        <v>6.31</v>
      </c>
      <c r="AR18" s="151"/>
      <c r="AS18" s="149">
        <v>10.73</v>
      </c>
      <c r="AT18" s="129">
        <f t="shared" si="27"/>
        <v>161.75</v>
      </c>
      <c r="AU18" s="149">
        <v>1.35</v>
      </c>
      <c r="AV18" s="149"/>
      <c r="AW18" s="149"/>
      <c r="AX18" s="158">
        <f t="shared" si="5"/>
        <v>0</v>
      </c>
      <c r="AY18" s="125">
        <f t="shared" si="6"/>
        <v>125.32999999999998</v>
      </c>
      <c r="AZ18" s="125">
        <f t="shared" si="39"/>
        <v>142.44413714406005</v>
      </c>
      <c r="BA18" s="159">
        <f t="shared" si="7"/>
        <v>7.0402401408450697</v>
      </c>
      <c r="BB18" s="160">
        <f t="shared" si="8"/>
        <v>5.0131999999999994</v>
      </c>
      <c r="BC18" s="161">
        <f t="shared" si="9"/>
        <v>0.78212061366165486</v>
      </c>
      <c r="BD18" s="160">
        <f t="shared" si="28"/>
        <v>12.053440140845069</v>
      </c>
      <c r="BE18" s="162">
        <v>0.83399999999999996</v>
      </c>
      <c r="BF18" s="25">
        <f t="shared" si="29"/>
        <v>1671.2099999999998</v>
      </c>
      <c r="BG18" s="25">
        <f t="shared" si="10"/>
        <v>125</v>
      </c>
      <c r="BH18" s="25">
        <f t="shared" si="30"/>
        <v>1500</v>
      </c>
      <c r="BI18" s="26">
        <f t="shared" si="11"/>
        <v>1</v>
      </c>
      <c r="BJ18" s="37">
        <f t="shared" si="31"/>
        <v>1500</v>
      </c>
      <c r="BK18" s="38"/>
      <c r="BL18" s="28">
        <f t="shared" si="32"/>
        <v>304.346</v>
      </c>
      <c r="BM18" s="31"/>
      <c r="BN18" s="234"/>
      <c r="BO18" s="42"/>
      <c r="BP18" s="40">
        <v>26.268999999999998</v>
      </c>
      <c r="BQ18" s="411"/>
      <c r="BR18" s="41"/>
      <c r="BS18" s="34">
        <v>1.65</v>
      </c>
      <c r="BT18" s="35"/>
      <c r="BU18" s="28"/>
      <c r="BV18" s="287"/>
      <c r="BW18" s="287">
        <v>2.57</v>
      </c>
      <c r="BX18" s="36"/>
      <c r="BY18" s="34"/>
      <c r="BZ18" s="34">
        <v>37.36</v>
      </c>
      <c r="CA18" s="35"/>
      <c r="CB18" s="405"/>
      <c r="CC18" s="404"/>
      <c r="CD18" s="235">
        <v>39.39</v>
      </c>
      <c r="CE18" s="405"/>
      <c r="CF18" s="28">
        <f t="shared" si="33"/>
        <v>197.38800000000001</v>
      </c>
      <c r="CG18" s="42"/>
      <c r="CH18" s="234"/>
      <c r="CI18" s="233"/>
      <c r="CJ18" s="33">
        <v>4.3099999999999996</v>
      </c>
      <c r="CK18" s="33"/>
      <c r="CL18" s="33"/>
      <c r="CM18" s="36"/>
      <c r="CN18" s="286"/>
      <c r="CO18" s="249">
        <f t="shared" si="12"/>
        <v>0</v>
      </c>
      <c r="CP18" s="12">
        <f t="shared" si="12"/>
        <v>299.32429099999996</v>
      </c>
      <c r="CQ18" s="12">
        <f t="shared" si="12"/>
        <v>0</v>
      </c>
      <c r="CR18" s="12">
        <f t="shared" si="12"/>
        <v>0</v>
      </c>
      <c r="CS18" s="11">
        <f t="shared" si="12"/>
        <v>0</v>
      </c>
      <c r="CT18" s="11">
        <f t="shared" si="12"/>
        <v>25.593886699999999</v>
      </c>
      <c r="CU18" s="272">
        <f t="shared" si="12"/>
        <v>0</v>
      </c>
      <c r="CV18" s="249">
        <f t="shared" si="13"/>
        <v>188.8805772</v>
      </c>
      <c r="CW18" s="11">
        <f t="shared" si="13"/>
        <v>0</v>
      </c>
      <c r="CX18" s="249">
        <f t="shared" si="13"/>
        <v>0</v>
      </c>
      <c r="CY18" s="272">
        <f t="shared" si="13"/>
        <v>0</v>
      </c>
      <c r="CZ18" s="13"/>
      <c r="DA18" s="240">
        <f>(D18+'[2]апрель 20 '!D18)/(AY18+'[2]апрель 20 '!AX18)</f>
        <v>2.4022276665349187</v>
      </c>
      <c r="DB18" s="241">
        <f>(T18+'[2]апрель 20 '!R18)/(AY18+'[2]апрель 20 '!AX18)</f>
        <v>1.4262581776169776</v>
      </c>
      <c r="DD18" s="292">
        <f t="shared" si="14"/>
        <v>10.268000000000001</v>
      </c>
      <c r="DE18" s="291">
        <v>0.14000000000000001</v>
      </c>
      <c r="DF18" s="291">
        <v>18.93</v>
      </c>
      <c r="DG18" s="145">
        <f t="shared" si="15"/>
        <v>10.253624800000001</v>
      </c>
      <c r="DH18" s="293">
        <f t="shared" si="34"/>
        <v>2.5512765176656149</v>
      </c>
      <c r="DJ18" s="149">
        <v>143.65</v>
      </c>
      <c r="DK18" s="459">
        <f t="shared" si="35"/>
        <v>161.75</v>
      </c>
      <c r="DL18" s="31">
        <v>236.346</v>
      </c>
      <c r="DM18" s="322">
        <f t="shared" si="36"/>
        <v>304.346</v>
      </c>
      <c r="DN18" s="38">
        <v>157.38800000000001</v>
      </c>
      <c r="DO18" s="460">
        <f t="shared" si="37"/>
        <v>197.38800000000001</v>
      </c>
      <c r="DP18" s="130">
        <v>107.23</v>
      </c>
      <c r="DQ18" s="461">
        <f t="shared" si="38"/>
        <v>125.33000000000001</v>
      </c>
    </row>
    <row r="19" spans="1:121" s="76" customFormat="1" ht="16.5" customHeight="1" thickBot="1">
      <c r="A19" s="144">
        <v>13</v>
      </c>
      <c r="B19" s="122">
        <f t="shared" si="16"/>
        <v>324.70699999999999</v>
      </c>
      <c r="C19" s="123">
        <f t="shared" si="17"/>
        <v>2.4347259529360317</v>
      </c>
      <c r="D19" s="145">
        <f t="shared" si="18"/>
        <v>316.80127440000001</v>
      </c>
      <c r="E19" s="125">
        <f t="shared" si="19"/>
        <v>37.744606522187695</v>
      </c>
      <c r="F19" s="146">
        <f t="shared" si="20"/>
        <v>2.3909530143396234</v>
      </c>
      <c r="G19" s="127"/>
      <c r="H19" s="126">
        <f t="shared" si="21"/>
        <v>2.3909530143396229</v>
      </c>
      <c r="I19" s="230">
        <f>'[1]июль 20'!AI18</f>
        <v>0</v>
      </c>
      <c r="J19" s="247">
        <f>'[1]апрель 20'!AA18</f>
        <v>10.188000000000001</v>
      </c>
      <c r="K19" s="276">
        <f>'[1]сентябрь 20'!AM18</f>
        <v>0</v>
      </c>
      <c r="L19" s="122"/>
      <c r="M19" s="128">
        <f t="shared" si="22"/>
        <v>0</v>
      </c>
      <c r="N19" s="400">
        <f>'[1]апрель 20'!W18</f>
        <v>0</v>
      </c>
      <c r="O19" s="403">
        <f>'[1]апрель 20'!AU18</f>
        <v>1.6160000000000001</v>
      </c>
      <c r="P19" s="401">
        <f t="shared" si="0"/>
        <v>195.16800000000001</v>
      </c>
      <c r="Q19" s="122">
        <f t="shared" si="23"/>
        <v>195.16800000000001</v>
      </c>
      <c r="R19" s="123">
        <f t="shared" si="24"/>
        <v>4.41</v>
      </c>
      <c r="S19" s="129">
        <v>9.1300000000000008</v>
      </c>
      <c r="T19" s="125">
        <f t="shared" si="1"/>
        <v>186.56109120000002</v>
      </c>
      <c r="U19" s="147">
        <f t="shared" si="2"/>
        <v>1.4080082354716985</v>
      </c>
      <c r="V19" s="130">
        <f t="shared" si="25"/>
        <v>132.5</v>
      </c>
      <c r="W19" s="130">
        <v>114.4</v>
      </c>
      <c r="X19" s="129">
        <v>0.37</v>
      </c>
      <c r="Y19" s="131">
        <v>509</v>
      </c>
      <c r="Z19" s="150">
        <v>1167</v>
      </c>
      <c r="AA19" s="148" t="s">
        <v>235</v>
      </c>
      <c r="AB19" s="149">
        <v>76.650000000000006</v>
      </c>
      <c r="AC19" s="150">
        <v>103</v>
      </c>
      <c r="AD19" s="151">
        <v>4</v>
      </c>
      <c r="AE19" s="149"/>
      <c r="AF19" s="134">
        <f t="shared" si="3"/>
        <v>0</v>
      </c>
      <c r="AG19" s="152"/>
      <c r="AH19" s="129">
        <v>84.5</v>
      </c>
      <c r="AI19" s="134">
        <f t="shared" si="4"/>
        <v>637.73584905660391</v>
      </c>
      <c r="AJ19" s="136">
        <v>12.02</v>
      </c>
      <c r="AK19" s="154"/>
      <c r="AL19" s="155">
        <v>7.03</v>
      </c>
      <c r="AM19" s="156">
        <v>29.21</v>
      </c>
      <c r="AN19" s="126">
        <f t="shared" si="26"/>
        <v>0.17548813457494744</v>
      </c>
      <c r="AO19" s="157" t="s">
        <v>184</v>
      </c>
      <c r="AP19" s="156">
        <v>8.1999999999999993</v>
      </c>
      <c r="AQ19" s="156">
        <v>6.8</v>
      </c>
      <c r="AR19" s="151"/>
      <c r="AS19" s="149">
        <v>8.42</v>
      </c>
      <c r="AT19" s="129">
        <f t="shared" si="27"/>
        <v>166.45</v>
      </c>
      <c r="AU19" s="149">
        <v>2.29</v>
      </c>
      <c r="AV19" s="164"/>
      <c r="AW19" s="149"/>
      <c r="AX19" s="158">
        <f t="shared" si="5"/>
        <v>0</v>
      </c>
      <c r="AY19" s="125">
        <f t="shared" si="6"/>
        <v>132.49999999999997</v>
      </c>
      <c r="AZ19" s="125">
        <f t="shared" si="39"/>
        <v>138.23679206790931</v>
      </c>
      <c r="BA19" s="159">
        <f t="shared" si="7"/>
        <v>5.5115422535211271</v>
      </c>
      <c r="BB19" s="160">
        <f t="shared" si="8"/>
        <v>5.2999999999999989</v>
      </c>
      <c r="BC19" s="161">
        <f t="shared" si="9"/>
        <v>0.84934906919637176</v>
      </c>
      <c r="BD19" s="160">
        <f t="shared" si="28"/>
        <v>10.811542253521125</v>
      </c>
      <c r="BE19" s="162">
        <v>0.83599999999999997</v>
      </c>
      <c r="BF19" s="25">
        <f t="shared" si="29"/>
        <v>1803.7099999999998</v>
      </c>
      <c r="BG19" s="25">
        <f t="shared" si="10"/>
        <v>125</v>
      </c>
      <c r="BH19" s="25">
        <f t="shared" si="30"/>
        <v>1625</v>
      </c>
      <c r="BI19" s="26">
        <f t="shared" si="11"/>
        <v>1</v>
      </c>
      <c r="BJ19" s="37">
        <f t="shared" si="31"/>
        <v>1625</v>
      </c>
      <c r="BK19" s="38"/>
      <c r="BL19" s="28">
        <f t="shared" si="32"/>
        <v>298.80799999999999</v>
      </c>
      <c r="BM19" s="31"/>
      <c r="BN19" s="234"/>
      <c r="BO19" s="42"/>
      <c r="BP19" s="40">
        <v>25.899000000000001</v>
      </c>
      <c r="BQ19" s="411"/>
      <c r="BR19" s="33"/>
      <c r="BS19" s="34">
        <v>2.41</v>
      </c>
      <c r="BT19" s="35"/>
      <c r="BU19" s="28"/>
      <c r="BV19" s="287"/>
      <c r="BW19" s="287">
        <v>2.72</v>
      </c>
      <c r="BX19" s="36"/>
      <c r="BY19" s="33"/>
      <c r="BZ19" s="34">
        <v>37.68</v>
      </c>
      <c r="CA19" s="35"/>
      <c r="CB19" s="405"/>
      <c r="CC19" s="404"/>
      <c r="CD19" s="235">
        <v>38.49</v>
      </c>
      <c r="CE19" s="413"/>
      <c r="CF19" s="28">
        <f t="shared" si="33"/>
        <v>195.16800000000001</v>
      </c>
      <c r="CG19" s="41"/>
      <c r="CH19" s="30"/>
      <c r="CI19" s="32"/>
      <c r="CJ19" s="33">
        <v>4.41</v>
      </c>
      <c r="CK19" s="33"/>
      <c r="CL19" s="33"/>
      <c r="CM19" s="36"/>
      <c r="CN19" s="286"/>
      <c r="CO19" s="249">
        <f t="shared" si="12"/>
        <v>0</v>
      </c>
      <c r="CP19" s="12">
        <f t="shared" si="12"/>
        <v>291.60672719999997</v>
      </c>
      <c r="CQ19" s="12">
        <f t="shared" si="12"/>
        <v>0</v>
      </c>
      <c r="CR19" s="12">
        <f t="shared" si="12"/>
        <v>0</v>
      </c>
      <c r="CS19" s="11">
        <f t="shared" si="12"/>
        <v>0</v>
      </c>
      <c r="CT19" s="11">
        <f t="shared" si="12"/>
        <v>25.194547200000002</v>
      </c>
      <c r="CU19" s="272">
        <f t="shared" si="12"/>
        <v>0</v>
      </c>
      <c r="CV19" s="249">
        <f t="shared" si="13"/>
        <v>186.56109120000002</v>
      </c>
      <c r="CW19" s="251">
        <f t="shared" si="13"/>
        <v>0</v>
      </c>
      <c r="CX19" s="249">
        <f t="shared" si="13"/>
        <v>0</v>
      </c>
      <c r="CY19" s="272">
        <f t="shared" si="13"/>
        <v>0</v>
      </c>
      <c r="CZ19" s="13"/>
      <c r="DA19" s="240">
        <f>(D19+'[2]апрель 20 '!D19)/(AY19+'[2]апрель 20 '!AX19)</f>
        <v>2.3741800886785107</v>
      </c>
      <c r="DB19" s="241">
        <f>(T19+'[2]апрель 20 '!R19)/(AY19+'[2]апрель 20 '!AX19)</f>
        <v>1.421346029539531</v>
      </c>
      <c r="DD19" s="292">
        <f t="shared" si="14"/>
        <v>10.188000000000001</v>
      </c>
      <c r="DE19" s="291">
        <v>4.63</v>
      </c>
      <c r="DF19" s="291">
        <v>16.149999999999999</v>
      </c>
      <c r="DG19" s="145">
        <f t="shared" si="15"/>
        <v>9.7162956000000005</v>
      </c>
      <c r="DH19" s="293">
        <f t="shared" si="34"/>
        <v>2.0472038348336592</v>
      </c>
      <c r="DJ19" s="149">
        <v>148.35</v>
      </c>
      <c r="DK19" s="459">
        <f t="shared" si="35"/>
        <v>166.45</v>
      </c>
      <c r="DL19" s="31">
        <v>230.80799999999999</v>
      </c>
      <c r="DM19" s="322">
        <f t="shared" si="36"/>
        <v>298.80799999999999</v>
      </c>
      <c r="DN19" s="41">
        <v>155.16800000000001</v>
      </c>
      <c r="DO19" s="460">
        <f t="shared" si="37"/>
        <v>195.16800000000001</v>
      </c>
      <c r="DP19" s="130">
        <v>114.4</v>
      </c>
      <c r="DQ19" s="461">
        <f t="shared" si="38"/>
        <v>132.5</v>
      </c>
    </row>
    <row r="20" spans="1:121" s="76" customFormat="1" ht="16.5" customHeight="1" thickBot="1">
      <c r="A20" s="144">
        <v>14</v>
      </c>
      <c r="B20" s="122">
        <f t="shared" si="16"/>
        <v>300.53299999999996</v>
      </c>
      <c r="C20" s="123">
        <f t="shared" si="17"/>
        <v>2.3298182229572126</v>
      </c>
      <c r="D20" s="145">
        <f t="shared" si="18"/>
        <v>293.53112739999995</v>
      </c>
      <c r="E20" s="125">
        <f t="shared" si="19"/>
        <v>37.885962573161684</v>
      </c>
      <c r="F20" s="146">
        <f t="shared" si="20"/>
        <v>2.7610867030382833</v>
      </c>
      <c r="G20" s="127"/>
      <c r="H20" s="126">
        <f t="shared" si="21"/>
        <v>2.7610867030382837</v>
      </c>
      <c r="I20" s="230">
        <f>'[1]июль 20'!AI19</f>
        <v>0</v>
      </c>
      <c r="J20" s="247">
        <f>'[1]апрель 20'!AA19</f>
        <v>9.1910000000000007</v>
      </c>
      <c r="K20" s="276">
        <f>'[1]сентябрь 20'!AM19</f>
        <v>0</v>
      </c>
      <c r="L20" s="122"/>
      <c r="M20" s="128">
        <f t="shared" si="22"/>
        <v>0</v>
      </c>
      <c r="N20" s="400">
        <f>'[1]апрель 20'!W19</f>
        <v>0</v>
      </c>
      <c r="O20" s="403">
        <f>'[1]апрель 20'!AU19</f>
        <v>1.423</v>
      </c>
      <c r="P20" s="401">
        <f t="shared" si="0"/>
        <v>181.774</v>
      </c>
      <c r="Q20" s="122">
        <f t="shared" si="23"/>
        <v>181.774</v>
      </c>
      <c r="R20" s="123">
        <f t="shared" si="24"/>
        <v>4.5199999999999996</v>
      </c>
      <c r="S20" s="129">
        <v>15.31</v>
      </c>
      <c r="T20" s="125">
        <f t="shared" si="1"/>
        <v>173.55781520000002</v>
      </c>
      <c r="U20" s="147">
        <f t="shared" si="2"/>
        <v>1.6325634013733421</v>
      </c>
      <c r="V20" s="130">
        <f t="shared" si="25"/>
        <v>106.31</v>
      </c>
      <c r="W20" s="130">
        <v>64.37</v>
      </c>
      <c r="X20" s="129">
        <v>0.68</v>
      </c>
      <c r="Y20" s="131">
        <v>529</v>
      </c>
      <c r="Z20" s="150">
        <v>1156</v>
      </c>
      <c r="AA20" s="168" t="s">
        <v>236</v>
      </c>
      <c r="AB20" s="149">
        <v>75.819999999999993</v>
      </c>
      <c r="AC20" s="150">
        <v>93</v>
      </c>
      <c r="AD20" s="151">
        <v>4</v>
      </c>
      <c r="AE20" s="149"/>
      <c r="AF20" s="134">
        <f t="shared" si="3"/>
        <v>0</v>
      </c>
      <c r="AG20" s="152"/>
      <c r="AH20" s="129">
        <v>66.45</v>
      </c>
      <c r="AI20" s="134">
        <f t="shared" si="4"/>
        <v>625.0587903301664</v>
      </c>
      <c r="AJ20" s="153">
        <v>13.78</v>
      </c>
      <c r="AK20" s="154"/>
      <c r="AL20" s="155">
        <v>6.7</v>
      </c>
      <c r="AM20" s="156">
        <v>29.4</v>
      </c>
      <c r="AN20" s="126">
        <f t="shared" si="26"/>
        <v>0.20955096222380609</v>
      </c>
      <c r="AO20" s="157" t="s">
        <v>183</v>
      </c>
      <c r="AP20" s="156">
        <v>7.99</v>
      </c>
      <c r="AQ20" s="156">
        <v>6.45</v>
      </c>
      <c r="AR20" s="149"/>
      <c r="AS20" s="149">
        <v>9.49</v>
      </c>
      <c r="AT20" s="129">
        <f t="shared" si="27"/>
        <v>140.30000000000001</v>
      </c>
      <c r="AU20" s="149">
        <v>2.11</v>
      </c>
      <c r="AV20" s="149"/>
      <c r="AW20" s="149"/>
      <c r="AX20" s="158">
        <f t="shared" si="5"/>
        <v>0</v>
      </c>
      <c r="AY20" s="125">
        <f t="shared" si="6"/>
        <v>106.31000000000002</v>
      </c>
      <c r="AZ20" s="125">
        <f t="shared" si="39"/>
        <v>130.34437981465433</v>
      </c>
      <c r="BA20" s="159">
        <f t="shared" si="7"/>
        <v>4.8850109154929573</v>
      </c>
      <c r="BB20" s="160">
        <f t="shared" si="8"/>
        <v>4.2524000000000006</v>
      </c>
      <c r="BC20" s="161">
        <f t="shared" si="9"/>
        <v>0.72481205808687588</v>
      </c>
      <c r="BD20" s="160">
        <f t="shared" si="28"/>
        <v>9.137410915492957</v>
      </c>
      <c r="BE20" s="162">
        <v>0.82799999999999996</v>
      </c>
      <c r="BF20" s="25">
        <f t="shared" si="29"/>
        <v>1910.0199999999998</v>
      </c>
      <c r="BG20" s="25">
        <f t="shared" si="10"/>
        <v>125</v>
      </c>
      <c r="BH20" s="25">
        <f t="shared" si="30"/>
        <v>1750</v>
      </c>
      <c r="BI20" s="26">
        <f t="shared" si="11"/>
        <v>1</v>
      </c>
      <c r="BJ20" s="37">
        <f t="shared" si="31"/>
        <v>1750</v>
      </c>
      <c r="BK20" s="38"/>
      <c r="BL20" s="28">
        <f t="shared" si="32"/>
        <v>277.27499999999998</v>
      </c>
      <c r="BM20" s="31"/>
      <c r="BN20" s="234"/>
      <c r="BO20" s="42"/>
      <c r="BP20" s="40">
        <v>23.257999999999999</v>
      </c>
      <c r="BQ20" s="411"/>
      <c r="BR20" s="33"/>
      <c r="BS20" s="34">
        <v>2.36</v>
      </c>
      <c r="BT20" s="35"/>
      <c r="BU20" s="28"/>
      <c r="BV20" s="287"/>
      <c r="BW20" s="287">
        <v>1.97</v>
      </c>
      <c r="BX20" s="36"/>
      <c r="BY20" s="33"/>
      <c r="BZ20" s="34">
        <v>37.79</v>
      </c>
      <c r="CA20" s="35"/>
      <c r="CB20" s="405"/>
      <c r="CC20" s="404"/>
      <c r="CD20" s="235">
        <v>39.03</v>
      </c>
      <c r="CE20" s="413"/>
      <c r="CF20" s="28">
        <f t="shared" si="33"/>
        <v>181.774</v>
      </c>
      <c r="CG20" s="30"/>
      <c r="CH20" s="31"/>
      <c r="CI20" s="32"/>
      <c r="CJ20" s="33">
        <v>4.5199999999999996</v>
      </c>
      <c r="CK20" s="33"/>
      <c r="CL20" s="35"/>
      <c r="CM20" s="36"/>
      <c r="CN20" s="286"/>
      <c r="CO20" s="249">
        <f t="shared" si="12"/>
        <v>0</v>
      </c>
      <c r="CP20" s="12">
        <f t="shared" si="12"/>
        <v>270.73131000000001</v>
      </c>
      <c r="CQ20" s="12">
        <f t="shared" si="12"/>
        <v>0</v>
      </c>
      <c r="CR20" s="12">
        <f t="shared" si="12"/>
        <v>0</v>
      </c>
      <c r="CS20" s="11">
        <f t="shared" si="12"/>
        <v>0</v>
      </c>
      <c r="CT20" s="11">
        <f t="shared" si="12"/>
        <v>22.799817400000002</v>
      </c>
      <c r="CU20" s="272">
        <f t="shared" si="12"/>
        <v>0</v>
      </c>
      <c r="CV20" s="249">
        <f t="shared" si="13"/>
        <v>173.55781520000002</v>
      </c>
      <c r="CW20" s="12">
        <f t="shared" si="13"/>
        <v>0</v>
      </c>
      <c r="CX20" s="249">
        <f t="shared" si="13"/>
        <v>0</v>
      </c>
      <c r="CY20" s="272">
        <f t="shared" si="13"/>
        <v>0</v>
      </c>
      <c r="CZ20" s="13"/>
      <c r="DA20" s="240">
        <f>(D20+'[2]апрель 20 '!D20)/(AY20+'[2]апрель 20 '!AX20)</f>
        <v>2.5191875773297427</v>
      </c>
      <c r="DB20" s="241">
        <f>(T20+'[2]апрель 20 '!R20)/(AY20+'[2]апрель 20 '!AX20)</f>
        <v>1.5134557535955868</v>
      </c>
      <c r="DD20" s="292">
        <f t="shared" si="14"/>
        <v>9.1910000000000007</v>
      </c>
      <c r="DE20" s="291">
        <v>0.38</v>
      </c>
      <c r="DF20" s="407">
        <v>19.04</v>
      </c>
      <c r="DG20" s="145">
        <f t="shared" si="15"/>
        <v>9.1560742000000008</v>
      </c>
      <c r="DH20" s="293">
        <f t="shared" si="34"/>
        <v>2.2992832071748879</v>
      </c>
      <c r="DJ20" s="149">
        <v>122.2</v>
      </c>
      <c r="DK20" s="459">
        <f t="shared" si="35"/>
        <v>140.30000000000001</v>
      </c>
      <c r="DL20" s="31">
        <v>209.27500000000001</v>
      </c>
      <c r="DM20" s="322">
        <f t="shared" si="36"/>
        <v>277.27499999999998</v>
      </c>
      <c r="DN20" s="30">
        <v>141.774</v>
      </c>
      <c r="DO20" s="460">
        <f t="shared" si="37"/>
        <v>181.774</v>
      </c>
      <c r="DP20" s="130">
        <v>88.21</v>
      </c>
      <c r="DQ20" s="461">
        <f t="shared" si="38"/>
        <v>106.31</v>
      </c>
    </row>
    <row r="21" spans="1:121" s="76" customFormat="1" ht="16.5" customHeight="1" thickBot="1">
      <c r="A21" s="144">
        <v>15</v>
      </c>
      <c r="B21" s="122">
        <f t="shared" si="16"/>
        <v>316.92700000000002</v>
      </c>
      <c r="C21" s="123">
        <f t="shared" si="17"/>
        <v>1.5313300223710822</v>
      </c>
      <c r="D21" s="145">
        <f t="shared" si="18"/>
        <v>312.07380170000005</v>
      </c>
      <c r="E21" s="125">
        <f t="shared" si="19"/>
        <v>37.407923780555144</v>
      </c>
      <c r="F21" s="146">
        <f t="shared" si="20"/>
        <v>2.4537962077370663</v>
      </c>
      <c r="G21" s="127"/>
      <c r="H21" s="126">
        <f t="shared" si="21"/>
        <v>2.4537962077370659</v>
      </c>
      <c r="I21" s="230">
        <f>'[1]июль 20'!AI20</f>
        <v>0</v>
      </c>
      <c r="J21" s="247">
        <f>'[1]апрель 20'!AA20</f>
        <v>9.6379999999999999</v>
      </c>
      <c r="K21" s="276">
        <f>'[1]сентябрь 20'!AM20</f>
        <v>0</v>
      </c>
      <c r="L21" s="122"/>
      <c r="M21" s="128">
        <f t="shared" si="22"/>
        <v>0</v>
      </c>
      <c r="N21" s="400">
        <f>'[1]апрель 20'!W20</f>
        <v>0</v>
      </c>
      <c r="O21" s="403">
        <f>'[1]апрель 20'!AU20</f>
        <v>1.4930000000000001</v>
      </c>
      <c r="P21" s="401">
        <f t="shared" si="0"/>
        <v>190.245</v>
      </c>
      <c r="Q21" s="122">
        <f t="shared" si="23"/>
        <v>190.245</v>
      </c>
      <c r="R21" s="123">
        <f t="shared" si="24"/>
        <v>4.26</v>
      </c>
      <c r="S21" s="129">
        <v>10.63</v>
      </c>
      <c r="T21" s="125">
        <f t="shared" si="1"/>
        <v>182.14056299999999</v>
      </c>
      <c r="U21" s="147">
        <f t="shared" si="2"/>
        <v>1.4321478455732035</v>
      </c>
      <c r="V21" s="130">
        <f t="shared" si="25"/>
        <v>127.18</v>
      </c>
      <c r="W21" s="130">
        <v>109.08</v>
      </c>
      <c r="X21" s="129">
        <v>0.61</v>
      </c>
      <c r="Y21" s="131">
        <v>508</v>
      </c>
      <c r="Z21" s="150">
        <v>1152</v>
      </c>
      <c r="AA21" s="168" t="s">
        <v>236</v>
      </c>
      <c r="AB21" s="149">
        <v>76.91</v>
      </c>
      <c r="AC21" s="150">
        <v>99</v>
      </c>
      <c r="AD21" s="151">
        <v>4</v>
      </c>
      <c r="AE21" s="149"/>
      <c r="AF21" s="134">
        <f t="shared" si="3"/>
        <v>0</v>
      </c>
      <c r="AG21" s="152"/>
      <c r="AH21" s="129">
        <v>70.400000000000006</v>
      </c>
      <c r="AI21" s="134">
        <f t="shared" si="4"/>
        <v>553.54615505582649</v>
      </c>
      <c r="AJ21" s="136">
        <v>15.22</v>
      </c>
      <c r="AK21" s="154"/>
      <c r="AL21" s="155">
        <v>5.34</v>
      </c>
      <c r="AM21" s="156">
        <v>25.14</v>
      </c>
      <c r="AN21" s="126">
        <f t="shared" si="26"/>
        <v>0.16188023180940117</v>
      </c>
      <c r="AO21" s="157" t="s">
        <v>203</v>
      </c>
      <c r="AP21" s="156">
        <v>8.08</v>
      </c>
      <c r="AQ21" s="156">
        <v>6.45</v>
      </c>
      <c r="AR21" s="149"/>
      <c r="AS21" s="149">
        <v>8.99</v>
      </c>
      <c r="AT21" s="129">
        <f t="shared" si="27"/>
        <v>155.29999999999998</v>
      </c>
      <c r="AU21" s="149">
        <v>2.36</v>
      </c>
      <c r="AV21" s="149"/>
      <c r="AW21" s="149"/>
      <c r="AX21" s="158">
        <f t="shared" si="5"/>
        <v>0</v>
      </c>
      <c r="AY21" s="125">
        <f t="shared" si="6"/>
        <v>127.17999999999998</v>
      </c>
      <c r="AZ21" s="125">
        <f t="shared" si="39"/>
        <v>134.56407189871496</v>
      </c>
      <c r="BA21" s="159">
        <f t="shared" si="7"/>
        <v>4.9027154929577463</v>
      </c>
      <c r="BB21" s="160">
        <f t="shared" si="8"/>
        <v>5.0871999999999993</v>
      </c>
      <c r="BC21" s="161">
        <f t="shared" si="9"/>
        <v>0.83787786192971281</v>
      </c>
      <c r="BD21" s="160">
        <f t="shared" si="28"/>
        <v>9.9899154929577456</v>
      </c>
      <c r="BE21" s="162">
        <v>0.82899999999999996</v>
      </c>
      <c r="BF21" s="25">
        <f t="shared" si="29"/>
        <v>2037.1999999999998</v>
      </c>
      <c r="BG21" s="25">
        <f t="shared" si="10"/>
        <v>125</v>
      </c>
      <c r="BH21" s="25">
        <f t="shared" si="30"/>
        <v>1875</v>
      </c>
      <c r="BI21" s="26">
        <f t="shared" si="11"/>
        <v>1</v>
      </c>
      <c r="BJ21" s="37">
        <f t="shared" si="31"/>
        <v>1875</v>
      </c>
      <c r="BK21" s="38"/>
      <c r="BL21" s="28">
        <f t="shared" si="32"/>
        <v>290.37200000000001</v>
      </c>
      <c r="BM21" s="31"/>
      <c r="BN21" s="234"/>
      <c r="BO21" s="42"/>
      <c r="BP21" s="40">
        <v>26.555</v>
      </c>
      <c r="BQ21" s="411"/>
      <c r="BR21" s="33"/>
      <c r="BS21" s="34">
        <v>1.44</v>
      </c>
      <c r="BT21" s="35"/>
      <c r="BU21" s="35"/>
      <c r="BV21" s="235"/>
      <c r="BW21" s="235">
        <v>2.5299999999999998</v>
      </c>
      <c r="BX21" s="36"/>
      <c r="BY21" s="33"/>
      <c r="BZ21" s="34">
        <v>37.33</v>
      </c>
      <c r="CA21" s="35"/>
      <c r="CB21" s="405"/>
      <c r="CC21" s="404"/>
      <c r="CD21" s="235">
        <v>38.26</v>
      </c>
      <c r="CE21" s="413"/>
      <c r="CF21" s="28">
        <f t="shared" si="33"/>
        <v>190.245</v>
      </c>
      <c r="CG21" s="30"/>
      <c r="CH21" s="31"/>
      <c r="CI21" s="32"/>
      <c r="CJ21" s="33">
        <v>4.26</v>
      </c>
      <c r="CK21" s="33"/>
      <c r="CL21" s="35"/>
      <c r="CM21" s="36"/>
      <c r="CN21" s="286"/>
      <c r="CO21" s="249">
        <f t="shared" si="12"/>
        <v>0</v>
      </c>
      <c r="CP21" s="12">
        <f t="shared" si="12"/>
        <v>286.19064320000001</v>
      </c>
      <c r="CQ21" s="12">
        <f t="shared" si="12"/>
        <v>0</v>
      </c>
      <c r="CR21" s="12">
        <f t="shared" si="12"/>
        <v>0</v>
      </c>
      <c r="CS21" s="11">
        <f t="shared" si="12"/>
        <v>0</v>
      </c>
      <c r="CT21" s="11">
        <f t="shared" si="12"/>
        <v>25.8831585</v>
      </c>
      <c r="CU21" s="272">
        <f t="shared" si="12"/>
        <v>0</v>
      </c>
      <c r="CV21" s="249">
        <f t="shared" si="13"/>
        <v>182.14056299999999</v>
      </c>
      <c r="CW21" s="12">
        <f t="shared" si="13"/>
        <v>0</v>
      </c>
      <c r="CX21" s="249">
        <f t="shared" si="13"/>
        <v>0</v>
      </c>
      <c r="CY21" s="272">
        <f t="shared" si="13"/>
        <v>0</v>
      </c>
      <c r="CZ21" s="13"/>
      <c r="DA21" s="240">
        <f>(D21+'[2]апрель 20 '!D21)/(AY21+'[2]апрель 20 '!AX21)</f>
        <v>2.3945720769435046</v>
      </c>
      <c r="DB21" s="241">
        <f>(T21+'[2]апрель 20 '!R21)/(AY21+'[2]апрель 20 '!AX21)</f>
        <v>1.4225272621655713</v>
      </c>
      <c r="DD21" s="292">
        <f t="shared" si="14"/>
        <v>9.6379999999999999</v>
      </c>
      <c r="DE21" s="291">
        <v>0.23</v>
      </c>
      <c r="DF21" s="291">
        <v>16.420000000000002</v>
      </c>
      <c r="DG21" s="145">
        <f t="shared" si="15"/>
        <v>9.6158325999999992</v>
      </c>
      <c r="DH21" s="293">
        <f t="shared" si="34"/>
        <v>2.0529446273826548</v>
      </c>
      <c r="DJ21" s="149">
        <v>137.19999999999999</v>
      </c>
      <c r="DK21" s="459">
        <f t="shared" si="35"/>
        <v>155.29999999999998</v>
      </c>
      <c r="DL21" s="31">
        <v>222.37200000000001</v>
      </c>
      <c r="DM21" s="322">
        <f t="shared" si="36"/>
        <v>290.37200000000001</v>
      </c>
      <c r="DN21" s="30">
        <v>150.245</v>
      </c>
      <c r="DO21" s="460">
        <f t="shared" si="37"/>
        <v>190.245</v>
      </c>
      <c r="DP21" s="130">
        <v>109.08</v>
      </c>
      <c r="DQ21" s="461">
        <f t="shared" si="38"/>
        <v>127.18</v>
      </c>
    </row>
    <row r="22" spans="1:121" s="76" customFormat="1" ht="16.5" customHeight="1" thickBot="1">
      <c r="A22" s="144">
        <v>16</v>
      </c>
      <c r="B22" s="122">
        <f t="shared" si="16"/>
        <v>328.05399999999997</v>
      </c>
      <c r="C22" s="123">
        <f t="shared" si="17"/>
        <v>1.1094270760301657</v>
      </c>
      <c r="D22" s="145">
        <f t="shared" si="18"/>
        <v>324.41448009999999</v>
      </c>
      <c r="E22" s="125">
        <f t="shared" si="19"/>
        <v>37.691451254976322</v>
      </c>
      <c r="F22" s="146">
        <f t="shared" si="20"/>
        <v>2.5518326130732318</v>
      </c>
      <c r="G22" s="127"/>
      <c r="H22" s="126">
        <f t="shared" si="21"/>
        <v>2.5518326130732314</v>
      </c>
      <c r="I22" s="230">
        <f>'[1]июль 20'!AI21</f>
        <v>0</v>
      </c>
      <c r="J22" s="247">
        <f>'[1]апрель 20'!AA21</f>
        <v>10.282999999999999</v>
      </c>
      <c r="K22" s="276">
        <f>'[1]сентябрь 20'!AM21</f>
        <v>0</v>
      </c>
      <c r="L22" s="122"/>
      <c r="M22" s="128">
        <f t="shared" si="22"/>
        <v>0</v>
      </c>
      <c r="N22" s="400">
        <f>'[1]апрель 20'!W21</f>
        <v>0</v>
      </c>
      <c r="O22" s="403">
        <f>'[1]апрель 20'!AU21</f>
        <v>1.3720000000000001</v>
      </c>
      <c r="P22" s="401">
        <f t="shared" si="0"/>
        <v>197.09200000000001</v>
      </c>
      <c r="Q22" s="122">
        <f t="shared" si="23"/>
        <v>197.09200000000001</v>
      </c>
      <c r="R22" s="123">
        <f t="shared" si="24"/>
        <v>4.2699999999999996</v>
      </c>
      <c r="S22" s="129">
        <v>8.02</v>
      </c>
      <c r="T22" s="125">
        <f t="shared" si="1"/>
        <v>188.67617160000003</v>
      </c>
      <c r="U22" s="147">
        <f t="shared" si="2"/>
        <v>1.4841199685361441</v>
      </c>
      <c r="V22" s="130">
        <f t="shared" si="25"/>
        <v>127.13</v>
      </c>
      <c r="W22" s="130">
        <v>82.82</v>
      </c>
      <c r="X22" s="129">
        <v>0.78</v>
      </c>
      <c r="Y22" s="131">
        <v>471</v>
      </c>
      <c r="Z22" s="150">
        <v>1171</v>
      </c>
      <c r="AA22" s="148" t="s">
        <v>231</v>
      </c>
      <c r="AB22" s="149">
        <v>77.33</v>
      </c>
      <c r="AC22" s="150">
        <v>104</v>
      </c>
      <c r="AD22" s="151">
        <v>4</v>
      </c>
      <c r="AE22" s="149"/>
      <c r="AF22" s="134">
        <f t="shared" si="3"/>
        <v>0</v>
      </c>
      <c r="AG22" s="152"/>
      <c r="AH22" s="129">
        <v>72.150000000000006</v>
      </c>
      <c r="AI22" s="134">
        <f t="shared" si="4"/>
        <v>567.52930071580272</v>
      </c>
      <c r="AJ22" s="153">
        <v>15.42</v>
      </c>
      <c r="AK22" s="154"/>
      <c r="AL22" s="155">
        <v>5.51</v>
      </c>
      <c r="AM22" s="156">
        <v>30.88</v>
      </c>
      <c r="AN22" s="126">
        <f t="shared" si="26"/>
        <v>0.19049969154842689</v>
      </c>
      <c r="AO22" s="157" t="s">
        <v>117</v>
      </c>
      <c r="AP22" s="156">
        <v>8.44</v>
      </c>
      <c r="AQ22" s="156">
        <v>7.04</v>
      </c>
      <c r="AR22" s="151"/>
      <c r="AS22" s="149">
        <v>7.54</v>
      </c>
      <c r="AT22" s="129">
        <f t="shared" si="27"/>
        <v>162.1</v>
      </c>
      <c r="AU22" s="149">
        <v>1.42</v>
      </c>
      <c r="AV22" s="149"/>
      <c r="AW22" s="149"/>
      <c r="AX22" s="158">
        <f t="shared" si="5"/>
        <v>0</v>
      </c>
      <c r="AY22" s="125">
        <f t="shared" si="6"/>
        <v>127.13000000000001</v>
      </c>
      <c r="AZ22" s="125">
        <f t="shared" si="39"/>
        <v>139.81613499009745</v>
      </c>
      <c r="BA22" s="159">
        <f t="shared" si="7"/>
        <v>4.2141697183098596</v>
      </c>
      <c r="BB22" s="160">
        <f t="shared" si="8"/>
        <v>5.0852000000000004</v>
      </c>
      <c r="BC22" s="161">
        <f t="shared" si="9"/>
        <v>0.80399429483867502</v>
      </c>
      <c r="BD22" s="160">
        <f t="shared" si="28"/>
        <v>9.29936971830986</v>
      </c>
      <c r="BE22" s="162">
        <v>0.82799999999999996</v>
      </c>
      <c r="BF22" s="25">
        <f t="shared" si="29"/>
        <v>2164.33</v>
      </c>
      <c r="BG22" s="25">
        <f t="shared" si="10"/>
        <v>125</v>
      </c>
      <c r="BH22" s="25">
        <f t="shared" si="30"/>
        <v>2000</v>
      </c>
      <c r="BI22" s="26">
        <f t="shared" si="11"/>
        <v>1</v>
      </c>
      <c r="BJ22" s="37">
        <f t="shared" si="31"/>
        <v>2000</v>
      </c>
      <c r="BK22" s="38"/>
      <c r="BL22" s="28">
        <f t="shared" si="32"/>
        <v>301.96299999999997</v>
      </c>
      <c r="BM22" s="31"/>
      <c r="BN22" s="234"/>
      <c r="BO22" s="42"/>
      <c r="BP22" s="40">
        <v>26.091000000000001</v>
      </c>
      <c r="BQ22" s="411"/>
      <c r="BR22" s="33"/>
      <c r="BS22" s="34">
        <v>1.08</v>
      </c>
      <c r="BT22" s="35"/>
      <c r="BU22" s="35"/>
      <c r="BV22" s="235"/>
      <c r="BW22" s="235">
        <v>1.45</v>
      </c>
      <c r="BX22" s="36"/>
      <c r="BY22" s="33"/>
      <c r="BZ22" s="34">
        <v>37.53</v>
      </c>
      <c r="CA22" s="35"/>
      <c r="CB22" s="405"/>
      <c r="CC22" s="404"/>
      <c r="CD22" s="235">
        <v>39.56</v>
      </c>
      <c r="CE22" s="413"/>
      <c r="CF22" s="28">
        <f t="shared" si="33"/>
        <v>197.09200000000001</v>
      </c>
      <c r="CG22" s="30"/>
      <c r="CH22" s="31"/>
      <c r="CI22" s="32"/>
      <c r="CJ22" s="33">
        <v>4.2699999999999996</v>
      </c>
      <c r="CK22" s="33"/>
      <c r="CL22" s="35"/>
      <c r="CM22" s="36"/>
      <c r="CN22" s="286"/>
      <c r="CO22" s="249">
        <f t="shared" si="12"/>
        <v>0</v>
      </c>
      <c r="CP22" s="12">
        <f t="shared" si="12"/>
        <v>298.70179959999996</v>
      </c>
      <c r="CQ22" s="12">
        <f t="shared" si="12"/>
        <v>0</v>
      </c>
      <c r="CR22" s="12">
        <f t="shared" si="12"/>
        <v>0</v>
      </c>
      <c r="CS22" s="11">
        <f t="shared" si="12"/>
        <v>0</v>
      </c>
      <c r="CT22" s="11">
        <f t="shared" si="12"/>
        <v>25.712680499999998</v>
      </c>
      <c r="CU22" s="272">
        <f t="shared" si="12"/>
        <v>0</v>
      </c>
      <c r="CV22" s="249">
        <f t="shared" si="13"/>
        <v>188.67617160000003</v>
      </c>
      <c r="CW22" s="12">
        <f t="shared" si="13"/>
        <v>0</v>
      </c>
      <c r="CX22" s="249">
        <f t="shared" si="13"/>
        <v>0</v>
      </c>
      <c r="CY22" s="272">
        <f t="shared" si="13"/>
        <v>0</v>
      </c>
      <c r="CZ22" s="13"/>
      <c r="DA22" s="240">
        <f>(D22+'[2]апрель 20 '!D22)/(AY22+'[2]апрель 20 '!AX22)</f>
        <v>2.3289175120562433</v>
      </c>
      <c r="DB22" s="241">
        <f>(T22+'[2]апрель 20 '!R22)/(AY22+'[2]апрель 20 '!AX22)</f>
        <v>1.374400591482192</v>
      </c>
      <c r="DD22" s="292">
        <f t="shared" si="14"/>
        <v>10.282999999999999</v>
      </c>
      <c r="DE22" s="291">
        <v>0.4</v>
      </c>
      <c r="DF22" s="291">
        <v>13.4</v>
      </c>
      <c r="DG22" s="145">
        <f t="shared" si="15"/>
        <v>10.241868</v>
      </c>
      <c r="DH22" s="293">
        <f t="shared" si="34"/>
        <v>1.7747450045260573</v>
      </c>
      <c r="DJ22" s="149">
        <v>144</v>
      </c>
      <c r="DK22" s="459">
        <f t="shared" si="35"/>
        <v>162.1</v>
      </c>
      <c r="DL22" s="31">
        <v>233.96299999999999</v>
      </c>
      <c r="DM22" s="322">
        <f t="shared" si="36"/>
        <v>301.96299999999997</v>
      </c>
      <c r="DN22" s="30">
        <v>157.09200000000001</v>
      </c>
      <c r="DO22" s="460">
        <f t="shared" si="37"/>
        <v>197.09200000000001</v>
      </c>
      <c r="DP22" s="130">
        <v>109.03</v>
      </c>
      <c r="DQ22" s="461">
        <f t="shared" si="38"/>
        <v>127.13</v>
      </c>
    </row>
    <row r="23" spans="1:121" s="76" customFormat="1" ht="16.5" customHeight="1" thickBot="1">
      <c r="A23" s="144">
        <v>17</v>
      </c>
      <c r="B23" s="122">
        <f t="shared" si="16"/>
        <v>340.38800000000003</v>
      </c>
      <c r="C23" s="123">
        <f t="shared" si="17"/>
        <v>1.530051470674642</v>
      </c>
      <c r="D23" s="145">
        <f t="shared" si="18"/>
        <v>335.1798884000001</v>
      </c>
      <c r="E23" s="125">
        <f t="shared" si="19"/>
        <v>37.428582793753009</v>
      </c>
      <c r="F23" s="146">
        <f t="shared" si="20"/>
        <v>2.4618427352185095</v>
      </c>
      <c r="G23" s="127"/>
      <c r="H23" s="126">
        <f t="shared" si="21"/>
        <v>2.4618427352185086</v>
      </c>
      <c r="I23" s="230">
        <f>'[1]июль 20'!AI22</f>
        <v>0</v>
      </c>
      <c r="J23" s="247">
        <f>'[1]апрель 20'!AA22</f>
        <v>10.832000000000001</v>
      </c>
      <c r="K23" s="276">
        <f>'[1]сентябрь 20'!AM22</f>
        <v>0</v>
      </c>
      <c r="L23" s="122"/>
      <c r="M23" s="128">
        <f t="shared" si="22"/>
        <v>0</v>
      </c>
      <c r="N23" s="400">
        <f>'[1]апрель 20'!W22</f>
        <v>0</v>
      </c>
      <c r="O23" s="403">
        <f>'[1]апрель 20'!AU22</f>
        <v>0.52200000000000002</v>
      </c>
      <c r="P23" s="401">
        <f t="shared" si="0"/>
        <v>204.47900000000001</v>
      </c>
      <c r="Q23" s="122">
        <f t="shared" si="23"/>
        <v>204.47900000000001</v>
      </c>
      <c r="R23" s="123">
        <f t="shared" si="24"/>
        <v>4.34</v>
      </c>
      <c r="S23" s="129">
        <v>16.47</v>
      </c>
      <c r="T23" s="125">
        <f t="shared" si="1"/>
        <v>195.60461140000001</v>
      </c>
      <c r="U23" s="147">
        <f t="shared" si="2"/>
        <v>1.4366846228424532</v>
      </c>
      <c r="V23" s="130">
        <f t="shared" si="25"/>
        <v>136.15</v>
      </c>
      <c r="W23" s="130">
        <v>118.05</v>
      </c>
      <c r="X23" s="129">
        <v>0.42</v>
      </c>
      <c r="Y23" s="131">
        <v>456</v>
      </c>
      <c r="Z23" s="150">
        <v>1176</v>
      </c>
      <c r="AA23" s="148" t="s">
        <v>238</v>
      </c>
      <c r="AB23" s="149">
        <v>76.430000000000007</v>
      </c>
      <c r="AC23" s="150">
        <v>109</v>
      </c>
      <c r="AD23" s="151">
        <v>4</v>
      </c>
      <c r="AE23" s="149"/>
      <c r="AF23" s="134">
        <f t="shared" si="3"/>
        <v>0</v>
      </c>
      <c r="AG23" s="152"/>
      <c r="AH23" s="129">
        <v>81.05</v>
      </c>
      <c r="AI23" s="134">
        <f t="shared" si="4"/>
        <v>595.29930224017619</v>
      </c>
      <c r="AJ23" s="136">
        <v>12.48</v>
      </c>
      <c r="AK23" s="154"/>
      <c r="AL23" s="155">
        <v>6.92</v>
      </c>
      <c r="AM23" s="156">
        <v>29.49</v>
      </c>
      <c r="AN23" s="126">
        <f t="shared" si="26"/>
        <v>0.17275922671353253</v>
      </c>
      <c r="AO23" s="157" t="s">
        <v>239</v>
      </c>
      <c r="AP23" s="156">
        <v>8.31</v>
      </c>
      <c r="AQ23" s="156">
        <v>7.04</v>
      </c>
      <c r="AR23" s="151"/>
      <c r="AS23" s="149">
        <v>8.6300000000000008</v>
      </c>
      <c r="AT23" s="129">
        <f t="shared" si="27"/>
        <v>170.7</v>
      </c>
      <c r="AU23" s="149">
        <v>1.86</v>
      </c>
      <c r="AV23" s="149"/>
      <c r="AW23" s="149"/>
      <c r="AX23" s="158">
        <f t="shared" si="5"/>
        <v>0</v>
      </c>
      <c r="AY23" s="125">
        <f t="shared" si="6"/>
        <v>136.15</v>
      </c>
      <c r="AZ23" s="125">
        <f t="shared" si="39"/>
        <v>145.25734683025249</v>
      </c>
      <c r="BA23" s="159">
        <f t="shared" si="7"/>
        <v>5.4183637323943659</v>
      </c>
      <c r="BB23" s="160">
        <f t="shared" si="8"/>
        <v>5.4460000000000006</v>
      </c>
      <c r="BC23" s="161">
        <f>IF((D23*E23)=0,0,(AY23*AB23)/(D23*E23))</f>
        <v>0.8294690198893927</v>
      </c>
      <c r="BD23" s="160">
        <f t="shared" si="28"/>
        <v>10.864363732394366</v>
      </c>
      <c r="BE23" s="162">
        <v>0.82799999999999996</v>
      </c>
      <c r="BF23" s="25">
        <f t="shared" si="29"/>
        <v>2300.48</v>
      </c>
      <c r="BG23" s="25">
        <f t="shared" si="10"/>
        <v>125</v>
      </c>
      <c r="BH23" s="25">
        <f t="shared" si="30"/>
        <v>2125</v>
      </c>
      <c r="BI23" s="26">
        <f t="shared" si="11"/>
        <v>1</v>
      </c>
      <c r="BJ23" s="37">
        <f t="shared" si="31"/>
        <v>2125</v>
      </c>
      <c r="BK23" s="38"/>
      <c r="BL23" s="28">
        <f t="shared" si="32"/>
        <v>313.19200000000001</v>
      </c>
      <c r="BM23" s="31"/>
      <c r="BN23" s="234"/>
      <c r="BO23" s="42"/>
      <c r="BP23" s="40">
        <v>27.196000000000002</v>
      </c>
      <c r="BQ23" s="411"/>
      <c r="BR23" s="33"/>
      <c r="BS23" s="34">
        <v>1.57</v>
      </c>
      <c r="BT23" s="35"/>
      <c r="BU23" s="35"/>
      <c r="BV23" s="235"/>
      <c r="BW23" s="235">
        <v>1.07</v>
      </c>
      <c r="BX23" s="36"/>
      <c r="BY23" s="33"/>
      <c r="BZ23" s="34">
        <v>37.26</v>
      </c>
      <c r="CA23" s="35"/>
      <c r="CB23" s="405"/>
      <c r="CC23" s="404"/>
      <c r="CD23" s="235">
        <v>39.369999999999997</v>
      </c>
      <c r="CE23" s="413"/>
      <c r="CF23" s="28">
        <f t="shared" si="33"/>
        <v>204.47900000000001</v>
      </c>
      <c r="CG23" s="30"/>
      <c r="CH23" s="31"/>
      <c r="CI23" s="32"/>
      <c r="CJ23" s="33">
        <v>4.34</v>
      </c>
      <c r="CK23" s="33"/>
      <c r="CL23" s="35"/>
      <c r="CM23" s="36"/>
      <c r="CN23" s="286"/>
      <c r="CO23" s="249">
        <f t="shared" ref="CO23:CU37" si="40">BK23*((100-BR23)/100)</f>
        <v>0</v>
      </c>
      <c r="CP23" s="12">
        <f t="shared" si="40"/>
        <v>308.2748856</v>
      </c>
      <c r="CQ23" s="12">
        <f t="shared" si="40"/>
        <v>0</v>
      </c>
      <c r="CR23" s="12">
        <f t="shared" si="40"/>
        <v>0</v>
      </c>
      <c r="CS23" s="11">
        <f t="shared" si="40"/>
        <v>0</v>
      </c>
      <c r="CT23" s="11">
        <f t="shared" si="40"/>
        <v>26.905002800000002</v>
      </c>
      <c r="CU23" s="272">
        <f t="shared" si="40"/>
        <v>0</v>
      </c>
      <c r="CV23" s="249">
        <f t="shared" si="13"/>
        <v>195.60461140000001</v>
      </c>
      <c r="CW23" s="11">
        <f t="shared" si="13"/>
        <v>0</v>
      </c>
      <c r="CX23" s="249">
        <f t="shared" si="13"/>
        <v>0</v>
      </c>
      <c r="CY23" s="272">
        <f t="shared" si="13"/>
        <v>0</v>
      </c>
      <c r="CZ23" s="13"/>
      <c r="DA23" s="240">
        <f>(D23+'[2]апрель 20 '!D23)/(AY23+'[2]апрель 20 '!AX23)</f>
        <v>2.4351455383140097</v>
      </c>
      <c r="DB23" s="241">
        <f>(T23+'[2]апрель 20 '!R23)/(AY23+'[2]апрель 20 '!AX23)</f>
        <v>1.4435085909394705</v>
      </c>
      <c r="DD23" s="292">
        <f t="shared" si="14"/>
        <v>10.832000000000001</v>
      </c>
      <c r="DE23" s="291">
        <v>0.47</v>
      </c>
      <c r="DF23" s="291">
        <v>13.91</v>
      </c>
      <c r="DG23" s="145">
        <f t="shared" si="15"/>
        <v>10.7810896</v>
      </c>
      <c r="DH23" s="293">
        <f t="shared" si="34"/>
        <v>1.9621216320293076</v>
      </c>
      <c r="DJ23" s="149">
        <v>152.6</v>
      </c>
      <c r="DK23" s="459">
        <f t="shared" si="35"/>
        <v>170.7</v>
      </c>
      <c r="DL23" s="31">
        <v>245.19200000000001</v>
      </c>
      <c r="DM23" s="322">
        <f t="shared" si="36"/>
        <v>313.19200000000001</v>
      </c>
      <c r="DN23" s="30">
        <v>164.47900000000001</v>
      </c>
      <c r="DO23" s="460">
        <f t="shared" si="37"/>
        <v>204.47900000000001</v>
      </c>
      <c r="DP23" s="130">
        <v>118.05</v>
      </c>
      <c r="DQ23" s="461">
        <f t="shared" si="38"/>
        <v>136.15</v>
      </c>
    </row>
    <row r="24" spans="1:121" s="76" customFormat="1" ht="16.5" customHeight="1" thickBot="1">
      <c r="A24" s="144">
        <v>18</v>
      </c>
      <c r="B24" s="122">
        <f t="shared" si="16"/>
        <v>320.47399999999993</v>
      </c>
      <c r="C24" s="123">
        <f t="shared" si="17"/>
        <v>1.4919121363979606</v>
      </c>
      <c r="D24" s="145">
        <f t="shared" si="18"/>
        <v>315.69280949999995</v>
      </c>
      <c r="E24" s="125">
        <f t="shared" si="19"/>
        <v>37.999768592771957</v>
      </c>
      <c r="F24" s="146">
        <f t="shared" si="20"/>
        <v>2.419101988505747</v>
      </c>
      <c r="G24" s="127"/>
      <c r="H24" s="126">
        <f t="shared" si="21"/>
        <v>2.419101988505747</v>
      </c>
      <c r="I24" s="230">
        <f>'[1]июль 20'!AI23</f>
        <v>0</v>
      </c>
      <c r="J24" s="247">
        <f>'[1]апрель 20'!AA23</f>
        <v>10.425000000000001</v>
      </c>
      <c r="K24" s="276">
        <f>'[1]сентябрь 20'!AM23</f>
        <v>0</v>
      </c>
      <c r="L24" s="122"/>
      <c r="M24" s="128">
        <f t="shared" si="22"/>
        <v>0</v>
      </c>
      <c r="N24" s="400">
        <f>'[1]апрель 20'!W23</f>
        <v>0</v>
      </c>
      <c r="O24" s="403">
        <f>'[1]апрель 20'!AU23</f>
        <v>0</v>
      </c>
      <c r="P24" s="401">
        <f t="shared" si="0"/>
        <v>193.84399999999999</v>
      </c>
      <c r="Q24" s="122">
        <f t="shared" si="23"/>
        <v>193.84399999999999</v>
      </c>
      <c r="R24" s="123">
        <f t="shared" si="24"/>
        <v>4.38</v>
      </c>
      <c r="S24" s="129"/>
      <c r="T24" s="125">
        <f t="shared" si="1"/>
        <v>185.35363280000001</v>
      </c>
      <c r="U24" s="147">
        <f t="shared" si="2"/>
        <v>1.4203343509578545</v>
      </c>
      <c r="V24" s="130">
        <f t="shared" si="25"/>
        <v>130.5</v>
      </c>
      <c r="W24" s="130">
        <v>112.4</v>
      </c>
      <c r="X24" s="129">
        <v>0.39</v>
      </c>
      <c r="Y24" s="150">
        <v>480</v>
      </c>
      <c r="Z24" s="150">
        <v>1171</v>
      </c>
      <c r="AA24" s="148" t="s">
        <v>240</v>
      </c>
      <c r="AB24" s="149">
        <v>76.930000000000007</v>
      </c>
      <c r="AC24" s="150">
        <v>101</v>
      </c>
      <c r="AD24" s="151">
        <v>4</v>
      </c>
      <c r="AE24" s="149"/>
      <c r="AF24" s="134">
        <f t="shared" si="3"/>
        <v>0</v>
      </c>
      <c r="AG24" s="152"/>
      <c r="AH24" s="129">
        <v>77.150000000000006</v>
      </c>
      <c r="AI24" s="134">
        <f t="shared" si="4"/>
        <v>591.18773946360159</v>
      </c>
      <c r="AJ24" s="153">
        <v>14.45</v>
      </c>
      <c r="AK24" s="154"/>
      <c r="AL24" s="155">
        <v>6.71</v>
      </c>
      <c r="AM24" s="156">
        <v>28.92</v>
      </c>
      <c r="AN24" s="126">
        <f t="shared" si="26"/>
        <v>0.17612667478684532</v>
      </c>
      <c r="AO24" s="157" t="s">
        <v>185</v>
      </c>
      <c r="AP24" s="156">
        <v>8.15</v>
      </c>
      <c r="AQ24" s="156">
        <v>6.8</v>
      </c>
      <c r="AR24" s="151"/>
      <c r="AS24" s="149">
        <v>9.6199999999999992</v>
      </c>
      <c r="AT24" s="129">
        <f t="shared" si="27"/>
        <v>164.2</v>
      </c>
      <c r="AU24" s="149">
        <v>1.93</v>
      </c>
      <c r="AV24" s="164"/>
      <c r="AW24" s="149"/>
      <c r="AX24" s="158">
        <f t="shared" si="5"/>
        <v>0</v>
      </c>
      <c r="AY24" s="125">
        <f t="shared" si="6"/>
        <v>130.5</v>
      </c>
      <c r="AZ24" s="125">
        <f t="shared" si="39"/>
        <v>138.4097900657998</v>
      </c>
      <c r="BA24" s="159">
        <f t="shared" si="7"/>
        <v>5.7493049295774643</v>
      </c>
      <c r="BB24" s="160">
        <f t="shared" si="8"/>
        <v>5.22</v>
      </c>
      <c r="BC24" s="161">
        <f t="shared" si="9"/>
        <v>0.83687501488947513</v>
      </c>
      <c r="BD24" s="160">
        <f t="shared" si="28"/>
        <v>10.969304929577465</v>
      </c>
      <c r="BE24" s="162">
        <v>0.82799999999999996</v>
      </c>
      <c r="BF24" s="25">
        <f t="shared" si="29"/>
        <v>2430.98</v>
      </c>
      <c r="BG24" s="25">
        <f t="shared" si="10"/>
        <v>125</v>
      </c>
      <c r="BH24" s="25">
        <f t="shared" si="30"/>
        <v>2250</v>
      </c>
      <c r="BI24" s="26">
        <f t="shared" si="11"/>
        <v>1</v>
      </c>
      <c r="BJ24" s="37">
        <f t="shared" si="31"/>
        <v>2250</v>
      </c>
      <c r="BK24" s="38"/>
      <c r="BL24" s="28">
        <f t="shared" si="32"/>
        <v>295.27099999999996</v>
      </c>
      <c r="BM24" s="31"/>
      <c r="BN24" s="234"/>
      <c r="BO24" s="42"/>
      <c r="BP24" s="40">
        <v>25.202999999999999</v>
      </c>
      <c r="BQ24" s="411"/>
      <c r="BR24" s="33"/>
      <c r="BS24" s="34">
        <v>1.51</v>
      </c>
      <c r="BT24" s="35"/>
      <c r="BU24" s="35"/>
      <c r="BV24" s="235"/>
      <c r="BW24" s="235">
        <v>1.28</v>
      </c>
      <c r="BX24" s="36"/>
      <c r="BY24" s="33"/>
      <c r="BZ24" s="34">
        <v>37.94</v>
      </c>
      <c r="CA24" s="35"/>
      <c r="CB24" s="405"/>
      <c r="CC24" s="404"/>
      <c r="CD24" s="235">
        <v>38.700000000000003</v>
      </c>
      <c r="CE24" s="413"/>
      <c r="CF24" s="28">
        <f t="shared" si="33"/>
        <v>193.84399999999999</v>
      </c>
      <c r="CG24" s="30"/>
      <c r="CH24" s="31"/>
      <c r="CI24" s="32"/>
      <c r="CJ24" s="33">
        <v>4.38</v>
      </c>
      <c r="CK24" s="33"/>
      <c r="CL24" s="35"/>
      <c r="CM24" s="36"/>
      <c r="CN24" s="286"/>
      <c r="CO24" s="249">
        <f t="shared" si="40"/>
        <v>0</v>
      </c>
      <c r="CP24" s="12">
        <f t="shared" si="40"/>
        <v>290.81240789999998</v>
      </c>
      <c r="CQ24" s="12">
        <f t="shared" si="40"/>
        <v>0</v>
      </c>
      <c r="CR24" s="12">
        <f t="shared" si="40"/>
        <v>0</v>
      </c>
      <c r="CS24" s="11">
        <f t="shared" si="40"/>
        <v>0</v>
      </c>
      <c r="CT24" s="11">
        <f t="shared" si="40"/>
        <v>24.880401599999999</v>
      </c>
      <c r="CU24" s="272">
        <f t="shared" si="40"/>
        <v>0</v>
      </c>
      <c r="CV24" s="249">
        <f t="shared" si="13"/>
        <v>185.35363280000001</v>
      </c>
      <c r="CW24" s="12">
        <f t="shared" si="13"/>
        <v>0</v>
      </c>
      <c r="CX24" s="249">
        <f t="shared" si="13"/>
        <v>0</v>
      </c>
      <c r="CY24" s="272">
        <f t="shared" si="13"/>
        <v>0</v>
      </c>
      <c r="CZ24" s="13"/>
      <c r="DA24" s="240">
        <f>(D24+'[2]апрель 20 '!D24)/(AY24+'[2]апрель 20 '!AX24)</f>
        <v>2.3744792853170997</v>
      </c>
      <c r="DB24" s="241">
        <f>(T24+'[2]апрель 20 '!R24)/(AY24+'[2]апрель 20 '!AX24)</f>
        <v>1.421152602651526</v>
      </c>
      <c r="DD24" s="292">
        <f t="shared" si="14"/>
        <v>10.425000000000001</v>
      </c>
      <c r="DE24" s="291">
        <v>0.24</v>
      </c>
      <c r="DF24" s="291">
        <v>16.84</v>
      </c>
      <c r="DG24" s="145">
        <f t="shared" si="15"/>
        <v>10.399980000000001</v>
      </c>
      <c r="DH24" s="293">
        <f t="shared" si="34"/>
        <v>2.2765587313141813</v>
      </c>
      <c r="DJ24" s="149">
        <v>146.1</v>
      </c>
      <c r="DK24" s="459">
        <f t="shared" si="35"/>
        <v>164.2</v>
      </c>
      <c r="DL24" s="31">
        <v>227.27099999999999</v>
      </c>
      <c r="DM24" s="322">
        <f t="shared" si="36"/>
        <v>295.27099999999996</v>
      </c>
      <c r="DN24" s="30">
        <v>153.84399999999999</v>
      </c>
      <c r="DO24" s="460">
        <f t="shared" si="37"/>
        <v>193.84399999999999</v>
      </c>
      <c r="DP24" s="130">
        <v>112.4</v>
      </c>
      <c r="DQ24" s="461">
        <f t="shared" si="38"/>
        <v>130.5</v>
      </c>
    </row>
    <row r="25" spans="1:121" s="76" customFormat="1" ht="16.5" customHeight="1" thickBot="1">
      <c r="A25" s="144">
        <v>19</v>
      </c>
      <c r="B25" s="122">
        <f t="shared" si="16"/>
        <v>340.74800000000005</v>
      </c>
      <c r="C25" s="123">
        <f t="shared" si="17"/>
        <v>1.4272010987592001</v>
      </c>
      <c r="D25" s="145">
        <f t="shared" si="18"/>
        <v>335.88484080000006</v>
      </c>
      <c r="E25" s="125">
        <f t="shared" si="19"/>
        <v>37.804815993050582</v>
      </c>
      <c r="F25" s="146">
        <f t="shared" si="20"/>
        <v>2.3388680509713815</v>
      </c>
      <c r="G25" s="127"/>
      <c r="H25" s="126">
        <f t="shared" si="21"/>
        <v>2.3388680509713815</v>
      </c>
      <c r="I25" s="230">
        <f>'[1]июль 20'!AI24</f>
        <v>0</v>
      </c>
      <c r="J25" s="247">
        <f>'[1]апрель 20'!AA24</f>
        <v>10.978</v>
      </c>
      <c r="K25" s="276">
        <f>'[1]сентябрь 20'!AM24</f>
        <v>0</v>
      </c>
      <c r="L25" s="122"/>
      <c r="M25" s="128">
        <f t="shared" si="22"/>
        <v>0</v>
      </c>
      <c r="N25" s="400">
        <f>'[1]апрель 20'!W24</f>
        <v>0</v>
      </c>
      <c r="O25" s="403">
        <f>'[1]апрель 20'!AU24</f>
        <v>0.57499999999999996</v>
      </c>
      <c r="P25" s="401">
        <f t="shared" si="0"/>
        <v>209.78800000000001</v>
      </c>
      <c r="Q25" s="122">
        <f t="shared" si="23"/>
        <v>209.78800000000001</v>
      </c>
      <c r="R25" s="123">
        <f>IF(Q25=0,0,(CI25*CM25+CG25*CK25+CH25*CL25+CF25*CJ25)/Q25)</f>
        <v>4.3600000000000003</v>
      </c>
      <c r="S25" s="129">
        <v>8.16</v>
      </c>
      <c r="T25" s="125">
        <f t="shared" si="1"/>
        <v>200.64124320000002</v>
      </c>
      <c r="U25" s="147">
        <f t="shared" si="2"/>
        <v>1.3971258491748488</v>
      </c>
      <c r="V25" s="130">
        <f t="shared" si="25"/>
        <v>143.61000000000001</v>
      </c>
      <c r="W25" s="130">
        <v>94.27</v>
      </c>
      <c r="X25" s="129">
        <v>0.67</v>
      </c>
      <c r="Y25" s="150">
        <v>500</v>
      </c>
      <c r="Z25" s="150">
        <v>1173</v>
      </c>
      <c r="AA25" s="148" t="s">
        <v>126</v>
      </c>
      <c r="AB25" s="149">
        <v>76.83</v>
      </c>
      <c r="AC25" s="150">
        <v>109</v>
      </c>
      <c r="AD25" s="151">
        <v>4</v>
      </c>
      <c r="AE25" s="149"/>
      <c r="AF25" s="134">
        <f t="shared" si="3"/>
        <v>0</v>
      </c>
      <c r="AG25" s="152"/>
      <c r="AH25" s="129">
        <v>73.599999999999994</v>
      </c>
      <c r="AI25" s="134">
        <f t="shared" si="4"/>
        <v>512.49912958707614</v>
      </c>
      <c r="AJ25" s="136">
        <v>13.36</v>
      </c>
      <c r="AK25" s="154"/>
      <c r="AL25" s="155">
        <v>5.52</v>
      </c>
      <c r="AM25" s="156">
        <v>25.58</v>
      </c>
      <c r="AN25" s="126">
        <f t="shared" si="26"/>
        <v>0.14872093023255814</v>
      </c>
      <c r="AO25" s="157" t="s">
        <v>203</v>
      </c>
      <c r="AP25" s="156">
        <v>8.69</v>
      </c>
      <c r="AQ25" s="156">
        <v>6.56</v>
      </c>
      <c r="AR25" s="152"/>
      <c r="AS25" s="149">
        <v>8.02</v>
      </c>
      <c r="AT25" s="129">
        <f t="shared" si="27"/>
        <v>172</v>
      </c>
      <c r="AU25" s="149">
        <v>2.71</v>
      </c>
      <c r="AV25" s="164"/>
      <c r="AW25" s="149"/>
      <c r="AX25" s="158">
        <f t="shared" si="5"/>
        <v>0</v>
      </c>
      <c r="AY25" s="125">
        <f t="shared" si="6"/>
        <v>143.60999999999999</v>
      </c>
      <c r="AZ25" s="125">
        <f t="shared" si="39"/>
        <v>146.5026816703645</v>
      </c>
      <c r="BA25" s="159">
        <f t="shared" si="7"/>
        <v>4.5725295774647883</v>
      </c>
      <c r="BB25" s="160">
        <f t="shared" si="8"/>
        <v>5.7443999999999997</v>
      </c>
      <c r="BC25" s="161">
        <f t="shared" si="9"/>
        <v>0.8689163779235457</v>
      </c>
      <c r="BD25" s="160">
        <f t="shared" si="28"/>
        <v>10.316929577464787</v>
      </c>
      <c r="BE25" s="162">
        <v>0.83</v>
      </c>
      <c r="BF25" s="25">
        <f t="shared" si="29"/>
        <v>2574.59</v>
      </c>
      <c r="BG25" s="25">
        <f t="shared" si="10"/>
        <v>125</v>
      </c>
      <c r="BH25" s="25">
        <f t="shared" si="30"/>
        <v>2375</v>
      </c>
      <c r="BI25" s="26">
        <f t="shared" si="11"/>
        <v>1</v>
      </c>
      <c r="BJ25" s="37">
        <f t="shared" si="31"/>
        <v>2375</v>
      </c>
      <c r="BK25" s="38"/>
      <c r="BL25" s="28">
        <f t="shared" si="32"/>
        <v>313.48400000000004</v>
      </c>
      <c r="BM25" s="31"/>
      <c r="BN25" s="234"/>
      <c r="BO25" s="42"/>
      <c r="BP25" s="40">
        <v>27.263999999999999</v>
      </c>
      <c r="BQ25" s="411"/>
      <c r="BR25" s="33"/>
      <c r="BS25" s="34">
        <v>1.42</v>
      </c>
      <c r="BT25" s="35"/>
      <c r="BU25" s="35"/>
      <c r="BV25" s="235"/>
      <c r="BW25" s="235">
        <v>1.51</v>
      </c>
      <c r="BX25" s="36"/>
      <c r="BY25" s="33"/>
      <c r="BZ25" s="34">
        <v>37.700000000000003</v>
      </c>
      <c r="CA25" s="35"/>
      <c r="CB25" s="405"/>
      <c r="CC25" s="404"/>
      <c r="CD25" s="235">
        <v>39.01</v>
      </c>
      <c r="CE25" s="413"/>
      <c r="CF25" s="28">
        <f t="shared" si="33"/>
        <v>209.78800000000001</v>
      </c>
      <c r="CG25" s="30"/>
      <c r="CH25" s="31"/>
      <c r="CI25" s="32"/>
      <c r="CJ25" s="33">
        <v>4.3600000000000003</v>
      </c>
      <c r="CK25" s="33"/>
      <c r="CL25" s="35"/>
      <c r="CM25" s="36"/>
      <c r="CN25" s="286"/>
      <c r="CO25" s="249">
        <f t="shared" si="40"/>
        <v>0</v>
      </c>
      <c r="CP25" s="12">
        <f t="shared" si="40"/>
        <v>309.03252720000006</v>
      </c>
      <c r="CQ25" s="12">
        <f t="shared" si="40"/>
        <v>0</v>
      </c>
      <c r="CR25" s="12">
        <f t="shared" si="40"/>
        <v>0</v>
      </c>
      <c r="CS25" s="11">
        <f t="shared" si="40"/>
        <v>0</v>
      </c>
      <c r="CT25" s="11">
        <f t="shared" si="40"/>
        <v>26.852313599999999</v>
      </c>
      <c r="CU25" s="272">
        <f t="shared" si="40"/>
        <v>0</v>
      </c>
      <c r="CV25" s="249">
        <f t="shared" si="13"/>
        <v>200.64124320000002</v>
      </c>
      <c r="CW25" s="251">
        <f t="shared" si="13"/>
        <v>0</v>
      </c>
      <c r="CX25" s="249">
        <f t="shared" si="13"/>
        <v>0</v>
      </c>
      <c r="CY25" s="272">
        <f t="shared" si="13"/>
        <v>0</v>
      </c>
      <c r="CZ25" s="13"/>
      <c r="DA25" s="240">
        <f>(D25+'[2]апрель 20 '!D25)/(AY25+'[2]апрель 20 '!AX25)</f>
        <v>2.280399676036601</v>
      </c>
      <c r="DB25" s="241">
        <f>(T25+'[2]апрель 20 '!R25)/(AY25+'[2]апрель 20 '!AX25)</f>
        <v>1.376916558678867</v>
      </c>
      <c r="DD25" s="292">
        <f t="shared" si="14"/>
        <v>10.978</v>
      </c>
      <c r="DE25" s="291">
        <v>0.25</v>
      </c>
      <c r="DF25" s="291">
        <v>15.56</v>
      </c>
      <c r="DG25" s="145">
        <f t="shared" si="15"/>
        <v>10.950555</v>
      </c>
      <c r="DH25" s="293">
        <f t="shared" si="34"/>
        <v>2.2177617571261226</v>
      </c>
      <c r="DJ25" s="149">
        <v>153.9</v>
      </c>
      <c r="DK25" s="459">
        <f t="shared" si="35"/>
        <v>172</v>
      </c>
      <c r="DL25" s="31">
        <v>245.48400000000001</v>
      </c>
      <c r="DM25" s="322">
        <f t="shared" si="36"/>
        <v>313.48400000000004</v>
      </c>
      <c r="DN25" s="30">
        <v>169.78800000000001</v>
      </c>
      <c r="DO25" s="460">
        <f t="shared" si="37"/>
        <v>209.78800000000001</v>
      </c>
      <c r="DP25" s="130">
        <v>125.51</v>
      </c>
      <c r="DQ25" s="461">
        <f t="shared" si="38"/>
        <v>143.61000000000001</v>
      </c>
    </row>
    <row r="26" spans="1:121" s="76" customFormat="1" ht="16.5" customHeight="1" thickBot="1">
      <c r="A26" s="144">
        <v>20</v>
      </c>
      <c r="B26" s="122">
        <f t="shared" si="16"/>
        <v>325.71100000000001</v>
      </c>
      <c r="C26" s="123">
        <f t="shared" si="17"/>
        <v>1.4633865911805248</v>
      </c>
      <c r="D26" s="145">
        <f t="shared" si="18"/>
        <v>320.94458889999999</v>
      </c>
      <c r="E26" s="125">
        <f t="shared" si="19"/>
        <v>38.199212553459965</v>
      </c>
      <c r="F26" s="146">
        <f t="shared" si="20"/>
        <v>2.4374921310852886</v>
      </c>
      <c r="G26" s="127"/>
      <c r="H26" s="126">
        <f t="shared" si="21"/>
        <v>2.4374921310852882</v>
      </c>
      <c r="I26" s="230">
        <f>'[1]июль 20'!AI25</f>
        <v>0</v>
      </c>
      <c r="J26" s="247">
        <f>'[1]апрель 20'!AA25</f>
        <v>10.118</v>
      </c>
      <c r="K26" s="276">
        <f>'[1]сентябрь 20'!AM25</f>
        <v>0</v>
      </c>
      <c r="L26" s="122"/>
      <c r="M26" s="128">
        <f t="shared" si="22"/>
        <v>0</v>
      </c>
      <c r="N26" s="400">
        <f>'[1]апрель 20'!W25</f>
        <v>0</v>
      </c>
      <c r="O26" s="403">
        <f>'[1]апрель 20'!AU25</f>
        <v>0</v>
      </c>
      <c r="P26" s="401">
        <f t="shared" si="0"/>
        <v>198.30500000000001</v>
      </c>
      <c r="Q26" s="122">
        <f t="shared" si="23"/>
        <v>198.30500000000001</v>
      </c>
      <c r="R26" s="123">
        <f t="shared" si="24"/>
        <v>4.38</v>
      </c>
      <c r="S26" s="129">
        <v>16.170000000000002</v>
      </c>
      <c r="T26" s="125">
        <f t="shared" si="1"/>
        <v>189.61924100000002</v>
      </c>
      <c r="U26" s="147">
        <f t="shared" si="2"/>
        <v>1.4401096757044125</v>
      </c>
      <c r="V26" s="130">
        <f t="shared" si="25"/>
        <v>131.66999999999999</v>
      </c>
      <c r="W26" s="169">
        <v>83.79</v>
      </c>
      <c r="X26" s="170">
        <v>0.74</v>
      </c>
      <c r="Y26" s="166">
        <v>503</v>
      </c>
      <c r="Z26" s="166">
        <v>1166</v>
      </c>
      <c r="AA26" s="148" t="s">
        <v>241</v>
      </c>
      <c r="AB26" s="164">
        <v>76.8</v>
      </c>
      <c r="AC26" s="166">
        <v>101</v>
      </c>
      <c r="AD26" s="171">
        <v>4</v>
      </c>
      <c r="AE26" s="164"/>
      <c r="AF26" s="172">
        <f t="shared" si="3"/>
        <v>0</v>
      </c>
      <c r="AG26" s="173"/>
      <c r="AH26" s="170">
        <v>72.75</v>
      </c>
      <c r="AI26" s="134">
        <f t="shared" si="4"/>
        <v>552.51765778081563</v>
      </c>
      <c r="AJ26" s="174">
        <v>14.03</v>
      </c>
      <c r="AK26" s="175"/>
      <c r="AL26" s="176">
        <v>5.53</v>
      </c>
      <c r="AM26" s="177">
        <v>29.07</v>
      </c>
      <c r="AN26" s="126">
        <f t="shared" si="26"/>
        <v>0.17644916540212444</v>
      </c>
      <c r="AO26" s="178" t="s">
        <v>207</v>
      </c>
      <c r="AP26" s="177">
        <v>8.9</v>
      </c>
      <c r="AQ26" s="177">
        <v>6.95</v>
      </c>
      <c r="AR26" s="171"/>
      <c r="AS26" s="164">
        <v>7.43</v>
      </c>
      <c r="AT26" s="129">
        <f t="shared" si="27"/>
        <v>164.75</v>
      </c>
      <c r="AU26" s="164">
        <v>1.52</v>
      </c>
      <c r="AV26" s="164"/>
      <c r="AW26" s="164"/>
      <c r="AX26" s="179">
        <f t="shared" si="5"/>
        <v>0</v>
      </c>
      <c r="AY26" s="125">
        <f t="shared" si="6"/>
        <v>131.67000000000002</v>
      </c>
      <c r="AZ26" s="125">
        <f t="shared" si="39"/>
        <v>141.62140531119977</v>
      </c>
      <c r="BA26" s="159">
        <f t="shared" si="7"/>
        <v>4.1872235915492961</v>
      </c>
      <c r="BB26" s="159">
        <f t="shared" si="8"/>
        <v>5.2668000000000008</v>
      </c>
      <c r="BC26" s="180">
        <f t="shared" si="9"/>
        <v>0.82482836470381071</v>
      </c>
      <c r="BD26" s="159">
        <f t="shared" si="28"/>
        <v>9.4540235915492978</v>
      </c>
      <c r="BE26" s="167">
        <v>0.83</v>
      </c>
      <c r="BF26" s="25">
        <f t="shared" si="29"/>
        <v>2706.26</v>
      </c>
      <c r="BG26" s="25">
        <f t="shared" si="10"/>
        <v>125</v>
      </c>
      <c r="BH26" s="25">
        <f t="shared" si="30"/>
        <v>2500</v>
      </c>
      <c r="BI26" s="26">
        <f t="shared" si="11"/>
        <v>1</v>
      </c>
      <c r="BJ26" s="37">
        <f t="shared" si="31"/>
        <v>2500</v>
      </c>
      <c r="BK26" s="38"/>
      <c r="BL26" s="28">
        <f t="shared" si="32"/>
        <v>300.06299999999999</v>
      </c>
      <c r="BM26" s="31"/>
      <c r="BN26" s="406"/>
      <c r="BO26" s="42"/>
      <c r="BP26" s="40">
        <v>25.648</v>
      </c>
      <c r="BQ26" s="412"/>
      <c r="BR26" s="33"/>
      <c r="BS26" s="34">
        <v>1.45</v>
      </c>
      <c r="BT26" s="35"/>
      <c r="BU26" s="35"/>
      <c r="BV26" s="235"/>
      <c r="BW26" s="235">
        <v>1.62</v>
      </c>
      <c r="BX26" s="36"/>
      <c r="BY26" s="33"/>
      <c r="BZ26" s="34">
        <v>38.200000000000003</v>
      </c>
      <c r="CA26" s="35"/>
      <c r="CB26" s="405"/>
      <c r="CC26" s="404"/>
      <c r="CD26" s="235">
        <v>38.19</v>
      </c>
      <c r="CE26" s="413"/>
      <c r="CF26" s="28">
        <f t="shared" si="33"/>
        <v>198.30500000000001</v>
      </c>
      <c r="CG26" s="30"/>
      <c r="CH26" s="43"/>
      <c r="CI26" s="32"/>
      <c r="CJ26" s="33">
        <v>4.38</v>
      </c>
      <c r="CK26" s="33"/>
      <c r="CL26" s="35"/>
      <c r="CM26" s="36"/>
      <c r="CN26" s="286"/>
      <c r="CO26" s="249">
        <f t="shared" si="40"/>
        <v>0</v>
      </c>
      <c r="CP26" s="12">
        <f t="shared" si="40"/>
        <v>295.71208649999994</v>
      </c>
      <c r="CQ26" s="12">
        <f t="shared" si="40"/>
        <v>0</v>
      </c>
      <c r="CR26" s="12">
        <f t="shared" si="40"/>
        <v>0</v>
      </c>
      <c r="CS26" s="11">
        <f t="shared" si="40"/>
        <v>0</v>
      </c>
      <c r="CT26" s="11">
        <f t="shared" si="40"/>
        <v>25.232502400000001</v>
      </c>
      <c r="CU26" s="272">
        <f t="shared" si="40"/>
        <v>0</v>
      </c>
      <c r="CV26" s="249">
        <f t="shared" si="13"/>
        <v>189.61924100000002</v>
      </c>
      <c r="CW26" s="12">
        <f t="shared" si="13"/>
        <v>0</v>
      </c>
      <c r="CX26" s="249">
        <f t="shared" si="13"/>
        <v>0</v>
      </c>
      <c r="CY26" s="274">
        <f t="shared" si="13"/>
        <v>0</v>
      </c>
      <c r="CZ26" s="13"/>
      <c r="DA26" s="240">
        <f>(D26+'[2]апрель 20 '!D26)/(AY26+'[2]апрель 20 '!AX26)</f>
        <v>2.3492330793189367</v>
      </c>
      <c r="DB26" s="241">
        <f>(T26+'[2]апрель 20 '!R26)/(AY26+'[2]апрель 20 '!AX26)</f>
        <v>1.4161403684148079</v>
      </c>
      <c r="DD26" s="292">
        <f t="shared" si="14"/>
        <v>10.118</v>
      </c>
      <c r="DE26" s="291">
        <v>0.31</v>
      </c>
      <c r="DF26" s="291">
        <v>17.22</v>
      </c>
      <c r="DG26" s="145">
        <f t="shared" si="15"/>
        <v>10.086634200000001</v>
      </c>
      <c r="DH26" s="293">
        <f t="shared" si="34"/>
        <v>2.2616125120312502</v>
      </c>
      <c r="DJ26" s="149">
        <v>146.65</v>
      </c>
      <c r="DK26" s="459">
        <f t="shared" si="35"/>
        <v>164.75</v>
      </c>
      <c r="DL26" s="43">
        <v>232.06299999999999</v>
      </c>
      <c r="DM26" s="322">
        <f t="shared" si="36"/>
        <v>300.06299999999999</v>
      </c>
      <c r="DN26" s="30">
        <v>158.30500000000001</v>
      </c>
      <c r="DO26" s="460">
        <f t="shared" si="37"/>
        <v>198.30500000000001</v>
      </c>
      <c r="DP26" s="169">
        <v>113.57</v>
      </c>
      <c r="DQ26" s="461">
        <f t="shared" si="38"/>
        <v>131.66999999999999</v>
      </c>
    </row>
    <row r="27" spans="1:121" s="76" customFormat="1" ht="16.5" customHeight="1" thickBot="1">
      <c r="A27" s="144">
        <v>21</v>
      </c>
      <c r="B27" s="122">
        <f t="shared" si="16"/>
        <v>318.01399999999995</v>
      </c>
      <c r="C27" s="123">
        <f t="shared" si="17"/>
        <v>1.1387926317709285</v>
      </c>
      <c r="D27" s="145">
        <f t="shared" si="18"/>
        <v>314.39247999999998</v>
      </c>
      <c r="E27" s="125">
        <f t="shared" si="19"/>
        <v>37.19693416013132</v>
      </c>
      <c r="F27" s="146">
        <f t="shared" si="20"/>
        <v>2.5319520012885559</v>
      </c>
      <c r="G27" s="127"/>
      <c r="H27" s="126">
        <f t="shared" si="21"/>
        <v>2.5319520012885559</v>
      </c>
      <c r="I27" s="230">
        <f>'[1]июль 20'!AI26</f>
        <v>0</v>
      </c>
      <c r="J27" s="247">
        <f>'[1]апрель 20'!AA26</f>
        <v>9.9550000000000001</v>
      </c>
      <c r="K27" s="276">
        <f>'[1]сентябрь 20'!AM26</f>
        <v>0</v>
      </c>
      <c r="L27" s="122"/>
      <c r="M27" s="128">
        <f t="shared" si="22"/>
        <v>0</v>
      </c>
      <c r="N27" s="400">
        <f>'[1]апрель 20'!W26</f>
        <v>0</v>
      </c>
      <c r="O27" s="403">
        <f>'[1]апрель 20'!AU26</f>
        <v>0</v>
      </c>
      <c r="P27" s="401">
        <f t="shared" si="0"/>
        <v>194.19200000000001</v>
      </c>
      <c r="Q27" s="122">
        <f t="shared" si="23"/>
        <v>194.19200000000001</v>
      </c>
      <c r="R27" s="123">
        <f t="shared" si="24"/>
        <v>4.53</v>
      </c>
      <c r="S27" s="129">
        <v>7.11</v>
      </c>
      <c r="T27" s="125">
        <f t="shared" si="1"/>
        <v>185.39510240000001</v>
      </c>
      <c r="U27" s="147">
        <f t="shared" si="2"/>
        <v>1.4930748361117823</v>
      </c>
      <c r="V27" s="130">
        <f t="shared" si="25"/>
        <v>124.16999999999999</v>
      </c>
      <c r="W27" s="130">
        <v>106.07</v>
      </c>
      <c r="X27" s="129">
        <v>0.7</v>
      </c>
      <c r="Y27" s="150">
        <v>507</v>
      </c>
      <c r="Z27" s="150">
        <v>1174</v>
      </c>
      <c r="AA27" s="148" t="s">
        <v>242</v>
      </c>
      <c r="AB27" s="149">
        <v>76.55</v>
      </c>
      <c r="AC27" s="150">
        <v>100</v>
      </c>
      <c r="AD27" s="151">
        <v>4</v>
      </c>
      <c r="AE27" s="149"/>
      <c r="AF27" s="134">
        <f t="shared" si="3"/>
        <v>0</v>
      </c>
      <c r="AG27" s="152"/>
      <c r="AH27" s="129">
        <v>65.150000000000006</v>
      </c>
      <c r="AI27" s="134">
        <f t="shared" si="4"/>
        <v>524.68390110332609</v>
      </c>
      <c r="AJ27" s="136">
        <v>13.43</v>
      </c>
      <c r="AK27" s="154"/>
      <c r="AL27" s="155">
        <v>6.66</v>
      </c>
      <c r="AM27" s="156">
        <v>29.56</v>
      </c>
      <c r="AN27" s="126">
        <f t="shared" si="26"/>
        <v>0.18602894902454373</v>
      </c>
      <c r="AO27" s="157" t="s">
        <v>217</v>
      </c>
      <c r="AP27" s="156">
        <v>8.86</v>
      </c>
      <c r="AQ27" s="156">
        <v>6.88</v>
      </c>
      <c r="AR27" s="151"/>
      <c r="AS27" s="149">
        <v>7.74</v>
      </c>
      <c r="AT27" s="129">
        <f t="shared" si="27"/>
        <v>158.9</v>
      </c>
      <c r="AU27" s="149">
        <v>1.49</v>
      </c>
      <c r="AV27" s="164"/>
      <c r="AW27" s="149"/>
      <c r="AX27" s="158">
        <f t="shared" si="5"/>
        <v>0</v>
      </c>
      <c r="AY27" s="125">
        <f t="shared" si="6"/>
        <v>124.17</v>
      </c>
      <c r="AZ27" s="125">
        <f t="shared" si="39"/>
        <v>135.46177550852192</v>
      </c>
      <c r="BA27" s="159">
        <f t="shared" si="7"/>
        <v>3.9062471830985919</v>
      </c>
      <c r="BB27" s="160">
        <f t="shared" si="8"/>
        <v>4.9668000000000001</v>
      </c>
      <c r="BC27" s="161">
        <f t="shared" si="9"/>
        <v>0.81279791449106764</v>
      </c>
      <c r="BD27" s="160">
        <f t="shared" si="28"/>
        <v>8.873047183098592</v>
      </c>
      <c r="BE27" s="162">
        <v>0.82899999999999996</v>
      </c>
      <c r="BF27" s="25">
        <f t="shared" si="29"/>
        <v>2830.4300000000003</v>
      </c>
      <c r="BG27" s="25">
        <f t="shared" si="10"/>
        <v>125</v>
      </c>
      <c r="BH27" s="25">
        <f t="shared" si="30"/>
        <v>2625</v>
      </c>
      <c r="BI27" s="26">
        <f t="shared" si="11"/>
        <v>1</v>
      </c>
      <c r="BJ27" s="37">
        <f t="shared" si="31"/>
        <v>2625</v>
      </c>
      <c r="BK27" s="38"/>
      <c r="BL27" s="28">
        <f t="shared" si="32"/>
        <v>292.98699999999997</v>
      </c>
      <c r="BM27" s="31"/>
      <c r="BN27" s="234"/>
      <c r="BO27" s="42"/>
      <c r="BP27" s="40">
        <v>25.027000000000001</v>
      </c>
      <c r="BQ27" s="411"/>
      <c r="BR27" s="33"/>
      <c r="BS27" s="34">
        <v>1.0900000000000001</v>
      </c>
      <c r="BT27" s="35"/>
      <c r="BU27" s="35"/>
      <c r="BV27" s="235"/>
      <c r="BW27" s="235">
        <v>1.71</v>
      </c>
      <c r="BX27" s="36"/>
      <c r="BY27" s="33"/>
      <c r="BZ27" s="34">
        <v>37.06</v>
      </c>
      <c r="CA27" s="35"/>
      <c r="CB27" s="405"/>
      <c r="CC27" s="404"/>
      <c r="CD27" s="235">
        <v>38.799999999999997</v>
      </c>
      <c r="CE27" s="413"/>
      <c r="CF27" s="28">
        <f t="shared" si="33"/>
        <v>194.19200000000001</v>
      </c>
      <c r="CG27" s="30"/>
      <c r="CH27" s="31"/>
      <c r="CI27" s="32"/>
      <c r="CJ27" s="33">
        <v>4.53</v>
      </c>
      <c r="CK27" s="33"/>
      <c r="CL27" s="35"/>
      <c r="CM27" s="36"/>
      <c r="CN27" s="286"/>
      <c r="CO27" s="249">
        <f t="shared" si="40"/>
        <v>0</v>
      </c>
      <c r="CP27" s="12">
        <f t="shared" si="40"/>
        <v>289.79344169999996</v>
      </c>
      <c r="CQ27" s="12">
        <f t="shared" si="40"/>
        <v>0</v>
      </c>
      <c r="CR27" s="12">
        <f t="shared" si="40"/>
        <v>0</v>
      </c>
      <c r="CS27" s="11">
        <f t="shared" si="40"/>
        <v>0</v>
      </c>
      <c r="CT27" s="11">
        <f t="shared" si="40"/>
        <v>24.599038300000004</v>
      </c>
      <c r="CU27" s="272">
        <f t="shared" si="40"/>
        <v>0</v>
      </c>
      <c r="CV27" s="249">
        <f t="shared" si="13"/>
        <v>185.39510240000001</v>
      </c>
      <c r="CW27" s="11">
        <f t="shared" si="13"/>
        <v>0</v>
      </c>
      <c r="CX27" s="249">
        <f t="shared" si="13"/>
        <v>0</v>
      </c>
      <c r="CY27" s="272">
        <f t="shared" si="13"/>
        <v>0</v>
      </c>
      <c r="CZ27" s="13"/>
      <c r="DA27" s="240">
        <f>(D27+'[2]апрель 20 '!D27)/(AY27+'[2]апрель 20 '!AX27)</f>
        <v>2.451416751878321</v>
      </c>
      <c r="DB27" s="241">
        <f>(T27+'[2]апрель 20 '!R27)/(AY27+'[2]апрель 20 '!AX27)</f>
        <v>1.4750323816504793</v>
      </c>
      <c r="DD27" s="292">
        <f t="shared" si="14"/>
        <v>9.9550000000000001</v>
      </c>
      <c r="DE27" s="291">
        <v>0.69</v>
      </c>
      <c r="DF27" s="291">
        <v>16.22</v>
      </c>
      <c r="DG27" s="145">
        <f t="shared" si="15"/>
        <v>9.8863105000000004</v>
      </c>
      <c r="DH27" s="293">
        <f t="shared" si="34"/>
        <v>2.0947871497060744</v>
      </c>
      <c r="DJ27" s="149">
        <v>140.80000000000001</v>
      </c>
      <c r="DK27" s="459">
        <f t="shared" si="35"/>
        <v>158.9</v>
      </c>
      <c r="DL27" s="31">
        <v>224.98699999999999</v>
      </c>
      <c r="DM27" s="322">
        <f t="shared" si="36"/>
        <v>292.98699999999997</v>
      </c>
      <c r="DN27" s="30">
        <v>154.19200000000001</v>
      </c>
      <c r="DO27" s="460">
        <f t="shared" si="37"/>
        <v>194.19200000000001</v>
      </c>
      <c r="DP27" s="130">
        <v>106.07</v>
      </c>
      <c r="DQ27" s="461">
        <f t="shared" si="38"/>
        <v>124.16999999999999</v>
      </c>
    </row>
    <row r="28" spans="1:121" s="76" customFormat="1" ht="16.5" customHeight="1" thickBot="1">
      <c r="A28" s="144">
        <v>22</v>
      </c>
      <c r="B28" s="122">
        <f t="shared" si="16"/>
        <v>294.98199999999997</v>
      </c>
      <c r="C28" s="123">
        <f t="shared" si="17"/>
        <v>1.07</v>
      </c>
      <c r="D28" s="145">
        <f t="shared" si="18"/>
        <v>291.82569259999997</v>
      </c>
      <c r="E28" s="125">
        <f t="shared" si="19"/>
        <v>37.92</v>
      </c>
      <c r="F28" s="146">
        <f t="shared" si="20"/>
        <v>2.297659181166837</v>
      </c>
      <c r="G28" s="127"/>
      <c r="H28" s="126">
        <f t="shared" si="21"/>
        <v>2.297659181166837</v>
      </c>
      <c r="I28" s="230">
        <f>'[1]июль 20'!AI27</f>
        <v>0</v>
      </c>
      <c r="J28" s="247">
        <f>'[1]апрель 20'!AA27</f>
        <v>9.1679999999999993</v>
      </c>
      <c r="K28" s="276">
        <f>'[1]сентябрь 20'!AM27</f>
        <v>0</v>
      </c>
      <c r="L28" s="122"/>
      <c r="M28" s="128">
        <f t="shared" si="22"/>
        <v>0</v>
      </c>
      <c r="N28" s="400">
        <f>'[1]апрель 20'!W27</f>
        <v>0</v>
      </c>
      <c r="O28" s="403">
        <f>'[1]апрель 20'!AU27</f>
        <v>9.0709999999999997</v>
      </c>
      <c r="P28" s="401">
        <f t="shared" si="0"/>
        <v>183.672</v>
      </c>
      <c r="Q28" s="122">
        <f t="shared" si="23"/>
        <v>183.672</v>
      </c>
      <c r="R28" s="123">
        <f t="shared" si="24"/>
        <v>4.8099999999999996</v>
      </c>
      <c r="S28" s="129">
        <v>6.81</v>
      </c>
      <c r="T28" s="125">
        <f t="shared" si="1"/>
        <v>174.83737679999999</v>
      </c>
      <c r="U28" s="147">
        <f t="shared" si="2"/>
        <v>1.3765638674120149</v>
      </c>
      <c r="V28" s="130">
        <f t="shared" si="25"/>
        <v>127.00999999999999</v>
      </c>
      <c r="W28" s="130">
        <v>108.91</v>
      </c>
      <c r="X28" s="129">
        <v>0.49</v>
      </c>
      <c r="Y28" s="150">
        <v>525</v>
      </c>
      <c r="Z28" s="150">
        <v>1178</v>
      </c>
      <c r="AA28" s="148" t="s">
        <v>240</v>
      </c>
      <c r="AB28" s="149">
        <v>76.31</v>
      </c>
      <c r="AC28" s="150">
        <v>91</v>
      </c>
      <c r="AD28" s="151">
        <v>4</v>
      </c>
      <c r="AE28" s="149">
        <v>4.3499999999999996</v>
      </c>
      <c r="AF28" s="134">
        <f t="shared" si="3"/>
        <v>34.249271710888905</v>
      </c>
      <c r="AG28" s="152"/>
      <c r="AH28" s="129">
        <v>67.349999999999994</v>
      </c>
      <c r="AI28" s="134">
        <f t="shared" si="4"/>
        <v>530.27320683410755</v>
      </c>
      <c r="AJ28" s="153">
        <v>14.43</v>
      </c>
      <c r="AK28" s="154"/>
      <c r="AL28" s="155">
        <v>5.05</v>
      </c>
      <c r="AM28" s="156">
        <v>30.12</v>
      </c>
      <c r="AN28" s="126">
        <f t="shared" si="26"/>
        <v>0.18825</v>
      </c>
      <c r="AO28" s="157" t="s">
        <v>197</v>
      </c>
      <c r="AP28" s="156">
        <v>8.0500000000000007</v>
      </c>
      <c r="AQ28" s="156">
        <v>6.73</v>
      </c>
      <c r="AR28" s="151"/>
      <c r="AS28" s="149">
        <v>7.25</v>
      </c>
      <c r="AT28" s="129">
        <f t="shared" si="27"/>
        <v>160</v>
      </c>
      <c r="AU28" s="149">
        <v>2.1800000000000002</v>
      </c>
      <c r="AV28" s="164"/>
      <c r="AW28" s="149"/>
      <c r="AX28" s="158">
        <f t="shared" si="5"/>
        <v>0</v>
      </c>
      <c r="AY28" s="125">
        <f t="shared" si="6"/>
        <v>127.00999999999999</v>
      </c>
      <c r="AZ28" s="125">
        <f t="shared" si="39"/>
        <v>128.86611726742518</v>
      </c>
      <c r="BA28" s="159">
        <f t="shared" si="7"/>
        <v>3.7825088028169009</v>
      </c>
      <c r="BB28" s="160">
        <f t="shared" si="8"/>
        <v>5.0804</v>
      </c>
      <c r="BC28" s="161">
        <f t="shared" si="9"/>
        <v>0.87584552629165968</v>
      </c>
      <c r="BD28" s="160">
        <f t="shared" si="28"/>
        <v>8.8629088028169001</v>
      </c>
      <c r="BE28" s="162">
        <v>0.83099999999999996</v>
      </c>
      <c r="BF28" s="25">
        <f t="shared" si="29"/>
        <v>2957.4400000000005</v>
      </c>
      <c r="BG28" s="25">
        <f t="shared" si="10"/>
        <v>125</v>
      </c>
      <c r="BH28" s="25">
        <f t="shared" si="30"/>
        <v>2750</v>
      </c>
      <c r="BI28" s="26">
        <f t="shared" si="11"/>
        <v>1</v>
      </c>
      <c r="BJ28" s="37">
        <f t="shared" si="31"/>
        <v>2750</v>
      </c>
      <c r="BK28" s="38"/>
      <c r="BL28" s="28">
        <f t="shared" si="32"/>
        <v>294.98199999999997</v>
      </c>
      <c r="BM28" s="31"/>
      <c r="BN28" s="234"/>
      <c r="BO28" s="42"/>
      <c r="BP28" s="40"/>
      <c r="BQ28" s="411"/>
      <c r="BR28" s="33"/>
      <c r="BS28" s="34">
        <v>1.07</v>
      </c>
      <c r="BT28" s="35"/>
      <c r="BU28" s="35"/>
      <c r="BV28" s="235"/>
      <c r="BW28" s="235"/>
      <c r="BX28" s="36"/>
      <c r="BY28" s="33"/>
      <c r="BZ28" s="34">
        <v>37.92</v>
      </c>
      <c r="CA28" s="35"/>
      <c r="CB28" s="405"/>
      <c r="CC28" s="404"/>
      <c r="CD28" s="235"/>
      <c r="CE28" s="36"/>
      <c r="CF28" s="28">
        <f t="shared" si="33"/>
        <v>183.672</v>
      </c>
      <c r="CG28" s="30"/>
      <c r="CH28" s="31"/>
      <c r="CI28" s="32"/>
      <c r="CJ28" s="33">
        <v>4.8099999999999996</v>
      </c>
      <c r="CK28" s="33"/>
      <c r="CL28" s="35"/>
      <c r="CM28" s="36"/>
      <c r="CN28" s="286"/>
      <c r="CO28" s="249">
        <f t="shared" si="40"/>
        <v>0</v>
      </c>
      <c r="CP28" s="12">
        <f t="shared" si="40"/>
        <v>291.82569259999997</v>
      </c>
      <c r="CQ28" s="12">
        <f t="shared" si="40"/>
        <v>0</v>
      </c>
      <c r="CR28" s="12">
        <f t="shared" si="40"/>
        <v>0</v>
      </c>
      <c r="CS28" s="11">
        <f t="shared" si="40"/>
        <v>0</v>
      </c>
      <c r="CT28" s="11">
        <f t="shared" si="40"/>
        <v>0</v>
      </c>
      <c r="CU28" s="272">
        <f t="shared" si="40"/>
        <v>0</v>
      </c>
      <c r="CV28" s="249">
        <f t="shared" si="13"/>
        <v>174.83737679999999</v>
      </c>
      <c r="CW28" s="12">
        <f t="shared" si="13"/>
        <v>0</v>
      </c>
      <c r="CX28" s="249">
        <f t="shared" si="13"/>
        <v>0</v>
      </c>
      <c r="CY28" s="272">
        <f t="shared" si="13"/>
        <v>0</v>
      </c>
      <c r="CZ28" s="13"/>
      <c r="DA28" s="240">
        <f>(D28+'[2]апрель 20 '!D28)/(AY28+'[2]апрель 20 '!AX28)</f>
        <v>2.2250138109220807</v>
      </c>
      <c r="DB28" s="241">
        <f>(T28+'[2]апрель 20 '!R28)/(AY28+'[2]апрель 20 '!AX28)</f>
        <v>1.3614075703820308</v>
      </c>
      <c r="DD28" s="292">
        <f t="shared" si="14"/>
        <v>9.1679999999999993</v>
      </c>
      <c r="DE28" s="305">
        <v>0.19</v>
      </c>
      <c r="DF28" s="291">
        <v>18.920000000000002</v>
      </c>
      <c r="DG28" s="145">
        <f t="shared" si="15"/>
        <v>9.1505807999999984</v>
      </c>
      <c r="DH28" s="293">
        <f t="shared" si="34"/>
        <v>2.2687588616957144</v>
      </c>
      <c r="DJ28" s="149">
        <v>141.9</v>
      </c>
      <c r="DK28" s="459">
        <f t="shared" si="35"/>
        <v>160</v>
      </c>
      <c r="DL28" s="31">
        <v>226.982</v>
      </c>
      <c r="DM28" s="322">
        <f t="shared" si="36"/>
        <v>294.98199999999997</v>
      </c>
      <c r="DN28" s="30">
        <v>143.672</v>
      </c>
      <c r="DO28" s="460">
        <f t="shared" si="37"/>
        <v>183.672</v>
      </c>
      <c r="DP28" s="130">
        <v>108.91</v>
      </c>
      <c r="DQ28" s="461">
        <f t="shared" si="38"/>
        <v>127.00999999999999</v>
      </c>
    </row>
    <row r="29" spans="1:121" s="76" customFormat="1" ht="16.5" customHeight="1" thickBot="1">
      <c r="A29" s="144">
        <v>23</v>
      </c>
      <c r="B29" s="122">
        <f t="shared" si="16"/>
        <v>238.02099999999999</v>
      </c>
      <c r="C29" s="123">
        <f t="shared" si="17"/>
        <v>1.6703562290722247</v>
      </c>
      <c r="D29" s="145">
        <f t="shared" si="18"/>
        <v>234.0452014</v>
      </c>
      <c r="E29" s="125">
        <f t="shared" si="19"/>
        <v>37.364995357552488</v>
      </c>
      <c r="F29" s="146">
        <f t="shared" si="20"/>
        <v>2.4856117395921831</v>
      </c>
      <c r="G29" s="127"/>
      <c r="H29" s="126">
        <f t="shared" si="21"/>
        <v>2.4856117395921835</v>
      </c>
      <c r="I29" s="230">
        <f>'[1]июль 20'!AI28</f>
        <v>0</v>
      </c>
      <c r="J29" s="247">
        <f>'[1]апрель 20'!AA28</f>
        <v>6.7539999999999996</v>
      </c>
      <c r="K29" s="276">
        <f>'[1]сентябрь 20'!AM28</f>
        <v>0</v>
      </c>
      <c r="L29" s="122"/>
      <c r="M29" s="128">
        <f t="shared" si="22"/>
        <v>0</v>
      </c>
      <c r="N29" s="400">
        <f>'[1]апрель 20'!W28</f>
        <v>0</v>
      </c>
      <c r="O29" s="403">
        <f>'[1]апрель 20'!AU28</f>
        <v>6.4409999999999998</v>
      </c>
      <c r="P29" s="401">
        <f t="shared" si="0"/>
        <v>154.852</v>
      </c>
      <c r="Q29" s="122">
        <f t="shared" si="23"/>
        <v>154.852</v>
      </c>
      <c r="R29" s="123">
        <f t="shared" si="24"/>
        <v>4.96</v>
      </c>
      <c r="S29" s="129">
        <v>7.9</v>
      </c>
      <c r="T29" s="125">
        <f t="shared" si="1"/>
        <v>147.1713408</v>
      </c>
      <c r="U29" s="147">
        <f t="shared" si="2"/>
        <v>1.5629921495327102</v>
      </c>
      <c r="V29" s="130">
        <f t="shared" si="25"/>
        <v>50.940000000000005</v>
      </c>
      <c r="W29" s="130">
        <v>52.81</v>
      </c>
      <c r="X29" s="129">
        <v>1.04</v>
      </c>
      <c r="Y29" s="150">
        <v>517</v>
      </c>
      <c r="Z29" s="150">
        <v>1078</v>
      </c>
      <c r="AA29" s="148" t="s">
        <v>243</v>
      </c>
      <c r="AB29" s="149">
        <v>75.17</v>
      </c>
      <c r="AC29" s="150">
        <v>70</v>
      </c>
      <c r="AD29" s="151">
        <v>3</v>
      </c>
      <c r="AE29" s="149">
        <v>8.3000000000000007</v>
      </c>
      <c r="AF29" s="134">
        <f t="shared" si="3"/>
        <v>88.147833474936277</v>
      </c>
      <c r="AG29" s="152"/>
      <c r="AH29" s="129">
        <v>55.65</v>
      </c>
      <c r="AI29" s="134">
        <f t="shared" si="4"/>
        <v>591.01529311809679</v>
      </c>
      <c r="AJ29" s="136">
        <v>10.71</v>
      </c>
      <c r="AK29" s="154"/>
      <c r="AL29" s="155">
        <v>4.9400000000000004</v>
      </c>
      <c r="AM29" s="156">
        <v>18.22</v>
      </c>
      <c r="AN29" s="126">
        <f t="shared" si="26"/>
        <v>0.1565292096219931</v>
      </c>
      <c r="AO29" s="157" t="s">
        <v>199</v>
      </c>
      <c r="AP29" s="156">
        <v>7.25</v>
      </c>
      <c r="AQ29" s="156">
        <v>6.83</v>
      </c>
      <c r="AR29" s="149"/>
      <c r="AS29" s="149">
        <v>9.0299999999999994</v>
      </c>
      <c r="AT29" s="129">
        <f t="shared" si="27"/>
        <v>116.4</v>
      </c>
      <c r="AU29" s="149">
        <v>0.92</v>
      </c>
      <c r="AV29" s="164"/>
      <c r="AW29" s="149"/>
      <c r="AX29" s="158">
        <f t="shared" si="5"/>
        <v>0</v>
      </c>
      <c r="AY29" s="125">
        <f t="shared" si="6"/>
        <v>94.160000000000011</v>
      </c>
      <c r="AZ29" s="125">
        <f t="shared" si="39"/>
        <v>103.24404338323595</v>
      </c>
      <c r="BA29" s="159">
        <f t="shared" si="7"/>
        <v>3.8927566901408444</v>
      </c>
      <c r="BB29" s="160">
        <f t="shared" si="8"/>
        <v>3.7664000000000004</v>
      </c>
      <c r="BC29" s="161">
        <f t="shared" si="9"/>
        <v>0.80936855256070817</v>
      </c>
      <c r="BD29" s="160">
        <f t="shared" si="28"/>
        <v>7.6591566901408452</v>
      </c>
      <c r="BE29" s="162">
        <v>0.83099999999999996</v>
      </c>
      <c r="BF29" s="25">
        <f t="shared" si="29"/>
        <v>3051.6000000000004</v>
      </c>
      <c r="BG29" s="25">
        <f t="shared" si="10"/>
        <v>125</v>
      </c>
      <c r="BH29" s="25">
        <f t="shared" si="30"/>
        <v>2875</v>
      </c>
      <c r="BI29" s="26">
        <f t="shared" si="11"/>
        <v>1</v>
      </c>
      <c r="BJ29" s="37">
        <f t="shared" si="31"/>
        <v>2875</v>
      </c>
      <c r="BK29" s="328"/>
      <c r="BL29" s="28">
        <f t="shared" si="32"/>
        <v>236.571</v>
      </c>
      <c r="BM29" s="31"/>
      <c r="BN29" s="31"/>
      <c r="BO29" s="40"/>
      <c r="BP29" s="40">
        <v>1.45</v>
      </c>
      <c r="BQ29" s="32"/>
      <c r="BR29" s="33"/>
      <c r="BS29" s="34">
        <v>1.66</v>
      </c>
      <c r="BT29" s="35"/>
      <c r="BU29" s="35"/>
      <c r="BV29" s="235"/>
      <c r="BW29" s="235">
        <v>3.36</v>
      </c>
      <c r="BX29" s="36"/>
      <c r="BY29" s="33"/>
      <c r="BZ29" s="34">
        <v>37.36</v>
      </c>
      <c r="CA29" s="35"/>
      <c r="CB29" s="35"/>
      <c r="CC29" s="235"/>
      <c r="CD29" s="235">
        <v>38.18</v>
      </c>
      <c r="CE29" s="36"/>
      <c r="CF29" s="28">
        <f t="shared" si="33"/>
        <v>154.852</v>
      </c>
      <c r="CG29" s="30"/>
      <c r="CH29" s="31"/>
      <c r="CI29" s="32"/>
      <c r="CJ29" s="33">
        <v>4.96</v>
      </c>
      <c r="CK29" s="33"/>
      <c r="CL29" s="35"/>
      <c r="CM29" s="36"/>
      <c r="CN29" s="286"/>
      <c r="CO29" s="249">
        <f t="shared" si="40"/>
        <v>0</v>
      </c>
      <c r="CP29" s="12">
        <f t="shared" si="40"/>
        <v>232.64392140000001</v>
      </c>
      <c r="CQ29" s="12">
        <f t="shared" si="40"/>
        <v>0</v>
      </c>
      <c r="CR29" s="12">
        <f t="shared" si="40"/>
        <v>0</v>
      </c>
      <c r="CS29" s="11">
        <f t="shared" si="40"/>
        <v>0</v>
      </c>
      <c r="CT29" s="11">
        <f t="shared" si="40"/>
        <v>1.4012800000000001</v>
      </c>
      <c r="CU29" s="272">
        <f t="shared" si="40"/>
        <v>0</v>
      </c>
      <c r="CV29" s="249">
        <f t="shared" si="13"/>
        <v>147.1713408</v>
      </c>
      <c r="CW29" s="12">
        <f t="shared" si="13"/>
        <v>0</v>
      </c>
      <c r="CX29" s="249">
        <f t="shared" si="13"/>
        <v>0</v>
      </c>
      <c r="CY29" s="272">
        <f t="shared" si="13"/>
        <v>0</v>
      </c>
      <c r="CZ29" s="13"/>
      <c r="DA29" s="240">
        <f>(D29+'[2]апрель 20 '!D29)/(AY29+'[2]апрель 20 '!AX29)</f>
        <v>2.2955644000537165</v>
      </c>
      <c r="DB29" s="241">
        <f>(T29+'[2]апрель 20 '!R29)/(AY29+'[2]апрель 20 '!AX29)</f>
        <v>1.4314152313167259</v>
      </c>
      <c r="DD29" s="292">
        <f t="shared" si="14"/>
        <v>6.7539999999999996</v>
      </c>
      <c r="DE29" s="291">
        <v>0.04</v>
      </c>
      <c r="DF29" s="291">
        <v>18.72</v>
      </c>
      <c r="DG29" s="145">
        <f t="shared" si="15"/>
        <v>6.7512983999999987</v>
      </c>
      <c r="DH29" s="293">
        <f t="shared" si="34"/>
        <v>1.6813131042703198</v>
      </c>
      <c r="DJ29" s="149">
        <v>98.3</v>
      </c>
      <c r="DK29" s="459">
        <f t="shared" si="35"/>
        <v>116.4</v>
      </c>
      <c r="DL29" s="31">
        <v>168.571</v>
      </c>
      <c r="DM29" s="322">
        <f t="shared" si="36"/>
        <v>236.571</v>
      </c>
      <c r="DN29" s="30">
        <v>114.852</v>
      </c>
      <c r="DO29" s="460">
        <f t="shared" si="37"/>
        <v>154.852</v>
      </c>
      <c r="DP29" s="130">
        <v>32.840000000000003</v>
      </c>
      <c r="DQ29" s="461">
        <f t="shared" si="38"/>
        <v>50.940000000000005</v>
      </c>
    </row>
    <row r="30" spans="1:121" s="76" customFormat="1" ht="16.5" customHeight="1" thickBot="1">
      <c r="A30" s="144">
        <v>24</v>
      </c>
      <c r="B30" s="122">
        <f t="shared" si="16"/>
        <v>315.58099999999996</v>
      </c>
      <c r="C30" s="123">
        <f t="shared" si="17"/>
        <v>2.5918022631273749</v>
      </c>
      <c r="D30" s="145">
        <f t="shared" si="18"/>
        <v>307.40176449999996</v>
      </c>
      <c r="E30" s="125">
        <f t="shared" si="19"/>
        <v>37.519390140724568</v>
      </c>
      <c r="F30" s="146">
        <f t="shared" si="20"/>
        <v>2.5518990909845591</v>
      </c>
      <c r="G30" s="127"/>
      <c r="H30" s="126">
        <f t="shared" si="21"/>
        <v>2.5518990909845587</v>
      </c>
      <c r="I30" s="230">
        <f>'[1]июль 20'!AI29</f>
        <v>0</v>
      </c>
      <c r="J30" s="247">
        <f>'[1]апрель 20'!AA29</f>
        <v>9.8209999999999997</v>
      </c>
      <c r="K30" s="276">
        <f>'[1]сентябрь 20'!AM29</f>
        <v>0</v>
      </c>
      <c r="L30" s="122"/>
      <c r="M30" s="128">
        <f t="shared" si="22"/>
        <v>0</v>
      </c>
      <c r="N30" s="400">
        <f>'[1]апрель 20'!W29</f>
        <v>0</v>
      </c>
      <c r="O30" s="403">
        <f>'[1]апрель 20'!AU29</f>
        <v>0</v>
      </c>
      <c r="P30" s="401">
        <f t="shared" si="0"/>
        <v>194.054</v>
      </c>
      <c r="Q30" s="122">
        <f t="shared" si="23"/>
        <v>194.054</v>
      </c>
      <c r="R30" s="123">
        <f t="shared" si="24"/>
        <v>4.03</v>
      </c>
      <c r="S30" s="170">
        <v>7.39</v>
      </c>
      <c r="T30" s="125">
        <f t="shared" si="1"/>
        <v>186.2336238</v>
      </c>
      <c r="U30" s="147">
        <f t="shared" si="2"/>
        <v>1.5460204532624942</v>
      </c>
      <c r="V30" s="130">
        <f t="shared" si="25"/>
        <v>120.46000000000001</v>
      </c>
      <c r="W30" s="169"/>
      <c r="X30" s="170">
        <v>1.42</v>
      </c>
      <c r="Y30" s="166">
        <v>498</v>
      </c>
      <c r="Z30" s="166">
        <v>1158</v>
      </c>
      <c r="AA30" s="148" t="s">
        <v>244</v>
      </c>
      <c r="AB30" s="164">
        <v>75.87</v>
      </c>
      <c r="AC30" s="166">
        <v>99</v>
      </c>
      <c r="AD30" s="171">
        <v>4</v>
      </c>
      <c r="AE30" s="164">
        <v>3.8</v>
      </c>
      <c r="AF30" s="172">
        <f t="shared" si="3"/>
        <v>31.545741324921142</v>
      </c>
      <c r="AG30" s="173"/>
      <c r="AH30" s="170">
        <v>78.650000000000006</v>
      </c>
      <c r="AI30" s="134">
        <f t="shared" si="4"/>
        <v>652.91383031711791</v>
      </c>
      <c r="AJ30" s="174">
        <v>14.16</v>
      </c>
      <c r="AK30" s="175"/>
      <c r="AL30" s="176">
        <v>5.52</v>
      </c>
      <c r="AM30" s="177">
        <v>31.5</v>
      </c>
      <c r="AN30" s="126">
        <f t="shared" si="26"/>
        <v>0.20283322601416615</v>
      </c>
      <c r="AO30" s="178" t="s">
        <v>245</v>
      </c>
      <c r="AP30" s="177">
        <v>8.31</v>
      </c>
      <c r="AQ30" s="177">
        <v>6.44</v>
      </c>
      <c r="AR30" s="171"/>
      <c r="AS30" s="164">
        <v>7.41</v>
      </c>
      <c r="AT30" s="129">
        <f t="shared" si="27"/>
        <v>155.29999999999998</v>
      </c>
      <c r="AU30" s="164">
        <v>2.1800000000000002</v>
      </c>
      <c r="AV30" s="164"/>
      <c r="AW30" s="164"/>
      <c r="AX30" s="179">
        <f t="shared" si="5"/>
        <v>0</v>
      </c>
      <c r="AY30" s="125">
        <f t="shared" si="6"/>
        <v>120.45999999999998</v>
      </c>
      <c r="AZ30" s="125">
        <f t="shared" si="39"/>
        <v>135.08507275831499</v>
      </c>
      <c r="BA30" s="159">
        <f t="shared" si="7"/>
        <v>4.5146207746478879</v>
      </c>
      <c r="BB30" s="159">
        <f t="shared" si="8"/>
        <v>4.8183999999999996</v>
      </c>
      <c r="BC30" s="180">
        <f t="shared" si="9"/>
        <v>0.79241158512828613</v>
      </c>
      <c r="BD30" s="159">
        <f t="shared" si="28"/>
        <v>9.3330207746478884</v>
      </c>
      <c r="BE30" s="167">
        <v>0.82899999999999996</v>
      </c>
      <c r="BF30" s="25">
        <f t="shared" si="29"/>
        <v>3172.0600000000004</v>
      </c>
      <c r="BG30" s="25">
        <f t="shared" si="10"/>
        <v>125</v>
      </c>
      <c r="BH30" s="25">
        <f t="shared" si="30"/>
        <v>3000</v>
      </c>
      <c r="BI30" s="26">
        <f t="shared" si="11"/>
        <v>1</v>
      </c>
      <c r="BJ30" s="37">
        <f t="shared" si="31"/>
        <v>3000</v>
      </c>
      <c r="BK30" s="38"/>
      <c r="BL30" s="28">
        <f t="shared" si="32"/>
        <v>280.89099999999996</v>
      </c>
      <c r="BM30" s="31"/>
      <c r="BN30" s="31"/>
      <c r="BO30" s="40"/>
      <c r="BP30" s="40">
        <v>34.69</v>
      </c>
      <c r="BQ30" s="44"/>
      <c r="BR30" s="45"/>
      <c r="BS30" s="46">
        <v>2.4500000000000002</v>
      </c>
      <c r="BT30" s="47"/>
      <c r="BU30" s="47"/>
      <c r="BV30" s="283"/>
      <c r="BW30" s="283">
        <v>3.74</v>
      </c>
      <c r="BX30" s="48"/>
      <c r="BY30" s="45"/>
      <c r="BZ30" s="46">
        <v>37.36</v>
      </c>
      <c r="CA30" s="47"/>
      <c r="CB30" s="47"/>
      <c r="CC30" s="283"/>
      <c r="CD30" s="283">
        <v>38.81</v>
      </c>
      <c r="CE30" s="48"/>
      <c r="CF30" s="28">
        <f t="shared" si="33"/>
        <v>194.054</v>
      </c>
      <c r="CG30" s="49"/>
      <c r="CH30" s="43"/>
      <c r="CI30" s="32"/>
      <c r="CJ30" s="33">
        <v>4.03</v>
      </c>
      <c r="CK30" s="33"/>
      <c r="CL30" s="35"/>
      <c r="CM30" s="36"/>
      <c r="CN30" s="286"/>
      <c r="CO30" s="249">
        <f t="shared" si="40"/>
        <v>0</v>
      </c>
      <c r="CP30" s="12">
        <f t="shared" si="40"/>
        <v>274.00917049999993</v>
      </c>
      <c r="CQ30" s="12">
        <f t="shared" si="40"/>
        <v>0</v>
      </c>
      <c r="CR30" s="12">
        <f t="shared" si="40"/>
        <v>0</v>
      </c>
      <c r="CS30" s="11">
        <f t="shared" si="40"/>
        <v>0</v>
      </c>
      <c r="CT30" s="11">
        <f t="shared" si="40"/>
        <v>33.392593999999995</v>
      </c>
      <c r="CU30" s="272">
        <f t="shared" si="40"/>
        <v>0</v>
      </c>
      <c r="CV30" s="249">
        <f t="shared" si="13"/>
        <v>186.2336238</v>
      </c>
      <c r="CW30" s="11">
        <f t="shared" si="13"/>
        <v>0</v>
      </c>
      <c r="CX30" s="252">
        <f t="shared" si="13"/>
        <v>0</v>
      </c>
      <c r="CY30" s="272">
        <f t="shared" si="13"/>
        <v>0</v>
      </c>
      <c r="CZ30" s="13"/>
      <c r="DA30" s="240">
        <f>(D30+'[2]апрель 20 '!D30)/(AY30+'[2]апрель 20 '!AX30)</f>
        <v>2.3527291011235958</v>
      </c>
      <c r="DB30" s="241">
        <f>(T30+'[2]апрель 20 '!R30)/(AY30+'[2]апрель 20 '!AX30)</f>
        <v>1.4306714600584889</v>
      </c>
      <c r="DD30" s="292">
        <f t="shared" si="14"/>
        <v>9.8209999999999997</v>
      </c>
      <c r="DE30" s="291">
        <v>0.37</v>
      </c>
      <c r="DF30" s="291">
        <v>18.41</v>
      </c>
      <c r="DG30" s="145">
        <f t="shared" si="15"/>
        <v>9.784662299999999</v>
      </c>
      <c r="DH30" s="293">
        <f t="shared" si="34"/>
        <v>2.3742669427046259</v>
      </c>
      <c r="DJ30" s="149">
        <v>137.19999999999999</v>
      </c>
      <c r="DK30" s="459">
        <f t="shared" si="35"/>
        <v>155.29999999999998</v>
      </c>
      <c r="DL30" s="31">
        <v>212.89099999999999</v>
      </c>
      <c r="DM30" s="322">
        <f t="shared" si="36"/>
        <v>280.89099999999996</v>
      </c>
      <c r="DN30" s="49">
        <v>154.054</v>
      </c>
      <c r="DO30" s="460">
        <f t="shared" si="37"/>
        <v>194.054</v>
      </c>
      <c r="DP30" s="169">
        <v>102.36</v>
      </c>
      <c r="DQ30" s="461">
        <f t="shared" si="38"/>
        <v>120.46000000000001</v>
      </c>
    </row>
    <row r="31" spans="1:121" s="76" customFormat="1" ht="16.5" customHeight="1" thickBot="1">
      <c r="A31" s="144">
        <v>25</v>
      </c>
      <c r="B31" s="122">
        <f t="shared" si="16"/>
        <v>337.85399999999998</v>
      </c>
      <c r="C31" s="123">
        <f t="shared" si="17"/>
        <v>2.6682000213109807</v>
      </c>
      <c r="D31" s="145">
        <f t="shared" si="18"/>
        <v>328.83937949999995</v>
      </c>
      <c r="E31" s="125">
        <f t="shared" si="19"/>
        <v>37.537350778738748</v>
      </c>
      <c r="F31" s="146">
        <f t="shared" si="20"/>
        <v>2.2176920656865384</v>
      </c>
      <c r="G31" s="127"/>
      <c r="H31" s="126">
        <f t="shared" si="21"/>
        <v>2.2176920656865384</v>
      </c>
      <c r="I31" s="230">
        <f>'[1]июль 20'!AI30</f>
        <v>0</v>
      </c>
      <c r="J31" s="247">
        <f>'[1]апрель 20'!AA30</f>
        <v>10.728999999999999</v>
      </c>
      <c r="K31" s="276">
        <f>'[1]сентябрь 20'!AM30</f>
        <v>0</v>
      </c>
      <c r="L31" s="122"/>
      <c r="M31" s="128">
        <f t="shared" si="22"/>
        <v>0</v>
      </c>
      <c r="N31" s="400">
        <f>'[1]апрель 20'!W30</f>
        <v>0</v>
      </c>
      <c r="O31" s="403">
        <f>'[1]апрель 20'!AU30</f>
        <v>0</v>
      </c>
      <c r="P31" s="401">
        <f t="shared" si="0"/>
        <v>204.93299999999999</v>
      </c>
      <c r="Q31" s="122">
        <f t="shared" si="23"/>
        <v>204.93299999999999</v>
      </c>
      <c r="R31" s="123">
        <f t="shared" si="24"/>
        <v>2.8800000000000003</v>
      </c>
      <c r="S31" s="129">
        <v>7.23</v>
      </c>
      <c r="T31" s="125">
        <f t="shared" si="1"/>
        <v>199.03092960000001</v>
      </c>
      <c r="U31" s="147">
        <f t="shared" si="2"/>
        <v>1.3422641596978688</v>
      </c>
      <c r="V31" s="130">
        <f t="shared" si="25"/>
        <v>87.37</v>
      </c>
      <c r="W31" s="130"/>
      <c r="X31" s="129">
        <v>1.71</v>
      </c>
      <c r="Y31" s="150">
        <v>566</v>
      </c>
      <c r="Z31" s="150">
        <v>1173</v>
      </c>
      <c r="AA31" s="148" t="s">
        <v>122</v>
      </c>
      <c r="AB31" s="149">
        <v>75.11</v>
      </c>
      <c r="AC31" s="150">
        <v>108</v>
      </c>
      <c r="AD31" s="151">
        <v>4</v>
      </c>
      <c r="AE31" s="149">
        <v>7.1</v>
      </c>
      <c r="AF31" s="134">
        <f t="shared" si="3"/>
        <v>47.8823846776369</v>
      </c>
      <c r="AG31" s="152"/>
      <c r="AH31" s="129">
        <v>78.75</v>
      </c>
      <c r="AI31" s="134">
        <f t="shared" si="4"/>
        <v>531.08983005125447</v>
      </c>
      <c r="AJ31" s="136">
        <v>13.27</v>
      </c>
      <c r="AK31" s="154"/>
      <c r="AL31" s="155">
        <v>5.79</v>
      </c>
      <c r="AM31" s="156">
        <v>30.9</v>
      </c>
      <c r="AN31" s="126">
        <f t="shared" si="26"/>
        <v>0.16889860617655097</v>
      </c>
      <c r="AO31" s="157" t="s">
        <v>216</v>
      </c>
      <c r="AP31" s="156">
        <v>9.93</v>
      </c>
      <c r="AQ31" s="156">
        <v>6.36</v>
      </c>
      <c r="AR31" s="151"/>
      <c r="AS31" s="149">
        <v>7.34</v>
      </c>
      <c r="AT31" s="129">
        <f t="shared" si="27"/>
        <v>182.95</v>
      </c>
      <c r="AU31" s="149">
        <v>2.02</v>
      </c>
      <c r="AV31" s="164"/>
      <c r="AW31" s="149"/>
      <c r="AX31" s="158">
        <f t="shared" si="5"/>
        <v>0</v>
      </c>
      <c r="AY31" s="125">
        <f t="shared" si="6"/>
        <v>148.28</v>
      </c>
      <c r="AZ31" s="125">
        <f t="shared" si="39"/>
        <v>146.72853613655565</v>
      </c>
      <c r="BA31" s="159">
        <f t="shared" si="7"/>
        <v>4.477658450704225</v>
      </c>
      <c r="BB31" s="160">
        <f t="shared" si="8"/>
        <v>5.9312000000000005</v>
      </c>
      <c r="BC31" s="161">
        <f t="shared" si="9"/>
        <v>0.9022624854672362</v>
      </c>
      <c r="BD31" s="160">
        <f t="shared" si="28"/>
        <v>10.408858450704226</v>
      </c>
      <c r="BE31" s="162">
        <v>0.83199999999999996</v>
      </c>
      <c r="BF31" s="25">
        <f t="shared" si="29"/>
        <v>3320.3400000000006</v>
      </c>
      <c r="BG31" s="25">
        <f t="shared" si="10"/>
        <v>125</v>
      </c>
      <c r="BH31" s="25">
        <f t="shared" si="30"/>
        <v>3125</v>
      </c>
      <c r="BI31" s="26">
        <f t="shared" si="11"/>
        <v>1</v>
      </c>
      <c r="BJ31" s="37">
        <f t="shared" si="31"/>
        <v>3125</v>
      </c>
      <c r="BK31" s="38"/>
      <c r="BL31" s="28">
        <f t="shared" si="32"/>
        <v>300.04899999999998</v>
      </c>
      <c r="BM31" s="31"/>
      <c r="BN31" s="31"/>
      <c r="BO31" s="40"/>
      <c r="BP31" s="40">
        <v>37.805</v>
      </c>
      <c r="BQ31" s="32"/>
      <c r="BR31" s="33"/>
      <c r="BS31" s="34">
        <v>2.4500000000000002</v>
      </c>
      <c r="BT31" s="35"/>
      <c r="BU31" s="35"/>
      <c r="BV31" s="235"/>
      <c r="BW31" s="235">
        <v>4.4000000000000004</v>
      </c>
      <c r="BX31" s="36"/>
      <c r="BY31" s="33"/>
      <c r="BZ31" s="34">
        <v>37.44</v>
      </c>
      <c r="CA31" s="35"/>
      <c r="CB31" s="35"/>
      <c r="CC31" s="235"/>
      <c r="CD31" s="235">
        <v>38.31</v>
      </c>
      <c r="CE31" s="36"/>
      <c r="CF31" s="28">
        <f t="shared" si="33"/>
        <v>204.93299999999999</v>
      </c>
      <c r="CG31" s="30"/>
      <c r="CH31" s="31"/>
      <c r="CI31" s="32"/>
      <c r="CJ31" s="33">
        <v>2.88</v>
      </c>
      <c r="CK31" s="33"/>
      <c r="CL31" s="35"/>
      <c r="CM31" s="36"/>
      <c r="CN31" s="286"/>
      <c r="CO31" s="249">
        <f t="shared" si="40"/>
        <v>0</v>
      </c>
      <c r="CP31" s="12">
        <f t="shared" si="40"/>
        <v>292.69779949999997</v>
      </c>
      <c r="CQ31" s="12">
        <f t="shared" si="40"/>
        <v>0</v>
      </c>
      <c r="CR31" s="12">
        <f t="shared" si="40"/>
        <v>0</v>
      </c>
      <c r="CS31" s="11">
        <f t="shared" si="40"/>
        <v>0</v>
      </c>
      <c r="CT31" s="11">
        <f t="shared" si="40"/>
        <v>36.141579999999998</v>
      </c>
      <c r="CU31" s="272">
        <f t="shared" si="40"/>
        <v>0</v>
      </c>
      <c r="CV31" s="249">
        <f t="shared" si="13"/>
        <v>199.03092960000001</v>
      </c>
      <c r="CW31" s="12">
        <f t="shared" si="13"/>
        <v>0</v>
      </c>
      <c r="CX31" s="249">
        <f t="shared" si="13"/>
        <v>0</v>
      </c>
      <c r="CY31" s="272">
        <f t="shared" si="13"/>
        <v>0</v>
      </c>
      <c r="CZ31" s="13"/>
      <c r="DA31" s="240">
        <f>(D31+'[2]апрель 20 '!D31)/(AY31+'[2]апрель 20 '!AX31)</f>
        <v>2.2581605325903134</v>
      </c>
      <c r="DB31" s="241">
        <f>(T31+'[2]апрель 20 '!R31)/(AY31+'[2]апрель 20 '!AX31)</f>
        <v>1.3546561579195433</v>
      </c>
      <c r="DD31" s="292">
        <f t="shared" si="14"/>
        <v>10.728999999999999</v>
      </c>
      <c r="DE31" s="291">
        <v>0.76</v>
      </c>
      <c r="DF31" s="291">
        <v>22.98</v>
      </c>
      <c r="DG31" s="145">
        <f t="shared" si="15"/>
        <v>10.647459599999999</v>
      </c>
      <c r="DH31" s="293">
        <f t="shared" si="34"/>
        <v>3.2576038025296232</v>
      </c>
      <c r="DJ31" s="149">
        <v>164.85</v>
      </c>
      <c r="DK31" s="459">
        <f t="shared" si="35"/>
        <v>182.95</v>
      </c>
      <c r="DL31" s="31">
        <v>232.04900000000001</v>
      </c>
      <c r="DM31" s="322">
        <f t="shared" si="36"/>
        <v>300.04899999999998</v>
      </c>
      <c r="DN31" s="30">
        <v>164.93299999999999</v>
      </c>
      <c r="DO31" s="460">
        <f t="shared" si="37"/>
        <v>204.93299999999999</v>
      </c>
      <c r="DP31" s="130">
        <v>69.27</v>
      </c>
      <c r="DQ31" s="461">
        <f t="shared" si="38"/>
        <v>87.37</v>
      </c>
    </row>
    <row r="32" spans="1:121" s="76" customFormat="1" ht="16.5" customHeight="1" thickBot="1">
      <c r="A32" s="144">
        <v>26</v>
      </c>
      <c r="B32" s="122">
        <f t="shared" si="16"/>
        <v>355.58</v>
      </c>
      <c r="C32" s="123">
        <f t="shared" si="17"/>
        <v>1.9265920467967828</v>
      </c>
      <c r="D32" s="145">
        <f t="shared" si="18"/>
        <v>348.72942399999999</v>
      </c>
      <c r="E32" s="125">
        <f t="shared" si="19"/>
        <v>37.840561898869453</v>
      </c>
      <c r="F32" s="146">
        <f t="shared" si="20"/>
        <v>2.2770448841005551</v>
      </c>
      <c r="G32" s="127"/>
      <c r="H32" s="126">
        <f t="shared" si="21"/>
        <v>2.2770448841005551</v>
      </c>
      <c r="I32" s="230">
        <f>'[1]июль 20'!AI31</f>
        <v>0</v>
      </c>
      <c r="J32" s="247">
        <f>'[1]апрель 20'!AA31</f>
        <v>11.61</v>
      </c>
      <c r="K32" s="276">
        <f>'[1]сентябрь 20'!AM31</f>
        <v>0</v>
      </c>
      <c r="L32" s="122"/>
      <c r="M32" s="128">
        <f t="shared" si="22"/>
        <v>0</v>
      </c>
      <c r="N32" s="400">
        <f>'[1]апрель 20'!W31</f>
        <v>0</v>
      </c>
      <c r="O32" s="403">
        <f>'[1]апрель 20'!AU31</f>
        <v>0</v>
      </c>
      <c r="P32" s="401">
        <f t="shared" si="0"/>
        <v>213.16</v>
      </c>
      <c r="Q32" s="122">
        <f t="shared" si="23"/>
        <v>213.16</v>
      </c>
      <c r="R32" s="123">
        <f t="shared" si="24"/>
        <v>2.9800000000000004</v>
      </c>
      <c r="S32" s="129">
        <v>8.42</v>
      </c>
      <c r="T32" s="125">
        <f t="shared" si="1"/>
        <v>206.80783199999999</v>
      </c>
      <c r="U32" s="147">
        <f t="shared" si="2"/>
        <v>1.3503612928501467</v>
      </c>
      <c r="V32" s="130">
        <f t="shared" si="25"/>
        <v>89.050000000000011</v>
      </c>
      <c r="W32" s="130">
        <v>36.96</v>
      </c>
      <c r="X32" s="129">
        <v>1.34</v>
      </c>
      <c r="Y32" s="150">
        <v>548</v>
      </c>
      <c r="Z32" s="150">
        <v>1184</v>
      </c>
      <c r="AA32" s="148" t="s">
        <v>155</v>
      </c>
      <c r="AB32" s="149">
        <v>74.92</v>
      </c>
      <c r="AC32" s="150">
        <v>115</v>
      </c>
      <c r="AD32" s="151">
        <v>4</v>
      </c>
      <c r="AE32" s="149">
        <v>6.05</v>
      </c>
      <c r="AF32" s="134">
        <f t="shared" si="3"/>
        <v>39.503754489063006</v>
      </c>
      <c r="AG32" s="152"/>
      <c r="AH32" s="129">
        <v>80.45</v>
      </c>
      <c r="AI32" s="134">
        <f t="shared" si="4"/>
        <v>525.3019915115899</v>
      </c>
      <c r="AJ32" s="153">
        <v>16.86</v>
      </c>
      <c r="AK32" s="154"/>
      <c r="AL32" s="155">
        <v>5.32</v>
      </c>
      <c r="AM32" s="156">
        <v>30.97</v>
      </c>
      <c r="AN32" s="126">
        <f t="shared" si="26"/>
        <v>0.16495339547270305</v>
      </c>
      <c r="AO32" s="157" t="s">
        <v>216</v>
      </c>
      <c r="AP32" s="156">
        <v>9.83</v>
      </c>
      <c r="AQ32" s="156">
        <v>6.36</v>
      </c>
      <c r="AR32" s="151"/>
      <c r="AS32" s="149">
        <v>8.91</v>
      </c>
      <c r="AT32" s="129">
        <f t="shared" si="27"/>
        <v>187.75</v>
      </c>
      <c r="AU32" s="149">
        <v>1.69</v>
      </c>
      <c r="AV32" s="149"/>
      <c r="AW32" s="149"/>
      <c r="AX32" s="158">
        <f t="shared" si="5"/>
        <v>0</v>
      </c>
      <c r="AY32" s="125">
        <f t="shared" si="6"/>
        <v>153.15</v>
      </c>
      <c r="AZ32" s="125">
        <f t="shared" si="39"/>
        <v>156.44935412687929</v>
      </c>
      <c r="BA32" s="159">
        <f t="shared" si="7"/>
        <v>5.5527496478873246</v>
      </c>
      <c r="BB32" s="160">
        <f t="shared" si="8"/>
        <v>6.1260000000000003</v>
      </c>
      <c r="BC32" s="161">
        <f t="shared" si="9"/>
        <v>0.86949802669048837</v>
      </c>
      <c r="BD32" s="160">
        <f t="shared" si="28"/>
        <v>11.678749647887326</v>
      </c>
      <c r="BE32" s="162">
        <v>0.83399999999999996</v>
      </c>
      <c r="BF32" s="25">
        <f t="shared" si="29"/>
        <v>3473.4900000000007</v>
      </c>
      <c r="BG32" s="25">
        <f t="shared" si="10"/>
        <v>125</v>
      </c>
      <c r="BH32" s="25">
        <f t="shared" si="30"/>
        <v>3250</v>
      </c>
      <c r="BI32" s="26">
        <f t="shared" si="11"/>
        <v>1</v>
      </c>
      <c r="BJ32" s="37">
        <f t="shared" si="31"/>
        <v>3250</v>
      </c>
      <c r="BK32" s="38"/>
      <c r="BL32" s="28">
        <f t="shared" si="32"/>
        <v>319.35599999999999</v>
      </c>
      <c r="BM32" s="31"/>
      <c r="BN32" s="31"/>
      <c r="BO32" s="40"/>
      <c r="BP32" s="40">
        <v>36.223999999999997</v>
      </c>
      <c r="BQ32" s="32"/>
      <c r="BR32" s="33"/>
      <c r="BS32" s="34">
        <v>1.84</v>
      </c>
      <c r="BT32" s="35"/>
      <c r="BU32" s="35"/>
      <c r="BV32" s="235"/>
      <c r="BW32" s="235">
        <v>2.69</v>
      </c>
      <c r="BX32" s="36"/>
      <c r="BY32" s="33"/>
      <c r="BZ32" s="34">
        <v>37.81</v>
      </c>
      <c r="CA32" s="35"/>
      <c r="CB32" s="35"/>
      <c r="CC32" s="235"/>
      <c r="CD32" s="235">
        <v>38.11</v>
      </c>
      <c r="CE32" s="36"/>
      <c r="CF32" s="28">
        <f t="shared" si="33"/>
        <v>213.16</v>
      </c>
      <c r="CG32" s="30"/>
      <c r="CH32" s="31"/>
      <c r="CI32" s="50"/>
      <c r="CJ32" s="33">
        <v>2.98</v>
      </c>
      <c r="CK32" s="33"/>
      <c r="CL32" s="35"/>
      <c r="CM32" s="36"/>
      <c r="CN32" s="286"/>
      <c r="CO32" s="249">
        <f t="shared" si="40"/>
        <v>0</v>
      </c>
      <c r="CP32" s="12">
        <f t="shared" si="40"/>
        <v>313.47984959999997</v>
      </c>
      <c r="CQ32" s="12">
        <f t="shared" si="40"/>
        <v>0</v>
      </c>
      <c r="CR32" s="12">
        <f t="shared" si="40"/>
        <v>0</v>
      </c>
      <c r="CS32" s="11">
        <f t="shared" si="40"/>
        <v>0</v>
      </c>
      <c r="CT32" s="11">
        <f t="shared" si="40"/>
        <v>35.2495744</v>
      </c>
      <c r="CU32" s="272">
        <f t="shared" si="40"/>
        <v>0</v>
      </c>
      <c r="CV32" s="249">
        <f t="shared" si="13"/>
        <v>206.80783199999999</v>
      </c>
      <c r="CW32" s="11">
        <f t="shared" si="13"/>
        <v>0</v>
      </c>
      <c r="CX32" s="249">
        <f t="shared" si="13"/>
        <v>0</v>
      </c>
      <c r="CY32" s="272">
        <f t="shared" si="13"/>
        <v>0</v>
      </c>
      <c r="CZ32" s="13"/>
      <c r="DA32" s="240">
        <f>(D32+'[2]апрель 20 '!D32)/(AY32+'[2]апрель 20 '!AX32)</f>
        <v>2.217177131427619</v>
      </c>
      <c r="DB32" s="241">
        <f>(T32+'[2]апрель 20 '!R32)/(AY32+'[2]апрель 20 '!AX32)</f>
        <v>1.3052138567102811</v>
      </c>
      <c r="DD32" s="292">
        <f t="shared" si="14"/>
        <v>11.61</v>
      </c>
      <c r="DE32" s="291">
        <v>0.17</v>
      </c>
      <c r="DF32" s="291">
        <v>17.34</v>
      </c>
      <c r="DG32" s="145">
        <f t="shared" si="15"/>
        <v>11.590262999999998</v>
      </c>
      <c r="DH32" s="293">
        <f t="shared" si="34"/>
        <v>2.6825301711158569</v>
      </c>
      <c r="DJ32" s="149">
        <v>169.65</v>
      </c>
      <c r="DK32" s="459">
        <f t="shared" si="35"/>
        <v>187.75</v>
      </c>
      <c r="DL32" s="31">
        <v>251.35599999999999</v>
      </c>
      <c r="DM32" s="322">
        <f t="shared" si="36"/>
        <v>319.35599999999999</v>
      </c>
      <c r="DN32" s="30">
        <v>173.16</v>
      </c>
      <c r="DO32" s="460">
        <f t="shared" si="37"/>
        <v>213.16</v>
      </c>
      <c r="DP32" s="130">
        <v>70.95</v>
      </c>
      <c r="DQ32" s="461">
        <f t="shared" si="38"/>
        <v>89.050000000000011</v>
      </c>
    </row>
    <row r="33" spans="1:121" s="76" customFormat="1" ht="16.5" customHeight="1" thickBot="1">
      <c r="A33" s="144">
        <v>27</v>
      </c>
      <c r="B33" s="122">
        <f t="shared" si="16"/>
        <v>353.03999999999996</v>
      </c>
      <c r="C33" s="123">
        <f t="shared" si="17"/>
        <v>1.4856111488783144</v>
      </c>
      <c r="D33" s="145">
        <f t="shared" si="18"/>
        <v>347.79519839999995</v>
      </c>
      <c r="E33" s="125">
        <f t="shared" si="19"/>
        <v>37.540258780874694</v>
      </c>
      <c r="F33" s="146">
        <f t="shared" si="20"/>
        <v>2.1739917389673709</v>
      </c>
      <c r="G33" s="127"/>
      <c r="H33" s="126">
        <f t="shared" si="21"/>
        <v>2.1739917389673713</v>
      </c>
      <c r="I33" s="230">
        <f>'[1]июль 20'!AI32</f>
        <v>0</v>
      </c>
      <c r="J33" s="247">
        <f>'[1]апрель 20'!AA32</f>
        <v>11.135</v>
      </c>
      <c r="K33" s="276">
        <f>'[1]сентябрь 20'!AM32</f>
        <v>0</v>
      </c>
      <c r="L33" s="122"/>
      <c r="M33" s="128">
        <f t="shared" si="22"/>
        <v>0</v>
      </c>
      <c r="N33" s="400">
        <f>'[1]апрель 20'!W32</f>
        <v>0</v>
      </c>
      <c r="O33" s="403">
        <f>'[1]апрель 20'!AU32</f>
        <v>0.24</v>
      </c>
      <c r="P33" s="401">
        <f t="shared" si="0"/>
        <v>209.62200000000001</v>
      </c>
      <c r="Q33" s="122">
        <f t="shared" si="23"/>
        <v>209.62200000000001</v>
      </c>
      <c r="R33" s="123">
        <f t="shared" si="24"/>
        <v>3.6</v>
      </c>
      <c r="S33" s="129">
        <v>35.340000000000003</v>
      </c>
      <c r="T33" s="125">
        <f t="shared" si="1"/>
        <v>202.07560800000002</v>
      </c>
      <c r="U33" s="147">
        <f t="shared" si="2"/>
        <v>1.2631304413051634</v>
      </c>
      <c r="V33" s="130">
        <f t="shared" si="25"/>
        <v>0</v>
      </c>
      <c r="W33" s="130"/>
      <c r="X33" s="129">
        <v>1.34</v>
      </c>
      <c r="Y33" s="150">
        <v>540</v>
      </c>
      <c r="Z33" s="150">
        <v>1168</v>
      </c>
      <c r="AA33" s="148" t="s">
        <v>122</v>
      </c>
      <c r="AB33" s="149">
        <v>72.91</v>
      </c>
      <c r="AC33" s="150">
        <v>114</v>
      </c>
      <c r="AD33" s="151">
        <v>4</v>
      </c>
      <c r="AE33" s="149">
        <v>7.25</v>
      </c>
      <c r="AF33" s="134">
        <f t="shared" si="3"/>
        <v>45.318164770596333</v>
      </c>
      <c r="AG33" s="152"/>
      <c r="AH33" s="129">
        <v>88.95</v>
      </c>
      <c r="AI33" s="134">
        <f t="shared" si="4"/>
        <v>556.0070008751095</v>
      </c>
      <c r="AJ33" s="136">
        <v>13.75</v>
      </c>
      <c r="AK33" s="154"/>
      <c r="AL33" s="155">
        <v>5.05</v>
      </c>
      <c r="AM33" s="156">
        <v>30.84</v>
      </c>
      <c r="AN33" s="126">
        <f t="shared" si="26"/>
        <v>0.1583568677792041</v>
      </c>
      <c r="AO33" s="157" t="s">
        <v>219</v>
      </c>
      <c r="AP33" s="156">
        <v>9.8800000000000008</v>
      </c>
      <c r="AQ33" s="156">
        <v>6.1</v>
      </c>
      <c r="AR33" s="151"/>
      <c r="AS33" s="149">
        <v>10.119999999999999</v>
      </c>
      <c r="AT33" s="129">
        <f t="shared" si="27"/>
        <v>194.75</v>
      </c>
      <c r="AU33" s="149">
        <v>1.1200000000000001</v>
      </c>
      <c r="AV33" s="149"/>
      <c r="AW33" s="149"/>
      <c r="AX33" s="158">
        <f t="shared" si="5"/>
        <v>0</v>
      </c>
      <c r="AY33" s="125">
        <f t="shared" si="6"/>
        <v>159.97999999999999</v>
      </c>
      <c r="AZ33" s="125">
        <f t="shared" si="39"/>
        <v>158.86317939905481</v>
      </c>
      <c r="BA33" s="159">
        <f t="shared" si="7"/>
        <v>6.9731788732394362</v>
      </c>
      <c r="BB33" s="160">
        <f t="shared" si="8"/>
        <v>6.3991999999999996</v>
      </c>
      <c r="BC33" s="161">
        <f t="shared" si="9"/>
        <v>0.89337119770283147</v>
      </c>
      <c r="BD33" s="160">
        <f t="shared" si="28"/>
        <v>13.372378873239436</v>
      </c>
      <c r="BE33" s="162">
        <v>0.83599999999999997</v>
      </c>
      <c r="BF33" s="25">
        <f t="shared" si="29"/>
        <v>3633.4700000000007</v>
      </c>
      <c r="BG33" s="25">
        <f t="shared" si="10"/>
        <v>125</v>
      </c>
      <c r="BH33" s="25">
        <f t="shared" si="30"/>
        <v>3375</v>
      </c>
      <c r="BI33" s="26">
        <f t="shared" si="11"/>
        <v>1</v>
      </c>
      <c r="BJ33" s="37">
        <f t="shared" si="31"/>
        <v>3375</v>
      </c>
      <c r="BK33" s="38"/>
      <c r="BL33" s="28">
        <f t="shared" si="32"/>
        <v>315.24799999999999</v>
      </c>
      <c r="BM33" s="31"/>
      <c r="BN33" s="31"/>
      <c r="BO33" s="40"/>
      <c r="BP33" s="40">
        <v>37.792000000000002</v>
      </c>
      <c r="BQ33" s="32"/>
      <c r="BR33" s="33"/>
      <c r="BS33" s="34">
        <v>1.37</v>
      </c>
      <c r="BT33" s="35"/>
      <c r="BU33" s="35"/>
      <c r="BV33" s="235"/>
      <c r="BW33" s="235">
        <v>2.4500000000000002</v>
      </c>
      <c r="BX33" s="36"/>
      <c r="BY33" s="33"/>
      <c r="BZ33" s="34">
        <v>37.43</v>
      </c>
      <c r="CA33" s="35"/>
      <c r="CB33" s="35"/>
      <c r="CC33" s="235"/>
      <c r="CD33" s="235">
        <v>38.46</v>
      </c>
      <c r="CE33" s="36"/>
      <c r="CF33" s="28">
        <f t="shared" si="33"/>
        <v>209.62200000000001</v>
      </c>
      <c r="CG33" s="30"/>
      <c r="CH33" s="31"/>
      <c r="CI33" s="32"/>
      <c r="CJ33" s="33">
        <v>3.6</v>
      </c>
      <c r="CK33" s="33"/>
      <c r="CL33" s="35"/>
      <c r="CM33" s="36"/>
      <c r="CN33" s="270"/>
      <c r="CO33" s="249">
        <f t="shared" si="40"/>
        <v>0</v>
      </c>
      <c r="CP33" s="12">
        <f t="shared" si="40"/>
        <v>310.92910239999998</v>
      </c>
      <c r="CQ33" s="12">
        <f t="shared" si="40"/>
        <v>0</v>
      </c>
      <c r="CR33" s="12">
        <f t="shared" si="40"/>
        <v>0</v>
      </c>
      <c r="CS33" s="11">
        <f t="shared" si="40"/>
        <v>0</v>
      </c>
      <c r="CT33" s="11">
        <f t="shared" si="40"/>
        <v>36.866095999999999</v>
      </c>
      <c r="CU33" s="272">
        <f t="shared" si="40"/>
        <v>0</v>
      </c>
      <c r="CV33" s="249">
        <f t="shared" si="13"/>
        <v>202.07560800000002</v>
      </c>
      <c r="CW33" s="12">
        <f t="shared" si="13"/>
        <v>0</v>
      </c>
      <c r="CX33" s="254">
        <f t="shared" si="13"/>
        <v>0</v>
      </c>
      <c r="CY33" s="275">
        <f t="shared" si="13"/>
        <v>0</v>
      </c>
      <c r="CZ33" s="13"/>
      <c r="DA33" s="240">
        <f>(D33+'[2]апрель 20 '!D33)/(AY33+'[2]апрель 20 '!AX33)</f>
        <v>2.2184914148211479</v>
      </c>
      <c r="DB33" s="241">
        <f>(T33+'[2]апрель 20 '!R33)/(AY33+'[2]апрель 20 '!AX33)</f>
        <v>1.2899572740560965</v>
      </c>
      <c r="DD33" s="292">
        <f t="shared" si="14"/>
        <v>11.135</v>
      </c>
      <c r="DE33" s="291">
        <v>0.28000000000000003</v>
      </c>
      <c r="DF33" s="291">
        <v>16.62</v>
      </c>
      <c r="DG33" s="145">
        <f t="shared" si="15"/>
        <v>11.103821999999999</v>
      </c>
      <c r="DH33" s="293">
        <f t="shared" si="34"/>
        <v>2.5311414297078589</v>
      </c>
      <c r="DJ33" s="149">
        <v>176.65</v>
      </c>
      <c r="DK33" s="459">
        <f t="shared" si="35"/>
        <v>194.75</v>
      </c>
      <c r="DL33" s="31">
        <v>247.24799999999999</v>
      </c>
      <c r="DM33" s="322">
        <f t="shared" si="36"/>
        <v>315.24799999999999</v>
      </c>
      <c r="DN33" s="30">
        <v>169.62200000000001</v>
      </c>
      <c r="DO33" s="460">
        <f t="shared" si="37"/>
        <v>209.62200000000001</v>
      </c>
      <c r="DP33" s="130"/>
      <c r="DQ33" s="461"/>
    </row>
    <row r="34" spans="1:121" s="76" customFormat="1" ht="16.5" customHeight="1" thickBot="1">
      <c r="A34" s="144">
        <v>28</v>
      </c>
      <c r="B34" s="122">
        <f t="shared" si="16"/>
        <v>360.50800000000004</v>
      </c>
      <c r="C34" s="123">
        <f t="shared" si="17"/>
        <v>1.8756839237964205</v>
      </c>
      <c r="D34" s="145">
        <f t="shared" si="18"/>
        <v>353.74600940000005</v>
      </c>
      <c r="E34" s="125">
        <f t="shared" si="19"/>
        <v>37.890674659092163</v>
      </c>
      <c r="F34" s="146">
        <f t="shared" si="20"/>
        <v>2.2878412197645845</v>
      </c>
      <c r="G34" s="127"/>
      <c r="H34" s="126">
        <f t="shared" si="21"/>
        <v>2.2878412197645841</v>
      </c>
      <c r="I34" s="230">
        <f>'[1]июль 20'!AI33</f>
        <v>0</v>
      </c>
      <c r="J34" s="247">
        <f>'[1]апрель 20'!AA33</f>
        <v>11.646000000000001</v>
      </c>
      <c r="K34" s="276">
        <f>'[1]сентябрь 20'!AM33</f>
        <v>0</v>
      </c>
      <c r="L34" s="122"/>
      <c r="M34" s="128">
        <f t="shared" si="22"/>
        <v>0</v>
      </c>
      <c r="N34" s="400">
        <f>'[1]апрель 20'!W33</f>
        <v>0</v>
      </c>
      <c r="O34" s="403">
        <f>'[1]апрель 20'!AU33</f>
        <v>0</v>
      </c>
      <c r="P34" s="401">
        <f t="shared" si="0"/>
        <v>213.02699999999999</v>
      </c>
      <c r="Q34" s="122">
        <f t="shared" si="23"/>
        <v>213.02699999999999</v>
      </c>
      <c r="R34" s="123">
        <f t="shared" si="24"/>
        <v>2.83</v>
      </c>
      <c r="S34" s="170">
        <v>9.74</v>
      </c>
      <c r="T34" s="125">
        <f t="shared" si="1"/>
        <v>206.9983359</v>
      </c>
      <c r="U34" s="147">
        <f t="shared" si="2"/>
        <v>1.3387552444703144</v>
      </c>
      <c r="V34" s="130">
        <f t="shared" si="25"/>
        <v>53.86</v>
      </c>
      <c r="W34" s="169">
        <v>100.76</v>
      </c>
      <c r="X34" s="170">
        <v>0.95</v>
      </c>
      <c r="Y34" s="166">
        <v>505</v>
      </c>
      <c r="Z34" s="166">
        <v>1172</v>
      </c>
      <c r="AA34" s="148" t="s">
        <v>174</v>
      </c>
      <c r="AB34" s="164">
        <v>74.7</v>
      </c>
      <c r="AC34" s="166">
        <v>117</v>
      </c>
      <c r="AD34" s="171">
        <v>4</v>
      </c>
      <c r="AE34" s="164">
        <v>5</v>
      </c>
      <c r="AF34" s="172">
        <f t="shared" si="3"/>
        <v>32.337343163885656</v>
      </c>
      <c r="AG34" s="173"/>
      <c r="AH34" s="170">
        <v>90.35</v>
      </c>
      <c r="AI34" s="134">
        <f t="shared" si="4"/>
        <v>584.33579097141376</v>
      </c>
      <c r="AJ34" s="174">
        <v>13.51</v>
      </c>
      <c r="AK34" s="175"/>
      <c r="AL34" s="176">
        <v>8.66</v>
      </c>
      <c r="AM34" s="177">
        <v>29.29</v>
      </c>
      <c r="AN34" s="126">
        <f t="shared" si="26"/>
        <v>0.15387444181770424</v>
      </c>
      <c r="AO34" s="178" t="s">
        <v>246</v>
      </c>
      <c r="AP34" s="177">
        <v>9.34</v>
      </c>
      <c r="AQ34" s="177">
        <v>5.89</v>
      </c>
      <c r="AR34" s="171"/>
      <c r="AS34" s="164">
        <v>9.64</v>
      </c>
      <c r="AT34" s="129">
        <f t="shared" si="27"/>
        <v>190.35</v>
      </c>
      <c r="AU34" s="164">
        <v>2.2200000000000002</v>
      </c>
      <c r="AV34" s="164"/>
      <c r="AW34" s="164"/>
      <c r="AX34" s="179">
        <f t="shared" si="5"/>
        <v>0</v>
      </c>
      <c r="AY34" s="125">
        <f t="shared" si="6"/>
        <v>154.62</v>
      </c>
      <c r="AZ34" s="125">
        <f t="shared" si="39"/>
        <v>159.55482616173174</v>
      </c>
      <c r="BA34" s="159">
        <f t="shared" si="7"/>
        <v>6.7469816901408448</v>
      </c>
      <c r="BB34" s="159">
        <f t="shared" si="8"/>
        <v>6.1848000000000001</v>
      </c>
      <c r="BC34" s="180">
        <f t="shared" si="9"/>
        <v>0.86171248105678888</v>
      </c>
      <c r="BD34" s="159">
        <f t="shared" si="28"/>
        <v>12.931781690140845</v>
      </c>
      <c r="BE34" s="167">
        <v>0.83699999999999997</v>
      </c>
      <c r="BF34" s="25">
        <f t="shared" si="29"/>
        <v>3788.0900000000006</v>
      </c>
      <c r="BG34" s="25">
        <f t="shared" si="10"/>
        <v>125</v>
      </c>
      <c r="BH34" s="25">
        <f t="shared" si="30"/>
        <v>3500</v>
      </c>
      <c r="BI34" s="26">
        <f t="shared" si="11"/>
        <v>1</v>
      </c>
      <c r="BJ34" s="37">
        <f t="shared" si="31"/>
        <v>3500</v>
      </c>
      <c r="BK34" s="38"/>
      <c r="BL34" s="28">
        <f t="shared" si="32"/>
        <v>319.52600000000001</v>
      </c>
      <c r="BM34" s="43"/>
      <c r="BN34" s="43"/>
      <c r="BO34" s="281"/>
      <c r="BP34" s="281">
        <v>40.981999999999999</v>
      </c>
      <c r="BQ34" s="44"/>
      <c r="BR34" s="45"/>
      <c r="BS34" s="46">
        <v>1.87</v>
      </c>
      <c r="BT34" s="47"/>
      <c r="BU34" s="47"/>
      <c r="BV34" s="283"/>
      <c r="BW34" s="283">
        <v>1.92</v>
      </c>
      <c r="BX34" s="48"/>
      <c r="BY34" s="45"/>
      <c r="BZ34" s="46">
        <v>37.909999999999997</v>
      </c>
      <c r="CA34" s="47"/>
      <c r="CB34" s="47"/>
      <c r="CC34" s="283"/>
      <c r="CD34" s="283">
        <v>37.74</v>
      </c>
      <c r="CE34" s="48"/>
      <c r="CF34" s="28">
        <f t="shared" si="33"/>
        <v>213.02699999999999</v>
      </c>
      <c r="CG34" s="49"/>
      <c r="CH34" s="43"/>
      <c r="CI34" s="32"/>
      <c r="CJ34" s="33">
        <v>2.83</v>
      </c>
      <c r="CK34" s="33"/>
      <c r="CL34" s="35"/>
      <c r="CM34" s="36"/>
      <c r="CN34" s="270"/>
      <c r="CO34" s="249">
        <f t="shared" si="40"/>
        <v>0</v>
      </c>
      <c r="CP34" s="12">
        <f t="shared" si="40"/>
        <v>313.5508638</v>
      </c>
      <c r="CQ34" s="12">
        <f t="shared" si="40"/>
        <v>0</v>
      </c>
      <c r="CR34" s="12">
        <f t="shared" si="40"/>
        <v>0</v>
      </c>
      <c r="CS34" s="11">
        <f t="shared" si="40"/>
        <v>0</v>
      </c>
      <c r="CT34" s="11">
        <f t="shared" si="40"/>
        <v>40.195145599999996</v>
      </c>
      <c r="CU34" s="272">
        <f t="shared" si="40"/>
        <v>0</v>
      </c>
      <c r="CV34" s="249">
        <f t="shared" si="13"/>
        <v>206.9983359</v>
      </c>
      <c r="CW34" s="12">
        <f t="shared" si="13"/>
        <v>0</v>
      </c>
      <c r="CX34" s="249">
        <f t="shared" si="13"/>
        <v>0</v>
      </c>
      <c r="CY34" s="272">
        <f t="shared" si="13"/>
        <v>0</v>
      </c>
      <c r="CZ34" s="13"/>
      <c r="DA34" s="240">
        <f>(D34+'[2]апрель 20 '!D34)/(AY34+'[2]апрель 20 '!AX34)</f>
        <v>2.2811274043919929</v>
      </c>
      <c r="DB34" s="241">
        <f>(T34+'[2]апрель 20 '!R34)/(AY34+'[2]апрель 20 '!AX34)</f>
        <v>1.3640884967881686</v>
      </c>
      <c r="DD34" s="292">
        <f t="shared" si="14"/>
        <v>11.646000000000001</v>
      </c>
      <c r="DE34" s="291">
        <v>0.31</v>
      </c>
      <c r="DF34" s="291">
        <v>18.72</v>
      </c>
      <c r="DG34" s="145">
        <f t="shared" si="15"/>
        <v>11.609897400000001</v>
      </c>
      <c r="DH34" s="293">
        <f t="shared" si="34"/>
        <v>2.9094682640963856</v>
      </c>
      <c r="DJ34" s="149">
        <v>172.25</v>
      </c>
      <c r="DK34" s="459">
        <f t="shared" si="35"/>
        <v>190.35</v>
      </c>
      <c r="DL34" s="30">
        <v>251.52600000000001</v>
      </c>
      <c r="DM34" s="322">
        <f t="shared" si="36"/>
        <v>319.52600000000001</v>
      </c>
      <c r="DN34" s="49">
        <v>173.02699999999999</v>
      </c>
      <c r="DO34" s="460">
        <f t="shared" si="37"/>
        <v>213.02699999999999</v>
      </c>
      <c r="DP34" s="169">
        <v>35.76</v>
      </c>
      <c r="DQ34" s="461">
        <f t="shared" si="38"/>
        <v>53.86</v>
      </c>
    </row>
    <row r="35" spans="1:121" s="76" customFormat="1" ht="16.5" customHeight="1" thickBot="1">
      <c r="A35" s="144">
        <v>29</v>
      </c>
      <c r="B35" s="122">
        <f t="shared" si="16"/>
        <v>360.15899999999999</v>
      </c>
      <c r="C35" s="123">
        <f t="shared" si="17"/>
        <v>1.664838113166685</v>
      </c>
      <c r="D35" s="145">
        <f t="shared" si="18"/>
        <v>354.16293569999999</v>
      </c>
      <c r="E35" s="125">
        <f t="shared" si="19"/>
        <v>37.760727539781044</v>
      </c>
      <c r="F35" s="146">
        <f t="shared" si="20"/>
        <v>2.4165047468613534</v>
      </c>
      <c r="G35" s="127"/>
      <c r="H35" s="126">
        <f t="shared" si="21"/>
        <v>2.4165047468613534</v>
      </c>
      <c r="I35" s="230">
        <f>'[1]июль 20'!AI34</f>
        <v>0</v>
      </c>
      <c r="J35" s="247">
        <f>'[1]апрель 20'!AA34</f>
        <v>11.722</v>
      </c>
      <c r="K35" s="276">
        <f>'[1]сентябрь 20'!AM34</f>
        <v>0</v>
      </c>
      <c r="L35" s="122"/>
      <c r="M35" s="128">
        <f t="shared" si="22"/>
        <v>0</v>
      </c>
      <c r="N35" s="400">
        <f>'[1]апрель 20'!W34</f>
        <v>0</v>
      </c>
      <c r="O35" s="403">
        <f>'[1]апрель 20'!AU34</f>
        <v>0</v>
      </c>
      <c r="P35" s="401">
        <f t="shared" si="0"/>
        <v>210.69300000000001</v>
      </c>
      <c r="Q35" s="122">
        <f t="shared" si="23"/>
        <v>210.69300000000001</v>
      </c>
      <c r="R35" s="123">
        <f t="shared" si="24"/>
        <v>2.27</v>
      </c>
      <c r="S35" s="129">
        <v>8.64</v>
      </c>
      <c r="T35" s="125">
        <f t="shared" si="1"/>
        <v>205.91026890000003</v>
      </c>
      <c r="U35" s="147">
        <f t="shared" si="2"/>
        <v>1.4049554373635373</v>
      </c>
      <c r="V35" s="130">
        <f t="shared" si="25"/>
        <v>116.71000000000001</v>
      </c>
      <c r="W35" s="130">
        <v>29.85</v>
      </c>
      <c r="X35" s="129">
        <v>1.02</v>
      </c>
      <c r="Y35" s="150">
        <v>503</v>
      </c>
      <c r="Z35" s="150">
        <v>1182</v>
      </c>
      <c r="AA35" s="148" t="s">
        <v>116</v>
      </c>
      <c r="AB35" s="149">
        <v>75.349999999999994</v>
      </c>
      <c r="AC35" s="150">
        <v>117</v>
      </c>
      <c r="AD35" s="151">
        <v>4</v>
      </c>
      <c r="AE35" s="181">
        <v>5.45</v>
      </c>
      <c r="AF35" s="134">
        <f t="shared" si="3"/>
        <v>37.186135371179041</v>
      </c>
      <c r="AG35" s="182"/>
      <c r="AH35" s="129">
        <v>90.4</v>
      </c>
      <c r="AI35" s="134">
        <f t="shared" si="4"/>
        <v>616.81222707423592</v>
      </c>
      <c r="AJ35" s="136">
        <v>14.89</v>
      </c>
      <c r="AK35" s="154"/>
      <c r="AL35" s="155">
        <v>5.96</v>
      </c>
      <c r="AM35" s="183">
        <v>37.83</v>
      </c>
      <c r="AN35" s="126">
        <f t="shared" si="26"/>
        <v>0.19952531645569621</v>
      </c>
      <c r="AO35" s="184" t="s">
        <v>247</v>
      </c>
      <c r="AP35" s="183">
        <v>9.06</v>
      </c>
      <c r="AQ35" s="183">
        <v>6.14</v>
      </c>
      <c r="AR35" s="185"/>
      <c r="AS35" s="181">
        <v>10.25</v>
      </c>
      <c r="AT35" s="129">
        <f t="shared" si="27"/>
        <v>189.6</v>
      </c>
      <c r="AU35" s="181">
        <v>0.75</v>
      </c>
      <c r="AV35" s="149"/>
      <c r="AW35" s="149"/>
      <c r="AX35" s="158">
        <f t="shared" si="5"/>
        <v>0</v>
      </c>
      <c r="AY35" s="125">
        <f t="shared" si="6"/>
        <v>146.56</v>
      </c>
      <c r="AZ35" s="125">
        <f t="shared" si="39"/>
        <v>157.75346230153011</v>
      </c>
      <c r="BA35" s="159">
        <f t="shared" si="7"/>
        <v>7.1778873239436614</v>
      </c>
      <c r="BB35" s="160">
        <f t="shared" si="8"/>
        <v>5.8624000000000001</v>
      </c>
      <c r="BC35" s="161">
        <f t="shared" si="9"/>
        <v>0.82576267912856949</v>
      </c>
      <c r="BD35" s="160">
        <f t="shared" si="28"/>
        <v>13.040287323943662</v>
      </c>
      <c r="BE35" s="162">
        <v>0.83699999999999997</v>
      </c>
      <c r="BF35" s="25">
        <f t="shared" si="29"/>
        <v>3934.6500000000005</v>
      </c>
      <c r="BG35" s="25">
        <f t="shared" si="10"/>
        <v>125</v>
      </c>
      <c r="BH35" s="25">
        <f t="shared" si="30"/>
        <v>3625</v>
      </c>
      <c r="BI35" s="26">
        <f t="shared" si="11"/>
        <v>1</v>
      </c>
      <c r="BJ35" s="37">
        <f t="shared" si="31"/>
        <v>3625</v>
      </c>
      <c r="BK35" s="38"/>
      <c r="BL35" s="28">
        <f t="shared" si="32"/>
        <v>319.61</v>
      </c>
      <c r="BM35" s="31"/>
      <c r="BN35" s="31"/>
      <c r="BO35" s="40"/>
      <c r="BP35" s="40">
        <v>40.548999999999999</v>
      </c>
      <c r="BQ35" s="32"/>
      <c r="BR35" s="33"/>
      <c r="BS35" s="34">
        <v>1.55</v>
      </c>
      <c r="BT35" s="35"/>
      <c r="BU35" s="35"/>
      <c r="BV35" s="235"/>
      <c r="BW35" s="235">
        <v>2.57</v>
      </c>
      <c r="BX35" s="36"/>
      <c r="BY35" s="33"/>
      <c r="BZ35" s="34">
        <v>37.79</v>
      </c>
      <c r="CA35" s="35"/>
      <c r="CB35" s="35"/>
      <c r="CC35" s="235"/>
      <c r="CD35" s="235">
        <v>37.53</v>
      </c>
      <c r="CE35" s="36"/>
      <c r="CF35" s="28">
        <f t="shared" si="33"/>
        <v>210.69300000000001</v>
      </c>
      <c r="CG35" s="30"/>
      <c r="CH35" s="31"/>
      <c r="CI35" s="50"/>
      <c r="CJ35" s="33">
        <v>2.27</v>
      </c>
      <c r="CK35" s="33"/>
      <c r="CL35" s="35"/>
      <c r="CM35" s="36"/>
      <c r="CN35" s="270"/>
      <c r="CO35" s="249">
        <f t="shared" si="40"/>
        <v>0</v>
      </c>
      <c r="CP35" s="12">
        <f t="shared" si="40"/>
        <v>314.65604500000001</v>
      </c>
      <c r="CQ35" s="12">
        <f t="shared" si="40"/>
        <v>0</v>
      </c>
      <c r="CR35" s="12">
        <f t="shared" si="40"/>
        <v>0</v>
      </c>
      <c r="CS35" s="11">
        <f t="shared" si="40"/>
        <v>0</v>
      </c>
      <c r="CT35" s="11">
        <f t="shared" si="40"/>
        <v>39.5068907</v>
      </c>
      <c r="CU35" s="272">
        <f t="shared" si="40"/>
        <v>0</v>
      </c>
      <c r="CV35" s="249">
        <f t="shared" si="13"/>
        <v>205.91026890000003</v>
      </c>
      <c r="CW35" s="12">
        <f t="shared" si="13"/>
        <v>0</v>
      </c>
      <c r="CX35" s="249">
        <f t="shared" si="13"/>
        <v>0</v>
      </c>
      <c r="CY35" s="272">
        <f t="shared" si="13"/>
        <v>0</v>
      </c>
      <c r="CZ35" s="13"/>
      <c r="DA35" s="240">
        <f>(D35+'[2]апрель 20 '!D35)/(AY35+'[2]апрель 20 '!AX35)</f>
        <v>2.3861297848699765</v>
      </c>
      <c r="DB35" s="241">
        <f>(T35+'[2]апрель 20 '!R35)/(AY35+'[2]апрель 20 '!AX35)</f>
        <v>1.4021284541962178</v>
      </c>
      <c r="DD35" s="292">
        <f t="shared" si="14"/>
        <v>11.722</v>
      </c>
      <c r="DE35" s="291">
        <v>0.22</v>
      </c>
      <c r="DF35" s="291">
        <v>18.100000000000001</v>
      </c>
      <c r="DG35" s="145">
        <f t="shared" si="15"/>
        <v>11.6962116</v>
      </c>
      <c r="DH35" s="293">
        <f t="shared" si="34"/>
        <v>2.8095743856668882</v>
      </c>
      <c r="DJ35" s="149">
        <v>171.5</v>
      </c>
      <c r="DK35" s="459">
        <f t="shared" si="35"/>
        <v>189.6</v>
      </c>
      <c r="DL35" s="31">
        <v>251.61</v>
      </c>
      <c r="DM35" s="322">
        <f t="shared" si="36"/>
        <v>319.61</v>
      </c>
      <c r="DN35" s="30">
        <v>170.69300000000001</v>
      </c>
      <c r="DO35" s="460">
        <f t="shared" si="37"/>
        <v>210.69300000000001</v>
      </c>
      <c r="DP35" s="130">
        <v>98.61</v>
      </c>
      <c r="DQ35" s="461">
        <f t="shared" si="38"/>
        <v>116.71000000000001</v>
      </c>
    </row>
    <row r="36" spans="1:121" s="76" customFormat="1" ht="16.5" customHeight="1" thickBot="1">
      <c r="A36" s="144">
        <v>30</v>
      </c>
      <c r="B36" s="122">
        <f t="shared" si="16"/>
        <v>334.88799999999998</v>
      </c>
      <c r="C36" s="123">
        <f t="shared" si="17"/>
        <v>2.1755015408136451</v>
      </c>
      <c r="D36" s="145">
        <f t="shared" si="18"/>
        <v>327.60250639999998</v>
      </c>
      <c r="E36" s="125">
        <f t="shared" si="19"/>
        <v>37.698106770024602</v>
      </c>
      <c r="F36" s="146">
        <f t="shared" si="20"/>
        <v>2.4357063672862456</v>
      </c>
      <c r="G36" s="127"/>
      <c r="H36" s="126">
        <f t="shared" si="21"/>
        <v>2.435706367286246</v>
      </c>
      <c r="I36" s="230">
        <f>'[1]июль 20'!AI35</f>
        <v>0</v>
      </c>
      <c r="J36" s="247">
        <f>'[1]апрель 20'!AA35</f>
        <v>11.096</v>
      </c>
      <c r="K36" s="276">
        <f>'[1]сентябрь 20'!AM35</f>
        <v>0</v>
      </c>
      <c r="L36" s="122"/>
      <c r="M36" s="128">
        <f t="shared" si="22"/>
        <v>0</v>
      </c>
      <c r="N36" s="400">
        <f>'[1]апрель 20'!W35</f>
        <v>0</v>
      </c>
      <c r="O36" s="403">
        <f>'[1]апрель 20'!AU35</f>
        <v>0</v>
      </c>
      <c r="P36" s="401">
        <f t="shared" si="0"/>
        <v>193.482</v>
      </c>
      <c r="Q36" s="122">
        <f t="shared" si="23"/>
        <v>193.482</v>
      </c>
      <c r="R36" s="123">
        <f t="shared" si="24"/>
        <v>1.89</v>
      </c>
      <c r="S36" s="129">
        <v>7.98</v>
      </c>
      <c r="T36" s="125">
        <f t="shared" si="1"/>
        <v>189.82519019999998</v>
      </c>
      <c r="U36" s="147">
        <f t="shared" si="2"/>
        <v>1.4113397040892195</v>
      </c>
      <c r="V36" s="130">
        <f t="shared" si="25"/>
        <v>133.5</v>
      </c>
      <c r="W36" s="130">
        <v>88.69</v>
      </c>
      <c r="X36" s="129">
        <v>0.81</v>
      </c>
      <c r="Y36" s="150">
        <v>500</v>
      </c>
      <c r="Z36" s="150">
        <v>1179</v>
      </c>
      <c r="AA36" s="148" t="s">
        <v>248</v>
      </c>
      <c r="AB36" s="149">
        <v>75.97</v>
      </c>
      <c r="AC36" s="150">
        <v>113</v>
      </c>
      <c r="AD36" s="151">
        <v>4</v>
      </c>
      <c r="AE36" s="149">
        <v>3.55</v>
      </c>
      <c r="AF36" s="134">
        <f t="shared" si="3"/>
        <v>26.394052044609673</v>
      </c>
      <c r="AG36" s="152"/>
      <c r="AH36" s="129">
        <v>91.4</v>
      </c>
      <c r="AI36" s="134">
        <f t="shared" si="4"/>
        <v>679.55390334572508</v>
      </c>
      <c r="AJ36" s="153">
        <v>13.54</v>
      </c>
      <c r="AK36" s="154"/>
      <c r="AL36" s="155">
        <v>5.31</v>
      </c>
      <c r="AM36" s="156">
        <v>36.24</v>
      </c>
      <c r="AN36" s="126">
        <f t="shared" si="26"/>
        <v>0.20585061062198243</v>
      </c>
      <c r="AO36" s="157" t="s">
        <v>217</v>
      </c>
      <c r="AP36" s="156">
        <v>9.08</v>
      </c>
      <c r="AQ36" s="156">
        <v>6.4</v>
      </c>
      <c r="AR36" s="151"/>
      <c r="AS36" s="149">
        <v>7.03</v>
      </c>
      <c r="AT36" s="129">
        <f t="shared" si="27"/>
        <v>176.04999999999998</v>
      </c>
      <c r="AU36" s="149"/>
      <c r="AV36" s="149"/>
      <c r="AW36" s="149"/>
      <c r="AX36" s="158">
        <f t="shared" si="5"/>
        <v>0</v>
      </c>
      <c r="AY36" s="125">
        <f t="shared" si="6"/>
        <v>134.49999999999997</v>
      </c>
      <c r="AZ36" s="125">
        <f t="shared" si="39"/>
        <v>143.91569862841541</v>
      </c>
      <c r="BA36" s="159">
        <f t="shared" si="7"/>
        <v>4.977438028169014</v>
      </c>
      <c r="BB36" s="160">
        <f t="shared" si="8"/>
        <v>5.379999999999999</v>
      </c>
      <c r="BC36" s="161">
        <f t="shared" si="9"/>
        <v>0.82736597129105349</v>
      </c>
      <c r="BD36" s="160">
        <f t="shared" si="28"/>
        <v>10.357438028169014</v>
      </c>
      <c r="BE36" s="162">
        <v>0.83599999999999997</v>
      </c>
      <c r="BF36" s="25">
        <f t="shared" si="29"/>
        <v>4069.1500000000005</v>
      </c>
      <c r="BG36" s="25">
        <f t="shared" si="10"/>
        <v>125</v>
      </c>
      <c r="BH36" s="25">
        <f t="shared" si="30"/>
        <v>3750</v>
      </c>
      <c r="BI36" s="26">
        <f t="shared" si="11"/>
        <v>1</v>
      </c>
      <c r="BJ36" s="37">
        <f t="shared" si="31"/>
        <v>3750</v>
      </c>
      <c r="BK36" s="38"/>
      <c r="BL36" s="28">
        <f t="shared" si="32"/>
        <v>295.33</v>
      </c>
      <c r="BM36" s="31"/>
      <c r="BN36" s="31"/>
      <c r="BO36" s="40"/>
      <c r="BP36" s="40">
        <v>39.558</v>
      </c>
      <c r="BQ36" s="32"/>
      <c r="BR36" s="33"/>
      <c r="BS36" s="34">
        <v>2.27</v>
      </c>
      <c r="BT36" s="35"/>
      <c r="BU36" s="35"/>
      <c r="BV36" s="235"/>
      <c r="BW36" s="235">
        <v>1.47</v>
      </c>
      <c r="BX36" s="36"/>
      <c r="BY36" s="33"/>
      <c r="BZ36" s="34">
        <v>37.729999999999997</v>
      </c>
      <c r="CA36" s="35"/>
      <c r="CB36" s="35"/>
      <c r="CC36" s="235"/>
      <c r="CD36" s="235">
        <v>37.46</v>
      </c>
      <c r="CE36" s="36"/>
      <c r="CF36" s="28">
        <f t="shared" si="33"/>
        <v>193.482</v>
      </c>
      <c r="CG36" s="30"/>
      <c r="CH36" s="34"/>
      <c r="CI36" s="50"/>
      <c r="CJ36" s="33">
        <v>1.89</v>
      </c>
      <c r="CK36" s="33"/>
      <c r="CL36" s="35"/>
      <c r="CM36" s="36"/>
      <c r="CN36" s="270"/>
      <c r="CO36" s="249">
        <f t="shared" si="40"/>
        <v>0</v>
      </c>
      <c r="CP36" s="12">
        <f t="shared" si="40"/>
        <v>288.62600900000001</v>
      </c>
      <c r="CQ36" s="12">
        <f t="shared" si="40"/>
        <v>0</v>
      </c>
      <c r="CR36" s="12">
        <f t="shared" si="40"/>
        <v>0</v>
      </c>
      <c r="CS36" s="11">
        <f t="shared" si="40"/>
        <v>0</v>
      </c>
      <c r="CT36" s="11">
        <f t="shared" si="40"/>
        <v>38.9764974</v>
      </c>
      <c r="CU36" s="272">
        <f t="shared" si="40"/>
        <v>0</v>
      </c>
      <c r="CV36" s="249">
        <f t="shared" si="13"/>
        <v>189.82519019999998</v>
      </c>
      <c r="CW36" s="12">
        <f t="shared" si="13"/>
        <v>0</v>
      </c>
      <c r="CX36" s="249">
        <f t="shared" si="13"/>
        <v>0</v>
      </c>
      <c r="CY36" s="274">
        <f t="shared" si="13"/>
        <v>0</v>
      </c>
      <c r="CZ36" s="13"/>
      <c r="DA36" s="240">
        <f>(D36+'[2]апрель 20 '!D36)/(AY36+'[2]апрель 20 '!AX36)</f>
        <v>2.2718196830432587</v>
      </c>
      <c r="DB36" s="241">
        <f>(T36+'[2]апрель 20 '!R36)/(AY36+'[2]апрель 20 '!AX36)</f>
        <v>1.3448726248999316</v>
      </c>
      <c r="DD36" s="292">
        <f t="shared" si="14"/>
        <v>11.096</v>
      </c>
      <c r="DE36" s="291">
        <v>0.26</v>
      </c>
      <c r="DF36" s="291">
        <v>13.71</v>
      </c>
      <c r="DG36" s="145">
        <f t="shared" si="15"/>
        <v>11.067150399999999</v>
      </c>
      <c r="DH36" s="293">
        <f t="shared" si="34"/>
        <v>1.9972440698170328</v>
      </c>
      <c r="DJ36" s="149">
        <v>156.94999999999999</v>
      </c>
      <c r="DK36" s="459">
        <f>DJ36+19.1</f>
        <v>176.04999999999998</v>
      </c>
      <c r="DL36" s="31">
        <v>242.797</v>
      </c>
      <c r="DM36" s="322">
        <f>DL36+52.533</f>
        <v>295.33</v>
      </c>
      <c r="DN36" s="30">
        <v>162.83500000000001</v>
      </c>
      <c r="DO36" s="460">
        <f>DN36+30.647</f>
        <v>193.482</v>
      </c>
      <c r="DP36" s="130">
        <v>115.4</v>
      </c>
      <c r="DQ36" s="461">
        <f t="shared" si="38"/>
        <v>133.5</v>
      </c>
    </row>
    <row r="37" spans="1:121" s="76" customFormat="1" ht="16.5" customHeight="1" thickBot="1">
      <c r="A37" s="186">
        <v>31</v>
      </c>
      <c r="B37" s="122">
        <f>'[1]апрель 20'!K36</f>
        <v>0</v>
      </c>
      <c r="C37" s="123">
        <f t="shared" si="17"/>
        <v>0</v>
      </c>
      <c r="D37" s="187">
        <f t="shared" si="18"/>
        <v>0</v>
      </c>
      <c r="E37" s="285">
        <f t="shared" si="19"/>
        <v>0</v>
      </c>
      <c r="F37" s="189">
        <f t="shared" si="20"/>
        <v>0</v>
      </c>
      <c r="G37" s="127"/>
      <c r="H37" s="126">
        <f t="shared" si="21"/>
        <v>0</v>
      </c>
      <c r="I37" s="230">
        <f>'[1]июль 20'!AI36</f>
        <v>0</v>
      </c>
      <c r="J37" s="277">
        <f>'[1]апрель 20'!AA36</f>
        <v>0</v>
      </c>
      <c r="K37" s="276">
        <f>'[1]сентябрь 20'!AM36</f>
        <v>0</v>
      </c>
      <c r="L37" s="122">
        <f>'[1]апрель 20'!AE36</f>
        <v>0</v>
      </c>
      <c r="M37" s="128">
        <f t="shared" si="22"/>
        <v>0</v>
      </c>
      <c r="N37" s="128">
        <f>'[1]апрель 20'!W36</f>
        <v>0</v>
      </c>
      <c r="O37" s="399">
        <f>'[1]апрель 20'!AU36</f>
        <v>0</v>
      </c>
      <c r="P37" s="125">
        <f t="shared" si="0"/>
        <v>0</v>
      </c>
      <c r="Q37" s="122">
        <f>'[1]апрель 20'!S36</f>
        <v>0</v>
      </c>
      <c r="R37" s="123">
        <f t="shared" si="24"/>
        <v>0</v>
      </c>
      <c r="S37" s="190"/>
      <c r="T37" s="125">
        <f t="shared" si="1"/>
        <v>0</v>
      </c>
      <c r="U37" s="191">
        <f t="shared" si="2"/>
        <v>0</v>
      </c>
      <c r="V37" s="192"/>
      <c r="W37" s="192"/>
      <c r="X37" s="190"/>
      <c r="Y37" s="193"/>
      <c r="Z37" s="194"/>
      <c r="AA37" s="195"/>
      <c r="AB37" s="196"/>
      <c r="AC37" s="194"/>
      <c r="AD37" s="193"/>
      <c r="AE37" s="196"/>
      <c r="AF37" s="134">
        <f t="shared" si="3"/>
        <v>0</v>
      </c>
      <c r="AG37" s="197"/>
      <c r="AH37" s="190"/>
      <c r="AI37" s="134">
        <f t="shared" si="4"/>
        <v>0</v>
      </c>
      <c r="AJ37" s="196"/>
      <c r="AK37" s="198"/>
      <c r="AL37" s="199"/>
      <c r="AM37" s="200"/>
      <c r="AN37" s="126">
        <f t="shared" si="26"/>
        <v>0</v>
      </c>
      <c r="AO37" s="201"/>
      <c r="AP37" s="200"/>
      <c r="AQ37" s="201"/>
      <c r="AR37" s="193"/>
      <c r="AS37" s="196"/>
      <c r="AT37" s="242"/>
      <c r="AU37" s="196"/>
      <c r="AV37" s="196"/>
      <c r="AW37" s="196"/>
      <c r="AX37" s="202">
        <f t="shared" si="5"/>
        <v>0</v>
      </c>
      <c r="AY37" s="188">
        <f t="shared" si="6"/>
        <v>0</v>
      </c>
      <c r="AZ37" s="125">
        <f t="shared" si="39"/>
        <v>0</v>
      </c>
      <c r="BA37" s="203">
        <f t="shared" si="7"/>
        <v>0</v>
      </c>
      <c r="BB37" s="204">
        <f t="shared" si="8"/>
        <v>0</v>
      </c>
      <c r="BC37" s="205">
        <f t="shared" si="9"/>
        <v>0</v>
      </c>
      <c r="BD37" s="206">
        <f t="shared" si="28"/>
        <v>0</v>
      </c>
      <c r="BE37" s="207"/>
      <c r="BF37" s="25">
        <f t="shared" si="29"/>
        <v>4069.1500000000005</v>
      </c>
      <c r="BG37" s="25">
        <f t="shared" si="10"/>
        <v>0</v>
      </c>
      <c r="BH37" s="25">
        <f t="shared" si="30"/>
        <v>3750</v>
      </c>
      <c r="BI37" s="26">
        <f t="shared" si="11"/>
        <v>0</v>
      </c>
      <c r="BJ37" s="37">
        <f t="shared" si="31"/>
        <v>3750</v>
      </c>
      <c r="BK37" s="51"/>
      <c r="BL37" s="53"/>
      <c r="BM37" s="53"/>
      <c r="BN37" s="53"/>
      <c r="BO37" s="282"/>
      <c r="BP37" s="282"/>
      <c r="BQ37" s="54"/>
      <c r="BR37" s="55"/>
      <c r="BS37" s="52"/>
      <c r="BT37" s="56"/>
      <c r="BU37" s="56"/>
      <c r="BV37" s="284"/>
      <c r="BW37" s="284"/>
      <c r="BX37" s="57"/>
      <c r="BY37" s="55"/>
      <c r="BZ37" s="52"/>
      <c r="CA37" s="56"/>
      <c r="CB37" s="56"/>
      <c r="CC37" s="284"/>
      <c r="CD37" s="284"/>
      <c r="CE37" s="57"/>
      <c r="CF37" s="58"/>
      <c r="CG37" s="58"/>
      <c r="CH37" s="52"/>
      <c r="CI37" s="54"/>
      <c r="CJ37" s="33"/>
      <c r="CK37" s="265"/>
      <c r="CL37" s="59"/>
      <c r="CM37" s="60"/>
      <c r="CN37" s="270"/>
      <c r="CO37" s="269">
        <f t="shared" si="40"/>
        <v>0</v>
      </c>
      <c r="CP37" s="18">
        <f t="shared" si="40"/>
        <v>0</v>
      </c>
      <c r="CQ37" s="18">
        <f t="shared" si="40"/>
        <v>0</v>
      </c>
      <c r="CR37" s="18">
        <f t="shared" si="40"/>
        <v>0</v>
      </c>
      <c r="CS37" s="251">
        <f t="shared" si="40"/>
        <v>0</v>
      </c>
      <c r="CT37" s="11">
        <f t="shared" si="40"/>
        <v>0</v>
      </c>
      <c r="CU37" s="273">
        <f t="shared" si="40"/>
        <v>0</v>
      </c>
      <c r="CV37" s="269">
        <f t="shared" si="13"/>
        <v>0</v>
      </c>
      <c r="CW37" s="18">
        <f t="shared" si="13"/>
        <v>0</v>
      </c>
      <c r="CX37" s="261">
        <f t="shared" si="13"/>
        <v>0</v>
      </c>
      <c r="CY37" s="273">
        <f t="shared" si="13"/>
        <v>0</v>
      </c>
      <c r="CZ37" s="13"/>
      <c r="DA37" s="240" t="e">
        <f>(D37+'[2]апрель 20 '!D37)/(AY37+'[2]апрель 20 '!AX37)</f>
        <v>#DIV/0!</v>
      </c>
      <c r="DB37" s="241" t="e">
        <f>(T37+'[2]апрель 20 '!R37)/(AY37+'[2]апрель 20 '!AX37)</f>
        <v>#DIV/0!</v>
      </c>
      <c r="DD37" s="292">
        <f t="shared" si="14"/>
        <v>0</v>
      </c>
      <c r="DE37" s="294"/>
      <c r="DF37" s="294"/>
      <c r="DG37" s="323">
        <f t="shared" si="15"/>
        <v>0</v>
      </c>
      <c r="DH37" s="293">
        <f t="shared" si="34"/>
        <v>0</v>
      </c>
      <c r="DJ37" s="322"/>
    </row>
    <row r="38" spans="1:121" s="214" customFormat="1" ht="16.5" customHeight="1" thickBot="1">
      <c r="A38" s="91" t="s">
        <v>56</v>
      </c>
      <c r="B38" s="92">
        <f>SUM(B7:B37)</f>
        <v>10036.365002000002</v>
      </c>
      <c r="C38" s="330"/>
      <c r="D38" s="331">
        <f>SUM(D7:D37)</f>
        <v>9847.3428401000001</v>
      </c>
      <c r="E38" s="332"/>
      <c r="F38" s="331"/>
      <c r="G38" s="333">
        <f>SUM(G7:G37)</f>
        <v>0</v>
      </c>
      <c r="H38" s="329"/>
      <c r="I38" s="334">
        <f>SUM(I7:I37)</f>
        <v>0</v>
      </c>
      <c r="J38" s="329">
        <f>SUM(J7:J37)</f>
        <v>319.709</v>
      </c>
      <c r="K38" s="329">
        <f>SUM(K7:K37)</f>
        <v>0</v>
      </c>
      <c r="L38" s="396">
        <f>SUM(L7:L37)</f>
        <v>0</v>
      </c>
      <c r="M38" s="335"/>
      <c r="N38" s="329">
        <f>SUM(N7:N37)</f>
        <v>0</v>
      </c>
      <c r="O38" s="396">
        <f>SUM(O7:O37)</f>
        <v>101.51099999999998</v>
      </c>
      <c r="P38" s="330">
        <f>SUM(P7:P37)</f>
        <v>5988.5760029999992</v>
      </c>
      <c r="Q38" s="396">
        <f>SUM(Q7:Q37)</f>
        <v>5988.576</v>
      </c>
      <c r="R38" s="336">
        <f>IF(Q38=0,0,(CA38*CH38+CE38*CI38+CF38*CJ38)/Q38)</f>
        <v>0</v>
      </c>
      <c r="S38" s="398">
        <f>SUM(S7:S37)</f>
        <v>305.44</v>
      </c>
      <c r="T38" s="331">
        <f>SUM(T7:T37)</f>
        <v>5778.1931082999999</v>
      </c>
      <c r="U38" s="337"/>
      <c r="V38" s="229">
        <f>SUM(V7:V37)</f>
        <v>3259.4600000000009</v>
      </c>
      <c r="W38" s="229">
        <f>SUM(W7:W37)</f>
        <v>2445.2400000000002</v>
      </c>
      <c r="X38" s="338"/>
      <c r="Y38" s="337"/>
      <c r="Z38" s="339"/>
      <c r="AA38" s="340"/>
      <c r="AB38" s="338"/>
      <c r="AC38" s="339"/>
      <c r="AD38" s="339">
        <f>SUM(AD7:AD37)</f>
        <v>119</v>
      </c>
      <c r="AE38" s="90">
        <f>SUM(AE7:AE37)</f>
        <v>50.849999999999994</v>
      </c>
      <c r="AF38" s="341"/>
      <c r="AG38" s="342">
        <f>SUM(AG7:AG37)</f>
        <v>0</v>
      </c>
      <c r="AH38" s="90">
        <f>SUM(AH7:AH37)</f>
        <v>2440.2000000000003</v>
      </c>
      <c r="AI38" s="341"/>
      <c r="AJ38" s="332">
        <f>SUM(AJ7:AJ37)</f>
        <v>399.42999999999995</v>
      </c>
      <c r="AK38" s="343"/>
      <c r="AL38" s="397">
        <f>SUM(AL7:AL37)</f>
        <v>183.34000000000003</v>
      </c>
      <c r="AM38" s="344">
        <f>SUM(AM7:AM37)</f>
        <v>918.97</v>
      </c>
      <c r="AN38" s="345"/>
      <c r="AO38" s="342"/>
      <c r="AP38" s="332"/>
      <c r="AQ38" s="342"/>
      <c r="AR38" s="342"/>
      <c r="AS38" s="346"/>
      <c r="AT38" s="332">
        <f>SUM(AT7:AT37)</f>
        <v>5116.4000000000015</v>
      </c>
      <c r="AU38" s="332">
        <f>SUM(AU7:AU37)</f>
        <v>55.06</v>
      </c>
      <c r="AV38" s="347">
        <f>SUM(AV7:AV37)</f>
        <v>0</v>
      </c>
      <c r="AW38" s="332">
        <f>SUM(AW7:AW37)</f>
        <v>0</v>
      </c>
      <c r="AX38" s="331"/>
      <c r="AY38" s="90">
        <f>SUM(AY7:AY37)</f>
        <v>4069.1500000000005</v>
      </c>
      <c r="AZ38" s="330">
        <f>SUM(AZ7:AZ37)</f>
        <v>4321.5483261066338</v>
      </c>
      <c r="BA38" s="342">
        <f>SUM(BA7:BA37)</f>
        <v>160.92572394366198</v>
      </c>
      <c r="BB38" s="342">
        <f>SUM(BB7:BB37)</f>
        <v>162.76599999999999</v>
      </c>
      <c r="BC38" s="332"/>
      <c r="BD38" s="89">
        <f>SUM(BD7:BD37)</f>
        <v>323.69172394366194</v>
      </c>
      <c r="BE38" s="348"/>
      <c r="BF38" s="19"/>
      <c r="BG38" s="19">
        <f t="shared" si="10"/>
        <v>0</v>
      </c>
      <c r="BH38" s="19"/>
      <c r="BI38" s="208">
        <f>SUM(BI7:BI37)</f>
        <v>30</v>
      </c>
      <c r="BJ38" s="209"/>
      <c r="BK38" s="278">
        <f t="shared" ref="BK38:BQ38" si="41">SUM(BK7:BK37)</f>
        <v>40.402000999999998</v>
      </c>
      <c r="BL38" s="61">
        <f>SUM(BL7:BL37)</f>
        <v>9338.6329999999998</v>
      </c>
      <c r="BM38" s="61">
        <f t="shared" si="41"/>
        <v>9.9999999999999995E-7</v>
      </c>
      <c r="BN38" s="61">
        <f t="shared" si="41"/>
        <v>9.9999999999999995E-7</v>
      </c>
      <c r="BO38" s="61">
        <f t="shared" si="41"/>
        <v>9.9999999999999995E-7</v>
      </c>
      <c r="BP38" s="61">
        <f t="shared" si="41"/>
        <v>657.33000099999992</v>
      </c>
      <c r="BQ38" s="64">
        <f t="shared" si="41"/>
        <v>9.9999999999999995E-7</v>
      </c>
      <c r="BR38" s="63"/>
      <c r="BS38" s="24"/>
      <c r="BT38" s="24"/>
      <c r="BU38" s="24"/>
      <c r="BV38" s="62"/>
      <c r="BW38" s="62"/>
      <c r="BX38" s="65"/>
      <c r="BY38" s="63"/>
      <c r="BZ38" s="24"/>
      <c r="CA38" s="24"/>
      <c r="CB38" s="24"/>
      <c r="CC38" s="62"/>
      <c r="CD38" s="62"/>
      <c r="CE38" s="62"/>
      <c r="CF38" s="66">
        <f>SUM(CF7:CF37)</f>
        <v>5988.576</v>
      </c>
      <c r="CG38" s="66">
        <f>SUM(CG7:CG37)</f>
        <v>9.9999999999999995E-7</v>
      </c>
      <c r="CH38" s="61">
        <f>SUM(CH7:CH37)</f>
        <v>9.9999999999999995E-7</v>
      </c>
      <c r="CI38" s="67">
        <f>SUM(CI7:CI37)</f>
        <v>9.9999999999999995E-7</v>
      </c>
      <c r="CJ38" s="210"/>
      <c r="CK38" s="266"/>
      <c r="CL38" s="211"/>
      <c r="CM38" s="212"/>
      <c r="CN38" s="213"/>
      <c r="CO38" s="68">
        <f t="shared" ref="CO38:CY38" si="42">SUM(CO7:CO37)</f>
        <v>34.361901999999986</v>
      </c>
      <c r="CP38" s="69">
        <f t="shared" si="42"/>
        <v>9171.2222066999984</v>
      </c>
      <c r="CQ38" s="70">
        <f t="shared" si="42"/>
        <v>9.9999998999999992E-7</v>
      </c>
      <c r="CR38" s="69">
        <f t="shared" si="42"/>
        <v>9.9999998999999992E-7</v>
      </c>
      <c r="CS38" s="72">
        <f t="shared" si="42"/>
        <v>9.9999998999999992E-7</v>
      </c>
      <c r="CT38" s="72">
        <f t="shared" si="42"/>
        <v>641.75873139999987</v>
      </c>
      <c r="CU38" s="71">
        <f t="shared" si="42"/>
        <v>9.9999998999999992E-7</v>
      </c>
      <c r="CV38" s="72">
        <f t="shared" si="42"/>
        <v>5778.1931082999999</v>
      </c>
      <c r="CW38" s="72">
        <f t="shared" si="42"/>
        <v>9.9999998999999992E-7</v>
      </c>
      <c r="CX38" s="72">
        <f t="shared" si="42"/>
        <v>9.9999998999999992E-7</v>
      </c>
      <c r="CY38" s="72">
        <f t="shared" si="42"/>
        <v>9.9999998999999992E-7</v>
      </c>
      <c r="CZ38" s="70"/>
      <c r="DA38" s="240">
        <f>(D38+'[2]апрель 20 '!D38)/(AY38+'[2]апрель 20 '!AX38)</f>
        <v>2.3290725553015075</v>
      </c>
      <c r="DB38" s="241">
        <f>(T38+'[2]апрель 20 '!R38)/(AY38+'[2]апрель 20 '!AX38)</f>
        <v>1.382152494604572</v>
      </c>
      <c r="DD38" s="295">
        <f>SUM(DD7:DD37)</f>
        <v>319.709</v>
      </c>
      <c r="DE38" s="296">
        <f>(SUMPRODUCT(DD7:DD37,DE7:DE37))/DD38</f>
        <v>0.43388021607149008</v>
      </c>
      <c r="DF38" s="296">
        <f>(SUMPRODUCT(DD7:DD37,DF7:DF37))/DD38</f>
        <v>17.739545680603293</v>
      </c>
      <c r="DG38" s="296">
        <f>(SUMPRODUCT(DE7:DE37,DG7:DG37))/DE38</f>
        <v>313.88342890140086</v>
      </c>
      <c r="DH38" s="324">
        <f>IF(J38=0,0,(DG38*DF38%)/(AB39/100))</f>
        <v>73.522144364342978</v>
      </c>
    </row>
    <row r="39" spans="1:121" s="214" customFormat="1" ht="16.5" customHeight="1" thickBot="1">
      <c r="A39" s="93" t="s">
        <v>57</v>
      </c>
      <c r="B39" s="349">
        <f>B38/AU2</f>
        <v>334.54550006666676</v>
      </c>
      <c r="C39" s="349">
        <f>(BK38*BR39+BM38*BT39+BQ38*BX39+BL38*BS39+BN38*BU39+BO38*BV39+BP38*BW39)/B38</f>
        <v>1.8833727336773085</v>
      </c>
      <c r="D39" s="350">
        <f>D38/AU2</f>
        <v>328.24476133666667</v>
      </c>
      <c r="E39" s="349">
        <f>(BK38*BY39+BM38*CA39+BQ38*CE39+BL38*BZ39+BN38*CB39+BO38*CC39+BP38*CD39)/B38</f>
        <v>37.424588939835353</v>
      </c>
      <c r="F39" s="351">
        <f>IF($AY$38=0,0,$D$38/$AY$38)</f>
        <v>2.4199999607043239</v>
      </c>
      <c r="G39" s="352">
        <f>G38/AU2</f>
        <v>0</v>
      </c>
      <c r="H39" s="353">
        <f>IF($AY$38=0,0,(CP38+CO38+CS38+CQ38+CT38)/AY38)</f>
        <v>2.4199999611958267</v>
      </c>
      <c r="I39" s="349">
        <f>I38/AU2</f>
        <v>0</v>
      </c>
      <c r="J39" s="349">
        <f>J38/AU2</f>
        <v>10.656966666666667</v>
      </c>
      <c r="K39" s="349">
        <f>K38/AU2</f>
        <v>0</v>
      </c>
      <c r="L39" s="349">
        <f>L38/AU2</f>
        <v>0</v>
      </c>
      <c r="M39" s="354">
        <f>IF($AY$38=0,0,(CR38+CU38)/$AY$38)</f>
        <v>4.915031345612719E-10</v>
      </c>
      <c r="N39" s="349">
        <f>N38/AU2</f>
        <v>0</v>
      </c>
      <c r="O39" s="349">
        <f>O38/AU2</f>
        <v>3.3836999999999993</v>
      </c>
      <c r="P39" s="349">
        <f>P38/AU2</f>
        <v>199.61920009999997</v>
      </c>
      <c r="Q39" s="349">
        <f>Q38/AU2</f>
        <v>199.61920000000001</v>
      </c>
      <c r="R39" s="349">
        <f>(SUMPRODUCT(R7:R37,Q7:Q37))/Q38</f>
        <v>3.5130704144023555</v>
      </c>
      <c r="S39" s="355">
        <f>S38/AU2</f>
        <v>10.181333333333333</v>
      </c>
      <c r="T39" s="356"/>
      <c r="U39" s="354">
        <f>IF($AY$38=0,0,$T$38/$AY$38)</f>
        <v>1.4200000266148949</v>
      </c>
      <c r="V39" s="349">
        <f>V38/AU2</f>
        <v>108.6486666666667</v>
      </c>
      <c r="W39" s="349">
        <f>W38/AU2</f>
        <v>81.50800000000001</v>
      </c>
      <c r="X39" s="349">
        <f>(SUMPRODUCT(X7:X37,AY7:AY37))/AY38</f>
        <v>0.81430102109777203</v>
      </c>
      <c r="Y39" s="357">
        <f>AVERAGE(Y7:Y37)</f>
        <v>505.9</v>
      </c>
      <c r="Z39" s="357">
        <f>AVERAGE(Z7:Z37)</f>
        <v>1169.0333333333333</v>
      </c>
      <c r="AA39" s="357"/>
      <c r="AB39" s="349">
        <f>(SUMPRODUCT(AB7:AB37,AY7:AY37))/AY38</f>
        <v>75.734317511028095</v>
      </c>
      <c r="AC39" s="358">
        <f>AVERAGE(AC7:AC37)</f>
        <v>106.8</v>
      </c>
      <c r="AD39" s="358">
        <f>AVERAGE(AD7:AD37)</f>
        <v>3.9666666666666668</v>
      </c>
      <c r="AE39" s="349">
        <f>AE38/AU2</f>
        <v>1.6949999999999998</v>
      </c>
      <c r="AF39" s="355">
        <f>IF(AY38=0,0,AE38/AY38*1000)</f>
        <v>12.496467321185012</v>
      </c>
      <c r="AG39" s="356" t="e">
        <f>AG38/$AW$2</f>
        <v>#DIV/0!</v>
      </c>
      <c r="AH39" s="349">
        <f>AH38/AU2</f>
        <v>81.34</v>
      </c>
      <c r="AI39" s="355">
        <f>IF(AY38=0,0,AH38/AY38*1000)</f>
        <v>599.68298047503777</v>
      </c>
      <c r="AJ39" s="349">
        <f>AJ38/AU2</f>
        <v>13.314333333333332</v>
      </c>
      <c r="AK39" s="359"/>
      <c r="AL39" s="349">
        <f>AL38/AU2</f>
        <v>6.1113333333333344</v>
      </c>
      <c r="AM39" s="349">
        <f>AM38/AU2</f>
        <v>30.632333333333335</v>
      </c>
      <c r="AN39" s="360">
        <f>IF(AM39=0,0,AM39/AT39)</f>
        <v>0.17961261824720504</v>
      </c>
      <c r="AO39" s="356"/>
      <c r="AP39" s="349">
        <f>AVERAGE(AP7:AP37)</f>
        <v>8.7060000000000013</v>
      </c>
      <c r="AQ39" s="349">
        <f>AVERAGE(AQ7:AQ37)</f>
        <v>6.6539999999999999</v>
      </c>
      <c r="AR39" s="356"/>
      <c r="AS39" s="349">
        <f>AVERAGE(AS7:AS37)</f>
        <v>8.4686666666666675</v>
      </c>
      <c r="AT39" s="349">
        <f>AT38/AU2</f>
        <v>170.54666666666671</v>
      </c>
      <c r="AU39" s="349">
        <f>AU38/AU2</f>
        <v>1.8353333333333335</v>
      </c>
      <c r="AV39" s="349" t="e">
        <f>AV38/$AW$2</f>
        <v>#DIV/0!</v>
      </c>
      <c r="AW39" s="349" t="e">
        <f>AW38/$AW$2</f>
        <v>#DIV/0!</v>
      </c>
      <c r="AX39" s="349" t="e">
        <f>IF(AY39=0,0,AW39/AY39*100)</f>
        <v>#DIV/0!</v>
      </c>
      <c r="AY39" s="349">
        <f>AY38/AU2</f>
        <v>135.63833333333335</v>
      </c>
      <c r="AZ39" s="349">
        <f>AZ38/AU2</f>
        <v>144.05161087022114</v>
      </c>
      <c r="BA39" s="356"/>
      <c r="BB39" s="356"/>
      <c r="BC39" s="351">
        <f>(AY38*AB39)/(D38*E39)</f>
        <v>0.83621955297081352</v>
      </c>
      <c r="BD39" s="349">
        <f>BD38/AU2</f>
        <v>10.789724131455397</v>
      </c>
      <c r="BE39" s="361"/>
      <c r="BF39" s="19"/>
      <c r="BG39" s="19"/>
      <c r="BH39" s="19"/>
      <c r="BI39" s="19"/>
      <c r="BJ39" s="215"/>
      <c r="BK39" s="73"/>
      <c r="BL39" s="216"/>
      <c r="BM39" s="216"/>
      <c r="BN39" s="216"/>
      <c r="BO39" s="219"/>
      <c r="BP39" s="219"/>
      <c r="BQ39" s="217"/>
      <c r="BR39" s="73">
        <f t="shared" ref="BR39:BX39" si="43">(SUMPRODUCT(BK7:BK37,BR7:BR37))/BK38</f>
        <v>14.949999629968847</v>
      </c>
      <c r="BS39" s="29">
        <f>(SUMPRODUCT(BL7:BL37,BS7:BS37))/BL38</f>
        <v>1.792669155110818</v>
      </c>
      <c r="BT39" s="29">
        <f t="shared" si="43"/>
        <v>9.9999999999999995E-7</v>
      </c>
      <c r="BU39" s="29">
        <f t="shared" si="43"/>
        <v>9.9999999999999995E-7</v>
      </c>
      <c r="BV39" s="29">
        <f t="shared" si="43"/>
        <v>9.9999999999999995E-7</v>
      </c>
      <c r="BW39" s="29">
        <f t="shared" si="43"/>
        <v>2.3688664105261199</v>
      </c>
      <c r="BX39" s="74">
        <f t="shared" si="43"/>
        <v>9.9999999999999995E-7</v>
      </c>
      <c r="BY39" s="73">
        <f t="shared" ref="BY39:CE39" si="44">(SUMPRODUCT(BK7:BK37,BY7:BY37))/BK38</f>
        <v>43.369998926538337</v>
      </c>
      <c r="BZ39" s="29">
        <f t="shared" si="44"/>
        <v>37.325485831812856</v>
      </c>
      <c r="CA39" s="29">
        <f t="shared" si="44"/>
        <v>9.9999999999999995E-7</v>
      </c>
      <c r="CB39" s="29">
        <f t="shared" si="44"/>
        <v>9.9999999999999995E-7</v>
      </c>
      <c r="CC39" s="29">
        <f t="shared" si="44"/>
        <v>9.9999999999999995E-7</v>
      </c>
      <c r="CD39" s="29">
        <f t="shared" si="44"/>
        <v>38.467111103301079</v>
      </c>
      <c r="CE39" s="74">
        <f t="shared" si="44"/>
        <v>9.9999999999999995E-7</v>
      </c>
      <c r="CF39" s="218"/>
      <c r="CG39" s="218"/>
      <c r="CH39" s="216"/>
      <c r="CI39" s="219"/>
      <c r="CJ39" s="75">
        <f>(SUMPRODUCT(CF7:CF37,CJ7:CJ37))/CF38</f>
        <v>3.513070414402355</v>
      </c>
      <c r="CK39" s="75">
        <f>(SUMPRODUCT(CG7:CG37,CK7:CK37))/CG38</f>
        <v>9.9999999999999995E-7</v>
      </c>
      <c r="CL39" s="29">
        <f>(SUMPRODUCT(CH7:CH37,CL7:CL37))/CH38</f>
        <v>9.9999999999999995E-7</v>
      </c>
      <c r="CM39" s="74">
        <f>(SUMPRODUCT(CI7:CI37,CM7:CM37))/CI38</f>
        <v>9.9999999999999995E-7</v>
      </c>
      <c r="CN39" s="19"/>
      <c r="CO39" s="596">
        <f>CO38+CP38</f>
        <v>9205.584108699999</v>
      </c>
      <c r="CP39" s="596"/>
      <c r="CQ39" s="597">
        <f>CQ38+CR38+CU38+CS38+CT38</f>
        <v>641.75873539999986</v>
      </c>
      <c r="CR39" s="597"/>
      <c r="CS39" s="597"/>
      <c r="CT39" s="597"/>
      <c r="CU39" s="597"/>
      <c r="CV39" s="597">
        <f>CV38+CX38+CY38+CW38</f>
        <v>5778.193111300001</v>
      </c>
      <c r="CW39" s="597"/>
      <c r="CX39" s="597"/>
      <c r="CY39" s="597"/>
      <c r="DA39" s="236"/>
      <c r="DB39" s="238"/>
      <c r="DD39" s="297"/>
      <c r="DE39" s="298"/>
      <c r="DF39" s="298"/>
      <c r="DG39" s="299"/>
      <c r="DH39" s="300"/>
    </row>
    <row r="40" spans="1:121" s="214" customFormat="1" ht="16.5" customHeight="1" thickBot="1">
      <c r="A40" s="94" t="s">
        <v>58</v>
      </c>
      <c r="B40" s="362"/>
      <c r="C40" s="362"/>
      <c r="D40" s="363"/>
      <c r="E40" s="364">
        <v>38</v>
      </c>
      <c r="F40" s="363">
        <v>2.13</v>
      </c>
      <c r="G40" s="365">
        <v>13.1</v>
      </c>
      <c r="H40" s="410">
        <v>1.7465999999999999</v>
      </c>
      <c r="I40" s="363"/>
      <c r="J40" s="363">
        <v>10.625</v>
      </c>
      <c r="K40" s="363"/>
      <c r="L40" s="363"/>
      <c r="M40" s="410">
        <v>0.38340000000000002</v>
      </c>
      <c r="N40" s="363"/>
      <c r="O40" s="363">
        <v>15</v>
      </c>
      <c r="P40" s="366"/>
      <c r="Q40" s="362"/>
      <c r="R40" s="367"/>
      <c r="S40" s="368">
        <v>14.875</v>
      </c>
      <c r="T40" s="362"/>
      <c r="U40" s="369">
        <v>1.32</v>
      </c>
      <c r="V40" s="370">
        <v>3750</v>
      </c>
      <c r="W40" s="370">
        <v>3750</v>
      </c>
      <c r="X40" s="371"/>
      <c r="Y40" s="371"/>
      <c r="Z40" s="372">
        <v>1190</v>
      </c>
      <c r="AA40" s="372"/>
      <c r="AB40" s="362">
        <v>76</v>
      </c>
      <c r="AC40" s="362"/>
      <c r="AD40" s="362"/>
      <c r="AE40" s="362"/>
      <c r="AF40" s="362"/>
      <c r="AG40" s="362"/>
      <c r="AH40" s="362"/>
      <c r="AI40" s="362">
        <v>780</v>
      </c>
      <c r="AJ40" s="373"/>
      <c r="AK40" s="374"/>
      <c r="AL40" s="375"/>
      <c r="AM40" s="362"/>
      <c r="AN40" s="362"/>
      <c r="AO40" s="362"/>
      <c r="AP40" s="362"/>
      <c r="AQ40" s="362"/>
      <c r="AR40" s="362"/>
      <c r="AS40" s="362"/>
      <c r="AT40" s="376">
        <v>3750</v>
      </c>
      <c r="AU40" s="377">
        <v>26.3</v>
      </c>
      <c r="AV40" s="377"/>
      <c r="AW40" s="378"/>
      <c r="AX40" s="362"/>
      <c r="AY40" s="379">
        <v>125</v>
      </c>
      <c r="AZ40" s="362"/>
      <c r="BA40" s="362"/>
      <c r="BB40" s="362"/>
      <c r="BC40" s="363">
        <v>0.9</v>
      </c>
      <c r="BD40" s="362"/>
      <c r="BE40" s="380"/>
      <c r="BF40" s="19"/>
      <c r="BG40" s="19"/>
      <c r="BH40" s="19"/>
      <c r="BI40" s="19"/>
      <c r="BJ40" s="215"/>
      <c r="BK40" s="220"/>
      <c r="BL40" s="221"/>
      <c r="BM40" s="216"/>
      <c r="BN40" s="216"/>
      <c r="BO40" s="219"/>
      <c r="BP40" s="219"/>
      <c r="BQ40" s="217"/>
      <c r="BR40" s="218"/>
      <c r="BS40" s="216"/>
      <c r="BT40" s="216"/>
      <c r="BU40" s="216"/>
      <c r="BV40" s="219"/>
      <c r="BW40" s="219"/>
      <c r="BX40" s="217"/>
      <c r="BY40" s="218"/>
      <c r="BZ40" s="216"/>
      <c r="CA40" s="216"/>
      <c r="CB40" s="216"/>
      <c r="CC40" s="219"/>
      <c r="CD40" s="219"/>
      <c r="CE40" s="217"/>
      <c r="CF40" s="218"/>
      <c r="CG40" s="218"/>
      <c r="CH40" s="216"/>
      <c r="CI40" s="219"/>
      <c r="CJ40" s="220"/>
      <c r="CK40" s="218"/>
      <c r="CL40" s="216"/>
      <c r="CM40" s="217"/>
      <c r="CN40" s="213"/>
      <c r="CO40" s="604">
        <f>CO39+CQ39</f>
        <v>9847.3428440999996</v>
      </c>
      <c r="CP40" s="604"/>
      <c r="CQ40" s="604"/>
      <c r="CR40" s="604"/>
      <c r="CS40" s="604"/>
      <c r="CT40" s="604"/>
      <c r="CU40" s="604"/>
      <c r="DA40" s="237"/>
      <c r="DB40" s="239"/>
      <c r="DD40" s="301"/>
      <c r="DE40" s="302"/>
      <c r="DF40" s="302"/>
      <c r="DG40" s="303"/>
      <c r="DH40" s="304"/>
    </row>
    <row r="41" spans="1:121" s="214" customFormat="1" ht="16.5" customHeight="1" thickBot="1">
      <c r="A41" s="95" t="s">
        <v>59</v>
      </c>
      <c r="B41" s="381"/>
      <c r="C41" s="381"/>
      <c r="D41" s="382"/>
      <c r="E41" s="381"/>
      <c r="F41" s="383">
        <f>F39-F40</f>
        <v>0.28999996070432399</v>
      </c>
      <c r="G41" s="384">
        <f>G39-G40</f>
        <v>-13.1</v>
      </c>
      <c r="H41" s="383"/>
      <c r="I41" s="385">
        <f>I39-I40</f>
        <v>0</v>
      </c>
      <c r="J41" s="385"/>
      <c r="K41" s="385"/>
      <c r="L41" s="385"/>
      <c r="M41" s="385"/>
      <c r="N41" s="385"/>
      <c r="O41" s="385"/>
      <c r="P41" s="383"/>
      <c r="Q41" s="386"/>
      <c r="R41" s="385">
        <f>R39-R40</f>
        <v>3.5130704144023555</v>
      </c>
      <c r="S41" s="386"/>
      <c r="T41" s="386"/>
      <c r="U41" s="383">
        <f>U39-U40</f>
        <v>0.10000002661489482</v>
      </c>
      <c r="V41" s="383"/>
      <c r="W41" s="383"/>
      <c r="X41" s="383"/>
      <c r="Y41" s="383"/>
      <c r="Z41" s="387">
        <f>Z39-Z40</f>
        <v>-20.966666666666697</v>
      </c>
      <c r="AA41" s="388"/>
      <c r="AB41" s="381"/>
      <c r="AC41" s="381"/>
      <c r="AD41" s="381"/>
      <c r="AE41" s="381"/>
      <c r="AF41" s="381"/>
      <c r="AG41" s="381"/>
      <c r="AH41" s="381"/>
      <c r="AI41" s="381"/>
      <c r="AJ41" s="381"/>
      <c r="AK41" s="389"/>
      <c r="AL41" s="390"/>
      <c r="AM41" s="381"/>
      <c r="AN41" s="381"/>
      <c r="AO41" s="381"/>
      <c r="AP41" s="381"/>
      <c r="AQ41" s="381"/>
      <c r="AR41" s="381"/>
      <c r="AS41" s="381"/>
      <c r="AT41" s="391">
        <f>AT38+AV38-AT40</f>
        <v>1366.4000000000015</v>
      </c>
      <c r="AU41" s="392"/>
      <c r="AV41" s="393"/>
      <c r="AW41" s="390"/>
      <c r="AX41" s="381"/>
      <c r="AY41" s="385"/>
      <c r="AZ41" s="381"/>
      <c r="BA41" s="381"/>
      <c r="BB41" s="381"/>
      <c r="BC41" s="394"/>
      <c r="BD41" s="381"/>
      <c r="BE41" s="395"/>
      <c r="BF41" s="222"/>
      <c r="BG41" s="222"/>
      <c r="BH41" s="222"/>
      <c r="BI41" s="222"/>
      <c r="BJ41" s="222"/>
      <c r="BK41" s="223"/>
      <c r="BL41" s="224"/>
      <c r="BM41" s="225"/>
      <c r="BN41" s="225"/>
      <c r="BO41" s="224"/>
      <c r="BP41" s="224"/>
      <c r="BQ41" s="226"/>
      <c r="BR41" s="227"/>
      <c r="BS41" s="225"/>
      <c r="BT41" s="225"/>
      <c r="BU41" s="225"/>
      <c r="BV41" s="224"/>
      <c r="BW41" s="224"/>
      <c r="BX41" s="224"/>
      <c r="BY41" s="228"/>
      <c r="BZ41" s="225"/>
      <c r="CA41" s="225"/>
      <c r="CB41" s="225"/>
      <c r="CC41" s="224"/>
      <c r="CD41" s="224"/>
      <c r="CE41" s="226"/>
      <c r="CF41" s="227"/>
      <c r="CG41" s="227"/>
      <c r="CH41" s="225"/>
      <c r="CI41" s="224"/>
      <c r="CJ41" s="228"/>
      <c r="CK41" s="227"/>
      <c r="CL41" s="225"/>
      <c r="CM41" s="226"/>
      <c r="CN41" s="213"/>
      <c r="CO41" s="213"/>
      <c r="CP41" s="213"/>
      <c r="CQ41" s="213"/>
      <c r="DA41" s="21"/>
      <c r="DH41" s="309"/>
    </row>
    <row r="42" spans="1:121" ht="15" hidden="1" customHeight="1">
      <c r="A42" s="96"/>
      <c r="B42" s="96"/>
      <c r="C42" s="96"/>
      <c r="D42" s="97"/>
      <c r="E42" s="96"/>
      <c r="F42" s="98"/>
      <c r="G42" s="99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1"/>
      <c r="AF42" s="101"/>
      <c r="AG42" s="100"/>
      <c r="AH42" s="100"/>
      <c r="AI42" s="100"/>
      <c r="AJ42" s="100"/>
      <c r="AK42" s="100"/>
      <c r="AL42" s="100"/>
      <c r="AM42" s="100"/>
      <c r="AN42" s="100"/>
      <c r="AO42" s="100"/>
      <c r="AP42" s="100"/>
      <c r="AQ42" s="100"/>
      <c r="AR42" s="100"/>
      <c r="AS42" s="96"/>
      <c r="AT42" s="612"/>
      <c r="AU42" s="612"/>
      <c r="AV42" s="612"/>
      <c r="AW42" s="96"/>
      <c r="AX42" s="96"/>
      <c r="AY42" s="100"/>
      <c r="AZ42" s="100"/>
      <c r="BA42" s="100"/>
      <c r="BB42" s="100"/>
      <c r="BC42" s="100"/>
      <c r="BD42" s="100"/>
      <c r="BE42" s="100"/>
      <c r="BK42" s="20"/>
      <c r="BL42" s="20"/>
      <c r="BM42" s="20"/>
    </row>
    <row r="43" spans="1:121">
      <c r="A43" s="100"/>
      <c r="B43" s="100"/>
      <c r="C43" s="100"/>
      <c r="D43" s="102"/>
      <c r="E43" s="100"/>
      <c r="F43" s="100"/>
      <c r="G43" s="96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1"/>
      <c r="AF43" s="101"/>
      <c r="AG43" s="100"/>
      <c r="AH43" s="100"/>
      <c r="AI43" s="100"/>
      <c r="AJ43" s="100"/>
      <c r="AK43" s="100"/>
      <c r="AL43" s="100"/>
      <c r="AM43" s="100"/>
      <c r="AN43" s="100"/>
      <c r="AO43" s="100"/>
      <c r="AP43" s="100"/>
      <c r="AQ43" s="100"/>
      <c r="AR43" s="100"/>
      <c r="AS43" s="96" t="s">
        <v>60</v>
      </c>
      <c r="AT43" s="103">
        <f>AT40/BE43</f>
        <v>125</v>
      </c>
      <c r="AU43" s="104"/>
      <c r="AV43" s="96"/>
      <c r="AW43" s="96" t="s">
        <v>61</v>
      </c>
      <c r="AX43" s="96"/>
      <c r="AY43" s="100"/>
      <c r="AZ43" s="100"/>
      <c r="BA43" s="100"/>
      <c r="BB43" s="100"/>
      <c r="BC43" s="100"/>
      <c r="BD43" s="105" t="s">
        <v>62</v>
      </c>
      <c r="BE43" s="100">
        <v>30</v>
      </c>
    </row>
    <row r="44" spans="1:121" ht="12" customHeight="1">
      <c r="A44" s="100"/>
      <c r="B44" s="100"/>
      <c r="C44" s="100"/>
      <c r="D44" s="102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100"/>
      <c r="AG44" s="100"/>
      <c r="AH44" s="100"/>
      <c r="AI44" s="100"/>
      <c r="AJ44" s="100"/>
      <c r="AK44" s="100"/>
      <c r="AL44" s="100"/>
      <c r="AM44" s="100"/>
      <c r="AN44" s="100"/>
      <c r="AO44" s="100"/>
      <c r="AP44" s="100"/>
      <c r="AQ44" s="100"/>
      <c r="AR44" s="100"/>
      <c r="AS44" s="100"/>
      <c r="AT44" s="100"/>
      <c r="AU44" s="100"/>
      <c r="AV44" s="100"/>
      <c r="AW44" s="100"/>
      <c r="AX44" s="100"/>
      <c r="AY44" s="100"/>
      <c r="AZ44" s="100"/>
      <c r="BA44" s="100"/>
      <c r="BB44" s="100"/>
      <c r="BC44" s="100"/>
      <c r="BD44" s="96"/>
      <c r="BE44" s="96"/>
    </row>
    <row r="45" spans="1:121" ht="13.5" thickBot="1">
      <c r="A45" s="100"/>
      <c r="B45" s="100"/>
      <c r="C45" s="100"/>
      <c r="D45" s="102"/>
      <c r="E45" s="100"/>
      <c r="F45" s="100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101"/>
      <c r="AE45" s="101"/>
      <c r="AF45" s="101"/>
      <c r="AG45" s="100"/>
      <c r="AH45" s="100"/>
      <c r="AI45" s="100"/>
      <c r="AJ45" s="100"/>
      <c r="AK45" s="100"/>
      <c r="AL45" s="100"/>
      <c r="AM45" s="106" t="s">
        <v>63</v>
      </c>
      <c r="AN45" s="106"/>
      <c r="AO45" s="106"/>
      <c r="AP45" s="106"/>
      <c r="AQ45" s="106"/>
      <c r="AR45" s="106"/>
      <c r="AS45" s="107" t="s">
        <v>64</v>
      </c>
      <c r="AT45" s="108">
        <v>29</v>
      </c>
      <c r="AU45" s="108"/>
      <c r="AV45" s="100"/>
      <c r="AW45" s="100"/>
      <c r="AX45" s="100"/>
      <c r="AY45" s="100"/>
      <c r="AZ45" s="100"/>
      <c r="BA45" s="100"/>
      <c r="BB45" s="100"/>
      <c r="BC45" s="100"/>
      <c r="BD45" s="96"/>
      <c r="BE45" s="96"/>
      <c r="BS45" s="1"/>
    </row>
    <row r="46" spans="1:121" ht="12.75" customHeight="1" thickBot="1">
      <c r="A46" s="100"/>
      <c r="B46" s="100"/>
      <c r="C46" s="109" t="s">
        <v>65</v>
      </c>
      <c r="D46" s="102"/>
      <c r="E46" s="100"/>
      <c r="F46" s="100"/>
      <c r="G46" s="100"/>
      <c r="H46" s="100"/>
      <c r="I46" s="100"/>
      <c r="J46" s="100"/>
      <c r="K46" s="100"/>
      <c r="L46" s="110">
        <f>AT38/AD38</f>
        <v>42.994957983193288</v>
      </c>
      <c r="M46" s="109" t="s">
        <v>88</v>
      </c>
      <c r="N46" s="606"/>
      <c r="O46" s="606"/>
      <c r="P46" s="111"/>
      <c r="Q46" s="100"/>
      <c r="R46" s="100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101"/>
      <c r="AE46" s="101"/>
      <c r="AF46" s="101"/>
      <c r="AG46" s="100"/>
      <c r="AH46" s="100"/>
      <c r="AI46" s="100"/>
      <c r="AJ46" s="100"/>
      <c r="AK46" s="100"/>
      <c r="AL46" s="100"/>
      <c r="AM46" s="100"/>
      <c r="AN46" s="100"/>
      <c r="AO46" s="106"/>
      <c r="AP46" s="106"/>
      <c r="AQ46" s="106"/>
      <c r="AR46" s="106"/>
      <c r="AS46" s="107" t="s">
        <v>66</v>
      </c>
      <c r="AT46" s="112">
        <f>AT40/AT45</f>
        <v>129.31034482758622</v>
      </c>
      <c r="AU46" s="112"/>
      <c r="AV46" s="100"/>
      <c r="AW46" s="100"/>
      <c r="AX46" s="100">
        <v>0</v>
      </c>
      <c r="AY46" s="100"/>
      <c r="AZ46" s="607" t="s">
        <v>67</v>
      </c>
      <c r="BA46" s="607"/>
      <c r="BB46" s="607"/>
      <c r="BC46" s="607"/>
      <c r="BD46" s="607"/>
      <c r="BE46" s="607"/>
    </row>
    <row r="47" spans="1:121">
      <c r="A47" s="100"/>
      <c r="B47" s="100"/>
      <c r="C47" s="100"/>
      <c r="D47" s="102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100"/>
      <c r="AI47" s="100"/>
      <c r="AJ47" s="100"/>
      <c r="AK47" s="100"/>
      <c r="AL47" s="100"/>
      <c r="AM47" s="100"/>
      <c r="AN47" s="100"/>
      <c r="AO47" s="100"/>
      <c r="AP47" s="100"/>
      <c r="AQ47" s="100"/>
      <c r="AR47" s="100"/>
      <c r="AS47" s="100"/>
      <c r="AT47" s="100"/>
      <c r="AU47" s="100"/>
      <c r="AV47" s="100"/>
      <c r="AW47" s="100"/>
      <c r="AX47" s="100"/>
      <c r="AY47" s="100"/>
      <c r="AZ47" s="607"/>
      <c r="BA47" s="607"/>
      <c r="BB47" s="607"/>
      <c r="BC47" s="607"/>
      <c r="BD47" s="607"/>
      <c r="BE47" s="607"/>
    </row>
    <row r="48" spans="1:121">
      <c r="A48" s="100"/>
      <c r="B48" s="100"/>
      <c r="C48" s="100"/>
      <c r="D48" s="102"/>
      <c r="E48" s="100"/>
      <c r="F48" s="100"/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13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  <c r="AE48" s="100"/>
      <c r="AF48" s="100"/>
      <c r="AG48" s="100"/>
      <c r="AH48" s="100"/>
      <c r="AI48" s="100"/>
      <c r="AJ48" s="100"/>
      <c r="AK48" s="100"/>
      <c r="AL48" s="100"/>
      <c r="AM48" s="100"/>
      <c r="AN48" s="100"/>
      <c r="AO48" s="100"/>
      <c r="AP48" s="100"/>
      <c r="AQ48" s="100"/>
      <c r="AR48" s="100"/>
      <c r="AS48" s="100"/>
      <c r="AT48" s="100"/>
      <c r="AU48" s="100"/>
      <c r="AV48" s="100"/>
      <c r="AW48" s="100"/>
      <c r="AX48" s="100"/>
      <c r="AY48" s="100"/>
      <c r="AZ48" s="608">
        <f>BF37-BJ37</f>
        <v>319.15000000000055</v>
      </c>
      <c r="BA48" s="608"/>
      <c r="BB48" s="608"/>
      <c r="BC48" s="608"/>
      <c r="BD48" s="609" t="s">
        <v>68</v>
      </c>
      <c r="BE48" s="114"/>
    </row>
    <row r="49" spans="1:57" ht="12" customHeight="1">
      <c r="A49" s="100"/>
      <c r="B49" s="100"/>
      <c r="C49" s="100"/>
      <c r="D49" s="102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15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100"/>
      <c r="AI49" s="100"/>
      <c r="AJ49" s="100"/>
      <c r="AK49" s="100"/>
      <c r="AL49" s="100"/>
      <c r="AM49" s="100"/>
      <c r="AN49" s="100"/>
      <c r="AO49" s="100"/>
      <c r="AP49" s="100"/>
      <c r="AQ49" s="100"/>
      <c r="AR49" s="100"/>
      <c r="AS49" s="100"/>
      <c r="AT49" s="100"/>
      <c r="AU49" s="100"/>
      <c r="AV49" s="100"/>
      <c r="AW49" s="100"/>
      <c r="AX49" s="100"/>
      <c r="AY49" s="100"/>
      <c r="AZ49" s="608"/>
      <c r="BA49" s="608"/>
      <c r="BB49" s="608"/>
      <c r="BC49" s="608"/>
      <c r="BD49" s="609"/>
      <c r="BE49" s="114"/>
    </row>
    <row r="50" spans="1:57" ht="13.5" customHeight="1">
      <c r="A50" s="100"/>
      <c r="B50" s="100"/>
      <c r="C50" s="100"/>
      <c r="D50" s="102"/>
      <c r="E50" s="100"/>
      <c r="F50" s="100"/>
      <c r="G50" s="100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100"/>
      <c r="AC50" s="100"/>
      <c r="AD50" s="100"/>
      <c r="AE50" s="100"/>
      <c r="AF50" s="100"/>
      <c r="AG50" s="100"/>
      <c r="AH50" s="100"/>
      <c r="AI50" s="100"/>
      <c r="AJ50" s="100"/>
      <c r="AK50" s="100"/>
      <c r="AL50" s="100"/>
      <c r="AM50" s="100"/>
      <c r="AN50" s="100"/>
      <c r="AO50" s="100"/>
      <c r="AP50" s="100"/>
      <c r="AQ50" s="100"/>
      <c r="AR50" s="100"/>
      <c r="AS50" s="100"/>
      <c r="AT50" s="100"/>
      <c r="AU50" s="100"/>
      <c r="AV50" s="100"/>
      <c r="AW50" s="100"/>
      <c r="AX50" s="100"/>
      <c r="AY50" s="100"/>
      <c r="AZ50" s="116"/>
      <c r="BA50" s="96"/>
      <c r="BB50" s="96"/>
      <c r="BC50" s="96"/>
      <c r="BD50" s="96"/>
      <c r="BE50" s="114"/>
    </row>
    <row r="51" spans="1:57" ht="13.5" customHeight="1" thickBot="1">
      <c r="A51" s="100"/>
      <c r="B51" s="100"/>
      <c r="C51" s="100"/>
      <c r="D51" s="102"/>
      <c r="E51" s="100"/>
      <c r="F51" s="100"/>
      <c r="G51" s="100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0"/>
      <c r="AC51" s="100"/>
      <c r="AD51" s="100"/>
      <c r="AE51" s="100"/>
      <c r="AF51" s="100"/>
      <c r="AG51" s="100"/>
      <c r="AH51" s="100"/>
      <c r="AI51" s="100"/>
      <c r="AJ51" s="100"/>
      <c r="AK51" s="100"/>
      <c r="AL51" s="100"/>
      <c r="AM51" s="100"/>
      <c r="AN51" s="100"/>
      <c r="AO51" s="100"/>
      <c r="AP51" s="100"/>
      <c r="AQ51" s="100"/>
      <c r="AR51" s="100"/>
      <c r="AS51" s="100"/>
      <c r="AT51" s="100"/>
      <c r="AU51" s="100"/>
      <c r="AV51" s="100"/>
      <c r="AW51" s="100"/>
      <c r="AX51" s="100"/>
      <c r="AY51" s="100"/>
      <c r="AZ51" s="610">
        <f>AZ48/AT40*100</f>
        <v>8.5106666666666815</v>
      </c>
      <c r="BA51" s="610"/>
      <c r="BB51" s="610"/>
      <c r="BC51" s="610"/>
      <c r="BD51" s="611" t="s">
        <v>69</v>
      </c>
      <c r="BE51" s="114"/>
    </row>
    <row r="52" spans="1:57" ht="13.5" thickBot="1">
      <c r="A52" s="100"/>
      <c r="B52" s="100"/>
      <c r="C52" s="100"/>
      <c r="D52" s="102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  <c r="AF52" s="100"/>
      <c r="AG52" s="100"/>
      <c r="AH52" s="100"/>
      <c r="AI52" s="100"/>
      <c r="AJ52" s="100"/>
      <c r="AK52" s="100"/>
      <c r="AL52" s="100"/>
      <c r="AM52" s="100"/>
      <c r="AN52" s="100"/>
      <c r="AO52" s="100"/>
      <c r="AP52" s="100"/>
      <c r="AQ52" s="100"/>
      <c r="AR52" s="100"/>
      <c r="AS52" s="100"/>
      <c r="AT52" s="100"/>
      <c r="AU52" s="100"/>
      <c r="AV52" s="100"/>
      <c r="AW52" s="100"/>
      <c r="AX52" s="100"/>
      <c r="AY52" s="100"/>
      <c r="AZ52" s="610"/>
      <c r="BA52" s="610"/>
      <c r="BB52" s="610"/>
      <c r="BC52" s="610"/>
      <c r="BD52" s="611"/>
      <c r="BE52" s="117"/>
    </row>
    <row r="53" spans="1:57">
      <c r="A53" s="100"/>
      <c r="B53" s="100"/>
      <c r="C53" s="100"/>
      <c r="D53" s="102"/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100"/>
      <c r="AI53" s="100"/>
      <c r="AJ53" s="100"/>
      <c r="AK53" s="100"/>
      <c r="AL53" s="100"/>
      <c r="AM53" s="100"/>
      <c r="AN53" s="100"/>
      <c r="AO53" s="100"/>
      <c r="AP53" s="100"/>
      <c r="AQ53" s="100"/>
      <c r="AR53" s="100"/>
      <c r="AS53" s="100"/>
      <c r="AT53" s="100"/>
      <c r="AU53" s="100"/>
      <c r="AV53" s="100"/>
      <c r="AW53" s="100"/>
      <c r="AX53" s="100"/>
      <c r="AY53" s="100"/>
      <c r="AZ53" s="100"/>
      <c r="BA53" s="100"/>
      <c r="BB53" s="100"/>
      <c r="BC53" s="100"/>
      <c r="BD53" s="100"/>
      <c r="BE53" s="100"/>
    </row>
    <row r="54" spans="1:57">
      <c r="A54" s="100"/>
      <c r="B54" s="100"/>
      <c r="C54" s="100"/>
      <c r="D54" s="102"/>
      <c r="E54" s="100"/>
      <c r="F54" s="100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100"/>
      <c r="AI54" s="100"/>
      <c r="AJ54" s="100"/>
      <c r="AK54" s="100"/>
      <c r="AL54" s="100"/>
      <c r="AM54" s="100"/>
      <c r="AN54" s="100"/>
      <c r="AO54" s="100"/>
      <c r="AP54" s="100"/>
      <c r="AQ54" s="100"/>
      <c r="AR54" s="100"/>
      <c r="AS54" s="100"/>
      <c r="AT54" s="100"/>
      <c r="AU54" s="100"/>
      <c r="AV54" s="100"/>
      <c r="AW54" s="100"/>
      <c r="AX54" s="100"/>
      <c r="AY54" s="100"/>
      <c r="AZ54" s="100"/>
      <c r="BA54" s="100"/>
      <c r="BB54" s="100"/>
      <c r="BC54" s="100"/>
      <c r="BD54" s="100"/>
      <c r="BE54" s="100"/>
    </row>
    <row r="55" spans="1:57">
      <c r="A55" s="100"/>
      <c r="B55" s="100"/>
      <c r="C55" s="100"/>
      <c r="D55" s="102"/>
      <c r="E55" s="100"/>
      <c r="F55" s="100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  <c r="AH55" s="100"/>
      <c r="AI55" s="100"/>
      <c r="AJ55" s="100"/>
      <c r="AK55" s="100"/>
      <c r="AL55" s="100"/>
      <c r="AM55" s="100"/>
      <c r="AN55" s="100"/>
      <c r="AO55" s="100"/>
      <c r="AP55" s="100"/>
      <c r="AQ55" s="100"/>
      <c r="AR55" s="100"/>
      <c r="AS55" s="100"/>
      <c r="AT55" s="100"/>
      <c r="AU55" s="100"/>
      <c r="AV55" s="100"/>
      <c r="AW55" s="100"/>
      <c r="AX55" s="100"/>
      <c r="AY55" s="100"/>
      <c r="AZ55" s="100"/>
      <c r="BA55" s="100"/>
      <c r="BB55" s="100"/>
      <c r="BC55" s="100"/>
      <c r="BD55" s="100"/>
      <c r="BE55" s="100"/>
    </row>
    <row r="56" spans="1:57">
      <c r="A56" s="100"/>
      <c r="B56" s="100"/>
      <c r="C56" s="100"/>
      <c r="D56" s="102"/>
      <c r="E56" s="100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/>
      <c r="AE56" s="100"/>
      <c r="AF56" s="100"/>
      <c r="AG56" s="100"/>
      <c r="AH56" s="100"/>
      <c r="AI56" s="100"/>
      <c r="AJ56" s="100"/>
      <c r="AK56" s="100"/>
      <c r="AL56" s="100"/>
      <c r="AM56" s="100"/>
      <c r="AN56" s="100"/>
      <c r="AO56" s="100"/>
      <c r="AP56" s="100"/>
      <c r="AQ56" s="100"/>
      <c r="AR56" s="100"/>
      <c r="AS56" s="100"/>
      <c r="AT56" s="100"/>
      <c r="AU56" s="100"/>
      <c r="AV56" s="100"/>
      <c r="AW56" s="100"/>
      <c r="AX56" s="100"/>
      <c r="AY56" s="100"/>
      <c r="AZ56" s="100"/>
      <c r="BA56" s="100"/>
      <c r="BB56" s="100"/>
      <c r="BC56" s="100"/>
      <c r="BD56" s="100"/>
      <c r="BE56" s="100"/>
    </row>
    <row r="57" spans="1:57">
      <c r="A57" s="100"/>
      <c r="B57" s="100"/>
      <c r="C57" s="100"/>
      <c r="D57" s="102"/>
      <c r="E57" s="100"/>
      <c r="F57" s="100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100"/>
      <c r="AI57" s="100"/>
      <c r="AJ57" s="100"/>
      <c r="AK57" s="100"/>
      <c r="AL57" s="100"/>
      <c r="AM57" s="100"/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X57" s="100"/>
      <c r="AY57" s="100"/>
      <c r="AZ57" s="100"/>
      <c r="BA57" s="100"/>
      <c r="BB57" s="100"/>
      <c r="BC57" s="100"/>
      <c r="BD57" s="100"/>
      <c r="BE57" s="100"/>
    </row>
    <row r="58" spans="1:57">
      <c r="A58" s="100"/>
      <c r="B58" s="100"/>
      <c r="C58" s="100"/>
      <c r="D58" s="102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  <c r="AA58" s="100"/>
      <c r="AB58" s="100"/>
      <c r="AC58" s="100"/>
      <c r="AD58" s="100"/>
      <c r="AE58" s="100"/>
      <c r="AF58" s="100"/>
      <c r="AG58" s="100"/>
      <c r="AH58" s="100"/>
      <c r="AI58" s="100"/>
      <c r="AJ58" s="100"/>
      <c r="AK58" s="100"/>
      <c r="AL58" s="100"/>
      <c r="AM58" s="100"/>
      <c r="AN58" s="100"/>
      <c r="AO58" s="100"/>
      <c r="AP58" s="100"/>
      <c r="AQ58" s="100"/>
      <c r="AR58" s="100"/>
      <c r="AS58" s="100"/>
      <c r="AT58" s="100"/>
      <c r="AU58" s="100"/>
      <c r="AV58" s="100"/>
      <c r="AW58" s="100"/>
      <c r="AX58" s="100"/>
      <c r="AY58" s="100"/>
      <c r="AZ58" s="100"/>
      <c r="BA58" s="100"/>
      <c r="BB58" s="100"/>
      <c r="BC58" s="100"/>
      <c r="BD58" s="100"/>
      <c r="BE58" s="100"/>
    </row>
    <row r="59" spans="1:57">
      <c r="A59" s="100"/>
      <c r="B59" s="100"/>
      <c r="C59" s="100"/>
      <c r="D59" s="102"/>
      <c r="E59" s="100"/>
      <c r="F59" s="100"/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  <c r="AE59" s="100"/>
      <c r="AF59" s="100"/>
      <c r="AG59" s="100"/>
      <c r="AH59" s="100"/>
      <c r="AI59" s="100"/>
      <c r="AJ59" s="100"/>
      <c r="AK59" s="100"/>
      <c r="AL59" s="100"/>
      <c r="AM59" s="100"/>
      <c r="AN59" s="100"/>
      <c r="AO59" s="100"/>
      <c r="AP59" s="100"/>
      <c r="AQ59" s="100"/>
      <c r="AR59" s="100"/>
      <c r="AS59" s="100"/>
      <c r="AT59" s="100"/>
      <c r="AU59" s="100"/>
      <c r="AV59" s="100"/>
      <c r="AW59" s="100"/>
      <c r="AX59" s="100"/>
      <c r="AY59" s="100"/>
      <c r="AZ59" s="100"/>
      <c r="BA59" s="100"/>
      <c r="BB59" s="100"/>
      <c r="BC59" s="100"/>
      <c r="BD59" s="100"/>
      <c r="BE59" s="100"/>
    </row>
    <row r="60" spans="1:57">
      <c r="A60" s="100"/>
      <c r="B60" s="100"/>
      <c r="C60" s="100"/>
      <c r="D60" s="102"/>
      <c r="E60" s="100"/>
      <c r="F60" s="100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  <c r="AE60" s="100"/>
      <c r="AF60" s="100"/>
      <c r="AG60" s="100"/>
      <c r="AH60" s="100"/>
      <c r="AI60" s="100"/>
      <c r="AJ60" s="100"/>
      <c r="AK60" s="100"/>
      <c r="AL60" s="100"/>
      <c r="AM60" s="100"/>
      <c r="AN60" s="100"/>
      <c r="AO60" s="100"/>
      <c r="AP60" s="100"/>
      <c r="AQ60" s="100"/>
      <c r="AR60" s="100"/>
      <c r="AS60" s="100"/>
      <c r="AT60" s="100"/>
      <c r="AU60" s="100"/>
      <c r="AV60" s="100"/>
      <c r="AW60" s="100"/>
      <c r="AX60" s="100"/>
      <c r="AY60" s="100"/>
      <c r="AZ60" s="100"/>
      <c r="BA60" s="100"/>
      <c r="BB60" s="100"/>
      <c r="BC60" s="100"/>
      <c r="BD60" s="100"/>
      <c r="BE60" s="100"/>
    </row>
    <row r="61" spans="1:57">
      <c r="A61" s="100"/>
      <c r="B61" s="100"/>
      <c r="C61" s="100"/>
      <c r="D61" s="102"/>
      <c r="E61" s="100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/>
      <c r="AE61" s="100"/>
      <c r="AF61" s="100"/>
      <c r="AG61" s="100"/>
      <c r="AH61" s="100"/>
      <c r="AI61" s="100"/>
      <c r="AJ61" s="100"/>
      <c r="AK61" s="100"/>
      <c r="AL61" s="100"/>
      <c r="AM61" s="100"/>
      <c r="AN61" s="100"/>
      <c r="AO61" s="100"/>
      <c r="AP61" s="100"/>
      <c r="AQ61" s="100"/>
      <c r="AR61" s="100"/>
      <c r="AS61" s="100"/>
      <c r="AT61" s="100"/>
      <c r="AU61" s="100"/>
      <c r="AV61" s="100"/>
      <c r="AW61" s="100"/>
      <c r="AX61" s="100"/>
      <c r="AY61" s="100"/>
      <c r="AZ61" s="100"/>
      <c r="BA61" s="100"/>
      <c r="BB61" s="100"/>
      <c r="BC61" s="100"/>
      <c r="BD61" s="100"/>
      <c r="BE61" s="100"/>
    </row>
    <row r="62" spans="1:57">
      <c r="A62" s="100"/>
      <c r="B62" s="100"/>
      <c r="C62" s="100"/>
      <c r="D62" s="102"/>
      <c r="E62" s="100"/>
      <c r="F62" s="100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100"/>
      <c r="AC62" s="100"/>
      <c r="AD62" s="100"/>
      <c r="AE62" s="100"/>
      <c r="AF62" s="100"/>
      <c r="AG62" s="100"/>
      <c r="AH62" s="100"/>
      <c r="AI62" s="100"/>
      <c r="AJ62" s="100"/>
      <c r="AK62" s="100"/>
      <c r="AL62" s="100"/>
      <c r="AM62" s="100"/>
      <c r="AN62" s="100"/>
      <c r="AO62" s="100"/>
      <c r="AP62" s="100"/>
      <c r="AQ62" s="100"/>
      <c r="AR62" s="100"/>
      <c r="AS62" s="100"/>
      <c r="AT62" s="100"/>
      <c r="AU62" s="100"/>
      <c r="AV62" s="100"/>
      <c r="AW62" s="100"/>
      <c r="AX62" s="100"/>
      <c r="AY62" s="100"/>
      <c r="AZ62" s="100"/>
      <c r="BA62" s="100"/>
      <c r="BB62" s="100"/>
      <c r="BC62" s="100"/>
      <c r="BD62" s="100"/>
      <c r="BE62" s="100"/>
    </row>
    <row r="63" spans="1:57">
      <c r="A63" s="100"/>
      <c r="B63" s="100"/>
      <c r="C63" s="100"/>
      <c r="D63" s="102"/>
      <c r="E63" s="100"/>
      <c r="F63" s="100"/>
      <c r="G63" s="100"/>
      <c r="H63" s="100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  <c r="AA63" s="100"/>
      <c r="AB63" s="100"/>
      <c r="AC63" s="100"/>
      <c r="AD63" s="100"/>
      <c r="AE63" s="100"/>
      <c r="AF63" s="100"/>
      <c r="AG63" s="100"/>
      <c r="AH63" s="100"/>
      <c r="AI63" s="100"/>
      <c r="AJ63" s="100"/>
      <c r="AK63" s="100"/>
      <c r="AL63" s="100"/>
      <c r="AM63" s="100"/>
      <c r="AN63" s="100"/>
      <c r="AO63" s="100"/>
      <c r="AP63" s="100"/>
      <c r="AQ63" s="100"/>
      <c r="AR63" s="100"/>
      <c r="AS63" s="100"/>
      <c r="AT63" s="100"/>
      <c r="AU63" s="100"/>
      <c r="AV63" s="100"/>
      <c r="AW63" s="100"/>
      <c r="AX63" s="100"/>
      <c r="AY63" s="100"/>
      <c r="AZ63" s="100"/>
      <c r="BA63" s="100"/>
      <c r="BB63" s="100"/>
      <c r="BC63" s="100"/>
      <c r="BD63" s="100"/>
      <c r="BE63" s="100"/>
    </row>
    <row r="64" spans="1:57">
      <c r="A64" s="100"/>
      <c r="B64" s="100"/>
      <c r="C64" s="100"/>
      <c r="D64" s="102"/>
      <c r="E64" s="100"/>
      <c r="F64" s="100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  <c r="AE64" s="100"/>
      <c r="AF64" s="100"/>
      <c r="AG64" s="100"/>
      <c r="AH64" s="100"/>
      <c r="AI64" s="100"/>
      <c r="AJ64" s="100"/>
      <c r="AK64" s="100"/>
      <c r="AL64" s="100"/>
      <c r="AM64" s="100"/>
      <c r="AN64" s="100"/>
      <c r="AO64" s="100"/>
      <c r="AP64" s="100"/>
      <c r="AQ64" s="100"/>
      <c r="AR64" s="100"/>
      <c r="AS64" s="100"/>
      <c r="AT64" s="100"/>
      <c r="AU64" s="100"/>
      <c r="AV64" s="100"/>
      <c r="AW64" s="100"/>
      <c r="AX64" s="100"/>
      <c r="AY64" s="100"/>
      <c r="AZ64" s="100"/>
      <c r="BA64" s="100"/>
      <c r="BB64" s="100"/>
      <c r="BC64" s="100"/>
      <c r="BD64" s="100"/>
      <c r="BE64" s="100"/>
    </row>
    <row r="65" spans="1:57">
      <c r="A65" s="100"/>
      <c r="B65" s="100"/>
      <c r="C65" s="100"/>
      <c r="D65" s="102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/>
      <c r="AE65" s="100"/>
      <c r="AF65" s="100"/>
      <c r="AG65" s="100"/>
      <c r="AH65" s="100"/>
      <c r="AI65" s="100"/>
      <c r="AJ65" s="100"/>
      <c r="AK65" s="100"/>
      <c r="AL65" s="100"/>
      <c r="AM65" s="100"/>
      <c r="AN65" s="100"/>
      <c r="AO65" s="100"/>
      <c r="AP65" s="100"/>
      <c r="AQ65" s="100"/>
      <c r="AR65" s="100"/>
      <c r="AS65" s="100"/>
      <c r="AT65" s="100"/>
      <c r="AU65" s="100"/>
      <c r="AV65" s="100"/>
      <c r="AW65" s="100"/>
      <c r="AX65" s="100"/>
      <c r="AY65" s="100"/>
      <c r="AZ65" s="100"/>
      <c r="BA65" s="100"/>
      <c r="BB65" s="100"/>
      <c r="BC65" s="100"/>
      <c r="BD65" s="100"/>
      <c r="BE65" s="100"/>
    </row>
    <row r="66" spans="1:57">
      <c r="A66" s="100"/>
      <c r="B66" s="100"/>
      <c r="C66" s="100"/>
      <c r="D66" s="102"/>
      <c r="E66" s="100"/>
      <c r="F66" s="100"/>
      <c r="G66" s="100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/>
      <c r="AE66" s="100"/>
      <c r="AF66" s="100"/>
      <c r="AG66" s="100"/>
      <c r="AH66" s="100"/>
      <c r="AI66" s="100"/>
      <c r="AJ66" s="100"/>
      <c r="AK66" s="100"/>
      <c r="AL66" s="100"/>
      <c r="AM66" s="100"/>
      <c r="AN66" s="100"/>
      <c r="AO66" s="100"/>
      <c r="AP66" s="100"/>
      <c r="AQ66" s="100"/>
      <c r="AR66" s="100"/>
      <c r="AS66" s="100"/>
      <c r="AT66" s="100"/>
      <c r="AU66" s="100"/>
      <c r="AV66" s="100"/>
      <c r="AW66" s="100"/>
      <c r="AX66" s="100"/>
      <c r="AY66" s="100"/>
      <c r="AZ66" s="100"/>
      <c r="BA66" s="100"/>
      <c r="BB66" s="100"/>
      <c r="BC66" s="100"/>
      <c r="BD66" s="100"/>
      <c r="BE66" s="100"/>
    </row>
    <row r="67" spans="1:57">
      <c r="A67" s="100"/>
      <c r="B67" s="100"/>
      <c r="C67" s="100"/>
      <c r="D67" s="102"/>
      <c r="E67" s="100"/>
      <c r="F67" s="100"/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  <c r="AD67" s="100"/>
      <c r="AE67" s="100"/>
      <c r="AF67" s="100"/>
      <c r="AG67" s="100"/>
      <c r="AH67" s="100"/>
      <c r="AI67" s="100"/>
      <c r="AJ67" s="100"/>
      <c r="AK67" s="100"/>
      <c r="AL67" s="100"/>
      <c r="AM67" s="100"/>
      <c r="AN67" s="100"/>
      <c r="AO67" s="100"/>
      <c r="AP67" s="100"/>
      <c r="AQ67" s="100"/>
      <c r="AR67" s="100"/>
      <c r="AS67" s="100"/>
      <c r="AT67" s="100"/>
      <c r="AU67" s="100"/>
      <c r="AV67" s="100"/>
      <c r="AW67" s="100"/>
      <c r="AX67" s="100"/>
      <c r="AY67" s="100"/>
      <c r="AZ67" s="100"/>
      <c r="BA67" s="100"/>
      <c r="BB67" s="100"/>
      <c r="BC67" s="100"/>
      <c r="BD67" s="100"/>
      <c r="BE67" s="100"/>
    </row>
    <row r="68" spans="1:57">
      <c r="A68" s="100"/>
      <c r="B68" s="100"/>
      <c r="C68" s="100"/>
      <c r="D68" s="102"/>
      <c r="E68" s="100"/>
      <c r="F68" s="100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  <c r="AI68" s="100"/>
      <c r="AJ68" s="100"/>
      <c r="AK68" s="100"/>
      <c r="AL68" s="100"/>
      <c r="AM68" s="100"/>
      <c r="AN68" s="100"/>
      <c r="AO68" s="100"/>
      <c r="AP68" s="100"/>
      <c r="AQ68" s="100"/>
      <c r="AR68" s="100"/>
      <c r="AS68" s="100"/>
      <c r="AT68" s="100"/>
      <c r="AU68" s="100"/>
      <c r="AV68" s="100"/>
      <c r="AW68" s="100"/>
      <c r="AX68" s="100"/>
      <c r="AY68" s="100"/>
      <c r="AZ68" s="100"/>
      <c r="BA68" s="100"/>
      <c r="BB68" s="100"/>
      <c r="BC68" s="100"/>
      <c r="BD68" s="100"/>
      <c r="BE68" s="100"/>
    </row>
    <row r="69" spans="1:57">
      <c r="A69" s="100"/>
      <c r="B69" s="100"/>
      <c r="C69" s="100"/>
      <c r="D69" s="102"/>
      <c r="E69" s="100"/>
      <c r="F69" s="100"/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100"/>
      <c r="AC69" s="100"/>
      <c r="AD69" s="100"/>
      <c r="AE69" s="100"/>
      <c r="AF69" s="100"/>
      <c r="AG69" s="100"/>
      <c r="AH69" s="100"/>
      <c r="AI69" s="100"/>
      <c r="AJ69" s="100"/>
      <c r="AK69" s="100"/>
      <c r="AL69" s="100"/>
      <c r="AM69" s="100"/>
      <c r="AN69" s="100"/>
      <c r="AO69" s="100"/>
      <c r="AP69" s="100"/>
      <c r="AQ69" s="100"/>
      <c r="AR69" s="100"/>
      <c r="AS69" s="100"/>
      <c r="AT69" s="100"/>
      <c r="AU69" s="100"/>
      <c r="AV69" s="100"/>
      <c r="AW69" s="100"/>
      <c r="AX69" s="100"/>
      <c r="AY69" s="100"/>
      <c r="AZ69" s="100"/>
      <c r="BA69" s="100"/>
      <c r="BB69" s="100"/>
      <c r="BC69" s="100"/>
      <c r="BD69" s="100"/>
      <c r="BE69" s="100"/>
    </row>
    <row r="70" spans="1:57">
      <c r="A70" s="100"/>
      <c r="B70" s="100"/>
      <c r="C70" s="100"/>
      <c r="D70" s="102"/>
      <c r="E70" s="100"/>
      <c r="F70" s="100"/>
      <c r="G70" s="100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  <c r="AE70" s="100"/>
      <c r="AF70" s="100"/>
      <c r="AG70" s="100"/>
      <c r="AH70" s="100"/>
      <c r="AI70" s="100"/>
      <c r="AJ70" s="100"/>
      <c r="AK70" s="100"/>
      <c r="AL70" s="100"/>
      <c r="AM70" s="100"/>
      <c r="AN70" s="100"/>
      <c r="AO70" s="100"/>
      <c r="AP70" s="100"/>
      <c r="AQ70" s="100"/>
      <c r="AR70" s="100"/>
      <c r="AS70" s="100"/>
      <c r="AT70" s="100"/>
      <c r="AU70" s="100"/>
      <c r="AV70" s="100"/>
      <c r="AW70" s="100"/>
      <c r="AX70" s="100"/>
      <c r="AY70" s="100"/>
      <c r="AZ70" s="100"/>
      <c r="BA70" s="100"/>
      <c r="BB70" s="100"/>
      <c r="BC70" s="100"/>
      <c r="BD70" s="100"/>
      <c r="BE70" s="100"/>
    </row>
    <row r="71" spans="1:57" ht="18" customHeight="1">
      <c r="A71" s="318" t="s">
        <v>70</v>
      </c>
      <c r="B71" s="319"/>
      <c r="C71" s="318"/>
      <c r="D71" s="318"/>
      <c r="E71" s="318"/>
      <c r="F71" s="318"/>
      <c r="G71" s="318"/>
      <c r="H71" s="318"/>
      <c r="I71" s="318"/>
      <c r="J71" s="320"/>
      <c r="K71" s="320"/>
      <c r="L71" s="605" t="s">
        <v>158</v>
      </c>
      <c r="M71" s="605"/>
      <c r="N71" s="605"/>
      <c r="O71" s="605"/>
      <c r="P71" s="605"/>
      <c r="Q71" s="605"/>
      <c r="R71" s="109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/>
      <c r="AE71" s="100"/>
      <c r="AF71" s="100"/>
      <c r="AG71" s="100"/>
      <c r="AH71" s="100"/>
      <c r="AI71" s="100"/>
      <c r="AJ71" s="100"/>
      <c r="AK71" s="100"/>
      <c r="AL71" s="100"/>
      <c r="AM71" s="100"/>
      <c r="AN71" s="100"/>
      <c r="AO71" s="100"/>
      <c r="AP71" s="100"/>
      <c r="AQ71" s="100"/>
      <c r="AR71" s="100"/>
      <c r="AS71" s="100"/>
      <c r="AT71" s="100"/>
      <c r="AU71" s="100"/>
      <c r="AV71" s="100"/>
      <c r="AW71" s="100"/>
      <c r="AX71" s="100"/>
      <c r="AY71" s="100"/>
      <c r="AZ71" s="100"/>
      <c r="BA71" s="100"/>
      <c r="BB71" s="100"/>
      <c r="BC71" s="100"/>
      <c r="BD71" s="100"/>
      <c r="BE71" s="100"/>
    </row>
    <row r="72" spans="1:57" ht="15">
      <c r="A72" s="118"/>
      <c r="B72" s="118"/>
      <c r="C72" s="119"/>
      <c r="D72" s="120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  <c r="AE72" s="100"/>
      <c r="AF72" s="100"/>
      <c r="AG72" s="100"/>
      <c r="AH72" s="100"/>
      <c r="AI72" s="100"/>
      <c r="AJ72" s="100"/>
      <c r="AK72" s="100"/>
      <c r="AL72" s="100"/>
      <c r="AM72" s="100"/>
      <c r="AN72" s="100"/>
      <c r="AO72" s="100"/>
      <c r="AP72" s="100"/>
      <c r="AQ72" s="100"/>
      <c r="AR72" s="100"/>
      <c r="AS72" s="100"/>
      <c r="AT72" s="100"/>
      <c r="AU72" s="100"/>
      <c r="AV72" s="100"/>
      <c r="AW72" s="100"/>
      <c r="AX72" s="100"/>
      <c r="AY72" s="100"/>
      <c r="AZ72" s="100"/>
      <c r="BA72" s="100"/>
      <c r="BB72" s="100"/>
      <c r="BC72" s="100"/>
      <c r="BD72" s="100"/>
      <c r="BE72" s="100"/>
    </row>
    <row r="73" spans="1:57" ht="15.75">
      <c r="A73" s="100"/>
      <c r="B73" s="100"/>
      <c r="C73" s="100"/>
      <c r="D73" s="102"/>
      <c r="E73" s="100"/>
      <c r="F73" s="100"/>
      <c r="G73" s="100"/>
      <c r="H73" s="100"/>
      <c r="I73" s="100"/>
      <c r="J73" s="100"/>
      <c r="K73" s="100"/>
      <c r="L73" s="111"/>
      <c r="M73" s="111"/>
      <c r="N73" s="111"/>
      <c r="O73" s="111"/>
      <c r="P73" s="111"/>
      <c r="Q73" s="111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00"/>
      <c r="AK73" s="100"/>
      <c r="AL73" s="100"/>
      <c r="AM73" s="100"/>
      <c r="AN73" s="100"/>
      <c r="AO73" s="100"/>
      <c r="AP73" s="100"/>
      <c r="AQ73" s="100"/>
      <c r="AR73" s="100"/>
      <c r="AS73" s="100"/>
      <c r="AT73" s="100"/>
      <c r="AU73" s="100"/>
      <c r="AV73" s="100"/>
      <c r="AW73" s="100"/>
      <c r="AX73" s="100"/>
      <c r="AY73" s="100"/>
      <c r="AZ73" s="100"/>
      <c r="BA73" s="100"/>
      <c r="BB73" s="100"/>
      <c r="BC73" s="100"/>
      <c r="BD73" s="100"/>
      <c r="BE73" s="100"/>
    </row>
    <row r="74" spans="1:57">
      <c r="A74" s="100"/>
      <c r="B74" s="100"/>
      <c r="C74" s="100"/>
      <c r="D74" s="102"/>
      <c r="E74" s="100"/>
      <c r="F74" s="100"/>
      <c r="G74" s="100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00"/>
      <c r="AK74" s="100"/>
      <c r="AL74" s="100"/>
      <c r="AM74" s="100"/>
      <c r="AN74" s="100"/>
      <c r="AO74" s="100"/>
      <c r="AP74" s="100"/>
      <c r="AQ74" s="100"/>
      <c r="AR74" s="100"/>
      <c r="AS74" s="100"/>
      <c r="AT74" s="100"/>
      <c r="AU74" s="100"/>
      <c r="AV74" s="100"/>
      <c r="AW74" s="100"/>
      <c r="AX74" s="100"/>
      <c r="AY74" s="100"/>
      <c r="AZ74" s="100"/>
      <c r="BA74" s="100"/>
      <c r="BB74" s="100"/>
      <c r="BC74" s="100"/>
      <c r="BD74" s="100"/>
      <c r="BE74" s="100"/>
    </row>
    <row r="75" spans="1:57">
      <c r="A75" s="100"/>
      <c r="B75" s="100"/>
      <c r="C75" s="100"/>
      <c r="D75" s="102"/>
      <c r="E75" s="100"/>
      <c r="F75" s="100"/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  <c r="AD75" s="100"/>
      <c r="AE75" s="100"/>
      <c r="AF75" s="100"/>
      <c r="AG75" s="100"/>
      <c r="AH75" s="100"/>
      <c r="AI75" s="100"/>
      <c r="AJ75" s="100"/>
      <c r="AK75" s="100"/>
      <c r="AL75" s="100"/>
      <c r="AM75" s="100"/>
      <c r="AN75" s="100"/>
      <c r="AO75" s="100"/>
      <c r="AP75" s="100"/>
      <c r="AQ75" s="100"/>
      <c r="AR75" s="100"/>
      <c r="AS75" s="100"/>
      <c r="AT75" s="100"/>
      <c r="AU75" s="100"/>
      <c r="AV75" s="100"/>
      <c r="AW75" s="100"/>
      <c r="AX75" s="100"/>
      <c r="AY75" s="100"/>
      <c r="AZ75" s="100"/>
      <c r="BA75" s="100"/>
      <c r="BB75" s="100"/>
      <c r="BC75" s="100"/>
      <c r="BD75" s="100"/>
      <c r="BE75" s="100"/>
    </row>
  </sheetData>
  <sheetProtection selectLockedCells="1" selectUnlockedCells="1"/>
  <mergeCells count="78">
    <mergeCell ref="CO40:CU40"/>
    <mergeCell ref="L71:Q71"/>
    <mergeCell ref="N46:O46"/>
    <mergeCell ref="AZ46:BE47"/>
    <mergeCell ref="AZ48:BC49"/>
    <mergeCell ref="BD48:BD49"/>
    <mergeCell ref="AZ51:BC52"/>
    <mergeCell ref="BD51:BD52"/>
    <mergeCell ref="AT42:AV42"/>
    <mergeCell ref="AC3:AC6"/>
    <mergeCell ref="AD3:AD6"/>
    <mergeCell ref="DA5:DB5"/>
    <mergeCell ref="CO39:CP39"/>
    <mergeCell ref="CQ39:CU39"/>
    <mergeCell ref="CV39:CY39"/>
    <mergeCell ref="AX5:AX6"/>
    <mergeCell ref="AY5:AY6"/>
    <mergeCell ref="AJ3:AK6"/>
    <mergeCell ref="AL3:AL6"/>
    <mergeCell ref="AM3:AM6"/>
    <mergeCell ref="AN3:AN6"/>
    <mergeCell ref="AO3:AO6"/>
    <mergeCell ref="AP3:AP6"/>
    <mergeCell ref="AT5:AT6"/>
    <mergeCell ref="AW5:AW6"/>
    <mergeCell ref="Q4:Q6"/>
    <mergeCell ref="R4:R6"/>
    <mergeCell ref="S4:S6"/>
    <mergeCell ref="T4:T6"/>
    <mergeCell ref="U4:U6"/>
    <mergeCell ref="AA3:AA6"/>
    <mergeCell ref="AB3:AB6"/>
    <mergeCell ref="N4:N6"/>
    <mergeCell ref="O4:O6"/>
    <mergeCell ref="DD4:DH4"/>
    <mergeCell ref="AE5:AE6"/>
    <mergeCell ref="AF5:AF6"/>
    <mergeCell ref="AG5:AG6"/>
    <mergeCell ref="AH5:AH6"/>
    <mergeCell ref="CF3:CI5"/>
    <mergeCell ref="AQ3:AQ6"/>
    <mergeCell ref="AS3:AS6"/>
    <mergeCell ref="AT3:AY4"/>
    <mergeCell ref="AZ3:AZ6"/>
    <mergeCell ref="BA3:BB4"/>
    <mergeCell ref="BC3:BC6"/>
    <mergeCell ref="CJ3:CM5"/>
    <mergeCell ref="B4:B6"/>
    <mergeCell ref="C4:C6"/>
    <mergeCell ref="D4:D6"/>
    <mergeCell ref="E4:E6"/>
    <mergeCell ref="F4:F6"/>
    <mergeCell ref="G4:G6"/>
    <mergeCell ref="H4:H6"/>
    <mergeCell ref="I4:I6"/>
    <mergeCell ref="J4:J6"/>
    <mergeCell ref="BD3:BD6"/>
    <mergeCell ref="BE3:BE6"/>
    <mergeCell ref="BK3:BQ5"/>
    <mergeCell ref="BR3:BX5"/>
    <mergeCell ref="BY3:CE5"/>
    <mergeCell ref="K4:K6"/>
    <mergeCell ref="AE3:AF4"/>
    <mergeCell ref="AG3:AI4"/>
    <mergeCell ref="AI5:AI6"/>
    <mergeCell ref="AY2:BC2"/>
    <mergeCell ref="A3:A6"/>
    <mergeCell ref="B3:G3"/>
    <mergeCell ref="H3:P3"/>
    <mergeCell ref="Q3:U3"/>
    <mergeCell ref="V3:V6"/>
    <mergeCell ref="W3:W6"/>
    <mergeCell ref="X3:X6"/>
    <mergeCell ref="Y3:Y6"/>
    <mergeCell ref="Z3:Z6"/>
    <mergeCell ref="P4:P6"/>
    <mergeCell ref="L4:L6"/>
    <mergeCell ref="M4:M6"/>
  </mergeCells>
  <printOptions horizontalCentered="1" verticalCentered="1"/>
  <pageMargins left="0" right="0" top="0" bottom="0" header="0" footer="0"/>
  <pageSetup paperSize="9" scale="46" firstPageNumber="0" orientation="landscape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1:DJ75"/>
  <sheetViews>
    <sheetView showZeros="0" zoomScale="88" zoomScaleNormal="88" workbookViewId="0">
      <pane xSplit="1" ySplit="6" topLeftCell="CJ19" activePane="bottomRight" state="frozen"/>
      <selection pane="topRight" activeCell="B1" sqref="B1"/>
      <selection pane="bottomLeft" activeCell="A7" sqref="A7"/>
      <selection pane="bottomRight" activeCell="CU45" sqref="CU45"/>
    </sheetView>
  </sheetViews>
  <sheetFormatPr defaultColWidth="8.7109375" defaultRowHeight="12.75"/>
  <cols>
    <col min="1" max="1" width="3.5703125" customWidth="1"/>
    <col min="2" max="2" width="9.7109375" customWidth="1"/>
    <col min="3" max="3" width="6" customWidth="1"/>
    <col min="4" max="4" width="12" style="1" hidden="1" customWidth="1"/>
    <col min="5" max="5" width="7.140625" customWidth="1"/>
    <col min="6" max="6" width="7.5703125" customWidth="1"/>
    <col min="7" max="7" width="8" customWidth="1"/>
    <col min="8" max="8" width="7.28515625" customWidth="1"/>
    <col min="9" max="9" width="7.42578125" hidden="1" customWidth="1"/>
    <col min="10" max="10" width="9.140625" customWidth="1"/>
    <col min="11" max="11" width="5.5703125" hidden="1" customWidth="1"/>
    <col min="12" max="12" width="8.42578125" customWidth="1"/>
    <col min="13" max="13" width="7" customWidth="1"/>
    <col min="14" max="14" width="8.42578125" customWidth="1"/>
    <col min="15" max="15" width="7.28515625" customWidth="1"/>
    <col min="16" max="16" width="9.85546875" hidden="1" customWidth="1"/>
    <col min="17" max="17" width="9.28515625" customWidth="1"/>
    <col min="18" max="18" width="6" customWidth="1"/>
    <col min="19" max="19" width="6.7109375" customWidth="1"/>
    <col min="20" max="20" width="9.140625" hidden="1" customWidth="1"/>
    <col min="21" max="21" width="7.140625" customWidth="1"/>
    <col min="22" max="22" width="7.85546875" customWidth="1"/>
    <col min="23" max="23" width="8.28515625" customWidth="1"/>
    <col min="24" max="24" width="6" customWidth="1"/>
    <col min="25" max="25" width="5.42578125" customWidth="1"/>
    <col min="26" max="26" width="6.85546875" customWidth="1"/>
    <col min="27" max="27" width="6.5703125" customWidth="1"/>
    <col min="28" max="28" width="7.5703125" customWidth="1"/>
    <col min="29" max="29" width="6.5703125" customWidth="1"/>
    <col min="30" max="30" width="4.28515625" customWidth="1"/>
    <col min="31" max="32" width="6.85546875" customWidth="1"/>
    <col min="33" max="33" width="0" hidden="1" customWidth="1"/>
    <col min="34" max="34" width="8.42578125" customWidth="1"/>
    <col min="35" max="35" width="7" customWidth="1"/>
    <col min="36" max="36" width="7.85546875" customWidth="1"/>
    <col min="37" max="37" width="0" hidden="1" customWidth="1"/>
    <col min="38" max="38" width="6.7109375" customWidth="1"/>
    <col min="39" max="39" width="7.7109375" customWidth="1"/>
    <col min="40" max="40" width="7" customWidth="1"/>
    <col min="41" max="41" width="9.42578125" customWidth="1"/>
    <col min="42" max="42" width="6.28515625" customWidth="1"/>
    <col min="43" max="43" width="6.85546875" customWidth="1"/>
    <col min="44" max="44" width="0" hidden="1" customWidth="1"/>
    <col min="45" max="45" width="6.7109375" customWidth="1"/>
    <col min="46" max="46" width="9.7109375" customWidth="1"/>
    <col min="47" max="47" width="7" customWidth="1"/>
    <col min="48" max="48" width="0" hidden="1" customWidth="1"/>
    <col min="49" max="49" width="6.140625" hidden="1" customWidth="1"/>
    <col min="50" max="50" width="5.140625" hidden="1" customWidth="1"/>
    <col min="51" max="51" width="8.42578125" customWidth="1"/>
    <col min="52" max="52" width="10" customWidth="1"/>
    <col min="53" max="53" width="8.7109375" hidden="1" customWidth="1"/>
    <col min="54" max="54" width="3.85546875" hidden="1" customWidth="1"/>
    <col min="55" max="55" width="6.5703125" customWidth="1"/>
    <col min="56" max="56" width="6.140625" customWidth="1"/>
    <col min="57" max="57" width="6.7109375" customWidth="1"/>
    <col min="58" max="58" width="8.85546875" customWidth="1"/>
    <col min="59" max="59" width="7.85546875" customWidth="1"/>
    <col min="60" max="60" width="9.85546875" customWidth="1"/>
    <col min="61" max="62" width="8.7109375" customWidth="1"/>
    <col min="63" max="63" width="10.28515625" customWidth="1"/>
    <col min="64" max="64" width="10.85546875" customWidth="1"/>
    <col min="65" max="65" width="10.7109375" customWidth="1"/>
    <col min="66" max="66" width="11.28515625" customWidth="1"/>
    <col min="67" max="68" width="8.85546875" customWidth="1"/>
    <col min="69" max="69" width="11.28515625" customWidth="1"/>
    <col min="70" max="70" width="7.7109375" customWidth="1"/>
    <col min="71" max="71" width="10" customWidth="1"/>
    <col min="72" max="72" width="8.85546875" customWidth="1"/>
    <col min="73" max="73" width="10.140625" customWidth="1"/>
    <col min="74" max="75" width="8.85546875" customWidth="1"/>
    <col min="76" max="76" width="10.85546875" customWidth="1"/>
    <col min="77" max="78" width="8.7109375" customWidth="1"/>
    <col min="79" max="79" width="10" customWidth="1"/>
    <col min="80" max="80" width="10.42578125" customWidth="1"/>
    <col min="81" max="82" width="8.42578125" customWidth="1"/>
    <col min="83" max="83" width="9.85546875" customWidth="1"/>
    <col min="84" max="85" width="11.42578125" customWidth="1"/>
    <col min="86" max="86" width="11.140625" customWidth="1"/>
    <col min="87" max="87" width="11.28515625" customWidth="1"/>
    <col min="88" max="89" width="10" customWidth="1"/>
    <col min="90" max="90" width="8.7109375" customWidth="1"/>
    <col min="91" max="91" width="11.85546875" customWidth="1"/>
    <col min="92" max="92" width="8.7109375" customWidth="1"/>
    <col min="93" max="93" width="12.140625" customWidth="1"/>
    <col min="94" max="94" width="12.5703125" customWidth="1"/>
    <col min="95" max="95" width="11.7109375" customWidth="1"/>
    <col min="96" max="98" width="12.28515625" customWidth="1"/>
    <col min="99" max="99" width="13.28515625" customWidth="1"/>
    <col min="100" max="100" width="12.85546875" customWidth="1"/>
    <col min="101" max="101" width="13.42578125" customWidth="1"/>
    <col min="102" max="103" width="12.5703125" customWidth="1"/>
    <col min="104" max="104" width="9.5703125" customWidth="1"/>
    <col min="105" max="105" width="19.140625" customWidth="1"/>
    <col min="106" max="106" width="19.42578125" customWidth="1"/>
    <col min="111" max="111" width="8.7109375" hidden="1" customWidth="1"/>
    <col min="112" max="112" width="9" bestFit="1" customWidth="1"/>
    <col min="114" max="114" width="9.5703125" bestFit="1" customWidth="1"/>
  </cols>
  <sheetData>
    <row r="1" spans="1:114" ht="17.25" customHeight="1">
      <c r="A1" s="310" t="s">
        <v>0</v>
      </c>
      <c r="B1" s="310"/>
      <c r="C1" s="310"/>
      <c r="D1" s="311"/>
      <c r="E1" s="310"/>
      <c r="F1" s="310"/>
      <c r="G1" s="310"/>
      <c r="H1" s="310"/>
      <c r="I1" s="310"/>
      <c r="J1" s="310"/>
      <c r="K1" s="310"/>
      <c r="L1" s="310"/>
      <c r="M1" s="310"/>
      <c r="N1" s="310"/>
      <c r="O1" s="310"/>
      <c r="P1" s="77"/>
      <c r="Q1" s="77"/>
      <c r="R1" s="77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</row>
    <row r="2" spans="1:114" ht="19.5" customHeight="1" thickBot="1">
      <c r="A2" s="22"/>
      <c r="B2" s="78"/>
      <c r="C2" s="78"/>
      <c r="D2" s="79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80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80"/>
      <c r="AT2" s="312" t="s">
        <v>1</v>
      </c>
      <c r="AU2" s="313">
        <v>31</v>
      </c>
      <c r="AV2" s="314"/>
      <c r="AW2" s="314"/>
      <c r="AX2" s="315" t="s">
        <v>81</v>
      </c>
      <c r="AY2" s="556" t="s">
        <v>237</v>
      </c>
      <c r="AZ2" s="556"/>
      <c r="BA2" s="556"/>
      <c r="BB2" s="556"/>
      <c r="BC2" s="556"/>
      <c r="BD2" s="316" t="s">
        <v>107</v>
      </c>
      <c r="BE2" s="317"/>
    </row>
    <row r="3" spans="1:114" ht="39.75" customHeight="1" thickBot="1">
      <c r="A3" s="557" t="s">
        <v>3</v>
      </c>
      <c r="B3" s="558" t="s">
        <v>71</v>
      </c>
      <c r="C3" s="558"/>
      <c r="D3" s="558"/>
      <c r="E3" s="558"/>
      <c r="F3" s="558"/>
      <c r="G3" s="558"/>
      <c r="H3" s="554" t="s">
        <v>4</v>
      </c>
      <c r="I3" s="554"/>
      <c r="J3" s="554"/>
      <c r="K3" s="554"/>
      <c r="L3" s="554"/>
      <c r="M3" s="554"/>
      <c r="N3" s="554"/>
      <c r="O3" s="554"/>
      <c r="P3" s="559"/>
      <c r="Q3" s="560" t="s">
        <v>5</v>
      </c>
      <c r="R3" s="561"/>
      <c r="S3" s="561"/>
      <c r="T3" s="561"/>
      <c r="U3" s="562"/>
      <c r="V3" s="563" t="s">
        <v>6</v>
      </c>
      <c r="W3" s="563" t="s">
        <v>7</v>
      </c>
      <c r="X3" s="564" t="s">
        <v>8</v>
      </c>
      <c r="Y3" s="564" t="s">
        <v>9</v>
      </c>
      <c r="Z3" s="564" t="s">
        <v>10</v>
      </c>
      <c r="AA3" s="564" t="s">
        <v>11</v>
      </c>
      <c r="AB3" s="564" t="s">
        <v>12</v>
      </c>
      <c r="AC3" s="564" t="s">
        <v>13</v>
      </c>
      <c r="AD3" s="564" t="s">
        <v>14</v>
      </c>
      <c r="AE3" s="554" t="s">
        <v>15</v>
      </c>
      <c r="AF3" s="554"/>
      <c r="AG3" s="554" t="s">
        <v>16</v>
      </c>
      <c r="AH3" s="554"/>
      <c r="AI3" s="554"/>
      <c r="AJ3" s="593" t="s">
        <v>17</v>
      </c>
      <c r="AK3" s="593"/>
      <c r="AL3" s="564" t="s">
        <v>18</v>
      </c>
      <c r="AM3" s="599" t="s">
        <v>19</v>
      </c>
      <c r="AN3" s="600" t="s">
        <v>95</v>
      </c>
      <c r="AO3" s="603" t="s">
        <v>20</v>
      </c>
      <c r="AP3" s="564" t="s">
        <v>105</v>
      </c>
      <c r="AQ3" s="564" t="s">
        <v>21</v>
      </c>
      <c r="AR3" s="81"/>
      <c r="AS3" s="593" t="s">
        <v>22</v>
      </c>
      <c r="AT3" s="554" t="s">
        <v>23</v>
      </c>
      <c r="AU3" s="554"/>
      <c r="AV3" s="554"/>
      <c r="AW3" s="554"/>
      <c r="AX3" s="554"/>
      <c r="AY3" s="554"/>
      <c r="AZ3" s="564" t="s">
        <v>24</v>
      </c>
      <c r="BA3" s="594" t="s">
        <v>25</v>
      </c>
      <c r="BB3" s="594"/>
      <c r="BC3" s="564" t="s">
        <v>26</v>
      </c>
      <c r="BD3" s="564" t="s">
        <v>27</v>
      </c>
      <c r="BE3" s="572" t="s">
        <v>28</v>
      </c>
      <c r="BF3" s="3"/>
      <c r="BG3" s="3"/>
      <c r="BH3" s="3"/>
      <c r="BI3" s="3"/>
      <c r="BJ3" s="3"/>
      <c r="BK3" s="573" t="s">
        <v>29</v>
      </c>
      <c r="BL3" s="574"/>
      <c r="BM3" s="574"/>
      <c r="BN3" s="574"/>
      <c r="BO3" s="575"/>
      <c r="BP3" s="575"/>
      <c r="BQ3" s="576"/>
      <c r="BR3" s="573" t="s">
        <v>30</v>
      </c>
      <c r="BS3" s="585"/>
      <c r="BT3" s="585"/>
      <c r="BU3" s="585"/>
      <c r="BV3" s="585"/>
      <c r="BW3" s="585"/>
      <c r="BX3" s="586"/>
      <c r="BY3" s="566" t="s">
        <v>31</v>
      </c>
      <c r="BZ3" s="566"/>
      <c r="CA3" s="566"/>
      <c r="CB3" s="566"/>
      <c r="CC3" s="566"/>
      <c r="CD3" s="566"/>
      <c r="CE3" s="566"/>
      <c r="CF3" s="566" t="s">
        <v>87</v>
      </c>
      <c r="CG3" s="566"/>
      <c r="CH3" s="566"/>
      <c r="CI3" s="566"/>
      <c r="CJ3" s="566" t="s">
        <v>32</v>
      </c>
      <c r="CK3" s="566"/>
      <c r="CL3" s="566"/>
      <c r="CM3" s="566"/>
      <c r="CN3" s="4"/>
      <c r="CO3" s="5"/>
      <c r="CP3" s="6"/>
      <c r="CQ3" s="6"/>
    </row>
    <row r="4" spans="1:114" s="7" customFormat="1" ht="30.75" customHeight="1" thickBot="1">
      <c r="A4" s="557"/>
      <c r="B4" s="565" t="s">
        <v>72</v>
      </c>
      <c r="C4" s="565" t="s">
        <v>73</v>
      </c>
      <c r="D4" s="568" t="s">
        <v>33</v>
      </c>
      <c r="E4" s="565" t="s">
        <v>74</v>
      </c>
      <c r="F4" s="569" t="s">
        <v>75</v>
      </c>
      <c r="G4" s="569" t="s">
        <v>34</v>
      </c>
      <c r="H4" s="555" t="s">
        <v>76</v>
      </c>
      <c r="I4" s="570" t="s">
        <v>101</v>
      </c>
      <c r="J4" s="555" t="s">
        <v>89</v>
      </c>
      <c r="K4" s="565" t="s">
        <v>35</v>
      </c>
      <c r="L4" s="565" t="s">
        <v>77</v>
      </c>
      <c r="M4" s="565" t="s">
        <v>78</v>
      </c>
      <c r="N4" s="565" t="s">
        <v>101</v>
      </c>
      <c r="O4" s="565" t="s">
        <v>96</v>
      </c>
      <c r="P4" s="555" t="s">
        <v>79</v>
      </c>
      <c r="Q4" s="555" t="s">
        <v>36</v>
      </c>
      <c r="R4" s="555" t="s">
        <v>32</v>
      </c>
      <c r="S4" s="555" t="s">
        <v>37</v>
      </c>
      <c r="T4" s="555" t="s">
        <v>38</v>
      </c>
      <c r="U4" s="555" t="s">
        <v>39</v>
      </c>
      <c r="V4" s="563"/>
      <c r="W4" s="563"/>
      <c r="X4" s="564"/>
      <c r="Y4" s="564"/>
      <c r="Z4" s="564"/>
      <c r="AA4" s="564"/>
      <c r="AB4" s="564"/>
      <c r="AC4" s="564"/>
      <c r="AD4" s="564"/>
      <c r="AE4" s="554"/>
      <c r="AF4" s="554"/>
      <c r="AG4" s="554"/>
      <c r="AH4" s="554"/>
      <c r="AI4" s="554"/>
      <c r="AJ4" s="593"/>
      <c r="AK4" s="593"/>
      <c r="AL4" s="564"/>
      <c r="AM4" s="599"/>
      <c r="AN4" s="601"/>
      <c r="AO4" s="603"/>
      <c r="AP4" s="564"/>
      <c r="AQ4" s="564"/>
      <c r="AR4" s="82"/>
      <c r="AS4" s="593"/>
      <c r="AT4" s="554"/>
      <c r="AU4" s="554"/>
      <c r="AV4" s="554"/>
      <c r="AW4" s="554"/>
      <c r="AX4" s="554"/>
      <c r="AY4" s="554"/>
      <c r="AZ4" s="564"/>
      <c r="BA4" s="594"/>
      <c r="BB4" s="594"/>
      <c r="BC4" s="564"/>
      <c r="BD4" s="564"/>
      <c r="BE4" s="572"/>
      <c r="BF4" s="3"/>
      <c r="BG4" s="3"/>
      <c r="BH4" s="3"/>
      <c r="BI4" s="3"/>
      <c r="BJ4" s="3"/>
      <c r="BK4" s="577"/>
      <c r="BL4" s="578"/>
      <c r="BM4" s="578"/>
      <c r="BN4" s="578"/>
      <c r="BO4" s="579"/>
      <c r="BP4" s="579"/>
      <c r="BQ4" s="580"/>
      <c r="BR4" s="577"/>
      <c r="BS4" s="566"/>
      <c r="BT4" s="566"/>
      <c r="BU4" s="566"/>
      <c r="BV4" s="566"/>
      <c r="BW4" s="566"/>
      <c r="BX4" s="587"/>
      <c r="BY4" s="566"/>
      <c r="BZ4" s="566"/>
      <c r="CA4" s="566"/>
      <c r="CB4" s="566"/>
      <c r="CC4" s="566"/>
      <c r="CD4" s="566"/>
      <c r="CE4" s="566"/>
      <c r="CF4" s="566"/>
      <c r="CG4" s="566"/>
      <c r="CH4" s="566"/>
      <c r="CI4" s="566"/>
      <c r="CJ4" s="566"/>
      <c r="CK4" s="566"/>
      <c r="CL4" s="566"/>
      <c r="CM4" s="566"/>
      <c r="CN4" s="4"/>
      <c r="CO4" s="6"/>
      <c r="CP4" s="6"/>
      <c r="CQ4" s="262"/>
      <c r="CR4" s="231"/>
      <c r="CS4" s="231"/>
      <c r="CT4" s="231"/>
      <c r="CU4" s="231"/>
      <c r="CV4" s="231"/>
      <c r="CW4" s="231"/>
      <c r="CX4" s="231"/>
      <c r="CY4" s="231"/>
      <c r="DD4" s="590" t="s">
        <v>90</v>
      </c>
      <c r="DE4" s="591"/>
      <c r="DF4" s="591"/>
      <c r="DG4" s="591"/>
      <c r="DH4" s="592"/>
    </row>
    <row r="5" spans="1:114" s="7" customFormat="1" ht="8.25" hidden="1" customHeight="1">
      <c r="A5" s="557"/>
      <c r="B5" s="565"/>
      <c r="C5" s="565"/>
      <c r="D5" s="568"/>
      <c r="E5" s="565"/>
      <c r="F5" s="569"/>
      <c r="G5" s="569"/>
      <c r="H5" s="555"/>
      <c r="I5" s="570"/>
      <c r="J5" s="565"/>
      <c r="K5" s="565"/>
      <c r="L5" s="565"/>
      <c r="M5" s="565"/>
      <c r="N5" s="565"/>
      <c r="O5" s="565"/>
      <c r="P5" s="555"/>
      <c r="Q5" s="555"/>
      <c r="R5" s="555"/>
      <c r="S5" s="555"/>
      <c r="T5" s="555"/>
      <c r="U5" s="555"/>
      <c r="V5" s="563"/>
      <c r="W5" s="563"/>
      <c r="X5" s="564"/>
      <c r="Y5" s="564"/>
      <c r="Z5" s="564"/>
      <c r="AA5" s="564"/>
      <c r="AB5" s="564"/>
      <c r="AC5" s="564"/>
      <c r="AD5" s="564"/>
      <c r="AE5" s="555" t="s">
        <v>40</v>
      </c>
      <c r="AF5" s="555" t="s">
        <v>41</v>
      </c>
      <c r="AG5" s="555" t="s">
        <v>42</v>
      </c>
      <c r="AH5" s="555" t="s">
        <v>40</v>
      </c>
      <c r="AI5" s="555" t="s">
        <v>41</v>
      </c>
      <c r="AJ5" s="593"/>
      <c r="AK5" s="593"/>
      <c r="AL5" s="564"/>
      <c r="AM5" s="599"/>
      <c r="AN5" s="601"/>
      <c r="AO5" s="603"/>
      <c r="AP5" s="564"/>
      <c r="AQ5" s="564"/>
      <c r="AR5" s="83"/>
      <c r="AS5" s="593"/>
      <c r="AT5" s="555" t="s">
        <v>43</v>
      </c>
      <c r="AU5" s="84"/>
      <c r="AV5" s="85"/>
      <c r="AW5" s="598" t="s">
        <v>44</v>
      </c>
      <c r="AX5" s="598" t="s">
        <v>45</v>
      </c>
      <c r="AY5" s="555" t="s">
        <v>46</v>
      </c>
      <c r="AZ5" s="564"/>
      <c r="BA5" s="86" t="s">
        <v>47</v>
      </c>
      <c r="BB5" s="86" t="s">
        <v>48</v>
      </c>
      <c r="BC5" s="564"/>
      <c r="BD5" s="564"/>
      <c r="BE5" s="572"/>
      <c r="BF5" s="3"/>
      <c r="BG5" s="3"/>
      <c r="BH5" s="3"/>
      <c r="BI5" s="3"/>
      <c r="BJ5" s="3"/>
      <c r="BK5" s="581"/>
      <c r="BL5" s="582"/>
      <c r="BM5" s="582"/>
      <c r="BN5" s="582"/>
      <c r="BO5" s="583"/>
      <c r="BP5" s="583"/>
      <c r="BQ5" s="584"/>
      <c r="BR5" s="581"/>
      <c r="BS5" s="588"/>
      <c r="BT5" s="588"/>
      <c r="BU5" s="588"/>
      <c r="BV5" s="588"/>
      <c r="BW5" s="588"/>
      <c r="BX5" s="589"/>
      <c r="BY5" s="567"/>
      <c r="BZ5" s="566"/>
      <c r="CA5" s="566"/>
      <c r="CB5" s="566"/>
      <c r="CC5" s="566"/>
      <c r="CD5" s="566"/>
      <c r="CE5" s="566"/>
      <c r="CF5" s="567"/>
      <c r="CG5" s="567"/>
      <c r="CH5" s="567"/>
      <c r="CI5" s="567"/>
      <c r="CJ5" s="567"/>
      <c r="CK5" s="567"/>
      <c r="CL5" s="567"/>
      <c r="CM5" s="567"/>
      <c r="CN5" s="4"/>
      <c r="CO5"/>
      <c r="CP5"/>
      <c r="CQ5" s="255"/>
      <c r="CR5" s="256"/>
      <c r="CS5" s="256"/>
      <c r="CT5" s="256"/>
      <c r="CU5" s="256"/>
      <c r="CV5" s="257"/>
      <c r="CW5" s="257"/>
      <c r="CX5" s="257"/>
      <c r="CY5" s="258"/>
      <c r="DA5" s="595" t="s">
        <v>49</v>
      </c>
      <c r="DB5" s="595"/>
    </row>
    <row r="6" spans="1:114" s="7" customFormat="1" ht="106.5" customHeight="1" thickBot="1">
      <c r="A6" s="557"/>
      <c r="B6" s="565"/>
      <c r="C6" s="565"/>
      <c r="D6" s="568"/>
      <c r="E6" s="565"/>
      <c r="F6" s="569"/>
      <c r="G6" s="569"/>
      <c r="H6" s="555"/>
      <c r="I6" s="570"/>
      <c r="J6" s="571"/>
      <c r="K6" s="565"/>
      <c r="L6" s="565"/>
      <c r="M6" s="565"/>
      <c r="N6" s="565"/>
      <c r="O6" s="565"/>
      <c r="P6" s="565"/>
      <c r="Q6" s="565"/>
      <c r="R6" s="565"/>
      <c r="S6" s="565"/>
      <c r="T6" s="555"/>
      <c r="U6" s="555"/>
      <c r="V6" s="563"/>
      <c r="W6" s="563"/>
      <c r="X6" s="564"/>
      <c r="Y6" s="564"/>
      <c r="Z6" s="564"/>
      <c r="AA6" s="564"/>
      <c r="AB6" s="564"/>
      <c r="AC6" s="564"/>
      <c r="AD6" s="564"/>
      <c r="AE6" s="555"/>
      <c r="AF6" s="555"/>
      <c r="AG6" s="555"/>
      <c r="AH6" s="555"/>
      <c r="AI6" s="555"/>
      <c r="AJ6" s="593"/>
      <c r="AK6" s="593"/>
      <c r="AL6" s="564"/>
      <c r="AM6" s="599"/>
      <c r="AN6" s="602"/>
      <c r="AO6" s="603"/>
      <c r="AP6" s="564"/>
      <c r="AQ6" s="564"/>
      <c r="AR6" s="436"/>
      <c r="AS6" s="593"/>
      <c r="AT6" s="555"/>
      <c r="AU6" s="435" t="s">
        <v>50</v>
      </c>
      <c r="AV6" s="435" t="s">
        <v>51</v>
      </c>
      <c r="AW6" s="598"/>
      <c r="AX6" s="598"/>
      <c r="AY6" s="555"/>
      <c r="AZ6" s="555"/>
      <c r="BA6" s="87"/>
      <c r="BB6" s="88">
        <v>0.04</v>
      </c>
      <c r="BC6" s="564"/>
      <c r="BD6" s="564"/>
      <c r="BE6" s="572"/>
      <c r="BF6" s="8" t="s">
        <v>52</v>
      </c>
      <c r="BG6" s="8" t="s">
        <v>53</v>
      </c>
      <c r="BH6" s="8" t="s">
        <v>54</v>
      </c>
      <c r="BI6" s="3"/>
      <c r="BJ6" s="3"/>
      <c r="BK6" s="308" t="s">
        <v>104</v>
      </c>
      <c r="BL6" s="280" t="s">
        <v>82</v>
      </c>
      <c r="BM6" s="279" t="s">
        <v>262</v>
      </c>
      <c r="BN6" s="307" t="s">
        <v>102</v>
      </c>
      <c r="BO6" s="308" t="s">
        <v>97</v>
      </c>
      <c r="BP6" s="326" t="s">
        <v>99</v>
      </c>
      <c r="BQ6" s="306" t="s">
        <v>86</v>
      </c>
      <c r="BR6" s="308" t="s">
        <v>104</v>
      </c>
      <c r="BS6" s="280" t="s">
        <v>82</v>
      </c>
      <c r="BT6" s="279" t="s">
        <v>262</v>
      </c>
      <c r="BU6" s="327"/>
      <c r="BV6" s="308" t="s">
        <v>97</v>
      </c>
      <c r="BW6" s="326" t="s">
        <v>99</v>
      </c>
      <c r="BX6" s="306"/>
      <c r="BY6" s="308" t="s">
        <v>104</v>
      </c>
      <c r="BZ6" s="280" t="s">
        <v>82</v>
      </c>
      <c r="CA6" s="279" t="s">
        <v>262</v>
      </c>
      <c r="CB6" s="307" t="s">
        <v>102</v>
      </c>
      <c r="CC6" s="308" t="s">
        <v>97</v>
      </c>
      <c r="CD6" s="326" t="s">
        <v>99</v>
      </c>
      <c r="CE6" s="306" t="s">
        <v>86</v>
      </c>
      <c r="CF6" s="267" t="s">
        <v>106</v>
      </c>
      <c r="CG6" s="268" t="s">
        <v>85</v>
      </c>
      <c r="CH6" s="244" t="s">
        <v>109</v>
      </c>
      <c r="CI6" s="245" t="s">
        <v>103</v>
      </c>
      <c r="CJ6" s="267" t="s">
        <v>106</v>
      </c>
      <c r="CK6" s="268" t="s">
        <v>85</v>
      </c>
      <c r="CL6" s="244" t="s">
        <v>109</v>
      </c>
      <c r="CM6" s="245" t="s">
        <v>103</v>
      </c>
      <c r="CN6" s="243"/>
      <c r="CO6" s="248" t="s">
        <v>104</v>
      </c>
      <c r="CP6" s="10" t="s">
        <v>82</v>
      </c>
      <c r="CQ6" s="264" t="s">
        <v>263</v>
      </c>
      <c r="CR6" s="23" t="s">
        <v>102</v>
      </c>
      <c r="CS6" s="248" t="s">
        <v>98</v>
      </c>
      <c r="CT6" s="248" t="s">
        <v>99</v>
      </c>
      <c r="CU6" s="9" t="s">
        <v>83</v>
      </c>
      <c r="CV6" s="259" t="s">
        <v>106</v>
      </c>
      <c r="CW6" s="248" t="s">
        <v>84</v>
      </c>
      <c r="CX6" s="232" t="s">
        <v>108</v>
      </c>
      <c r="CY6" s="263" t="s">
        <v>103</v>
      </c>
      <c r="CZ6" s="253"/>
      <c r="DA6" s="321" t="s">
        <v>80</v>
      </c>
      <c r="DB6" s="321" t="s">
        <v>55</v>
      </c>
      <c r="DD6" s="288" t="s">
        <v>91</v>
      </c>
      <c r="DE6" s="289" t="s">
        <v>92</v>
      </c>
      <c r="DF6" s="290" t="s">
        <v>93</v>
      </c>
      <c r="DG6" s="290"/>
      <c r="DH6" s="289" t="s">
        <v>94</v>
      </c>
    </row>
    <row r="7" spans="1:114" s="76" customFormat="1" ht="16.5" customHeight="1" thickBot="1">
      <c r="A7" s="121">
        <v>1</v>
      </c>
      <c r="B7" s="122">
        <f>'[1]май 20'!K6</f>
        <v>305.24599999999998</v>
      </c>
      <c r="C7" s="123">
        <f>IF(B7=0,0,(BK7*BR7+BL7*BS7+BM7*BT7+BN7*BU7+BQ7*BX7+BO7*BV7+BP7*BW7)/B7)</f>
        <v>1.7546011061209785</v>
      </c>
      <c r="D7" s="124">
        <f>B7*((100-C7)/100)</f>
        <v>299.89015030760999</v>
      </c>
      <c r="E7" s="125">
        <f>IF(B7=0,0,(BK7*BY7+BL7*BZ7+BM7*CA7+BQ7*CE7+BN7*CB7+BO7*CC7+BP7*CD7)/B7)</f>
        <v>39.004240415926851</v>
      </c>
      <c r="F7" s="126">
        <f>IF(AY7=0,0,D7/AY7)</f>
        <v>2.2220669109929609</v>
      </c>
      <c r="G7" s="127"/>
      <c r="H7" s="126">
        <f>IF(AY7=0,0,(CP7+CO7+CS7+CQ7+CT7)/AY7)</f>
        <v>1.7831294746591586</v>
      </c>
      <c r="I7" s="230">
        <f>'[1]июль 20'!AI6</f>
        <v>0</v>
      </c>
      <c r="J7" s="246">
        <f>'[1]май 20'!AA6</f>
        <v>12.218999999999999</v>
      </c>
      <c r="K7" s="437">
        <f>'[1]сентябрь 20'!AM6</f>
        <v>0</v>
      </c>
      <c r="L7" s="438">
        <f>'[1]май 20'!AE6</f>
        <v>59.238999999999997</v>
      </c>
      <c r="M7" s="399">
        <f>IF(AY7=0,0,(CR7+CU7)/AY7)</f>
        <v>0.438937465972214</v>
      </c>
      <c r="N7" s="399">
        <f>'[1]май 20'!W6</f>
        <v>0</v>
      </c>
      <c r="O7" s="402">
        <f>'[1]май 20'!AU6</f>
        <v>0</v>
      </c>
      <c r="P7" s="125">
        <f t="shared" ref="P7:P37" si="0">CF7+CH7+CI7+CG7</f>
        <v>178.17700299999998</v>
      </c>
      <c r="Q7" s="122">
        <f>'[1]май 20'!S6</f>
        <v>178.17699999999999</v>
      </c>
      <c r="R7" s="123">
        <f>IF(Q7=0,0,(CI7*CM7+CG7*CK7+CH7*CL7+CF7*CJ7)/Q7)</f>
        <v>1.660000000000017</v>
      </c>
      <c r="S7" s="129">
        <v>10.45</v>
      </c>
      <c r="T7" s="125">
        <f t="shared" ref="T7:T37" si="1">Q7*((100-R7)/100)</f>
        <v>175.21926179999997</v>
      </c>
      <c r="U7" s="128">
        <f t="shared" ref="U7:U37" si="2">IF(AY7=0,0,T7/AY7)</f>
        <v>1.298305140782454</v>
      </c>
      <c r="V7" s="130">
        <v>134.96</v>
      </c>
      <c r="W7" s="130">
        <v>102.13</v>
      </c>
      <c r="X7" s="129">
        <v>0.81</v>
      </c>
      <c r="Y7" s="131">
        <v>500</v>
      </c>
      <c r="Z7" s="131">
        <v>1178</v>
      </c>
      <c r="AA7" s="132" t="s">
        <v>195</v>
      </c>
      <c r="AB7" s="129">
        <v>76.540000000000006</v>
      </c>
      <c r="AC7" s="131">
        <v>122</v>
      </c>
      <c r="AD7" s="133">
        <v>4</v>
      </c>
      <c r="AE7" s="129">
        <v>5.35</v>
      </c>
      <c r="AF7" s="134">
        <f t="shared" ref="AF7:AF37" si="3">IF(AY7=0,0,AE7/AY7*1000)</f>
        <v>39.64137522228809</v>
      </c>
      <c r="AG7" s="135"/>
      <c r="AH7" s="129">
        <v>105.35</v>
      </c>
      <c r="AI7" s="134">
        <f t="shared" ref="AI7:AI37" si="4">IF(AY7=0,0,AH7/AY7*1000)</f>
        <v>780.60165975103746</v>
      </c>
      <c r="AJ7" s="136">
        <v>14.02</v>
      </c>
      <c r="AK7" s="127"/>
      <c r="AL7" s="137">
        <v>5.68</v>
      </c>
      <c r="AM7" s="138">
        <v>32</v>
      </c>
      <c r="AN7" s="126">
        <f>IF(AM7=0,0,AM7/AT7)</f>
        <v>0.18851251840942562</v>
      </c>
      <c r="AO7" s="139" t="s">
        <v>181</v>
      </c>
      <c r="AP7" s="138">
        <v>8.82</v>
      </c>
      <c r="AQ7" s="138">
        <v>6.28</v>
      </c>
      <c r="AR7" s="129"/>
      <c r="AS7" s="129">
        <v>9.86</v>
      </c>
      <c r="AT7" s="129">
        <v>169.75</v>
      </c>
      <c r="AU7" s="129">
        <v>2.89</v>
      </c>
      <c r="AV7" s="129"/>
      <c r="AW7" s="129"/>
      <c r="AX7" s="140">
        <f t="shared" ref="AX7:AX37" si="5">IF(AY7=0,0,AW7/AY7*100)</f>
        <v>0</v>
      </c>
      <c r="AY7" s="125">
        <f t="shared" ref="AY7:AY37" si="6">AT7-AL7-AM7+AV7+AW7+AU7</f>
        <v>134.95999999999998</v>
      </c>
      <c r="AZ7" s="125">
        <f>IF(AB7=0,0,((D7*0.97)*(E7/100)*0.9)/(AB7/100))+DH7</f>
        <v>136.00572537198482</v>
      </c>
      <c r="BA7" s="141">
        <f t="shared" ref="BA7:BA37" si="7">(AH7*AS7)/100*(55/71)</f>
        <v>8.0466626760563376</v>
      </c>
      <c r="BB7" s="142">
        <f t="shared" ref="BB7:BB37" si="8">AY7*$BB$6</f>
        <v>5.3983999999999996</v>
      </c>
      <c r="BC7" s="122">
        <f t="shared" ref="BC7:BC37" si="9">IF((D7*E7)=0,0,(AY7*AB7)/(D7*E7))</f>
        <v>0.88311955377263651</v>
      </c>
      <c r="BD7" s="142">
        <f>BA7+BB7</f>
        <v>13.445062676056338</v>
      </c>
      <c r="BE7" s="143">
        <v>0.88300000000000001</v>
      </c>
      <c r="BF7" s="25">
        <f>AY7</f>
        <v>134.95999999999998</v>
      </c>
      <c r="BG7" s="25">
        <f t="shared" ref="BG7:BG38" si="10">IF(A7&lt;=$BE$43,$AT$43,0)</f>
        <v>114.51612903225806</v>
      </c>
      <c r="BH7" s="25">
        <f>BG7</f>
        <v>114.51612903225806</v>
      </c>
      <c r="BI7" s="26">
        <f t="shared" ref="BI7:BI37" si="11">IF(AY7&lt;&gt;0,1,0)</f>
        <v>1</v>
      </c>
      <c r="BJ7" s="27">
        <f>BG7*BI7</f>
        <v>114.51612903225806</v>
      </c>
      <c r="BK7" s="28">
        <v>9.9999999999999995E-7</v>
      </c>
      <c r="BL7" s="28">
        <v>203.26400000000001</v>
      </c>
      <c r="BM7" s="28">
        <v>9.9999999999999995E-7</v>
      </c>
      <c r="BN7" s="28">
        <v>9.9999999999999995E-7</v>
      </c>
      <c r="BO7" s="28">
        <v>9.9999999999999995E-7</v>
      </c>
      <c r="BP7" s="28">
        <v>42.743000000000002</v>
      </c>
      <c r="BQ7" s="28">
        <v>59.238999999999997</v>
      </c>
      <c r="BR7" s="28">
        <v>9.9999999999999995E-7</v>
      </c>
      <c r="BS7" s="28">
        <v>1.43</v>
      </c>
      <c r="BT7" s="28">
        <v>9.9999999999999995E-7</v>
      </c>
      <c r="BU7" s="28">
        <v>9.9999999999999995E-7</v>
      </c>
      <c r="BV7" s="28">
        <v>9.9999999999999995E-7</v>
      </c>
      <c r="BW7" s="28">
        <v>5.73</v>
      </c>
      <c r="BX7" s="28">
        <v>9.9999999999999995E-7</v>
      </c>
      <c r="BY7" s="28">
        <v>9.9999999999999995E-7</v>
      </c>
      <c r="BZ7" s="28">
        <v>37.950000000000003</v>
      </c>
      <c r="CA7" s="28">
        <v>9.9999999999999995E-7</v>
      </c>
      <c r="CB7" s="28">
        <v>9.9999999999999995E-7</v>
      </c>
      <c r="CC7" s="28">
        <v>9.9999999999999995E-7</v>
      </c>
      <c r="CD7" s="28">
        <v>37.869999999999997</v>
      </c>
      <c r="CE7" s="28">
        <v>43.44</v>
      </c>
      <c r="CF7" s="28">
        <v>178.17699999999999</v>
      </c>
      <c r="CG7" s="28">
        <v>9.9999999999999995E-7</v>
      </c>
      <c r="CH7" s="28">
        <v>9.9999999999999995E-7</v>
      </c>
      <c r="CI7" s="28">
        <v>9.9999999999999995E-7</v>
      </c>
      <c r="CJ7" s="28">
        <v>1.66</v>
      </c>
      <c r="CK7" s="28">
        <v>9.9999999999999995E-7</v>
      </c>
      <c r="CL7" s="28">
        <v>9.9999999999999995E-7</v>
      </c>
      <c r="CM7" s="28">
        <v>9.9999999999999995E-7</v>
      </c>
      <c r="CN7" s="286"/>
      <c r="CO7" s="252">
        <f t="shared" ref="CO7:CU22" si="12">BK7*((100-BR7)/100)</f>
        <v>9.9999998999999992E-7</v>
      </c>
      <c r="CP7" s="11">
        <f t="shared" si="12"/>
        <v>200.35732479999999</v>
      </c>
      <c r="CQ7" s="11">
        <f t="shared" si="12"/>
        <v>9.9999998999999992E-7</v>
      </c>
      <c r="CR7" s="11">
        <f t="shared" si="12"/>
        <v>9.9999998999999992E-7</v>
      </c>
      <c r="CS7" s="11">
        <f t="shared" si="12"/>
        <v>9.9999998999999992E-7</v>
      </c>
      <c r="CT7" s="11">
        <f t="shared" si="12"/>
        <v>40.293826100000004</v>
      </c>
      <c r="CU7" s="271">
        <f t="shared" si="12"/>
        <v>59.238999407610002</v>
      </c>
      <c r="CV7" s="260">
        <f t="shared" ref="CV7:CY37" si="13">CF7*((100-CJ7)/100)</f>
        <v>175.2192618</v>
      </c>
      <c r="CW7" s="250">
        <f t="shared" si="13"/>
        <v>9.9999998999999992E-7</v>
      </c>
      <c r="CX7" s="260">
        <f t="shared" si="13"/>
        <v>9.9999998999999992E-7</v>
      </c>
      <c r="CY7" s="271">
        <f t="shared" si="13"/>
        <v>9.9999998999999992E-7</v>
      </c>
      <c r="CZ7" s="13"/>
      <c r="DA7" s="240">
        <f>(D7+'[2]май 20'!D7)/(AY7+'[2]май 20'!AX7)</f>
        <v>2.2265866231207063</v>
      </c>
      <c r="DB7" s="241">
        <f>(T7+'[2]май 20'!R7)/(AY7+'[2]май 20'!AX7)</f>
        <v>1.3233944831953541</v>
      </c>
      <c r="DD7" s="292">
        <f t="shared" ref="DD7:DD37" si="14">J7</f>
        <v>12.218999999999999</v>
      </c>
      <c r="DE7" s="291">
        <v>0.26</v>
      </c>
      <c r="DF7" s="291">
        <v>16.28</v>
      </c>
      <c r="DG7" s="145">
        <f t="shared" ref="DG7:DG37" si="15">DD7*((100-DE7)/100)</f>
        <v>12.187230599999999</v>
      </c>
      <c r="DH7" s="293">
        <f>IF(AB7=0,0,(DG7*DF7%)/(AB7/100))</f>
        <v>2.5922147134570155</v>
      </c>
      <c r="DJ7" s="322"/>
    </row>
    <row r="8" spans="1:114" s="76" customFormat="1" ht="16.5" customHeight="1" thickBot="1">
      <c r="A8" s="144">
        <v>2</v>
      </c>
      <c r="B8" s="122">
        <f>'[1]май 20'!K7</f>
        <v>294.99599999999998</v>
      </c>
      <c r="C8" s="123">
        <f t="shared" ref="C8:C37" si="16">IF(B8=0,0,(BK8*BR8+BL8*BS8+BM8*BT8+BN8*BU8+BQ8*BX8+BO8*BV8+BP8*BW8)/B8)</f>
        <v>1.1820835536753043</v>
      </c>
      <c r="D8" s="145">
        <f t="shared" ref="D8:D37" si="17">B8*((100-C8)/100)</f>
        <v>291.50890079999999</v>
      </c>
      <c r="E8" s="125">
        <f t="shared" ref="E8:E37" si="18">IF(B8=0,0,(BK8*BY8+BL8*BZ8+BM8*CA8+BQ8*CE8+BN8*CB8+BO8*CC8+BP8*CD8)/B8)</f>
        <v>38.82668564997492</v>
      </c>
      <c r="F8" s="146">
        <f t="shared" ref="F8:F37" si="19">IF(AY8=0,0,D8/AY8)</f>
        <v>2.2834787780040733</v>
      </c>
      <c r="G8" s="127"/>
      <c r="H8" s="126">
        <f t="shared" ref="H8:H37" si="20">IF(AY8=0,0,(CP8+CO8+CS8+CQ8+CT8)/AY8)</f>
        <v>1.7624855146482845</v>
      </c>
      <c r="I8" s="230">
        <f>'[1]июль 20'!AI7</f>
        <v>0</v>
      </c>
      <c r="J8" s="439">
        <f>'[1]май 20'!AA7</f>
        <v>11.805</v>
      </c>
      <c r="K8" s="440">
        <f>'[1]сентябрь 20'!AM7</f>
        <v>0</v>
      </c>
      <c r="L8" s="441">
        <f>'[1]май 20'!AE7</f>
        <v>66.510000000000005</v>
      </c>
      <c r="M8" s="442">
        <f t="shared" ref="M8:M37" si="21">IF(AY8=0,0,(CR8+CU8)/AY8)</f>
        <v>0.52099326335578888</v>
      </c>
      <c r="N8" s="403">
        <f>'[1]май 20'!W7</f>
        <v>0</v>
      </c>
      <c r="O8" s="452">
        <f>'[1]май 20'!AU7</f>
        <v>0</v>
      </c>
      <c r="P8" s="401">
        <f t="shared" si="0"/>
        <v>174.672</v>
      </c>
      <c r="Q8" s="122">
        <f>'[1]май 20'!S7</f>
        <v>174.672</v>
      </c>
      <c r="R8" s="123">
        <f t="shared" ref="R8:R37" si="22">IF(Q8=0,0,(CI8*CM8+CG8*CK8+CH8*CL8+CF8*CJ8)/Q8)</f>
        <v>1.9000000000000001</v>
      </c>
      <c r="S8" s="129">
        <v>9.3000000000000007</v>
      </c>
      <c r="T8" s="125">
        <f t="shared" si="1"/>
        <v>171.35323199999999</v>
      </c>
      <c r="U8" s="147">
        <f t="shared" si="2"/>
        <v>1.3422625097916341</v>
      </c>
      <c r="V8" s="130">
        <v>127.66</v>
      </c>
      <c r="W8" s="130">
        <v>95.14</v>
      </c>
      <c r="X8" s="129">
        <v>0.88</v>
      </c>
      <c r="Y8" s="131">
        <v>500</v>
      </c>
      <c r="Z8" s="131">
        <v>1173</v>
      </c>
      <c r="AA8" s="148" t="s">
        <v>249</v>
      </c>
      <c r="AB8" s="149">
        <v>75.38</v>
      </c>
      <c r="AC8" s="150">
        <v>118</v>
      </c>
      <c r="AD8" s="151">
        <v>4</v>
      </c>
      <c r="AE8" s="149">
        <v>5.2</v>
      </c>
      <c r="AF8" s="134">
        <f t="shared" si="3"/>
        <v>40.73319755600815</v>
      </c>
      <c r="AG8" s="152"/>
      <c r="AH8" s="129">
        <v>91.85</v>
      </c>
      <c r="AI8" s="134">
        <f t="shared" si="4"/>
        <v>719.48926836910539</v>
      </c>
      <c r="AJ8" s="153">
        <v>13.38</v>
      </c>
      <c r="AK8" s="154"/>
      <c r="AL8" s="155">
        <v>6.2</v>
      </c>
      <c r="AM8" s="156">
        <v>31.26</v>
      </c>
      <c r="AN8" s="126">
        <f t="shared" ref="AN8:AN37" si="23">IF(AM8=0,0,AM8/AT8)</f>
        <v>0.19066788655077771</v>
      </c>
      <c r="AO8" s="157" t="s">
        <v>219</v>
      </c>
      <c r="AP8" s="156">
        <v>9.48</v>
      </c>
      <c r="AQ8" s="156">
        <v>6.18</v>
      </c>
      <c r="AR8" s="149"/>
      <c r="AS8" s="149">
        <v>8.8000000000000007</v>
      </c>
      <c r="AT8" s="149">
        <v>163.95</v>
      </c>
      <c r="AU8" s="149">
        <v>1.17</v>
      </c>
      <c r="AV8" s="149"/>
      <c r="AW8" s="149"/>
      <c r="AX8" s="158">
        <f t="shared" si="5"/>
        <v>0</v>
      </c>
      <c r="AY8" s="125">
        <f t="shared" si="6"/>
        <v>127.66</v>
      </c>
      <c r="AZ8" s="125">
        <f>IF(AB8=0,0,((D8*0.97)*(E8/100)*0.9)/(AB8/100))+DH8</f>
        <v>133.52364252101148</v>
      </c>
      <c r="BA8" s="159">
        <f t="shared" si="7"/>
        <v>6.2613239436619708</v>
      </c>
      <c r="BB8" s="160">
        <f t="shared" si="8"/>
        <v>5.1063999999999998</v>
      </c>
      <c r="BC8" s="161">
        <f t="shared" si="9"/>
        <v>0.85021513898174095</v>
      </c>
      <c r="BD8" s="160">
        <f t="shared" ref="BD8:BD37" si="24">BA8+BB8</f>
        <v>11.367723943661971</v>
      </c>
      <c r="BE8" s="162">
        <v>0.86699999999999999</v>
      </c>
      <c r="BF8" s="25">
        <f t="shared" ref="BF8:BF37" si="25">BF7+AY8</f>
        <v>262.62</v>
      </c>
      <c r="BG8" s="25">
        <f t="shared" si="10"/>
        <v>114.51612903225806</v>
      </c>
      <c r="BH8" s="25">
        <f t="shared" ref="BH8:BH37" si="26">BG8+BH7</f>
        <v>229.03225806451613</v>
      </c>
      <c r="BI8" s="26">
        <f t="shared" si="11"/>
        <v>1</v>
      </c>
      <c r="BJ8" s="27">
        <f t="shared" ref="BJ8:BJ37" si="27">BG8*BI8+BJ7</f>
        <v>229.03225806451613</v>
      </c>
      <c r="BK8" s="30"/>
      <c r="BL8" s="31">
        <v>188.83699999999999</v>
      </c>
      <c r="BM8" s="31"/>
      <c r="BN8" s="31"/>
      <c r="BO8" s="40"/>
      <c r="BP8" s="40">
        <v>39.649000000000001</v>
      </c>
      <c r="BQ8" s="32">
        <v>66.510000000000005</v>
      </c>
      <c r="BR8" s="33"/>
      <c r="BS8" s="34">
        <v>1.37</v>
      </c>
      <c r="BT8" s="35"/>
      <c r="BU8" s="28"/>
      <c r="BV8" s="287"/>
      <c r="BW8" s="28">
        <v>2.27</v>
      </c>
      <c r="BX8" s="36"/>
      <c r="BY8" s="33"/>
      <c r="BZ8" s="34">
        <v>37.54</v>
      </c>
      <c r="CA8" s="35"/>
      <c r="CB8" s="35"/>
      <c r="CC8" s="235"/>
      <c r="CD8" s="235">
        <v>37.82</v>
      </c>
      <c r="CE8" s="36">
        <v>43.08</v>
      </c>
      <c r="CF8" s="30">
        <v>174.672</v>
      </c>
      <c r="CG8" s="30"/>
      <c r="CH8" s="31"/>
      <c r="CI8" s="32"/>
      <c r="CJ8" s="33">
        <v>1.9</v>
      </c>
      <c r="CK8" s="33"/>
      <c r="CL8" s="35"/>
      <c r="CM8" s="28"/>
      <c r="CN8" s="286"/>
      <c r="CO8" s="249">
        <f t="shared" si="12"/>
        <v>0</v>
      </c>
      <c r="CP8" s="12">
        <f t="shared" si="12"/>
        <v>186.24993309999999</v>
      </c>
      <c r="CQ8" s="12">
        <f t="shared" si="12"/>
        <v>0</v>
      </c>
      <c r="CR8" s="12">
        <f t="shared" si="12"/>
        <v>0</v>
      </c>
      <c r="CS8" s="11">
        <f t="shared" si="12"/>
        <v>0</v>
      </c>
      <c r="CT8" s="11">
        <f t="shared" si="12"/>
        <v>38.748967700000001</v>
      </c>
      <c r="CU8" s="272">
        <f t="shared" si="12"/>
        <v>66.510000000000005</v>
      </c>
      <c r="CV8" s="249">
        <f t="shared" si="13"/>
        <v>171.35323199999999</v>
      </c>
      <c r="CW8" s="12">
        <f t="shared" si="13"/>
        <v>0</v>
      </c>
      <c r="CX8" s="254">
        <f t="shared" si="13"/>
        <v>0</v>
      </c>
      <c r="CY8" s="272">
        <f t="shared" si="13"/>
        <v>0</v>
      </c>
      <c r="CZ8" s="13"/>
      <c r="DA8" s="240">
        <f>(D8+'[2]май 20'!D8)/(AY8+'[2]май 20'!AX8)</f>
        <v>2.3000865583270347</v>
      </c>
      <c r="DB8" s="241">
        <f>(T8+'[2]май 20'!R8)/(AY8+'[2]май 20'!AX8)</f>
        <v>1.3723016880826404</v>
      </c>
      <c r="DD8" s="292">
        <f t="shared" si="14"/>
        <v>11.805</v>
      </c>
      <c r="DE8" s="291">
        <v>0.47</v>
      </c>
      <c r="DF8" s="291">
        <v>15.67</v>
      </c>
      <c r="DG8" s="145">
        <f t="shared" si="15"/>
        <v>11.749516499999999</v>
      </c>
      <c r="DH8" s="293">
        <f t="shared" ref="DH8:DH37" si="28">IF(AB8=0,0,(DG8*DF8%)/(AB8/100))</f>
        <v>2.442490362894667</v>
      </c>
      <c r="DJ8" s="322"/>
    </row>
    <row r="9" spans="1:114" s="76" customFormat="1" ht="16.5" customHeight="1" thickBot="1">
      <c r="A9" s="144">
        <v>3</v>
      </c>
      <c r="B9" s="122">
        <f>'[1]май 20'!K8</f>
        <v>285.01499999999999</v>
      </c>
      <c r="C9" s="123">
        <f t="shared" si="16"/>
        <v>1.5624710278406402</v>
      </c>
      <c r="D9" s="145">
        <f>B9*((100-C9)/100)</f>
        <v>280.56172319999996</v>
      </c>
      <c r="E9" s="125">
        <f t="shared" si="18"/>
        <v>38.391410592424961</v>
      </c>
      <c r="F9" s="146">
        <f t="shared" si="19"/>
        <v>2.1982427579722632</v>
      </c>
      <c r="G9" s="127"/>
      <c r="H9" s="126">
        <f t="shared" si="20"/>
        <v>1.6623577779518921</v>
      </c>
      <c r="I9" s="230">
        <f>'[1]июль 20'!AI8</f>
        <v>0</v>
      </c>
      <c r="J9" s="277">
        <f>'[1]май 20'!AA8</f>
        <v>8.0280000000000005</v>
      </c>
      <c r="K9" s="437">
        <f>'[1]сентябрь 20'!AM8</f>
        <v>0</v>
      </c>
      <c r="L9" s="438">
        <f>'[1]май 20'!AE8</f>
        <v>68.394999999999996</v>
      </c>
      <c r="M9" s="443">
        <f t="shared" si="21"/>
        <v>0.53588498002037133</v>
      </c>
      <c r="N9" s="403">
        <f>'[1]май 20'!W8</f>
        <v>0</v>
      </c>
      <c r="O9" s="453">
        <f>'[1]май 20'!AU8</f>
        <v>0</v>
      </c>
      <c r="P9" s="401">
        <f t="shared" si="0"/>
        <v>168.15700000000001</v>
      </c>
      <c r="Q9" s="122">
        <f>'[1]май 20'!S8</f>
        <v>168.15700000000001</v>
      </c>
      <c r="R9" s="123">
        <f t="shared" si="22"/>
        <v>1.44</v>
      </c>
      <c r="S9" s="129">
        <v>7.17</v>
      </c>
      <c r="T9" s="125">
        <f t="shared" si="1"/>
        <v>165.73553920000001</v>
      </c>
      <c r="U9" s="147">
        <f>IF(AY9=0,0,T9/AY9)</f>
        <v>1.2985625573924626</v>
      </c>
      <c r="V9" s="130">
        <v>31.03</v>
      </c>
      <c r="W9" s="130">
        <v>63.17</v>
      </c>
      <c r="X9" s="129">
        <v>1</v>
      </c>
      <c r="Y9" s="131">
        <v>498</v>
      </c>
      <c r="Z9" s="131">
        <v>1169</v>
      </c>
      <c r="AA9" s="148" t="s">
        <v>250</v>
      </c>
      <c r="AB9" s="149">
        <v>74.36</v>
      </c>
      <c r="AC9" s="150">
        <v>114</v>
      </c>
      <c r="AD9" s="151">
        <v>4</v>
      </c>
      <c r="AE9" s="149">
        <v>4.8</v>
      </c>
      <c r="AF9" s="134">
        <f t="shared" si="3"/>
        <v>37.608712685105381</v>
      </c>
      <c r="AG9" s="152"/>
      <c r="AH9" s="129">
        <v>89.1</v>
      </c>
      <c r="AI9" s="134">
        <f t="shared" si="4"/>
        <v>698.11172921726859</v>
      </c>
      <c r="AJ9" s="153">
        <v>13.38</v>
      </c>
      <c r="AK9" s="154"/>
      <c r="AL9" s="155">
        <v>5.89</v>
      </c>
      <c r="AM9" s="156">
        <v>30.02</v>
      </c>
      <c r="AN9" s="126">
        <f t="shared" si="23"/>
        <v>0.18548038307074452</v>
      </c>
      <c r="AO9" s="157" t="s">
        <v>183</v>
      </c>
      <c r="AP9" s="156">
        <v>9.77</v>
      </c>
      <c r="AQ9" s="156">
        <v>6.37</v>
      </c>
      <c r="AR9" s="149"/>
      <c r="AS9" s="149">
        <v>8.66</v>
      </c>
      <c r="AT9" s="149">
        <v>161.85</v>
      </c>
      <c r="AU9" s="149">
        <v>1.69</v>
      </c>
      <c r="AV9" s="149"/>
      <c r="AW9" s="149"/>
      <c r="AX9" s="158">
        <f t="shared" si="5"/>
        <v>0</v>
      </c>
      <c r="AY9" s="125">
        <f t="shared" si="6"/>
        <v>127.63000000000001</v>
      </c>
      <c r="AZ9" s="125">
        <f t="shared" ref="AZ9:AZ37" si="29">IF(AB9=0,0,((D9*0.97)*(E9/100)*0.9)/(AB9/100))+DH9</f>
        <v>128.35487892021942</v>
      </c>
      <c r="BA9" s="159">
        <f t="shared" si="7"/>
        <v>5.9772295774647883</v>
      </c>
      <c r="BB9" s="160">
        <f t="shared" si="8"/>
        <v>5.1052000000000008</v>
      </c>
      <c r="BC9" s="161">
        <f t="shared" si="9"/>
        <v>0.88110904723273631</v>
      </c>
      <c r="BD9" s="160">
        <f t="shared" si="24"/>
        <v>11.08242957746479</v>
      </c>
      <c r="BE9" s="162">
        <v>0.871</v>
      </c>
      <c r="BF9" s="25">
        <f t="shared" si="25"/>
        <v>390.25</v>
      </c>
      <c r="BG9" s="25">
        <f t="shared" si="10"/>
        <v>114.51612903225806</v>
      </c>
      <c r="BH9" s="25">
        <f t="shared" si="26"/>
        <v>343.54838709677421</v>
      </c>
      <c r="BI9" s="26">
        <f t="shared" si="11"/>
        <v>1</v>
      </c>
      <c r="BJ9" s="37">
        <f t="shared" si="27"/>
        <v>343.54838709677421</v>
      </c>
      <c r="BK9" s="38"/>
      <c r="BL9" s="31">
        <v>182.42599999999999</v>
      </c>
      <c r="BM9" s="31"/>
      <c r="BN9" s="31"/>
      <c r="BO9" s="40"/>
      <c r="BP9" s="40">
        <v>34.194000000000003</v>
      </c>
      <c r="BQ9" s="32">
        <v>68.394999999999996</v>
      </c>
      <c r="BR9" s="33"/>
      <c r="BS9" s="34">
        <v>2.1</v>
      </c>
      <c r="BT9" s="35"/>
      <c r="BU9" s="28"/>
      <c r="BV9" s="287"/>
      <c r="BW9" s="287">
        <v>1.82</v>
      </c>
      <c r="BX9" s="36"/>
      <c r="BY9" s="33"/>
      <c r="BZ9" s="34">
        <v>36.93</v>
      </c>
      <c r="CA9" s="35"/>
      <c r="CB9" s="35"/>
      <c r="CC9" s="235"/>
      <c r="CD9" s="235">
        <v>37.39</v>
      </c>
      <c r="CE9" s="36">
        <v>42.79</v>
      </c>
      <c r="CF9" s="30">
        <v>168.15700000000001</v>
      </c>
      <c r="CG9" s="30"/>
      <c r="CH9" s="31"/>
      <c r="CI9" s="32"/>
      <c r="CJ9" s="33">
        <v>1.44</v>
      </c>
      <c r="CK9" s="33"/>
      <c r="CL9" s="35"/>
      <c r="CM9" s="36"/>
      <c r="CN9" s="286"/>
      <c r="CO9" s="249">
        <f t="shared" si="12"/>
        <v>0</v>
      </c>
      <c r="CP9" s="12">
        <f t="shared" si="12"/>
        <v>178.595054</v>
      </c>
      <c r="CQ9" s="12">
        <f t="shared" si="12"/>
        <v>0</v>
      </c>
      <c r="CR9" s="12">
        <f t="shared" si="12"/>
        <v>0</v>
      </c>
      <c r="CS9" s="11">
        <f t="shared" si="12"/>
        <v>0</v>
      </c>
      <c r="CT9" s="11">
        <f t="shared" si="12"/>
        <v>33.571669200000009</v>
      </c>
      <c r="CU9" s="272">
        <f t="shared" si="12"/>
        <v>68.394999999999996</v>
      </c>
      <c r="CV9" s="249">
        <f t="shared" si="13"/>
        <v>165.73553920000001</v>
      </c>
      <c r="CW9" s="251">
        <f t="shared" si="13"/>
        <v>0</v>
      </c>
      <c r="CX9" s="249">
        <f t="shared" si="13"/>
        <v>0</v>
      </c>
      <c r="CY9" s="272">
        <f t="shared" si="13"/>
        <v>0</v>
      </c>
      <c r="CZ9" s="13"/>
      <c r="DA9" s="240">
        <f>(D9+'[2]май 20'!D9)/(AY9+'[2]май 20'!AX9)</f>
        <v>2.2279190057397957</v>
      </c>
      <c r="DB9" s="241">
        <f>(T9+'[2]май 20'!R9)/(AY9+'[2]май 20'!AX9)</f>
        <v>1.342173275510204</v>
      </c>
      <c r="DD9" s="292">
        <f t="shared" si="14"/>
        <v>8.0280000000000005</v>
      </c>
      <c r="DE9" s="291">
        <v>0.09</v>
      </c>
      <c r="DF9" s="291">
        <v>17.61</v>
      </c>
      <c r="DG9" s="145">
        <f t="shared" si="15"/>
        <v>8.0207747999999999</v>
      </c>
      <c r="DH9" s="293">
        <f t="shared" si="28"/>
        <v>1.8994868777299623</v>
      </c>
      <c r="DJ9" s="322"/>
    </row>
    <row r="10" spans="1:114" s="76" customFormat="1" ht="16.5" customHeight="1" thickBot="1">
      <c r="A10" s="144">
        <v>4</v>
      </c>
      <c r="B10" s="122">
        <f>'[1]май 20'!K9</f>
        <v>297.44799999999998</v>
      </c>
      <c r="C10" s="123">
        <f t="shared" si="16"/>
        <v>0.93851715257792967</v>
      </c>
      <c r="D10" s="145">
        <f t="shared" si="17"/>
        <v>294.65639949999996</v>
      </c>
      <c r="E10" s="125">
        <f>IF(B10=0,0,(BK10*BY10+BL10*BZ10+BM10*CA10+BQ10*CE10+BN10*CB10+BO10*CC10+BP10*CD10)/B10)</f>
        <v>38.754611461499159</v>
      </c>
      <c r="F10" s="146">
        <f t="shared" si="19"/>
        <v>2.4030043997716524</v>
      </c>
      <c r="G10" s="127"/>
      <c r="H10" s="126">
        <f t="shared" si="20"/>
        <v>1.8210601818626655</v>
      </c>
      <c r="I10" s="230">
        <f>'[1]июль 20'!AI9</f>
        <v>0</v>
      </c>
      <c r="J10" s="444">
        <f>'[1]май 20'!AA9</f>
        <v>5.9320000000000004</v>
      </c>
      <c r="K10" s="448">
        <f>'[1]сентябрь 20'!AM9</f>
        <v>0</v>
      </c>
      <c r="L10" s="449">
        <f>'[1]май 20'!AE9</f>
        <v>71.358000000000004</v>
      </c>
      <c r="M10" s="450">
        <f t="shared" si="21"/>
        <v>0.5819442179089872</v>
      </c>
      <c r="N10" s="403">
        <f>'[1]май 20'!W9</f>
        <v>0</v>
      </c>
      <c r="O10" s="454">
        <f>'[1]май 20'!AU9</f>
        <v>0</v>
      </c>
      <c r="P10" s="401">
        <f t="shared" si="0"/>
        <v>174.654</v>
      </c>
      <c r="Q10" s="122">
        <f>'[1]май 20'!S9</f>
        <v>174.654</v>
      </c>
      <c r="R10" s="123">
        <f t="shared" si="22"/>
        <v>1.41</v>
      </c>
      <c r="S10" s="129">
        <v>9.66</v>
      </c>
      <c r="T10" s="125">
        <f t="shared" si="1"/>
        <v>172.19137860000001</v>
      </c>
      <c r="U10" s="147">
        <f t="shared" si="2"/>
        <v>1.4042682971782745</v>
      </c>
      <c r="V10" s="130">
        <v>61.6</v>
      </c>
      <c r="W10" s="130">
        <v>61.01</v>
      </c>
      <c r="X10" s="129">
        <v>0.85</v>
      </c>
      <c r="Y10" s="131">
        <v>486</v>
      </c>
      <c r="Z10" s="131">
        <v>1172</v>
      </c>
      <c r="AA10" s="148" t="s">
        <v>251</v>
      </c>
      <c r="AB10" s="149">
        <v>75.02</v>
      </c>
      <c r="AC10" s="150">
        <v>119</v>
      </c>
      <c r="AD10" s="151">
        <v>4</v>
      </c>
      <c r="AE10" s="149">
        <v>4.75</v>
      </c>
      <c r="AF10" s="134">
        <f t="shared" si="3"/>
        <v>38.737563203392597</v>
      </c>
      <c r="AG10" s="152"/>
      <c r="AH10" s="129">
        <v>86.05</v>
      </c>
      <c r="AI10" s="134">
        <f t="shared" si="4"/>
        <v>701.76153971619635</v>
      </c>
      <c r="AJ10" s="153">
        <v>14.15</v>
      </c>
      <c r="AK10" s="154"/>
      <c r="AL10" s="155">
        <v>6.32</v>
      </c>
      <c r="AM10" s="156">
        <v>36.93</v>
      </c>
      <c r="AN10" s="126">
        <f t="shared" si="23"/>
        <v>0.22490864799025581</v>
      </c>
      <c r="AO10" s="157" t="s">
        <v>199</v>
      </c>
      <c r="AP10" s="156">
        <v>9.9499999999999993</v>
      </c>
      <c r="AQ10" s="156">
        <v>6.5</v>
      </c>
      <c r="AR10" s="149"/>
      <c r="AS10" s="149">
        <v>7.47</v>
      </c>
      <c r="AT10" s="149">
        <v>164.2</v>
      </c>
      <c r="AU10" s="149">
        <v>1.67</v>
      </c>
      <c r="AV10" s="149"/>
      <c r="AW10" s="149"/>
      <c r="AX10" s="158">
        <f t="shared" si="5"/>
        <v>0</v>
      </c>
      <c r="AY10" s="125">
        <f>AT10-AL10-AM10+AV10+AW10+AU10</f>
        <v>122.61999999999999</v>
      </c>
      <c r="AZ10" s="125">
        <f>IF(AB10=0,0,((D10*0.97)*(E10/100)*0.9)/(AB10/100))+DH10</f>
        <v>134.38522950650352</v>
      </c>
      <c r="BA10" s="159">
        <f t="shared" si="7"/>
        <v>4.9793862676056335</v>
      </c>
      <c r="BB10" s="160">
        <f t="shared" si="8"/>
        <v>4.9047999999999998</v>
      </c>
      <c r="BC10" s="161">
        <f t="shared" si="9"/>
        <v>0.80556225075248544</v>
      </c>
      <c r="BD10" s="160">
        <f t="shared" si="24"/>
        <v>9.8841862676056333</v>
      </c>
      <c r="BE10" s="162">
        <v>0.85499999999999998</v>
      </c>
      <c r="BF10" s="25">
        <f t="shared" si="25"/>
        <v>512.87</v>
      </c>
      <c r="BG10" s="25">
        <f t="shared" si="10"/>
        <v>114.51612903225806</v>
      </c>
      <c r="BH10" s="25">
        <f t="shared" si="26"/>
        <v>458.06451612903226</v>
      </c>
      <c r="BI10" s="26">
        <f t="shared" si="11"/>
        <v>1</v>
      </c>
      <c r="BJ10" s="37">
        <f t="shared" si="27"/>
        <v>458.06451612903226</v>
      </c>
      <c r="BK10" s="38"/>
      <c r="BL10" s="31">
        <v>190.387</v>
      </c>
      <c r="BM10" s="31"/>
      <c r="BN10" s="31"/>
      <c r="BO10" s="40"/>
      <c r="BP10" s="40">
        <v>35.703000000000003</v>
      </c>
      <c r="BQ10" s="32">
        <v>71.358000000000004</v>
      </c>
      <c r="BR10" s="33"/>
      <c r="BS10" s="34">
        <v>1.29</v>
      </c>
      <c r="BT10" s="35"/>
      <c r="BU10" s="28"/>
      <c r="BV10" s="287"/>
      <c r="BW10" s="287">
        <v>0.94</v>
      </c>
      <c r="BX10" s="36"/>
      <c r="BY10" s="33"/>
      <c r="BZ10" s="34">
        <v>37.65</v>
      </c>
      <c r="CA10" s="35"/>
      <c r="CB10" s="35"/>
      <c r="CC10" s="235"/>
      <c r="CD10" s="235">
        <v>36.020000000000003</v>
      </c>
      <c r="CE10" s="36">
        <v>43.07</v>
      </c>
      <c r="CF10" s="30">
        <v>151.15600000000001</v>
      </c>
      <c r="CG10" s="30">
        <v>23.498000000000001</v>
      </c>
      <c r="CH10" s="31"/>
      <c r="CI10" s="32"/>
      <c r="CJ10" s="33">
        <v>1.41</v>
      </c>
      <c r="CK10" s="33">
        <v>1.41</v>
      </c>
      <c r="CL10" s="35"/>
      <c r="CM10" s="36"/>
      <c r="CN10" s="286"/>
      <c r="CO10" s="249">
        <f t="shared" si="12"/>
        <v>0</v>
      </c>
      <c r="CP10" s="12">
        <f t="shared" si="12"/>
        <v>187.93100770000001</v>
      </c>
      <c r="CQ10" s="12">
        <f t="shared" si="12"/>
        <v>0</v>
      </c>
      <c r="CR10" s="14">
        <f t="shared" si="12"/>
        <v>0</v>
      </c>
      <c r="CS10" s="11">
        <f t="shared" si="12"/>
        <v>0</v>
      </c>
      <c r="CT10" s="11">
        <f t="shared" si="12"/>
        <v>35.367391800000007</v>
      </c>
      <c r="CU10" s="272">
        <f t="shared" si="12"/>
        <v>71.358000000000004</v>
      </c>
      <c r="CV10" s="249">
        <f t="shared" si="13"/>
        <v>149.0247004</v>
      </c>
      <c r="CW10" s="12">
        <f t="shared" si="13"/>
        <v>23.1666782</v>
      </c>
      <c r="CX10" s="249">
        <f t="shared" si="13"/>
        <v>0</v>
      </c>
      <c r="CY10" s="272">
        <f t="shared" si="13"/>
        <v>0</v>
      </c>
      <c r="CZ10" s="13"/>
      <c r="DA10" s="240">
        <f>(D10+'[2]май 20'!D10)/(AY10+'[2]май 20'!AX10)</f>
        <v>2.2347857863724689</v>
      </c>
      <c r="DB10" s="241">
        <f>(T10+'[2]май 20'!R10)/(AY10+'[2]май 20'!AX10)</f>
        <v>1.3269961091957625</v>
      </c>
      <c r="DD10" s="292">
        <f t="shared" si="14"/>
        <v>5.9320000000000004</v>
      </c>
      <c r="DE10" s="291">
        <v>0.31</v>
      </c>
      <c r="DF10" s="291">
        <v>19.03</v>
      </c>
      <c r="DG10" s="145">
        <f t="shared" si="15"/>
        <v>5.9136108000000007</v>
      </c>
      <c r="DH10" s="293">
        <f t="shared" si="28"/>
        <v>1.5000801589442818</v>
      </c>
      <c r="DJ10" s="322"/>
    </row>
    <row r="11" spans="1:114" s="76" customFormat="1" ht="16.5" customHeight="1" thickBot="1">
      <c r="A11" s="144">
        <v>5</v>
      </c>
      <c r="B11" s="122">
        <f>'[1]май 20'!K10</f>
        <v>284.83999999999997</v>
      </c>
      <c r="C11" s="123">
        <f t="shared" si="16"/>
        <v>0.78432067125403737</v>
      </c>
      <c r="D11" s="145">
        <f t="shared" si="17"/>
        <v>282.60594099999997</v>
      </c>
      <c r="E11" s="125">
        <f t="shared" si="18"/>
        <v>38.685613888498807</v>
      </c>
      <c r="F11" s="146">
        <f t="shared" si="19"/>
        <v>2.2688338230571614</v>
      </c>
      <c r="G11" s="127"/>
      <c r="H11" s="126">
        <f t="shared" si="20"/>
        <v>1.7078029945407838</v>
      </c>
      <c r="I11" s="230">
        <f>'[1]июль 20'!AI10</f>
        <v>0</v>
      </c>
      <c r="J11" s="439">
        <f>'[1]май 20'!AA10</f>
        <v>5.6909999999999998</v>
      </c>
      <c r="K11" s="440">
        <f>'[1]сентябрь 20'!AM10</f>
        <v>0</v>
      </c>
      <c r="L11" s="441">
        <f>'[1]май 20'!AE10</f>
        <v>69.882000000000005</v>
      </c>
      <c r="M11" s="442">
        <f t="shared" si="21"/>
        <v>0.56103082851637776</v>
      </c>
      <c r="N11" s="403">
        <f>'[1]май 20'!W10</f>
        <v>0</v>
      </c>
      <c r="O11" s="452">
        <f>'[1]май 20'!AU10</f>
        <v>0</v>
      </c>
      <c r="P11" s="401">
        <f t="shared" si="0"/>
        <v>167.56800000000001</v>
      </c>
      <c r="Q11" s="122">
        <f>'[1]май 20'!S10</f>
        <v>167.56800000000001</v>
      </c>
      <c r="R11" s="123">
        <f t="shared" si="22"/>
        <v>1.55</v>
      </c>
      <c r="S11" s="129">
        <v>8.5399999999999991</v>
      </c>
      <c r="T11" s="125">
        <f t="shared" si="1"/>
        <v>164.97069600000003</v>
      </c>
      <c r="U11" s="147">
        <f t="shared" si="2"/>
        <v>1.3244275529865128</v>
      </c>
      <c r="V11" s="130">
        <v>94.64</v>
      </c>
      <c r="W11" s="130">
        <v>29.92</v>
      </c>
      <c r="X11" s="129">
        <v>1.02</v>
      </c>
      <c r="Y11" s="131">
        <v>500</v>
      </c>
      <c r="Z11" s="131">
        <v>1177</v>
      </c>
      <c r="AA11" s="148" t="s">
        <v>252</v>
      </c>
      <c r="AB11" s="149">
        <v>75.010000000000005</v>
      </c>
      <c r="AC11" s="150">
        <v>114</v>
      </c>
      <c r="AD11" s="151">
        <v>4</v>
      </c>
      <c r="AE11" s="149">
        <v>5.0999999999999996</v>
      </c>
      <c r="AF11" s="134">
        <f t="shared" si="3"/>
        <v>40.944123314065507</v>
      </c>
      <c r="AG11" s="152"/>
      <c r="AH11" s="129">
        <v>76.8</v>
      </c>
      <c r="AI11" s="134">
        <f t="shared" si="4"/>
        <v>616.57032755298656</v>
      </c>
      <c r="AJ11" s="163">
        <v>15.37</v>
      </c>
      <c r="AK11" s="154"/>
      <c r="AL11" s="155">
        <v>6.34</v>
      </c>
      <c r="AM11" s="156">
        <v>30.69</v>
      </c>
      <c r="AN11" s="126">
        <f t="shared" si="23"/>
        <v>0.19247412982126061</v>
      </c>
      <c r="AO11" s="157" t="s">
        <v>203</v>
      </c>
      <c r="AP11" s="156">
        <v>9.56</v>
      </c>
      <c r="AQ11" s="156">
        <v>6.34</v>
      </c>
      <c r="AR11" s="149"/>
      <c r="AS11" s="149">
        <v>7.48</v>
      </c>
      <c r="AT11" s="149">
        <v>159.44999999999999</v>
      </c>
      <c r="AU11" s="149">
        <v>2.14</v>
      </c>
      <c r="AV11" s="149"/>
      <c r="AW11" s="149"/>
      <c r="AX11" s="158">
        <f t="shared" si="5"/>
        <v>0</v>
      </c>
      <c r="AY11" s="125">
        <f t="shared" si="6"/>
        <v>124.55999999999999</v>
      </c>
      <c r="AZ11" s="125">
        <f t="shared" si="29"/>
        <v>128.60817136667634</v>
      </c>
      <c r="BA11" s="159">
        <f t="shared" si="7"/>
        <v>4.4500732394366196</v>
      </c>
      <c r="BB11" s="160">
        <f t="shared" si="8"/>
        <v>4.9823999999999993</v>
      </c>
      <c r="BC11" s="161">
        <f t="shared" si="9"/>
        <v>0.85460806047569393</v>
      </c>
      <c r="BD11" s="160">
        <f t="shared" si="24"/>
        <v>9.432473239436618</v>
      </c>
      <c r="BE11" s="162">
        <v>0.85499999999999998</v>
      </c>
      <c r="BF11" s="25">
        <f t="shared" si="25"/>
        <v>637.42999999999995</v>
      </c>
      <c r="BG11" s="25">
        <f t="shared" si="10"/>
        <v>114.51612903225806</v>
      </c>
      <c r="BH11" s="25">
        <f t="shared" si="26"/>
        <v>572.58064516129036</v>
      </c>
      <c r="BI11" s="26">
        <f t="shared" si="11"/>
        <v>1</v>
      </c>
      <c r="BJ11" s="37">
        <f t="shared" si="27"/>
        <v>572.58064516129036</v>
      </c>
      <c r="BK11" s="38"/>
      <c r="BL11" s="31">
        <v>182.35599999999999</v>
      </c>
      <c r="BM11" s="31"/>
      <c r="BN11" s="31"/>
      <c r="BO11" s="40"/>
      <c r="BP11" s="40">
        <v>32.601999999999997</v>
      </c>
      <c r="BQ11" s="32">
        <v>69.882000000000005</v>
      </c>
      <c r="BR11" s="33"/>
      <c r="BS11" s="34">
        <v>0.83</v>
      </c>
      <c r="BT11" s="35"/>
      <c r="BU11" s="28"/>
      <c r="BV11" s="287"/>
      <c r="BW11" s="287">
        <v>2.21</v>
      </c>
      <c r="BX11" s="36"/>
      <c r="BY11" s="33"/>
      <c r="BZ11" s="34">
        <v>37.270000000000003</v>
      </c>
      <c r="CA11" s="35"/>
      <c r="CB11" s="35"/>
      <c r="CC11" s="235"/>
      <c r="CD11" s="235">
        <v>36.82</v>
      </c>
      <c r="CE11" s="36">
        <v>43.25</v>
      </c>
      <c r="CF11" s="30">
        <v>110.572</v>
      </c>
      <c r="CG11" s="30">
        <v>56.996000000000002</v>
      </c>
      <c r="CH11" s="31"/>
      <c r="CI11" s="32"/>
      <c r="CJ11" s="33">
        <v>1.55</v>
      </c>
      <c r="CK11" s="33">
        <v>1.55</v>
      </c>
      <c r="CL11" s="35"/>
      <c r="CM11" s="36"/>
      <c r="CN11" s="286"/>
      <c r="CO11" s="249">
        <f t="shared" si="12"/>
        <v>0</v>
      </c>
      <c r="CP11" s="12">
        <f t="shared" si="12"/>
        <v>180.84244519999999</v>
      </c>
      <c r="CQ11" s="15">
        <f t="shared" si="12"/>
        <v>0</v>
      </c>
      <c r="CR11" s="16">
        <f t="shared" si="12"/>
        <v>0</v>
      </c>
      <c r="CS11" s="11">
        <f t="shared" si="12"/>
        <v>0</v>
      </c>
      <c r="CT11" s="11">
        <f t="shared" si="12"/>
        <v>31.8814958</v>
      </c>
      <c r="CU11" s="272">
        <f t="shared" si="12"/>
        <v>69.882000000000005</v>
      </c>
      <c r="CV11" s="249">
        <f t="shared" si="13"/>
        <v>108.85813400000001</v>
      </c>
      <c r="CW11" s="12">
        <f t="shared" si="13"/>
        <v>56.112562000000004</v>
      </c>
      <c r="CX11" s="249">
        <f t="shared" si="13"/>
        <v>0</v>
      </c>
      <c r="CY11" s="272">
        <f t="shared" si="13"/>
        <v>0</v>
      </c>
      <c r="CZ11" s="13"/>
      <c r="DA11" s="240">
        <f>(D11+'[2]май 20'!D11)/(AY11+'[2]май 20'!AX11)</f>
        <v>2.1802732950401755</v>
      </c>
      <c r="DB11" s="241">
        <f>(T11+'[2]май 20'!R11)/(AY11+'[2]май 20'!AX11)</f>
        <v>1.3021739843170159</v>
      </c>
      <c r="DD11" s="292">
        <f t="shared" si="14"/>
        <v>5.6909999999999998</v>
      </c>
      <c r="DE11" s="291">
        <v>0.8</v>
      </c>
      <c r="DF11" s="407">
        <v>18.170000000000002</v>
      </c>
      <c r="DG11" s="145">
        <f t="shared" si="15"/>
        <v>5.6454719999999998</v>
      </c>
      <c r="DH11" s="293">
        <f t="shared" si="28"/>
        <v>1.367527346220504</v>
      </c>
      <c r="DJ11" s="322"/>
    </row>
    <row r="12" spans="1:114" s="76" customFormat="1" ht="16.5" customHeight="1" thickBot="1">
      <c r="A12" s="144">
        <v>6</v>
      </c>
      <c r="B12" s="122">
        <f>'[1]май 20'!K11</f>
        <v>277.25599999999997</v>
      </c>
      <c r="C12" s="123">
        <f t="shared" si="16"/>
        <v>0.87828458175837498</v>
      </c>
      <c r="D12" s="145">
        <f t="shared" si="17"/>
        <v>274.82090329999994</v>
      </c>
      <c r="E12" s="125">
        <f t="shared" si="18"/>
        <v>38.960203205701603</v>
      </c>
      <c r="F12" s="146">
        <f t="shared" si="19"/>
        <v>2.0639947675553887</v>
      </c>
      <c r="G12" s="127"/>
      <c r="H12" s="126">
        <f t="shared" si="20"/>
        <v>1.5103409936162229</v>
      </c>
      <c r="I12" s="230">
        <f>'[1]июль 20'!AI11</f>
        <v>0</v>
      </c>
      <c r="J12" s="277">
        <f>'[1]май 20'!AA11</f>
        <v>5.6319999999999997</v>
      </c>
      <c r="K12" s="437">
        <f>'[1]сентябрь 20'!AM11</f>
        <v>0</v>
      </c>
      <c r="L12" s="438">
        <f>'[1]май 20'!AE11</f>
        <v>73.718999999999994</v>
      </c>
      <c r="M12" s="443">
        <f t="shared" si="21"/>
        <v>0.55365377393916637</v>
      </c>
      <c r="N12" s="403">
        <f>'[1]май 20'!W11</f>
        <v>0</v>
      </c>
      <c r="O12" s="455">
        <f>'[1]май 20'!AU11</f>
        <v>0</v>
      </c>
      <c r="P12" s="401">
        <f t="shared" si="0"/>
        <v>160.476</v>
      </c>
      <c r="Q12" s="122">
        <f>'[1]май 20'!S11</f>
        <v>160.476</v>
      </c>
      <c r="R12" s="123">
        <f t="shared" si="22"/>
        <v>1.4</v>
      </c>
      <c r="S12" s="129">
        <v>23.65</v>
      </c>
      <c r="T12" s="125">
        <f t="shared" si="1"/>
        <v>158.22933599999999</v>
      </c>
      <c r="U12" s="147">
        <f t="shared" si="2"/>
        <v>1.1883540067592941</v>
      </c>
      <c r="V12" s="130">
        <v>101.45</v>
      </c>
      <c r="W12" s="130">
        <v>70.150000000000006</v>
      </c>
      <c r="X12" s="129">
        <v>0.99</v>
      </c>
      <c r="Y12" s="131">
        <v>500</v>
      </c>
      <c r="Z12" s="150">
        <v>1174</v>
      </c>
      <c r="AA12" s="148" t="s">
        <v>253</v>
      </c>
      <c r="AB12" s="149">
        <v>75.14</v>
      </c>
      <c r="AC12" s="150">
        <v>111</v>
      </c>
      <c r="AD12" s="151">
        <v>4</v>
      </c>
      <c r="AE12" s="149">
        <v>2.95</v>
      </c>
      <c r="AF12" s="134">
        <f t="shared" si="3"/>
        <v>22.15546376267368</v>
      </c>
      <c r="AG12" s="152"/>
      <c r="AH12" s="129">
        <v>81.45</v>
      </c>
      <c r="AI12" s="134">
        <f t="shared" si="4"/>
        <v>611.71610965076991</v>
      </c>
      <c r="AJ12" s="153">
        <v>15.86</v>
      </c>
      <c r="AK12" s="154"/>
      <c r="AL12" s="155">
        <v>4.78</v>
      </c>
      <c r="AM12" s="156">
        <v>29.92</v>
      </c>
      <c r="AN12" s="126">
        <f t="shared" si="23"/>
        <v>0.18094950105836108</v>
      </c>
      <c r="AO12" s="157" t="s">
        <v>254</v>
      </c>
      <c r="AP12" s="156">
        <v>9.85</v>
      </c>
      <c r="AQ12" s="156">
        <v>6.89</v>
      </c>
      <c r="AR12" s="149"/>
      <c r="AS12" s="149">
        <v>6.76</v>
      </c>
      <c r="AT12" s="149">
        <v>165.35</v>
      </c>
      <c r="AU12" s="149">
        <v>2.5</v>
      </c>
      <c r="AV12" s="164"/>
      <c r="AW12" s="164"/>
      <c r="AX12" s="158">
        <f t="shared" si="5"/>
        <v>0</v>
      </c>
      <c r="AY12" s="125">
        <f t="shared" si="6"/>
        <v>133.14999999999998</v>
      </c>
      <c r="AZ12" s="125">
        <f t="shared" si="29"/>
        <v>125.72299894316176</v>
      </c>
      <c r="BA12" s="159">
        <f t="shared" si="7"/>
        <v>4.2652267605633796</v>
      </c>
      <c r="BB12" s="160">
        <f t="shared" si="8"/>
        <v>5.3259999999999996</v>
      </c>
      <c r="BC12" s="161">
        <f t="shared" si="9"/>
        <v>0.9344184078839306</v>
      </c>
      <c r="BD12" s="160">
        <f t="shared" si="24"/>
        <v>9.5912267605633801</v>
      </c>
      <c r="BE12" s="162">
        <v>0.86799999999999999</v>
      </c>
      <c r="BF12" s="25">
        <f t="shared" si="25"/>
        <v>770.57999999999993</v>
      </c>
      <c r="BG12" s="25">
        <f t="shared" si="10"/>
        <v>114.51612903225806</v>
      </c>
      <c r="BH12" s="25">
        <f t="shared" si="26"/>
        <v>687.09677419354841</v>
      </c>
      <c r="BI12" s="26">
        <f t="shared" si="11"/>
        <v>1</v>
      </c>
      <c r="BJ12" s="37">
        <f t="shared" si="27"/>
        <v>687.09677419354841</v>
      </c>
      <c r="BK12" s="38"/>
      <c r="BL12" s="31">
        <v>175.83600000000001</v>
      </c>
      <c r="BM12" s="31"/>
      <c r="BN12" s="31"/>
      <c r="BO12" s="40"/>
      <c r="BP12" s="40">
        <v>27.701000000000001</v>
      </c>
      <c r="BQ12" s="32">
        <v>73.718999999999994</v>
      </c>
      <c r="BR12" s="33"/>
      <c r="BS12" s="34">
        <v>1.21</v>
      </c>
      <c r="BT12" s="33"/>
      <c r="BU12" s="28"/>
      <c r="BV12" s="287"/>
      <c r="BW12" s="287">
        <v>1.1100000000000001</v>
      </c>
      <c r="BX12" s="36"/>
      <c r="BY12" s="33"/>
      <c r="BZ12" s="34">
        <v>37.64</v>
      </c>
      <c r="CA12" s="33"/>
      <c r="CB12" s="35"/>
      <c r="CC12" s="235"/>
      <c r="CD12" s="235">
        <v>36.35</v>
      </c>
      <c r="CE12" s="36">
        <v>43.09</v>
      </c>
      <c r="CF12" s="30">
        <v>105.99</v>
      </c>
      <c r="CG12" s="30">
        <v>54.485999999999997</v>
      </c>
      <c r="CH12" s="31"/>
      <c r="CI12" s="32"/>
      <c r="CJ12" s="33">
        <v>1.4</v>
      </c>
      <c r="CK12" s="33">
        <v>1.4</v>
      </c>
      <c r="CL12" s="35"/>
      <c r="CM12" s="36"/>
      <c r="CN12" s="286"/>
      <c r="CO12" s="249">
        <f t="shared" si="12"/>
        <v>0</v>
      </c>
      <c r="CP12" s="12">
        <f t="shared" si="12"/>
        <v>173.70838440000003</v>
      </c>
      <c r="CQ12" s="12">
        <f t="shared" si="12"/>
        <v>0</v>
      </c>
      <c r="CR12" s="12">
        <f t="shared" si="12"/>
        <v>0</v>
      </c>
      <c r="CS12" s="11">
        <f t="shared" si="12"/>
        <v>0</v>
      </c>
      <c r="CT12" s="11">
        <f t="shared" si="12"/>
        <v>27.3935189</v>
      </c>
      <c r="CU12" s="272">
        <f t="shared" si="12"/>
        <v>73.718999999999994</v>
      </c>
      <c r="CV12" s="249">
        <f t="shared" si="13"/>
        <v>104.50613999999999</v>
      </c>
      <c r="CW12" s="12">
        <f t="shared" si="13"/>
        <v>53.723195999999994</v>
      </c>
      <c r="CX12" s="252">
        <f t="shared" si="13"/>
        <v>0</v>
      </c>
      <c r="CY12" s="272">
        <f t="shared" si="13"/>
        <v>0</v>
      </c>
      <c r="CZ12" s="13"/>
      <c r="DA12" s="240">
        <f>(D12+'[2]май 20'!D12)/(AY12+'[2]май 20'!AX12)</f>
        <v>2.2247977162867771</v>
      </c>
      <c r="DB12" s="241">
        <f>(T12+'[2]май 20'!R12)/(AY12+'[2]май 20'!AX12)</f>
        <v>1.3144462245567956</v>
      </c>
      <c r="DD12" s="292">
        <f t="shared" si="14"/>
        <v>5.6319999999999997</v>
      </c>
      <c r="DE12" s="291">
        <v>0.14000000000000001</v>
      </c>
      <c r="DF12" s="291">
        <v>17.7</v>
      </c>
      <c r="DG12" s="145">
        <f t="shared" si="15"/>
        <v>5.6241152000000003</v>
      </c>
      <c r="DH12" s="293">
        <f t="shared" si="28"/>
        <v>1.3248181932392868</v>
      </c>
      <c r="DJ12" s="322"/>
    </row>
    <row r="13" spans="1:114" s="76" customFormat="1" ht="16.5" customHeight="1" thickBot="1">
      <c r="A13" s="144">
        <v>7</v>
      </c>
      <c r="B13" s="122">
        <f>'[1]май 20'!K12</f>
        <v>270.01100000000002</v>
      </c>
      <c r="C13" s="123">
        <f t="shared" si="16"/>
        <v>0.7724427152967841</v>
      </c>
      <c r="D13" s="145">
        <f t="shared" si="17"/>
        <v>267.92531969999999</v>
      </c>
      <c r="E13" s="125">
        <f t="shared" si="18"/>
        <v>39.405827799608161</v>
      </c>
      <c r="F13" s="146">
        <f t="shared" si="19"/>
        <v>2.0745282206736353</v>
      </c>
      <c r="G13" s="127"/>
      <c r="H13" s="126">
        <f t="shared" si="20"/>
        <v>1.489053965931088</v>
      </c>
      <c r="I13" s="230">
        <f>'[1]июль 20'!AI12</f>
        <v>0</v>
      </c>
      <c r="J13" s="439">
        <f>'[1]май 20'!AA12</f>
        <v>6.1509999999999998</v>
      </c>
      <c r="K13" s="440">
        <f>'[1]сентябрь 20'!AM12</f>
        <v>0</v>
      </c>
      <c r="L13" s="441">
        <f>'[1]май 20'!AE12</f>
        <v>75.614000000000004</v>
      </c>
      <c r="M13" s="442">
        <f t="shared" si="21"/>
        <v>0.58547425474254744</v>
      </c>
      <c r="N13" s="403">
        <f>'[1]май 20'!W12</f>
        <v>0</v>
      </c>
      <c r="O13" s="452">
        <f>'[1]май 20'!AU12</f>
        <v>0</v>
      </c>
      <c r="P13" s="401">
        <f t="shared" si="0"/>
        <v>156.96</v>
      </c>
      <c r="Q13" s="122">
        <f>'[1]май 20'!S12</f>
        <v>156.96</v>
      </c>
      <c r="R13" s="123">
        <f t="shared" si="22"/>
        <v>1.36</v>
      </c>
      <c r="S13" s="129"/>
      <c r="T13" s="125">
        <f t="shared" si="1"/>
        <v>154.82534400000003</v>
      </c>
      <c r="U13" s="147">
        <f t="shared" si="2"/>
        <v>1.1988025087108016</v>
      </c>
      <c r="V13" s="130"/>
      <c r="W13" s="130">
        <v>129.15</v>
      </c>
      <c r="X13" s="129">
        <v>0.73</v>
      </c>
      <c r="Y13" s="165">
        <v>489</v>
      </c>
      <c r="Z13" s="166">
        <v>1179</v>
      </c>
      <c r="AA13" s="148" t="s">
        <v>255</v>
      </c>
      <c r="AB13" s="149">
        <v>74.319999999999993</v>
      </c>
      <c r="AC13" s="150">
        <v>108</v>
      </c>
      <c r="AD13" s="151">
        <v>4</v>
      </c>
      <c r="AE13" s="149">
        <v>2.5</v>
      </c>
      <c r="AF13" s="134">
        <f t="shared" si="3"/>
        <v>19.357336430507161</v>
      </c>
      <c r="AG13" s="152"/>
      <c r="AH13" s="129">
        <v>88.9</v>
      </c>
      <c r="AI13" s="134">
        <f t="shared" si="4"/>
        <v>688.34688346883468</v>
      </c>
      <c r="AJ13" s="136">
        <v>15.92</v>
      </c>
      <c r="AK13" s="154"/>
      <c r="AL13" s="155">
        <v>6.56</v>
      </c>
      <c r="AM13" s="156">
        <v>29.27</v>
      </c>
      <c r="AN13" s="126">
        <f t="shared" si="23"/>
        <v>0.17858450274557655</v>
      </c>
      <c r="AO13" s="157" t="s">
        <v>151</v>
      </c>
      <c r="AP13" s="156">
        <v>9.5</v>
      </c>
      <c r="AQ13" s="156">
        <v>6.63</v>
      </c>
      <c r="AR13" s="149"/>
      <c r="AS13" s="149">
        <v>8</v>
      </c>
      <c r="AT13" s="149">
        <v>163.9</v>
      </c>
      <c r="AU13" s="149">
        <v>1.08</v>
      </c>
      <c r="AV13" s="149"/>
      <c r="AW13" s="149"/>
      <c r="AX13" s="158">
        <f t="shared" si="5"/>
        <v>0</v>
      </c>
      <c r="AY13" s="125">
        <f t="shared" si="6"/>
        <v>129.15</v>
      </c>
      <c r="AZ13" s="125">
        <f t="shared" si="29"/>
        <v>125.62677338751362</v>
      </c>
      <c r="BA13" s="159">
        <f t="shared" si="7"/>
        <v>5.509295774647887</v>
      </c>
      <c r="BB13" s="160">
        <f t="shared" si="8"/>
        <v>5.1660000000000004</v>
      </c>
      <c r="BC13" s="161">
        <f t="shared" si="9"/>
        <v>0.90912981078472876</v>
      </c>
      <c r="BD13" s="160">
        <f t="shared" si="24"/>
        <v>10.675295774647887</v>
      </c>
      <c r="BE13" s="162">
        <v>0.873</v>
      </c>
      <c r="BF13" s="25">
        <f t="shared" si="25"/>
        <v>899.7299999999999</v>
      </c>
      <c r="BG13" s="25">
        <f t="shared" si="10"/>
        <v>114.51612903225806</v>
      </c>
      <c r="BH13" s="25">
        <f t="shared" si="26"/>
        <v>801.61290322580646</v>
      </c>
      <c r="BI13" s="26">
        <f t="shared" si="11"/>
        <v>1</v>
      </c>
      <c r="BJ13" s="37">
        <f t="shared" si="27"/>
        <v>801.61290322580646</v>
      </c>
      <c r="BK13" s="39"/>
      <c r="BL13" s="40">
        <v>167.36600000000001</v>
      </c>
      <c r="BM13" s="325"/>
      <c r="BN13" s="31"/>
      <c r="BO13" s="40"/>
      <c r="BP13" s="40">
        <v>27.030999999999999</v>
      </c>
      <c r="BQ13" s="32">
        <v>75.614000000000004</v>
      </c>
      <c r="BR13" s="33"/>
      <c r="BS13" s="34">
        <v>0.97</v>
      </c>
      <c r="BT13" s="33"/>
      <c r="BU13" s="28"/>
      <c r="BV13" s="287"/>
      <c r="BW13" s="287">
        <v>1.71</v>
      </c>
      <c r="BX13" s="36"/>
      <c r="BY13" s="33"/>
      <c r="BZ13" s="34">
        <v>38.1</v>
      </c>
      <c r="CA13" s="33"/>
      <c r="CB13" s="35"/>
      <c r="CC13" s="235"/>
      <c r="CD13" s="235">
        <v>36.43</v>
      </c>
      <c r="CE13" s="36">
        <v>43.36</v>
      </c>
      <c r="CF13" s="30">
        <v>102.97</v>
      </c>
      <c r="CG13" s="30">
        <v>53.99</v>
      </c>
      <c r="CH13" s="30"/>
      <c r="CI13" s="32"/>
      <c r="CJ13" s="33">
        <v>1.36</v>
      </c>
      <c r="CK13" s="33">
        <v>1.36</v>
      </c>
      <c r="CL13" s="33"/>
      <c r="CM13" s="36"/>
      <c r="CN13" s="286"/>
      <c r="CO13" s="249">
        <f t="shared" si="12"/>
        <v>0</v>
      </c>
      <c r="CP13" s="12">
        <f t="shared" si="12"/>
        <v>165.74254980000001</v>
      </c>
      <c r="CQ13" s="12">
        <f t="shared" si="12"/>
        <v>0</v>
      </c>
      <c r="CR13" s="12">
        <f t="shared" si="12"/>
        <v>0</v>
      </c>
      <c r="CS13" s="11">
        <f t="shared" si="12"/>
        <v>0</v>
      </c>
      <c r="CT13" s="11">
        <f t="shared" si="12"/>
        <v>26.568769900000003</v>
      </c>
      <c r="CU13" s="272">
        <f t="shared" si="12"/>
        <v>75.614000000000004</v>
      </c>
      <c r="CV13" s="249">
        <f t="shared" si="13"/>
        <v>101.569608</v>
      </c>
      <c r="CW13" s="251">
        <f t="shared" si="13"/>
        <v>53.255736000000006</v>
      </c>
      <c r="CX13" s="249">
        <f t="shared" si="13"/>
        <v>0</v>
      </c>
      <c r="CY13" s="272">
        <f t="shared" si="13"/>
        <v>0</v>
      </c>
      <c r="CZ13" s="13"/>
      <c r="DA13" s="240">
        <f>(D13+'[2]май 20'!D13)/(AY13+'[2]май 20'!AX13)</f>
        <v>2.1735675858457628</v>
      </c>
      <c r="DB13" s="241">
        <f>(T13+'[2]май 20'!R13)/(AY13+'[2]май 20'!AX13)</f>
        <v>1.268249266899397</v>
      </c>
      <c r="DD13" s="292">
        <f t="shared" si="14"/>
        <v>6.1509999999999998</v>
      </c>
      <c r="DE13" s="291">
        <v>0.18</v>
      </c>
      <c r="DF13" s="291">
        <v>19.48</v>
      </c>
      <c r="DG13" s="145">
        <f t="shared" si="15"/>
        <v>6.1399281999999999</v>
      </c>
      <c r="DH13" s="293">
        <f t="shared" si="28"/>
        <v>1.6093353247578042</v>
      </c>
      <c r="DJ13" s="322"/>
    </row>
    <row r="14" spans="1:114" s="76" customFormat="1" ht="16.5" customHeight="1" thickBot="1">
      <c r="A14" s="144">
        <v>8</v>
      </c>
      <c r="B14" s="122">
        <f>'[1]май 20'!K13</f>
        <v>270.06099999999998</v>
      </c>
      <c r="C14" s="123">
        <f t="shared" si="16"/>
        <v>0.96401609266054722</v>
      </c>
      <c r="D14" s="145">
        <f t="shared" si="17"/>
        <v>267.45756849999998</v>
      </c>
      <c r="E14" s="125">
        <f t="shared" si="18"/>
        <v>39.393327137202341</v>
      </c>
      <c r="F14" s="146">
        <f t="shared" si="19"/>
        <v>2.1810125458696894</v>
      </c>
      <c r="G14" s="127"/>
      <c r="H14" s="126">
        <f t="shared" si="20"/>
        <v>1.5647359414498903</v>
      </c>
      <c r="I14" s="230">
        <f>'[1]июль 20'!AI13</f>
        <v>0</v>
      </c>
      <c r="J14" s="451">
        <f>'[1]май 20'!AA13</f>
        <v>5.3860000000000001</v>
      </c>
      <c r="K14" s="445">
        <f>'[1]сентябрь 20'!AM13</f>
        <v>0</v>
      </c>
      <c r="L14" s="446">
        <f>'[1]май 20'!AE13</f>
        <v>75.573999999999998</v>
      </c>
      <c r="M14" s="447">
        <f t="shared" si="21"/>
        <v>0.61627660441979948</v>
      </c>
      <c r="N14" s="403">
        <f>'[1]май 20'!W13</f>
        <v>0</v>
      </c>
      <c r="O14" s="456">
        <f>'[1]май 20'!AU13</f>
        <v>0</v>
      </c>
      <c r="P14" s="401">
        <f t="shared" si="0"/>
        <v>156.31399999999999</v>
      </c>
      <c r="Q14" s="122">
        <f>'[1]май 20'!S13</f>
        <v>156.31399999999999</v>
      </c>
      <c r="R14" s="123">
        <f t="shared" si="22"/>
        <v>1.81</v>
      </c>
      <c r="S14" s="129"/>
      <c r="T14" s="125">
        <f t="shared" si="1"/>
        <v>153.48471659999998</v>
      </c>
      <c r="U14" s="147">
        <f t="shared" si="2"/>
        <v>1.2516082247410911</v>
      </c>
      <c r="V14" s="130">
        <v>30.12</v>
      </c>
      <c r="W14" s="130">
        <v>63.71</v>
      </c>
      <c r="X14" s="129">
        <v>0.83</v>
      </c>
      <c r="Y14" s="131">
        <v>494</v>
      </c>
      <c r="Z14" s="150">
        <v>1176</v>
      </c>
      <c r="AA14" s="148" t="s">
        <v>256</v>
      </c>
      <c r="AB14" s="149">
        <v>74.55</v>
      </c>
      <c r="AC14" s="150">
        <v>108</v>
      </c>
      <c r="AD14" s="151">
        <v>4</v>
      </c>
      <c r="AE14" s="149">
        <v>3.45</v>
      </c>
      <c r="AF14" s="134">
        <f t="shared" si="3"/>
        <v>28.133409443040044</v>
      </c>
      <c r="AG14" s="152"/>
      <c r="AH14" s="129">
        <v>68.5</v>
      </c>
      <c r="AI14" s="134">
        <f t="shared" si="4"/>
        <v>558.59088314441829</v>
      </c>
      <c r="AJ14" s="153">
        <v>17.12</v>
      </c>
      <c r="AK14" s="154"/>
      <c r="AL14" s="155">
        <v>5.52</v>
      </c>
      <c r="AM14" s="156">
        <v>29.98</v>
      </c>
      <c r="AN14" s="126">
        <f t="shared" si="23"/>
        <v>0.19174928046050529</v>
      </c>
      <c r="AO14" s="157" t="s">
        <v>204</v>
      </c>
      <c r="AP14" s="156">
        <v>9.67</v>
      </c>
      <c r="AQ14" s="156">
        <v>6.08</v>
      </c>
      <c r="AR14" s="149"/>
      <c r="AS14" s="149">
        <v>7.44</v>
      </c>
      <c r="AT14" s="149">
        <v>156.35</v>
      </c>
      <c r="AU14" s="149">
        <v>1.78</v>
      </c>
      <c r="AV14" s="149"/>
      <c r="AW14" s="149"/>
      <c r="AX14" s="158">
        <f t="shared" si="5"/>
        <v>0</v>
      </c>
      <c r="AY14" s="125">
        <f t="shared" si="6"/>
        <v>122.62999999999998</v>
      </c>
      <c r="AZ14" s="125">
        <f t="shared" si="29"/>
        <v>124.53706743465554</v>
      </c>
      <c r="BA14" s="159">
        <f t="shared" si="7"/>
        <v>3.9479154929577462</v>
      </c>
      <c r="BB14" s="160">
        <f t="shared" si="8"/>
        <v>4.9051999999999998</v>
      </c>
      <c r="BC14" s="161">
        <f t="shared" si="9"/>
        <v>0.8676944535773754</v>
      </c>
      <c r="BD14" s="159">
        <f t="shared" si="24"/>
        <v>8.8531154929577465</v>
      </c>
      <c r="BE14" s="167">
        <v>0.873</v>
      </c>
      <c r="BF14" s="25">
        <f t="shared" si="25"/>
        <v>1022.3599999999999</v>
      </c>
      <c r="BG14" s="25">
        <f t="shared" si="10"/>
        <v>114.51612903225806</v>
      </c>
      <c r="BH14" s="25">
        <f t="shared" si="26"/>
        <v>916.12903225806451</v>
      </c>
      <c r="BI14" s="26">
        <f t="shared" si="11"/>
        <v>1</v>
      </c>
      <c r="BJ14" s="37">
        <f t="shared" si="27"/>
        <v>916.12903225806451</v>
      </c>
      <c r="BK14" s="39"/>
      <c r="BL14" s="40">
        <v>167.54400000000001</v>
      </c>
      <c r="BM14" s="325"/>
      <c r="BN14" s="31"/>
      <c r="BO14" s="40"/>
      <c r="BP14" s="40">
        <v>26.943000000000001</v>
      </c>
      <c r="BQ14" s="32">
        <v>75.573999999999998</v>
      </c>
      <c r="BR14" s="33"/>
      <c r="BS14" s="34">
        <v>1.34</v>
      </c>
      <c r="BT14" s="33"/>
      <c r="BU14" s="28"/>
      <c r="BV14" s="287"/>
      <c r="BW14" s="287">
        <v>1.33</v>
      </c>
      <c r="BX14" s="36"/>
      <c r="BY14" s="33"/>
      <c r="BZ14" s="34">
        <v>37.89</v>
      </c>
      <c r="CA14" s="33"/>
      <c r="CB14" s="35"/>
      <c r="CC14" s="235"/>
      <c r="CD14" s="235">
        <v>37.979999999999997</v>
      </c>
      <c r="CE14" s="36">
        <v>43.23</v>
      </c>
      <c r="CF14" s="30">
        <v>102.371</v>
      </c>
      <c r="CG14" s="30">
        <v>53.942999999999998</v>
      </c>
      <c r="CH14" s="30"/>
      <c r="CI14" s="32"/>
      <c r="CJ14" s="33">
        <v>1.81</v>
      </c>
      <c r="CK14" s="33">
        <v>1.81</v>
      </c>
      <c r="CL14" s="33"/>
      <c r="CM14" s="36"/>
      <c r="CN14" s="286"/>
      <c r="CO14" s="249">
        <f t="shared" si="12"/>
        <v>0</v>
      </c>
      <c r="CP14" s="12">
        <f t="shared" si="12"/>
        <v>165.29891040000001</v>
      </c>
      <c r="CQ14" s="12">
        <f t="shared" si="12"/>
        <v>0</v>
      </c>
      <c r="CR14" s="12">
        <f t="shared" si="12"/>
        <v>0</v>
      </c>
      <c r="CS14" s="11">
        <f t="shared" si="12"/>
        <v>0</v>
      </c>
      <c r="CT14" s="11">
        <f t="shared" si="12"/>
        <v>26.584658100000002</v>
      </c>
      <c r="CU14" s="272">
        <f t="shared" si="12"/>
        <v>75.573999999999998</v>
      </c>
      <c r="CV14" s="249">
        <f t="shared" si="13"/>
        <v>100.51808489999999</v>
      </c>
      <c r="CW14" s="12">
        <f t="shared" si="13"/>
        <v>52.966631700000001</v>
      </c>
      <c r="CX14" s="252">
        <f t="shared" si="13"/>
        <v>0</v>
      </c>
      <c r="CY14" s="272">
        <f t="shared" si="13"/>
        <v>0</v>
      </c>
      <c r="CZ14" s="13"/>
      <c r="DA14" s="240">
        <f>(D14+'[2]май 20'!D14)/(AY14+'[2]май 20'!AX14)</f>
        <v>2.2034690124318157</v>
      </c>
      <c r="DB14" s="241">
        <f>(T14+'[2]май 20'!R14)/(AY14+'[2]май 20'!AX14)</f>
        <v>1.2677429804642901</v>
      </c>
      <c r="DD14" s="292">
        <f t="shared" si="14"/>
        <v>5.3860000000000001</v>
      </c>
      <c r="DE14" s="291">
        <v>0.2</v>
      </c>
      <c r="DF14" s="291">
        <v>16.05</v>
      </c>
      <c r="DG14" s="145">
        <f t="shared" si="15"/>
        <v>5.3752279999999999</v>
      </c>
      <c r="DH14" s="293">
        <f t="shared" si="28"/>
        <v>1.1572422454728373</v>
      </c>
      <c r="DJ14" s="322"/>
    </row>
    <row r="15" spans="1:114" s="76" customFormat="1" ht="16.5" customHeight="1" thickBot="1">
      <c r="A15" s="144">
        <v>9</v>
      </c>
      <c r="B15" s="122">
        <f>'[1]май 20'!K14</f>
        <v>262.43400000000003</v>
      </c>
      <c r="C15" s="123">
        <f t="shared" si="16"/>
        <v>0.52865665272030293</v>
      </c>
      <c r="D15" s="145">
        <f t="shared" si="17"/>
        <v>261.04662519999999</v>
      </c>
      <c r="E15" s="125">
        <f t="shared" si="18"/>
        <v>39.31886920139921</v>
      </c>
      <c r="F15" s="146">
        <f t="shared" si="19"/>
        <v>2.0074332912949862</v>
      </c>
      <c r="G15" s="127"/>
      <c r="H15" s="126">
        <f t="shared" si="20"/>
        <v>1.4430300307597663</v>
      </c>
      <c r="I15" s="230">
        <f>'[1]июль 20'!AI14</f>
        <v>0</v>
      </c>
      <c r="J15" s="277">
        <f>'[1]май 20'!AA14</f>
        <v>5.3310000000000004</v>
      </c>
      <c r="K15" s="437">
        <f>'[1]сентябрь 20'!AM14</f>
        <v>0</v>
      </c>
      <c r="L15" s="438">
        <f>'[1]май 20'!AE14</f>
        <v>73.394999999999996</v>
      </c>
      <c r="M15" s="443">
        <f t="shared" si="21"/>
        <v>0.56440326053521994</v>
      </c>
      <c r="N15" s="403">
        <f>'[1]май 20'!W14</f>
        <v>0</v>
      </c>
      <c r="O15" s="453">
        <f>'[1]май 20'!AU14</f>
        <v>0</v>
      </c>
      <c r="P15" s="401">
        <f t="shared" si="0"/>
        <v>152.13400000000001</v>
      </c>
      <c r="Q15" s="122">
        <f>'[1]май 20'!S14</f>
        <v>152.13399999999999</v>
      </c>
      <c r="R15" s="123">
        <f t="shared" si="22"/>
        <v>1.3400000000000003</v>
      </c>
      <c r="S15" s="129">
        <v>28.08</v>
      </c>
      <c r="T15" s="125">
        <f t="shared" si="1"/>
        <v>150.09540439999998</v>
      </c>
      <c r="U15" s="147">
        <f t="shared" si="2"/>
        <v>1.1542248877268533</v>
      </c>
      <c r="V15" s="130">
        <v>33.47</v>
      </c>
      <c r="W15" s="130">
        <v>96.57</v>
      </c>
      <c r="X15" s="129">
        <v>0.71</v>
      </c>
      <c r="Y15" s="131">
        <v>495</v>
      </c>
      <c r="Z15" s="150">
        <v>1175</v>
      </c>
      <c r="AA15" s="148" t="s">
        <v>257</v>
      </c>
      <c r="AB15" s="149">
        <v>74.599999999999994</v>
      </c>
      <c r="AC15" s="150">
        <v>106</v>
      </c>
      <c r="AD15" s="151">
        <v>4</v>
      </c>
      <c r="AE15" s="149">
        <v>3.95</v>
      </c>
      <c r="AF15" s="134">
        <f t="shared" si="3"/>
        <v>30.37526914795448</v>
      </c>
      <c r="AG15" s="152"/>
      <c r="AH15" s="129">
        <v>82.15</v>
      </c>
      <c r="AI15" s="134">
        <f t="shared" si="4"/>
        <v>631.7286988618888</v>
      </c>
      <c r="AJ15" s="136">
        <v>16.18</v>
      </c>
      <c r="AK15" s="154"/>
      <c r="AL15" s="155">
        <v>4.28</v>
      </c>
      <c r="AM15" s="156">
        <v>31.11</v>
      </c>
      <c r="AN15" s="126">
        <f t="shared" si="23"/>
        <v>0.1897529734675206</v>
      </c>
      <c r="AO15" s="157" t="s">
        <v>258</v>
      </c>
      <c r="AP15" s="156">
        <v>9.5500000000000007</v>
      </c>
      <c r="AQ15" s="156">
        <v>6.58</v>
      </c>
      <c r="AR15" s="149"/>
      <c r="AS15" s="149">
        <v>8.3000000000000007</v>
      </c>
      <c r="AT15" s="149">
        <v>163.95</v>
      </c>
      <c r="AU15" s="149">
        <v>1.48</v>
      </c>
      <c r="AV15" s="149"/>
      <c r="AW15" s="149"/>
      <c r="AX15" s="158">
        <f t="shared" si="5"/>
        <v>0</v>
      </c>
      <c r="AY15" s="125">
        <f t="shared" si="6"/>
        <v>130.04</v>
      </c>
      <c r="AZ15" s="125">
        <f t="shared" si="29"/>
        <v>121.30038565593681</v>
      </c>
      <c r="BA15" s="159">
        <f t="shared" si="7"/>
        <v>5.2818978873239448</v>
      </c>
      <c r="BB15" s="160">
        <f t="shared" si="8"/>
        <v>5.2016</v>
      </c>
      <c r="BC15" s="161">
        <f t="shared" si="9"/>
        <v>0.94514118045928297</v>
      </c>
      <c r="BD15" s="159">
        <f t="shared" si="24"/>
        <v>10.483497887323946</v>
      </c>
      <c r="BE15" s="167">
        <v>0.88</v>
      </c>
      <c r="BF15" s="25">
        <f t="shared" si="25"/>
        <v>1152.3999999999999</v>
      </c>
      <c r="BG15" s="25">
        <f t="shared" si="10"/>
        <v>114.51612903225806</v>
      </c>
      <c r="BH15" s="25">
        <f t="shared" si="26"/>
        <v>1030.6451612903227</v>
      </c>
      <c r="BI15" s="26">
        <f t="shared" si="11"/>
        <v>1</v>
      </c>
      <c r="BJ15" s="37">
        <f t="shared" si="27"/>
        <v>1030.6451612903227</v>
      </c>
      <c r="BK15" s="38"/>
      <c r="BL15" s="42">
        <v>162.745</v>
      </c>
      <c r="BM15" s="31"/>
      <c r="BN15" s="31"/>
      <c r="BO15" s="40"/>
      <c r="BP15" s="40">
        <v>26.294</v>
      </c>
      <c r="BQ15" s="32">
        <v>73.394999999999996</v>
      </c>
      <c r="BR15" s="33"/>
      <c r="BS15" s="35">
        <v>0.72</v>
      </c>
      <c r="BT15" s="35"/>
      <c r="BU15" s="28"/>
      <c r="BV15" s="287"/>
      <c r="BW15" s="287">
        <v>0.82</v>
      </c>
      <c r="BX15" s="36"/>
      <c r="BY15" s="33"/>
      <c r="BZ15" s="34">
        <v>37.950000000000003</v>
      </c>
      <c r="CA15" s="35"/>
      <c r="CB15" s="35"/>
      <c r="CC15" s="35"/>
      <c r="CD15" s="35">
        <v>36.93</v>
      </c>
      <c r="CE15" s="35">
        <v>43.21</v>
      </c>
      <c r="CF15" s="38">
        <v>99.614000000000004</v>
      </c>
      <c r="CG15" s="30">
        <v>52.52</v>
      </c>
      <c r="CH15" s="30"/>
      <c r="CI15" s="32"/>
      <c r="CJ15" s="33">
        <v>1.34</v>
      </c>
      <c r="CK15" s="33">
        <v>1.34</v>
      </c>
      <c r="CL15" s="33"/>
      <c r="CM15" s="36"/>
      <c r="CN15" s="286"/>
      <c r="CO15" s="249">
        <f t="shared" si="12"/>
        <v>0</v>
      </c>
      <c r="CP15" s="12">
        <f t="shared" si="12"/>
        <v>161.57323600000001</v>
      </c>
      <c r="CQ15" s="12">
        <f t="shared" si="12"/>
        <v>0</v>
      </c>
      <c r="CR15" s="17">
        <f t="shared" si="12"/>
        <v>0</v>
      </c>
      <c r="CS15" s="11">
        <f t="shared" si="12"/>
        <v>0</v>
      </c>
      <c r="CT15" s="11">
        <f t="shared" si="12"/>
        <v>26.0783892</v>
      </c>
      <c r="CU15" s="272">
        <f t="shared" si="12"/>
        <v>73.394999999999996</v>
      </c>
      <c r="CV15" s="249">
        <f t="shared" si="13"/>
        <v>98.279172399999993</v>
      </c>
      <c r="CW15" s="12">
        <f t="shared" si="13"/>
        <v>51.816231999999999</v>
      </c>
      <c r="CX15" s="249">
        <f t="shared" si="13"/>
        <v>0</v>
      </c>
      <c r="CY15" s="274">
        <f t="shared" si="13"/>
        <v>0</v>
      </c>
      <c r="CZ15" s="13"/>
      <c r="DA15" s="240">
        <f>(D15+'[2]май 20'!D15)/(AY15+'[2]май 20'!AX15)</f>
        <v>2.1442071505326248</v>
      </c>
      <c r="DB15" s="241">
        <f>(T15+'[2]май 20'!R15)/(AY15+'[2]май 20'!AX15)</f>
        <v>1.2308935196745241</v>
      </c>
      <c r="DD15" s="292">
        <f t="shared" si="14"/>
        <v>5.3310000000000004</v>
      </c>
      <c r="DE15" s="291">
        <v>0.13</v>
      </c>
      <c r="DF15" s="291">
        <v>16.62</v>
      </c>
      <c r="DG15" s="145">
        <f t="shared" si="15"/>
        <v>5.3240697000000008</v>
      </c>
      <c r="DH15" s="293">
        <f t="shared" si="28"/>
        <v>1.1861399251206437</v>
      </c>
      <c r="DJ15" s="322"/>
    </row>
    <row r="16" spans="1:114" s="76" customFormat="1" ht="16.5" customHeight="1" thickBot="1">
      <c r="A16" s="144">
        <v>10</v>
      </c>
      <c r="B16" s="122">
        <f>'[1]май 20'!K15</f>
        <v>277.45800000000003</v>
      </c>
      <c r="C16" s="123">
        <f t="shared" si="16"/>
        <v>0.47455975318786986</v>
      </c>
      <c r="D16" s="145">
        <f t="shared" si="17"/>
        <v>276.14129600000001</v>
      </c>
      <c r="E16" s="125">
        <f t="shared" si="18"/>
        <v>39.24124599038413</v>
      </c>
      <c r="F16" s="146">
        <f t="shared" si="19"/>
        <v>2.3255962270506991</v>
      </c>
      <c r="G16" s="127"/>
      <c r="H16" s="126">
        <f t="shared" si="20"/>
        <v>1.671899073606198</v>
      </c>
      <c r="I16" s="230">
        <f>'[1]июль 20'!AI15</f>
        <v>0</v>
      </c>
      <c r="J16" s="439">
        <f>'[1]май 20'!AA15</f>
        <v>5.4980000000000002</v>
      </c>
      <c r="K16" s="440">
        <f>'[1]сентябрь 20'!AM15</f>
        <v>0</v>
      </c>
      <c r="L16" s="441">
        <f>'[1]май 20'!AE15</f>
        <v>77.62</v>
      </c>
      <c r="M16" s="442">
        <f t="shared" si="21"/>
        <v>0.65369715344450052</v>
      </c>
      <c r="N16" s="403">
        <f>'[1]май 20'!W15</f>
        <v>0</v>
      </c>
      <c r="O16" s="452">
        <f>'[1]май 20'!AU15</f>
        <v>0</v>
      </c>
      <c r="P16" s="401">
        <f t="shared" si="0"/>
        <v>160.68299999999999</v>
      </c>
      <c r="Q16" s="122">
        <f>'[1]май 20'!S15</f>
        <v>160.68299999999999</v>
      </c>
      <c r="R16" s="123">
        <f t="shared" si="22"/>
        <v>1.3</v>
      </c>
      <c r="S16" s="129">
        <v>8.98</v>
      </c>
      <c r="T16" s="125">
        <f t="shared" si="1"/>
        <v>158.594121</v>
      </c>
      <c r="U16" s="147">
        <f t="shared" si="2"/>
        <v>1.3356419151086407</v>
      </c>
      <c r="V16" s="130">
        <v>28.54</v>
      </c>
      <c r="W16" s="130">
        <v>29.24</v>
      </c>
      <c r="X16" s="129">
        <v>1.03</v>
      </c>
      <c r="Y16" s="131">
        <v>489</v>
      </c>
      <c r="Z16" s="150">
        <v>1179</v>
      </c>
      <c r="AA16" s="148" t="s">
        <v>244</v>
      </c>
      <c r="AB16" s="149">
        <v>74.53</v>
      </c>
      <c r="AC16" s="150">
        <v>111</v>
      </c>
      <c r="AD16" s="151">
        <v>4</v>
      </c>
      <c r="AE16" s="149">
        <v>3.85</v>
      </c>
      <c r="AF16" s="134">
        <f t="shared" si="3"/>
        <v>32.423783055415193</v>
      </c>
      <c r="AG16" s="152"/>
      <c r="AH16" s="129">
        <v>72.25</v>
      </c>
      <c r="AI16" s="134">
        <f t="shared" si="4"/>
        <v>608.4722924035708</v>
      </c>
      <c r="AJ16" s="153">
        <v>15.51</v>
      </c>
      <c r="AK16" s="154"/>
      <c r="AL16" s="155">
        <v>4.87</v>
      </c>
      <c r="AM16" s="156">
        <v>28.66</v>
      </c>
      <c r="AN16" s="126">
        <f t="shared" si="23"/>
        <v>0.1896129672510751</v>
      </c>
      <c r="AO16" s="157" t="s">
        <v>217</v>
      </c>
      <c r="AP16" s="156">
        <v>9.52</v>
      </c>
      <c r="AQ16" s="156">
        <v>6.26</v>
      </c>
      <c r="AR16" s="149"/>
      <c r="AS16" s="149">
        <v>8.66</v>
      </c>
      <c r="AT16" s="149">
        <v>151.15</v>
      </c>
      <c r="AU16" s="149">
        <v>1.1200000000000001</v>
      </c>
      <c r="AV16" s="149"/>
      <c r="AW16" s="149"/>
      <c r="AX16" s="158">
        <f t="shared" si="5"/>
        <v>0</v>
      </c>
      <c r="AY16" s="125">
        <f t="shared" si="6"/>
        <v>118.74000000000001</v>
      </c>
      <c r="AZ16" s="125">
        <f t="shared" si="29"/>
        <v>128.24248846136675</v>
      </c>
      <c r="BA16" s="159">
        <f t="shared" si="7"/>
        <v>4.846855633802817</v>
      </c>
      <c r="BB16" s="160">
        <f t="shared" si="8"/>
        <v>4.7496</v>
      </c>
      <c r="BC16" s="161">
        <f t="shared" si="9"/>
        <v>0.8166839457506132</v>
      </c>
      <c r="BD16" s="160">
        <f t="shared" si="24"/>
        <v>9.5964556338028171</v>
      </c>
      <c r="BE16" s="162">
        <v>0.874</v>
      </c>
      <c r="BF16" s="25">
        <f t="shared" si="25"/>
        <v>1271.1399999999999</v>
      </c>
      <c r="BG16" s="25">
        <f t="shared" si="10"/>
        <v>114.51612903225806</v>
      </c>
      <c r="BH16" s="25">
        <f t="shared" si="26"/>
        <v>1145.1612903225807</v>
      </c>
      <c r="BI16" s="26">
        <f t="shared" si="11"/>
        <v>1</v>
      </c>
      <c r="BJ16" s="37">
        <f t="shared" si="27"/>
        <v>1145.1612903225807</v>
      </c>
      <c r="BK16" s="38"/>
      <c r="BL16" s="31">
        <v>172.08500000000001</v>
      </c>
      <c r="BM16" s="31"/>
      <c r="BN16" s="234"/>
      <c r="BO16" s="42"/>
      <c r="BP16" s="40">
        <v>27.753</v>
      </c>
      <c r="BQ16" s="32">
        <v>77.62</v>
      </c>
      <c r="BR16" s="33"/>
      <c r="BS16" s="34">
        <v>0.62</v>
      </c>
      <c r="BT16" s="35"/>
      <c r="BU16" s="28"/>
      <c r="BV16" s="287"/>
      <c r="BW16" s="287">
        <v>0.9</v>
      </c>
      <c r="BX16" s="36"/>
      <c r="BY16" s="33"/>
      <c r="BZ16" s="34">
        <v>37.99</v>
      </c>
      <c r="CA16" s="35"/>
      <c r="CB16" s="405"/>
      <c r="CC16" s="404"/>
      <c r="CD16" s="235">
        <v>35.76</v>
      </c>
      <c r="CE16" s="36">
        <v>43.26</v>
      </c>
      <c r="CF16" s="38">
        <v>105.179</v>
      </c>
      <c r="CG16" s="30">
        <v>55.503999999999998</v>
      </c>
      <c r="CH16" s="30"/>
      <c r="CI16" s="32"/>
      <c r="CJ16" s="33">
        <v>1.3</v>
      </c>
      <c r="CK16" s="33">
        <v>1.3</v>
      </c>
      <c r="CL16" s="33"/>
      <c r="CM16" s="36"/>
      <c r="CN16" s="286"/>
      <c r="CO16" s="249">
        <f t="shared" si="12"/>
        <v>0</v>
      </c>
      <c r="CP16" s="12">
        <f t="shared" si="12"/>
        <v>171.01807299999999</v>
      </c>
      <c r="CQ16" s="12">
        <f t="shared" si="12"/>
        <v>0</v>
      </c>
      <c r="CR16" s="11">
        <f t="shared" si="12"/>
        <v>0</v>
      </c>
      <c r="CS16" s="11">
        <f t="shared" si="12"/>
        <v>0</v>
      </c>
      <c r="CT16" s="11">
        <f t="shared" si="12"/>
        <v>27.503222999999998</v>
      </c>
      <c r="CU16" s="272">
        <f t="shared" si="12"/>
        <v>77.62</v>
      </c>
      <c r="CV16" s="249">
        <f t="shared" si="13"/>
        <v>103.811673</v>
      </c>
      <c r="CW16" s="12">
        <f t="shared" si="13"/>
        <v>54.782447999999995</v>
      </c>
      <c r="CX16" s="249">
        <f t="shared" si="13"/>
        <v>0</v>
      </c>
      <c r="CY16" s="272">
        <f t="shared" si="13"/>
        <v>0</v>
      </c>
      <c r="CZ16" s="13"/>
      <c r="DA16" s="240">
        <f>(D16+'[2]май 20'!D16)/(AY16+'[2]май 20'!AX16)</f>
        <v>2.3724342274664041</v>
      </c>
      <c r="DB16" s="241">
        <f>(T16+'[2]май 20'!R16)/(AY16+'[2]май 20'!AX16)</f>
        <v>1.3551101966568337</v>
      </c>
      <c r="DD16" s="292">
        <f t="shared" si="14"/>
        <v>5.4980000000000002</v>
      </c>
      <c r="DE16" s="291">
        <v>0.17</v>
      </c>
      <c r="DF16" s="291">
        <v>17.850000000000001</v>
      </c>
      <c r="DG16" s="145">
        <f t="shared" si="15"/>
        <v>5.4886534000000005</v>
      </c>
      <c r="DH16" s="293">
        <f t="shared" si="28"/>
        <v>1.3145372761304175</v>
      </c>
      <c r="DJ16" s="322"/>
    </row>
    <row r="17" spans="1:114" s="76" customFormat="1" ht="16.5" customHeight="1" thickBot="1">
      <c r="A17" s="144">
        <v>11</v>
      </c>
      <c r="B17" s="122">
        <f>'[1]май 20'!K16</f>
        <v>269.93900000000002</v>
      </c>
      <c r="C17" s="123">
        <f t="shared" si="16"/>
        <v>0.55161743949558972</v>
      </c>
      <c r="D17" s="145">
        <f t="shared" si="17"/>
        <v>268.44996940000004</v>
      </c>
      <c r="E17" s="125">
        <f t="shared" si="18"/>
        <v>39.126915154905362</v>
      </c>
      <c r="F17" s="146">
        <f t="shared" si="19"/>
        <v>2.0464245266046657</v>
      </c>
      <c r="G17" s="127"/>
      <c r="H17" s="126">
        <f t="shared" si="20"/>
        <v>1.4702772480561059</v>
      </c>
      <c r="I17" s="230">
        <f>'[1]июль 20'!AI16</f>
        <v>0</v>
      </c>
      <c r="J17" s="277">
        <f>'[1]май 20'!AA16</f>
        <v>5.2640000000000002</v>
      </c>
      <c r="K17" s="437">
        <f>'[1]сентябрь 20'!AM16</f>
        <v>0</v>
      </c>
      <c r="L17" s="438">
        <f>'[1]май 20'!AE16</f>
        <v>75.578999999999994</v>
      </c>
      <c r="M17" s="443">
        <f t="shared" si="21"/>
        <v>0.57614727854855918</v>
      </c>
      <c r="N17" s="403">
        <f>'[1]май 20'!W16</f>
        <v>0</v>
      </c>
      <c r="O17" s="453">
        <f>'[1]май 20'!AU16</f>
        <v>0</v>
      </c>
      <c r="P17" s="401">
        <f t="shared" si="0"/>
        <v>156.125</v>
      </c>
      <c r="Q17" s="122">
        <f>'[1]май 20'!S16</f>
        <v>156.125</v>
      </c>
      <c r="R17" s="123">
        <f t="shared" si="22"/>
        <v>1.35</v>
      </c>
      <c r="S17" s="129">
        <v>7.53</v>
      </c>
      <c r="T17" s="125">
        <f t="shared" si="1"/>
        <v>154.0173125</v>
      </c>
      <c r="U17" s="147">
        <f t="shared" si="2"/>
        <v>1.174091420186004</v>
      </c>
      <c r="V17" s="130">
        <v>31.52</v>
      </c>
      <c r="W17" s="130">
        <v>68.3</v>
      </c>
      <c r="X17" s="129">
        <v>0.73</v>
      </c>
      <c r="Y17" s="131">
        <v>500</v>
      </c>
      <c r="Z17" s="150">
        <v>1187</v>
      </c>
      <c r="AA17" s="148" t="s">
        <v>212</v>
      </c>
      <c r="AB17" s="149">
        <v>74.25</v>
      </c>
      <c r="AC17" s="150">
        <v>108</v>
      </c>
      <c r="AD17" s="151">
        <v>4</v>
      </c>
      <c r="AE17" s="149">
        <v>4.5</v>
      </c>
      <c r="AF17" s="134">
        <f t="shared" si="3"/>
        <v>34.304009757585</v>
      </c>
      <c r="AG17" s="152"/>
      <c r="AH17" s="129">
        <v>78.5</v>
      </c>
      <c r="AI17" s="134">
        <f t="shared" si="4"/>
        <v>598.4143924378717</v>
      </c>
      <c r="AJ17" s="136">
        <v>14.75</v>
      </c>
      <c r="AK17" s="154"/>
      <c r="AL17" s="155">
        <v>6.31</v>
      </c>
      <c r="AM17" s="156">
        <v>28.51</v>
      </c>
      <c r="AN17" s="126">
        <f t="shared" si="23"/>
        <v>0.17320777642770355</v>
      </c>
      <c r="AO17" s="157" t="s">
        <v>203</v>
      </c>
      <c r="AP17" s="156">
        <v>9.6</v>
      </c>
      <c r="AQ17" s="156">
        <v>6.29</v>
      </c>
      <c r="AR17" s="149"/>
      <c r="AS17" s="149">
        <v>9.56</v>
      </c>
      <c r="AT17" s="149">
        <v>164.6</v>
      </c>
      <c r="AU17" s="149">
        <v>1.4</v>
      </c>
      <c r="AV17" s="149"/>
      <c r="AW17" s="149"/>
      <c r="AX17" s="158">
        <f t="shared" si="5"/>
        <v>0</v>
      </c>
      <c r="AY17" s="125">
        <f t="shared" si="6"/>
        <v>131.18</v>
      </c>
      <c r="AZ17" s="125">
        <f t="shared" si="29"/>
        <v>124.74336383854944</v>
      </c>
      <c r="BA17" s="159">
        <f t="shared" si="7"/>
        <v>5.8134225352112674</v>
      </c>
      <c r="BB17" s="160">
        <f t="shared" si="8"/>
        <v>5.2472000000000003</v>
      </c>
      <c r="BC17" s="161">
        <f t="shared" si="9"/>
        <v>0.92731037147732798</v>
      </c>
      <c r="BD17" s="160">
        <f t="shared" si="24"/>
        <v>11.060622535211268</v>
      </c>
      <c r="BE17" s="162">
        <v>0.879</v>
      </c>
      <c r="BF17" s="25">
        <f t="shared" si="25"/>
        <v>1402.32</v>
      </c>
      <c r="BG17" s="25">
        <f t="shared" si="10"/>
        <v>114.51612903225806</v>
      </c>
      <c r="BH17" s="25">
        <f t="shared" si="26"/>
        <v>1259.6774193548388</v>
      </c>
      <c r="BI17" s="26">
        <f t="shared" si="11"/>
        <v>1</v>
      </c>
      <c r="BJ17" s="37">
        <f t="shared" si="27"/>
        <v>1259.6774193548388</v>
      </c>
      <c r="BK17" s="39"/>
      <c r="BL17" s="31">
        <v>167.35900000000001</v>
      </c>
      <c r="BM17" s="31"/>
      <c r="BN17" s="234"/>
      <c r="BO17" s="42"/>
      <c r="BP17" s="40">
        <v>27.001000000000001</v>
      </c>
      <c r="BQ17" s="32">
        <v>75.578999999999994</v>
      </c>
      <c r="BR17" s="33"/>
      <c r="BS17" s="34">
        <v>0.73</v>
      </c>
      <c r="BT17" s="35"/>
      <c r="BU17" s="28"/>
      <c r="BV17" s="287"/>
      <c r="BW17" s="287">
        <v>0.99</v>
      </c>
      <c r="BX17" s="36"/>
      <c r="BY17" s="33"/>
      <c r="BZ17" s="34">
        <v>37.74</v>
      </c>
      <c r="CA17" s="35"/>
      <c r="CB17" s="405"/>
      <c r="CC17" s="404"/>
      <c r="CD17" s="235">
        <v>37.33</v>
      </c>
      <c r="CE17" s="36">
        <v>42.84</v>
      </c>
      <c r="CF17" s="38">
        <v>102.134</v>
      </c>
      <c r="CG17" s="42">
        <v>53.991</v>
      </c>
      <c r="CH17" s="234"/>
      <c r="CI17" s="233"/>
      <c r="CJ17" s="33">
        <v>1.35</v>
      </c>
      <c r="CK17" s="33">
        <v>1.35</v>
      </c>
      <c r="CL17" s="33"/>
      <c r="CM17" s="36"/>
      <c r="CN17" s="286"/>
      <c r="CO17" s="249">
        <f t="shared" si="12"/>
        <v>0</v>
      </c>
      <c r="CP17" s="12">
        <f t="shared" si="12"/>
        <v>166.13727929999999</v>
      </c>
      <c r="CQ17" s="12">
        <f t="shared" si="12"/>
        <v>0</v>
      </c>
      <c r="CR17" s="12">
        <f t="shared" si="12"/>
        <v>0</v>
      </c>
      <c r="CS17" s="11">
        <f t="shared" si="12"/>
        <v>0</v>
      </c>
      <c r="CT17" s="11">
        <f t="shared" si="12"/>
        <v>26.733690100000004</v>
      </c>
      <c r="CU17" s="272">
        <f t="shared" si="12"/>
        <v>75.578999999999994</v>
      </c>
      <c r="CV17" s="249">
        <f t="shared" si="13"/>
        <v>100.75519100000001</v>
      </c>
      <c r="CW17" s="12">
        <f t="shared" si="13"/>
        <v>53.262121499999999</v>
      </c>
      <c r="CX17" s="254">
        <f t="shared" si="13"/>
        <v>0</v>
      </c>
      <c r="CY17" s="272">
        <f t="shared" si="13"/>
        <v>0</v>
      </c>
      <c r="CZ17" s="13"/>
      <c r="DA17" s="240">
        <f>(D17+'[2]май 20'!D17)/(AY17+'[2]май 20'!AX17)</f>
        <v>2.2102046108912758</v>
      </c>
      <c r="DB17" s="241">
        <f>(T17+'[2]май 20'!R17)/(AY17+'[2]май 20'!AX17)</f>
        <v>1.2669974012310783</v>
      </c>
      <c r="DD17" s="292">
        <f t="shared" si="14"/>
        <v>5.2640000000000002</v>
      </c>
      <c r="DE17" s="291">
        <v>0.12</v>
      </c>
      <c r="DF17" s="291">
        <v>17.600000000000001</v>
      </c>
      <c r="DG17" s="145">
        <f t="shared" si="15"/>
        <v>5.2576831999999998</v>
      </c>
      <c r="DH17" s="293">
        <f t="shared" si="28"/>
        <v>1.2462656474074074</v>
      </c>
      <c r="DJ17" s="322"/>
    </row>
    <row r="18" spans="1:114" s="76" customFormat="1" ht="16.5" customHeight="1" thickBot="1">
      <c r="A18" s="144">
        <v>12</v>
      </c>
      <c r="B18" s="122">
        <f>'[1]май 20'!K17</f>
        <v>247.52799999999999</v>
      </c>
      <c r="C18" s="123">
        <f t="shared" si="16"/>
        <v>0.73764786206004984</v>
      </c>
      <c r="D18" s="145">
        <f t="shared" si="17"/>
        <v>245.70211500000002</v>
      </c>
      <c r="E18" s="125">
        <f t="shared" si="18"/>
        <v>39.030275281988303</v>
      </c>
      <c r="F18" s="146">
        <f t="shared" si="19"/>
        <v>2.1226964578833698</v>
      </c>
      <c r="G18" s="127"/>
      <c r="H18" s="126">
        <f t="shared" si="20"/>
        <v>1.4945582289416848</v>
      </c>
      <c r="I18" s="230">
        <f>'[1]июль 20'!AI17</f>
        <v>0</v>
      </c>
      <c r="J18" s="439">
        <f>'[1]май 20'!AA17</f>
        <v>5.01</v>
      </c>
      <c r="K18" s="440">
        <f>'[1]сентябрь 20'!AM17</f>
        <v>0</v>
      </c>
      <c r="L18" s="441">
        <f>'[1]май 20'!AE17</f>
        <v>72.706999999999994</v>
      </c>
      <c r="M18" s="442">
        <f t="shared" si="21"/>
        <v>0.6281382289416847</v>
      </c>
      <c r="N18" s="403">
        <f>'[1]май 20'!W17</f>
        <v>0</v>
      </c>
      <c r="O18" s="452">
        <f>'[1]май 20'!AU17</f>
        <v>0</v>
      </c>
      <c r="P18" s="401">
        <f t="shared" si="0"/>
        <v>142.946</v>
      </c>
      <c r="Q18" s="122">
        <f>'[1]май 20'!S17</f>
        <v>142.946</v>
      </c>
      <c r="R18" s="123">
        <f t="shared" si="22"/>
        <v>1.31</v>
      </c>
      <c r="S18" s="129">
        <v>12.49</v>
      </c>
      <c r="T18" s="125">
        <f t="shared" si="1"/>
        <v>141.07340740000001</v>
      </c>
      <c r="U18" s="147">
        <f t="shared" si="2"/>
        <v>1.2187767377969765</v>
      </c>
      <c r="V18" s="130">
        <v>31.17</v>
      </c>
      <c r="W18" s="130">
        <v>115.75</v>
      </c>
      <c r="X18" s="129">
        <v>0.53</v>
      </c>
      <c r="Y18" s="131">
        <v>540</v>
      </c>
      <c r="Z18" s="150">
        <v>1179</v>
      </c>
      <c r="AA18" s="148" t="s">
        <v>259</v>
      </c>
      <c r="AB18" s="149">
        <v>74.52</v>
      </c>
      <c r="AC18" s="150">
        <v>99</v>
      </c>
      <c r="AD18" s="151">
        <v>4</v>
      </c>
      <c r="AE18" s="149">
        <v>3.15</v>
      </c>
      <c r="AF18" s="134">
        <f t="shared" si="3"/>
        <v>27.213822894168469</v>
      </c>
      <c r="AG18" s="152"/>
      <c r="AH18" s="129">
        <v>78.400000000000006</v>
      </c>
      <c r="AI18" s="134">
        <f t="shared" si="4"/>
        <v>677.32181425485976</v>
      </c>
      <c r="AJ18" s="153">
        <v>13.54</v>
      </c>
      <c r="AK18" s="154"/>
      <c r="AL18" s="155">
        <v>6.15</v>
      </c>
      <c r="AM18" s="156">
        <v>30.11</v>
      </c>
      <c r="AN18" s="126">
        <f t="shared" si="23"/>
        <v>0.20013293452974412</v>
      </c>
      <c r="AO18" s="157" t="s">
        <v>119</v>
      </c>
      <c r="AP18" s="156">
        <v>9.5299999999999994</v>
      </c>
      <c r="AQ18" s="156">
        <v>6.55</v>
      </c>
      <c r="AR18" s="151"/>
      <c r="AS18" s="149">
        <v>8.26</v>
      </c>
      <c r="AT18" s="149">
        <v>150.44999999999999</v>
      </c>
      <c r="AU18" s="149">
        <v>1.56</v>
      </c>
      <c r="AV18" s="149"/>
      <c r="AW18" s="149"/>
      <c r="AX18" s="158">
        <f t="shared" si="5"/>
        <v>0</v>
      </c>
      <c r="AY18" s="125">
        <f t="shared" si="6"/>
        <v>115.74999999999999</v>
      </c>
      <c r="AZ18" s="125">
        <f t="shared" si="29"/>
        <v>113.7194176788516</v>
      </c>
      <c r="BA18" s="159">
        <f t="shared" si="7"/>
        <v>5.016495774647888</v>
      </c>
      <c r="BB18" s="160">
        <f t="shared" si="8"/>
        <v>4.63</v>
      </c>
      <c r="BC18" s="161">
        <f t="shared" si="9"/>
        <v>0.89946306952597921</v>
      </c>
      <c r="BD18" s="160">
        <f t="shared" si="24"/>
        <v>9.6464957746478888</v>
      </c>
      <c r="BE18" s="162">
        <v>0.88</v>
      </c>
      <c r="BF18" s="25">
        <f t="shared" si="25"/>
        <v>1518.07</v>
      </c>
      <c r="BG18" s="25">
        <f t="shared" si="10"/>
        <v>114.51612903225806</v>
      </c>
      <c r="BH18" s="25">
        <f t="shared" si="26"/>
        <v>1374.1935483870968</v>
      </c>
      <c r="BI18" s="26">
        <f t="shared" si="11"/>
        <v>1</v>
      </c>
      <c r="BJ18" s="37">
        <f t="shared" si="27"/>
        <v>1374.1935483870968</v>
      </c>
      <c r="BK18" s="38"/>
      <c r="BL18" s="31">
        <v>144.946</v>
      </c>
      <c r="BM18" s="31"/>
      <c r="BN18" s="234"/>
      <c r="BO18" s="42"/>
      <c r="BP18" s="40">
        <v>29.875</v>
      </c>
      <c r="BQ18" s="411">
        <v>72.706999999999994</v>
      </c>
      <c r="BR18" s="41"/>
      <c r="BS18" s="34">
        <v>1</v>
      </c>
      <c r="BT18" s="35"/>
      <c r="BU18" s="28"/>
      <c r="BV18" s="287"/>
      <c r="BW18" s="287">
        <v>1.26</v>
      </c>
      <c r="BX18" s="36"/>
      <c r="BY18" s="34"/>
      <c r="BZ18" s="34">
        <v>37.49</v>
      </c>
      <c r="CA18" s="35"/>
      <c r="CB18" s="405"/>
      <c r="CC18" s="404"/>
      <c r="CD18" s="235">
        <v>35.82</v>
      </c>
      <c r="CE18" s="405">
        <v>43.42</v>
      </c>
      <c r="CF18" s="38">
        <v>93.426000000000002</v>
      </c>
      <c r="CG18" s="42">
        <v>49.52</v>
      </c>
      <c r="CH18" s="234"/>
      <c r="CI18" s="233"/>
      <c r="CJ18" s="33">
        <v>1.31</v>
      </c>
      <c r="CK18" s="33">
        <v>1.31</v>
      </c>
      <c r="CL18" s="33"/>
      <c r="CM18" s="36"/>
      <c r="CN18" s="286"/>
      <c r="CO18" s="249">
        <f t="shared" si="12"/>
        <v>0</v>
      </c>
      <c r="CP18" s="12">
        <f t="shared" si="12"/>
        <v>143.49654000000001</v>
      </c>
      <c r="CQ18" s="12">
        <f t="shared" si="12"/>
        <v>0</v>
      </c>
      <c r="CR18" s="12">
        <f t="shared" si="12"/>
        <v>0</v>
      </c>
      <c r="CS18" s="11">
        <f t="shared" si="12"/>
        <v>0</v>
      </c>
      <c r="CT18" s="11">
        <f t="shared" si="12"/>
        <v>29.498574999999999</v>
      </c>
      <c r="CU18" s="272">
        <f t="shared" si="12"/>
        <v>72.706999999999994</v>
      </c>
      <c r="CV18" s="249">
        <f t="shared" si="13"/>
        <v>92.202119400000001</v>
      </c>
      <c r="CW18" s="11">
        <f t="shared" si="13"/>
        <v>48.871288</v>
      </c>
      <c r="CX18" s="249">
        <f t="shared" si="13"/>
        <v>0</v>
      </c>
      <c r="CY18" s="272">
        <f t="shared" si="13"/>
        <v>0</v>
      </c>
      <c r="CZ18" s="13"/>
      <c r="DA18" s="240">
        <f>(D18+'[2]май 20'!D18)/(AY18+'[2]май 20'!AX18)</f>
        <v>2.2658128205128207</v>
      </c>
      <c r="DB18" s="241">
        <f>(T18+'[2]май 20'!R18)/(AY18+'[2]май 20'!AX18)</f>
        <v>1.3062299718908543</v>
      </c>
      <c r="DD18" s="292">
        <f t="shared" si="14"/>
        <v>5.01</v>
      </c>
      <c r="DE18" s="291">
        <v>0.28999999999999998</v>
      </c>
      <c r="DF18" s="291">
        <v>20.51</v>
      </c>
      <c r="DG18" s="145">
        <f t="shared" si="15"/>
        <v>4.9954709999999993</v>
      </c>
      <c r="DH18" s="293">
        <f t="shared" si="28"/>
        <v>1.3748941252012881</v>
      </c>
      <c r="DJ18" s="322"/>
    </row>
    <row r="19" spans="1:114" s="76" customFormat="1" ht="16.5" customHeight="1" thickBot="1">
      <c r="A19" s="144">
        <v>13</v>
      </c>
      <c r="B19" s="122">
        <f>'[1]май 20'!K18</f>
        <v>285.10500000000002</v>
      </c>
      <c r="C19" s="123">
        <f t="shared" si="16"/>
        <v>0.77247961277424093</v>
      </c>
      <c r="D19" s="145">
        <f t="shared" si="17"/>
        <v>282.90262200000001</v>
      </c>
      <c r="E19" s="125">
        <f t="shared" si="18"/>
        <v>39.471865207555112</v>
      </c>
      <c r="F19" s="146">
        <f t="shared" si="19"/>
        <v>2.33129478368356</v>
      </c>
      <c r="G19" s="127"/>
      <c r="H19" s="126">
        <f t="shared" si="20"/>
        <v>1.6708333086114544</v>
      </c>
      <c r="I19" s="230">
        <f>'[1]июль 20'!AI18</f>
        <v>0</v>
      </c>
      <c r="J19" s="277">
        <f>'[1]май 20'!AA18</f>
        <v>5.6829999999999998</v>
      </c>
      <c r="K19" s="437">
        <f>'[1]сентябрь 20'!AM18</f>
        <v>0</v>
      </c>
      <c r="L19" s="438">
        <f>'[1]май 20'!AE18</f>
        <v>80.147000000000006</v>
      </c>
      <c r="M19" s="443">
        <f t="shared" si="21"/>
        <v>0.66046147507210551</v>
      </c>
      <c r="N19" s="403">
        <f>'[1]май 20'!W18</f>
        <v>1.2130000000000001</v>
      </c>
      <c r="O19" s="453">
        <f>'[1]май 20'!AU18</f>
        <v>0</v>
      </c>
      <c r="P19" s="401">
        <f t="shared" si="0"/>
        <v>164.07499999999999</v>
      </c>
      <c r="Q19" s="122">
        <f>'[1]май 20'!S18</f>
        <v>164.07499999999999</v>
      </c>
      <c r="R19" s="123">
        <f t="shared" si="22"/>
        <v>1.6700000000000002</v>
      </c>
      <c r="S19" s="129">
        <v>4.03</v>
      </c>
      <c r="T19" s="125">
        <f t="shared" si="1"/>
        <v>161.33494749999997</v>
      </c>
      <c r="U19" s="147">
        <f t="shared" si="2"/>
        <v>1.3295010094767201</v>
      </c>
      <c r="V19" s="130"/>
      <c r="W19" s="130">
        <v>31.59</v>
      </c>
      <c r="X19" s="129">
        <v>1.48</v>
      </c>
      <c r="Y19" s="131">
        <v>495</v>
      </c>
      <c r="Z19" s="150">
        <v>1181</v>
      </c>
      <c r="AA19" s="148" t="s">
        <v>260</v>
      </c>
      <c r="AB19" s="149">
        <v>73.239999999999995</v>
      </c>
      <c r="AC19" s="150">
        <v>114</v>
      </c>
      <c r="AD19" s="151">
        <v>4</v>
      </c>
      <c r="AE19" s="149">
        <v>4.0999999999999996</v>
      </c>
      <c r="AF19" s="134">
        <f t="shared" si="3"/>
        <v>33.786567779151213</v>
      </c>
      <c r="AG19" s="152"/>
      <c r="AH19" s="129">
        <v>76.650000000000006</v>
      </c>
      <c r="AI19" s="134">
        <f t="shared" si="4"/>
        <v>631.64400494437587</v>
      </c>
      <c r="AJ19" s="136">
        <v>12.24</v>
      </c>
      <c r="AK19" s="154"/>
      <c r="AL19" s="155">
        <v>5.49</v>
      </c>
      <c r="AM19" s="156">
        <v>29.56</v>
      </c>
      <c r="AN19" s="126">
        <f t="shared" si="23"/>
        <v>0.19114128677659228</v>
      </c>
      <c r="AO19" s="157" t="s">
        <v>261</v>
      </c>
      <c r="AP19" s="156">
        <v>9.43</v>
      </c>
      <c r="AQ19" s="156">
        <v>6.04</v>
      </c>
      <c r="AR19" s="151"/>
      <c r="AS19" s="149">
        <v>8.33</v>
      </c>
      <c r="AT19" s="149">
        <v>154.65</v>
      </c>
      <c r="AU19" s="149">
        <v>1.75</v>
      </c>
      <c r="AV19" s="164"/>
      <c r="AW19" s="149"/>
      <c r="AX19" s="158">
        <f t="shared" si="5"/>
        <v>0</v>
      </c>
      <c r="AY19" s="125">
        <f t="shared" si="6"/>
        <v>121.35</v>
      </c>
      <c r="AZ19" s="125">
        <f t="shared" si="29"/>
        <v>134.52002142322544</v>
      </c>
      <c r="BA19" s="159">
        <f t="shared" si="7"/>
        <v>4.9460841549295775</v>
      </c>
      <c r="BB19" s="160">
        <f t="shared" si="8"/>
        <v>4.8540000000000001</v>
      </c>
      <c r="BC19" s="161">
        <f t="shared" si="9"/>
        <v>0.7959091447035459</v>
      </c>
      <c r="BD19" s="160">
        <f t="shared" si="24"/>
        <v>9.8000841549295785</v>
      </c>
      <c r="BE19" s="162">
        <v>0.873</v>
      </c>
      <c r="BF19" s="25">
        <f t="shared" si="25"/>
        <v>1639.4199999999998</v>
      </c>
      <c r="BG19" s="25">
        <f t="shared" si="10"/>
        <v>114.51612903225806</v>
      </c>
      <c r="BH19" s="25">
        <f t="shared" si="26"/>
        <v>1488.7096774193549</v>
      </c>
      <c r="BI19" s="26">
        <f t="shared" si="11"/>
        <v>1</v>
      </c>
      <c r="BJ19" s="37">
        <f t="shared" si="27"/>
        <v>1488.7096774193549</v>
      </c>
      <c r="BK19" s="38"/>
      <c r="BL19" s="31">
        <v>136.79599999999999</v>
      </c>
      <c r="BM19" s="31">
        <v>25.026</v>
      </c>
      <c r="BN19" s="234"/>
      <c r="BO19" s="42"/>
      <c r="BP19" s="40">
        <v>43.136000000000003</v>
      </c>
      <c r="BQ19" s="411">
        <v>80.147000000000006</v>
      </c>
      <c r="BR19" s="33"/>
      <c r="BS19" s="34">
        <v>1.17</v>
      </c>
      <c r="BT19" s="35">
        <v>0.44</v>
      </c>
      <c r="BU19" s="28"/>
      <c r="BV19" s="287"/>
      <c r="BW19" s="287">
        <v>1.1399999999999999</v>
      </c>
      <c r="BX19" s="36"/>
      <c r="BY19" s="33"/>
      <c r="BZ19" s="34">
        <v>37.86</v>
      </c>
      <c r="CA19" s="35">
        <v>39.520000000000003</v>
      </c>
      <c r="CB19" s="405"/>
      <c r="CC19" s="404"/>
      <c r="CD19" s="235">
        <v>37.35</v>
      </c>
      <c r="CE19" s="413">
        <v>43.35</v>
      </c>
      <c r="CF19" s="41">
        <v>107.081</v>
      </c>
      <c r="CG19" s="41">
        <v>56.994</v>
      </c>
      <c r="CH19" s="30"/>
      <c r="CI19" s="32"/>
      <c r="CJ19" s="33">
        <v>1.67</v>
      </c>
      <c r="CK19" s="33">
        <v>1.67</v>
      </c>
      <c r="CL19" s="33"/>
      <c r="CM19" s="36"/>
      <c r="CN19" s="286"/>
      <c r="CO19" s="249">
        <f t="shared" si="12"/>
        <v>0</v>
      </c>
      <c r="CP19" s="12">
        <f t="shared" si="12"/>
        <v>135.1954868</v>
      </c>
      <c r="CQ19" s="12">
        <f t="shared" si="12"/>
        <v>24.915885599999999</v>
      </c>
      <c r="CR19" s="12">
        <f t="shared" si="12"/>
        <v>0</v>
      </c>
      <c r="CS19" s="11">
        <f t="shared" si="12"/>
        <v>0</v>
      </c>
      <c r="CT19" s="11">
        <f t="shared" si="12"/>
        <v>42.644249600000002</v>
      </c>
      <c r="CU19" s="272">
        <f t="shared" si="12"/>
        <v>80.147000000000006</v>
      </c>
      <c r="CV19" s="249">
        <f t="shared" si="13"/>
        <v>105.2927473</v>
      </c>
      <c r="CW19" s="251">
        <f t="shared" si="13"/>
        <v>56.042200199999996</v>
      </c>
      <c r="CX19" s="249">
        <f t="shared" si="13"/>
        <v>0</v>
      </c>
      <c r="CY19" s="272">
        <f t="shared" si="13"/>
        <v>0</v>
      </c>
      <c r="CZ19" s="13"/>
      <c r="DA19" s="240">
        <f>(D19+'[2]май 20'!D19)/(AY19+'[2]май 20'!AX19)</f>
        <v>2.3758775719479459</v>
      </c>
      <c r="DB19" s="241">
        <f>(T19+'[2]май 20'!R19)/(AY19+'[2]май 20'!AX19)</f>
        <v>1.3596036407189696</v>
      </c>
      <c r="DD19" s="292">
        <f t="shared" si="14"/>
        <v>5.6829999999999998</v>
      </c>
      <c r="DE19" s="291">
        <v>0.7</v>
      </c>
      <c r="DF19" s="291">
        <v>18.38</v>
      </c>
      <c r="DG19" s="145">
        <f t="shared" si="15"/>
        <v>5.6432190000000002</v>
      </c>
      <c r="DH19" s="293">
        <f t="shared" si="28"/>
        <v>1.4161983235936648</v>
      </c>
      <c r="DJ19" s="322"/>
    </row>
    <row r="20" spans="1:114" s="76" customFormat="1" ht="16.5" customHeight="1" thickBot="1">
      <c r="A20" s="144">
        <v>14</v>
      </c>
      <c r="B20" s="122">
        <f>'[1]май 20'!K19</f>
        <v>255.203</v>
      </c>
      <c r="C20" s="123">
        <f t="shared" si="16"/>
        <v>0.5204894534938852</v>
      </c>
      <c r="D20" s="145">
        <f t="shared" si="17"/>
        <v>253.87469530000001</v>
      </c>
      <c r="E20" s="125">
        <f t="shared" si="18"/>
        <v>38.524923453094203</v>
      </c>
      <c r="F20" s="146">
        <f t="shared" si="19"/>
        <v>2.1863132561143646</v>
      </c>
      <c r="G20" s="127"/>
      <c r="H20" s="126">
        <f t="shared" si="20"/>
        <v>1.8349956536341714</v>
      </c>
      <c r="I20" s="230">
        <f>'[1]июль 20'!AI19</f>
        <v>0</v>
      </c>
      <c r="J20" s="439">
        <f>'[1]май 20'!AA19</f>
        <v>5.05</v>
      </c>
      <c r="K20" s="440">
        <f>'[1]сентябрь 20'!AM19</f>
        <v>0</v>
      </c>
      <c r="L20" s="441">
        <f>'[1]май 20'!AE19</f>
        <v>40.795000000000002</v>
      </c>
      <c r="M20" s="442">
        <f t="shared" si="21"/>
        <v>0.35131760248019289</v>
      </c>
      <c r="N20" s="403">
        <f>'[1]май 20'!W19</f>
        <v>5.4560000000000004</v>
      </c>
      <c r="O20" s="452">
        <f>'[1]май 20'!AU19</f>
        <v>0</v>
      </c>
      <c r="P20" s="401">
        <f t="shared" si="0"/>
        <v>144.25799999999998</v>
      </c>
      <c r="Q20" s="122">
        <f>'[1]май 20'!S19</f>
        <v>144.25800000000001</v>
      </c>
      <c r="R20" s="123">
        <f t="shared" si="22"/>
        <v>1.3999999999999997</v>
      </c>
      <c r="S20" s="129">
        <v>2.13</v>
      </c>
      <c r="T20" s="125">
        <f t="shared" si="1"/>
        <v>142.23838800000001</v>
      </c>
      <c r="U20" s="147">
        <f t="shared" si="2"/>
        <v>1.224925835342749</v>
      </c>
      <c r="V20" s="130">
        <v>24.63</v>
      </c>
      <c r="W20" s="130"/>
      <c r="X20" s="129">
        <v>1.46</v>
      </c>
      <c r="Y20" s="131">
        <v>508</v>
      </c>
      <c r="Z20" s="150">
        <v>1180</v>
      </c>
      <c r="AA20" s="168" t="s">
        <v>260</v>
      </c>
      <c r="AB20" s="149">
        <v>73.94</v>
      </c>
      <c r="AC20" s="150">
        <v>102</v>
      </c>
      <c r="AD20" s="151">
        <v>4</v>
      </c>
      <c r="AE20" s="149">
        <v>2.75</v>
      </c>
      <c r="AF20" s="134">
        <f t="shared" si="3"/>
        <v>23.682397519807093</v>
      </c>
      <c r="AG20" s="152"/>
      <c r="AH20" s="129">
        <v>89.05</v>
      </c>
      <c r="AI20" s="134">
        <f t="shared" si="4"/>
        <v>766.87909059593517</v>
      </c>
      <c r="AJ20" s="153">
        <v>17.45</v>
      </c>
      <c r="AK20" s="154"/>
      <c r="AL20" s="155">
        <v>6.66</v>
      </c>
      <c r="AM20" s="156">
        <v>29.69</v>
      </c>
      <c r="AN20" s="126">
        <f t="shared" si="23"/>
        <v>0.19707932293395286</v>
      </c>
      <c r="AO20" s="157" t="s">
        <v>264</v>
      </c>
      <c r="AP20" s="156">
        <v>8.9499999999999993</v>
      </c>
      <c r="AQ20" s="156">
        <v>6.18</v>
      </c>
      <c r="AR20" s="149"/>
      <c r="AS20" s="149">
        <v>10.41</v>
      </c>
      <c r="AT20" s="149">
        <v>150.65</v>
      </c>
      <c r="AU20" s="149">
        <v>1.82</v>
      </c>
      <c r="AV20" s="149"/>
      <c r="AW20" s="149"/>
      <c r="AX20" s="158">
        <f t="shared" si="5"/>
        <v>0</v>
      </c>
      <c r="AY20" s="125">
        <f t="shared" si="6"/>
        <v>116.12</v>
      </c>
      <c r="AZ20" s="125">
        <f t="shared" si="29"/>
        <v>116.69370431518976</v>
      </c>
      <c r="BA20" s="159">
        <f t="shared" si="7"/>
        <v>7.1810672535211255</v>
      </c>
      <c r="BB20" s="160">
        <f t="shared" si="8"/>
        <v>4.6448</v>
      </c>
      <c r="BC20" s="161">
        <f t="shared" si="9"/>
        <v>0.87786002639105065</v>
      </c>
      <c r="BD20" s="160">
        <f t="shared" si="24"/>
        <v>11.825867253521125</v>
      </c>
      <c r="BE20" s="162">
        <v>0.874</v>
      </c>
      <c r="BF20" s="25">
        <f t="shared" si="25"/>
        <v>1755.54</v>
      </c>
      <c r="BG20" s="25">
        <f t="shared" si="10"/>
        <v>114.51612903225806</v>
      </c>
      <c r="BH20" s="25">
        <f t="shared" si="26"/>
        <v>1603.2258064516129</v>
      </c>
      <c r="BI20" s="26">
        <f t="shared" si="11"/>
        <v>1</v>
      </c>
      <c r="BJ20" s="37">
        <f t="shared" si="27"/>
        <v>1603.2258064516129</v>
      </c>
      <c r="BK20" s="38"/>
      <c r="BL20" s="31">
        <v>81.564999999999998</v>
      </c>
      <c r="BM20" s="31">
        <v>102.116</v>
      </c>
      <c r="BN20" s="234"/>
      <c r="BO20" s="42"/>
      <c r="BP20" s="40">
        <v>30.727</v>
      </c>
      <c r="BQ20" s="411">
        <v>40.795000000000002</v>
      </c>
      <c r="BR20" s="33"/>
      <c r="BS20" s="34">
        <v>0.76</v>
      </c>
      <c r="BT20" s="35">
        <v>0.45</v>
      </c>
      <c r="BU20" s="28"/>
      <c r="BV20" s="287"/>
      <c r="BW20" s="287">
        <v>0.81</v>
      </c>
      <c r="BX20" s="36"/>
      <c r="BY20" s="33"/>
      <c r="BZ20" s="34">
        <v>37.4</v>
      </c>
      <c r="CA20" s="35">
        <v>38.79</v>
      </c>
      <c r="CB20" s="405"/>
      <c r="CC20" s="404"/>
      <c r="CD20" s="235">
        <v>35.950000000000003</v>
      </c>
      <c r="CE20" s="413">
        <v>42.05</v>
      </c>
      <c r="CF20" s="30">
        <v>93.323999999999998</v>
      </c>
      <c r="CG20" s="30">
        <v>50.933999999999997</v>
      </c>
      <c r="CH20" s="31"/>
      <c r="CI20" s="32"/>
      <c r="CJ20" s="33">
        <v>1.4</v>
      </c>
      <c r="CK20" s="33">
        <v>1.4</v>
      </c>
      <c r="CL20" s="35"/>
      <c r="CM20" s="36"/>
      <c r="CN20" s="286"/>
      <c r="CO20" s="249">
        <f t="shared" si="12"/>
        <v>0</v>
      </c>
      <c r="CP20" s="12">
        <f t="shared" si="12"/>
        <v>80.945105999999996</v>
      </c>
      <c r="CQ20" s="12">
        <f t="shared" si="12"/>
        <v>101.65647799999999</v>
      </c>
      <c r="CR20" s="12">
        <f t="shared" si="12"/>
        <v>0</v>
      </c>
      <c r="CS20" s="11">
        <f t="shared" si="12"/>
        <v>0</v>
      </c>
      <c r="CT20" s="11">
        <f t="shared" si="12"/>
        <v>30.478111300000002</v>
      </c>
      <c r="CU20" s="272">
        <f t="shared" si="12"/>
        <v>40.795000000000002</v>
      </c>
      <c r="CV20" s="249">
        <f t="shared" si="13"/>
        <v>92.017464000000004</v>
      </c>
      <c r="CW20" s="12">
        <f t="shared" si="13"/>
        <v>50.220923999999997</v>
      </c>
      <c r="CX20" s="249">
        <f t="shared" si="13"/>
        <v>0</v>
      </c>
      <c r="CY20" s="272">
        <f t="shared" si="13"/>
        <v>0</v>
      </c>
      <c r="CZ20" s="13"/>
      <c r="DA20" s="240">
        <f>(D20+'[2]май 20'!D20)/(AY20+'[2]май 20'!AX20)</f>
        <v>2.3264446073333782</v>
      </c>
      <c r="DB20" s="241">
        <f>(T20+'[2]май 20'!R20)/(AY20+'[2]май 20'!AX20)</f>
        <v>1.3065648862178405</v>
      </c>
      <c r="DD20" s="292">
        <f t="shared" si="14"/>
        <v>5.05</v>
      </c>
      <c r="DE20" s="291">
        <v>0.21</v>
      </c>
      <c r="DF20" s="407">
        <v>17.850000000000001</v>
      </c>
      <c r="DG20" s="145">
        <f t="shared" si="15"/>
        <v>5.0393949999999998</v>
      </c>
      <c r="DH20" s="293">
        <f t="shared" si="28"/>
        <v>1.2165702021909659</v>
      </c>
      <c r="DJ20" s="322"/>
    </row>
    <row r="21" spans="1:114" s="76" customFormat="1" ht="16.5" customHeight="1" thickBot="1">
      <c r="A21" s="144">
        <v>15</v>
      </c>
      <c r="B21" s="122">
        <f>'[1]май 20'!K20</f>
        <v>270.161</v>
      </c>
      <c r="C21" s="123">
        <f t="shared" si="16"/>
        <v>0.51133457456849807</v>
      </c>
      <c r="D21" s="145">
        <f t="shared" si="17"/>
        <v>268.7795734</v>
      </c>
      <c r="E21" s="125">
        <f t="shared" si="18"/>
        <v>38.635120169084352</v>
      </c>
      <c r="F21" s="146">
        <f t="shared" si="19"/>
        <v>2.3279020734453488</v>
      </c>
      <c r="G21" s="127"/>
      <c r="H21" s="126">
        <f t="shared" si="20"/>
        <v>1.9539197419019572</v>
      </c>
      <c r="I21" s="230">
        <f>'[1]июль 20'!AI20</f>
        <v>0</v>
      </c>
      <c r="J21" s="277">
        <f>'[1]май 20'!AA20</f>
        <v>5.3879999999999999</v>
      </c>
      <c r="K21" s="437">
        <f>'[1]сентябрь 20'!AM20</f>
        <v>0</v>
      </c>
      <c r="L21" s="438">
        <f>'[1]май 20'!AE20</f>
        <v>43.18</v>
      </c>
      <c r="M21" s="443">
        <f t="shared" si="21"/>
        <v>0.37398233154339161</v>
      </c>
      <c r="N21" s="403">
        <f>'[1]май 20'!W20</f>
        <v>7.399</v>
      </c>
      <c r="O21" s="453">
        <f>'[1]май 20'!AU20</f>
        <v>0</v>
      </c>
      <c r="P21" s="401">
        <f t="shared" si="0"/>
        <v>153.102</v>
      </c>
      <c r="Q21" s="122">
        <f>'[1]май 20'!S20</f>
        <v>153.102</v>
      </c>
      <c r="R21" s="123">
        <f t="shared" si="22"/>
        <v>1.42</v>
      </c>
      <c r="S21" s="129">
        <v>2.56</v>
      </c>
      <c r="T21" s="125">
        <f t="shared" si="1"/>
        <v>150.9279516</v>
      </c>
      <c r="U21" s="147">
        <f t="shared" si="2"/>
        <v>1.3071882175645244</v>
      </c>
      <c r="V21" s="130"/>
      <c r="W21" s="130">
        <v>85.68</v>
      </c>
      <c r="X21" s="129">
        <v>0.89</v>
      </c>
      <c r="Y21" s="131">
        <v>492</v>
      </c>
      <c r="Z21" s="150">
        <v>1183</v>
      </c>
      <c r="AA21" s="168" t="s">
        <v>265</v>
      </c>
      <c r="AB21" s="149">
        <v>74.67</v>
      </c>
      <c r="AC21" s="150">
        <v>108</v>
      </c>
      <c r="AD21" s="151">
        <v>4</v>
      </c>
      <c r="AE21" s="149">
        <v>2.75</v>
      </c>
      <c r="AF21" s="134">
        <f t="shared" si="3"/>
        <v>23.817772388706043</v>
      </c>
      <c r="AG21" s="152"/>
      <c r="AH21" s="129">
        <v>90.7</v>
      </c>
      <c r="AI21" s="134">
        <f t="shared" si="4"/>
        <v>785.55343842023206</v>
      </c>
      <c r="AJ21" s="136">
        <v>15.43</v>
      </c>
      <c r="AK21" s="154"/>
      <c r="AL21" s="155">
        <v>4.92</v>
      </c>
      <c r="AM21" s="156">
        <v>30.52</v>
      </c>
      <c r="AN21" s="126">
        <f t="shared" si="23"/>
        <v>0.20524546065904506</v>
      </c>
      <c r="AO21" s="157" t="s">
        <v>266</v>
      </c>
      <c r="AP21" s="156">
        <v>9.15</v>
      </c>
      <c r="AQ21" s="156">
        <v>6.81</v>
      </c>
      <c r="AR21" s="149"/>
      <c r="AS21" s="149">
        <v>8.98</v>
      </c>
      <c r="AT21" s="149">
        <v>148.69999999999999</v>
      </c>
      <c r="AU21" s="149">
        <v>2.2000000000000002</v>
      </c>
      <c r="AV21" s="149"/>
      <c r="AW21" s="149"/>
      <c r="AX21" s="158">
        <f t="shared" si="5"/>
        <v>0</v>
      </c>
      <c r="AY21" s="125">
        <f t="shared" si="6"/>
        <v>115.46000000000001</v>
      </c>
      <c r="AZ21" s="125">
        <f t="shared" si="29"/>
        <v>122.82342283453315</v>
      </c>
      <c r="BA21" s="159">
        <f t="shared" si="7"/>
        <v>6.3093985915492965</v>
      </c>
      <c r="BB21" s="160">
        <f t="shared" si="8"/>
        <v>4.6184000000000003</v>
      </c>
      <c r="BC21" s="161">
        <f t="shared" si="9"/>
        <v>0.83023144221908407</v>
      </c>
      <c r="BD21" s="160">
        <f t="shared" si="24"/>
        <v>10.927798591549298</v>
      </c>
      <c r="BE21" s="162">
        <v>0.871</v>
      </c>
      <c r="BF21" s="25">
        <f t="shared" si="25"/>
        <v>1871</v>
      </c>
      <c r="BG21" s="25">
        <f t="shared" si="10"/>
        <v>114.51612903225806</v>
      </c>
      <c r="BH21" s="25">
        <f t="shared" si="26"/>
        <v>1717.741935483871</v>
      </c>
      <c r="BI21" s="26">
        <f t="shared" si="11"/>
        <v>1</v>
      </c>
      <c r="BJ21" s="37">
        <f t="shared" si="27"/>
        <v>1717.741935483871</v>
      </c>
      <c r="BK21" s="38"/>
      <c r="BL21" s="31">
        <v>86.45</v>
      </c>
      <c r="BM21" s="31">
        <v>108.075</v>
      </c>
      <c r="BN21" s="234"/>
      <c r="BO21" s="42"/>
      <c r="BP21" s="40">
        <v>32.456000000000003</v>
      </c>
      <c r="BQ21" s="411">
        <v>43.18</v>
      </c>
      <c r="BR21" s="33"/>
      <c r="BS21" s="34">
        <v>0.6</v>
      </c>
      <c r="BT21" s="35">
        <v>0.54</v>
      </c>
      <c r="BU21" s="35"/>
      <c r="BV21" s="235"/>
      <c r="BW21" s="235">
        <v>0.86</v>
      </c>
      <c r="BX21" s="36"/>
      <c r="BY21" s="33"/>
      <c r="BZ21" s="34">
        <v>37.86</v>
      </c>
      <c r="CA21" s="35">
        <v>38.58</v>
      </c>
      <c r="CB21" s="405"/>
      <c r="CC21" s="404"/>
      <c r="CD21" s="235">
        <v>34.85</v>
      </c>
      <c r="CE21" s="413">
        <v>43.17</v>
      </c>
      <c r="CF21" s="30">
        <v>99.08</v>
      </c>
      <c r="CG21" s="30">
        <v>54.021999999999998</v>
      </c>
      <c r="CH21" s="31"/>
      <c r="CI21" s="32"/>
      <c r="CJ21" s="33">
        <v>1.42</v>
      </c>
      <c r="CK21" s="33">
        <v>1.42</v>
      </c>
      <c r="CL21" s="35"/>
      <c r="CM21" s="36"/>
      <c r="CN21" s="286"/>
      <c r="CO21" s="249">
        <f t="shared" si="12"/>
        <v>0</v>
      </c>
      <c r="CP21" s="12">
        <f t="shared" si="12"/>
        <v>85.931300000000007</v>
      </c>
      <c r="CQ21" s="12">
        <f t="shared" si="12"/>
        <v>107.491395</v>
      </c>
      <c r="CR21" s="12">
        <f t="shared" si="12"/>
        <v>0</v>
      </c>
      <c r="CS21" s="11">
        <f t="shared" si="12"/>
        <v>0</v>
      </c>
      <c r="CT21" s="11">
        <f t="shared" si="12"/>
        <v>32.176878400000007</v>
      </c>
      <c r="CU21" s="272">
        <f t="shared" si="12"/>
        <v>43.18</v>
      </c>
      <c r="CV21" s="249">
        <f t="shared" si="13"/>
        <v>97.673063999999997</v>
      </c>
      <c r="CW21" s="12">
        <f t="shared" si="13"/>
        <v>53.254887599999996</v>
      </c>
      <c r="CX21" s="249">
        <f t="shared" si="13"/>
        <v>0</v>
      </c>
      <c r="CY21" s="272">
        <f t="shared" si="13"/>
        <v>0</v>
      </c>
      <c r="CZ21" s="13"/>
      <c r="DA21" s="240">
        <f>(D21+'[2]май 20'!D21)/(AY21+'[2]май 20'!AX21)</f>
        <v>2.3769018969111841</v>
      </c>
      <c r="DB21" s="241">
        <f>(T21+'[2]май 20'!R21)/(AY21+'[2]май 20'!AX21)</f>
        <v>1.3401159559932001</v>
      </c>
      <c r="DD21" s="292">
        <f t="shared" si="14"/>
        <v>5.3879999999999999</v>
      </c>
      <c r="DE21" s="291">
        <v>0.11</v>
      </c>
      <c r="DF21" s="291">
        <v>19.64</v>
      </c>
      <c r="DG21" s="145">
        <f t="shared" si="15"/>
        <v>5.3820731999999998</v>
      </c>
      <c r="DH21" s="293">
        <f t="shared" si="28"/>
        <v>1.415614271434311</v>
      </c>
      <c r="DJ21" s="322"/>
    </row>
    <row r="22" spans="1:114" s="76" customFormat="1" ht="16.5" customHeight="1" thickBot="1">
      <c r="A22" s="144">
        <v>16</v>
      </c>
      <c r="B22" s="122">
        <f>'[1]май 20'!K21</f>
        <v>220.14099999999999</v>
      </c>
      <c r="C22" s="123">
        <f t="shared" si="16"/>
        <v>0.52251189010679511</v>
      </c>
      <c r="D22" s="145">
        <f t="shared" si="17"/>
        <v>218.99073709999996</v>
      </c>
      <c r="E22" s="125">
        <f t="shared" si="18"/>
        <v>38.165167460854633</v>
      </c>
      <c r="F22" s="146">
        <f t="shared" si="19"/>
        <v>2.2676891073832453</v>
      </c>
      <c r="G22" s="127"/>
      <c r="H22" s="126">
        <f t="shared" si="20"/>
        <v>1.9031763187325257</v>
      </c>
      <c r="I22" s="230">
        <f>'[1]июль 20'!AI21</f>
        <v>0</v>
      </c>
      <c r="J22" s="439">
        <f>'[1]май 20'!AA21</f>
        <v>6.3689999999999998</v>
      </c>
      <c r="K22" s="440">
        <f>'[1]сентябрь 20'!AM21</f>
        <v>0</v>
      </c>
      <c r="L22" s="441">
        <f>'[1]май 20'!AE21</f>
        <v>35.201000000000001</v>
      </c>
      <c r="M22" s="442">
        <f t="shared" si="21"/>
        <v>0.36451278865071973</v>
      </c>
      <c r="N22" s="403">
        <f>'[1]май 20'!W21</f>
        <v>6.9930000000000003</v>
      </c>
      <c r="O22" s="452">
        <f>'[1]май 20'!AU21</f>
        <v>0</v>
      </c>
      <c r="P22" s="401">
        <f t="shared" si="0"/>
        <v>124.60299999999999</v>
      </c>
      <c r="Q22" s="122">
        <f>'[1]май 20'!S21</f>
        <v>124.60299999999999</v>
      </c>
      <c r="R22" s="123">
        <f t="shared" si="22"/>
        <v>1.44</v>
      </c>
      <c r="S22" s="129"/>
      <c r="T22" s="125">
        <f t="shared" si="1"/>
        <v>122.8087168</v>
      </c>
      <c r="U22" s="147">
        <f t="shared" si="2"/>
        <v>1.2717067080873978</v>
      </c>
      <c r="V22" s="130">
        <v>53.67</v>
      </c>
      <c r="W22" s="130">
        <v>44.27</v>
      </c>
      <c r="X22" s="129">
        <v>0.83</v>
      </c>
      <c r="Y22" s="131">
        <v>497</v>
      </c>
      <c r="Z22" s="150">
        <v>1172</v>
      </c>
      <c r="AA22" s="148" t="s">
        <v>267</v>
      </c>
      <c r="AB22" s="149">
        <v>74.930000000000007</v>
      </c>
      <c r="AC22" s="150">
        <v>88</v>
      </c>
      <c r="AD22" s="151">
        <v>4</v>
      </c>
      <c r="AE22" s="149">
        <v>1.25</v>
      </c>
      <c r="AF22" s="134">
        <f t="shared" si="3"/>
        <v>12.943978461219842</v>
      </c>
      <c r="AG22" s="152"/>
      <c r="AH22" s="129">
        <v>77.599999999999994</v>
      </c>
      <c r="AI22" s="134">
        <f t="shared" si="4"/>
        <v>803.56218287252773</v>
      </c>
      <c r="AJ22" s="153">
        <v>12.2</v>
      </c>
      <c r="AK22" s="154"/>
      <c r="AL22" s="155">
        <v>5.67</v>
      </c>
      <c r="AM22" s="156">
        <v>28.26</v>
      </c>
      <c r="AN22" s="126">
        <f t="shared" si="23"/>
        <v>0.21881533101045297</v>
      </c>
      <c r="AO22" s="157" t="s">
        <v>268</v>
      </c>
      <c r="AP22" s="156">
        <v>8.74</v>
      </c>
      <c r="AQ22" s="156">
        <v>6.91</v>
      </c>
      <c r="AR22" s="151"/>
      <c r="AS22" s="149">
        <v>9.99</v>
      </c>
      <c r="AT22" s="149">
        <v>129.15</v>
      </c>
      <c r="AU22" s="149">
        <v>1.35</v>
      </c>
      <c r="AV22" s="149"/>
      <c r="AW22" s="149"/>
      <c r="AX22" s="158">
        <f t="shared" si="5"/>
        <v>0</v>
      </c>
      <c r="AY22" s="125">
        <f t="shared" si="6"/>
        <v>96.57</v>
      </c>
      <c r="AZ22" s="125">
        <f t="shared" si="29"/>
        <v>98.862647689993437</v>
      </c>
      <c r="BA22" s="159">
        <f t="shared" si="7"/>
        <v>6.0052563380281683</v>
      </c>
      <c r="BB22" s="160">
        <f t="shared" si="8"/>
        <v>3.8628</v>
      </c>
      <c r="BC22" s="161">
        <f t="shared" si="9"/>
        <v>0.86577501051661765</v>
      </c>
      <c r="BD22" s="160">
        <f t="shared" si="24"/>
        <v>9.8680563380281683</v>
      </c>
      <c r="BE22" s="162">
        <v>0.871</v>
      </c>
      <c r="BF22" s="25">
        <f t="shared" si="25"/>
        <v>1967.57</v>
      </c>
      <c r="BG22" s="25">
        <f t="shared" si="10"/>
        <v>114.51612903225806</v>
      </c>
      <c r="BH22" s="25">
        <f t="shared" si="26"/>
        <v>1832.258064516129</v>
      </c>
      <c r="BI22" s="26">
        <f t="shared" si="11"/>
        <v>1</v>
      </c>
      <c r="BJ22" s="37">
        <f t="shared" si="27"/>
        <v>1832.258064516129</v>
      </c>
      <c r="BK22" s="38"/>
      <c r="BL22" s="31">
        <v>70.427999999999997</v>
      </c>
      <c r="BM22" s="31">
        <v>88.043000000000006</v>
      </c>
      <c r="BN22" s="234"/>
      <c r="BO22" s="42"/>
      <c r="BP22" s="40">
        <v>26.469000000000001</v>
      </c>
      <c r="BQ22" s="411">
        <v>35.201000000000001</v>
      </c>
      <c r="BR22" s="33"/>
      <c r="BS22" s="34">
        <v>0.78</v>
      </c>
      <c r="BT22" s="35">
        <v>0.43</v>
      </c>
      <c r="BU22" s="35"/>
      <c r="BV22" s="235"/>
      <c r="BW22" s="235">
        <v>0.84</v>
      </c>
      <c r="BX22" s="36"/>
      <c r="BY22" s="33"/>
      <c r="BZ22" s="34">
        <v>37.340000000000003</v>
      </c>
      <c r="CA22" s="35">
        <v>37.94</v>
      </c>
      <c r="CB22" s="405"/>
      <c r="CC22" s="404"/>
      <c r="CD22" s="235">
        <v>34.64</v>
      </c>
      <c r="CE22" s="413">
        <v>43.03</v>
      </c>
      <c r="CF22" s="30">
        <v>80.584999999999994</v>
      </c>
      <c r="CG22" s="30">
        <v>44.018000000000001</v>
      </c>
      <c r="CH22" s="31"/>
      <c r="CI22" s="32"/>
      <c r="CJ22" s="33">
        <v>1.44</v>
      </c>
      <c r="CK22" s="33">
        <v>1.44</v>
      </c>
      <c r="CL22" s="35"/>
      <c r="CM22" s="36"/>
      <c r="CN22" s="286"/>
      <c r="CO22" s="249">
        <f t="shared" si="12"/>
        <v>0</v>
      </c>
      <c r="CP22" s="12">
        <f t="shared" si="12"/>
        <v>69.878661600000001</v>
      </c>
      <c r="CQ22" s="12">
        <f t="shared" si="12"/>
        <v>87.664415099999999</v>
      </c>
      <c r="CR22" s="12">
        <f t="shared" si="12"/>
        <v>0</v>
      </c>
      <c r="CS22" s="11">
        <f t="shared" si="12"/>
        <v>0</v>
      </c>
      <c r="CT22" s="11">
        <f t="shared" si="12"/>
        <v>26.2466604</v>
      </c>
      <c r="CU22" s="272">
        <f t="shared" si="12"/>
        <v>35.201000000000001</v>
      </c>
      <c r="CV22" s="249">
        <f t="shared" si="13"/>
        <v>79.424576000000002</v>
      </c>
      <c r="CW22" s="12">
        <f t="shared" si="13"/>
        <v>43.384140800000004</v>
      </c>
      <c r="CX22" s="249">
        <f t="shared" si="13"/>
        <v>0</v>
      </c>
      <c r="CY22" s="272">
        <f t="shared" si="13"/>
        <v>0</v>
      </c>
      <c r="CZ22" s="13"/>
      <c r="DA22" s="240">
        <f>(D22+'[2]май 20'!D22)/(AY22+'[2]май 20'!AX22)</f>
        <v>2.3488572586580094</v>
      </c>
      <c r="DB22" s="241">
        <f>(T22+'[2]май 20'!R22)/(AY22+'[2]май 20'!AX22)</f>
        <v>1.3176360634920639</v>
      </c>
      <c r="DD22" s="292">
        <f t="shared" si="14"/>
        <v>6.3689999999999998</v>
      </c>
      <c r="DE22" s="291">
        <v>0.22</v>
      </c>
      <c r="DF22" s="291">
        <v>17.53</v>
      </c>
      <c r="DG22" s="145">
        <f t="shared" si="15"/>
        <v>6.3549882000000002</v>
      </c>
      <c r="DH22" s="293">
        <f t="shared" si="28"/>
        <v>1.4867602181502735</v>
      </c>
      <c r="DJ22" s="322"/>
    </row>
    <row r="23" spans="1:114" s="76" customFormat="1" ht="16.5" customHeight="1" thickBot="1">
      <c r="A23" s="144">
        <v>17</v>
      </c>
      <c r="B23" s="122">
        <f>'[1]май 20'!K22</f>
        <v>234.99</v>
      </c>
      <c r="C23" s="123">
        <f t="shared" si="16"/>
        <v>0.33175564917656064</v>
      </c>
      <c r="D23" s="145">
        <f t="shared" si="17"/>
        <v>234.21040740000001</v>
      </c>
      <c r="E23" s="125">
        <f t="shared" si="18"/>
        <v>38.575661560066386</v>
      </c>
      <c r="F23" s="146">
        <f t="shared" si="19"/>
        <v>2.5137963657829769</v>
      </c>
      <c r="G23" s="127"/>
      <c r="H23" s="126">
        <f t="shared" si="20"/>
        <v>2.0874466824085003</v>
      </c>
      <c r="I23" s="230">
        <f>'[1]июль 20'!AI22</f>
        <v>0</v>
      </c>
      <c r="J23" s="277">
        <f>'[1]май 20'!AA22</f>
        <v>4.633</v>
      </c>
      <c r="K23" s="437">
        <f>'[1]сентябрь 20'!AM22</f>
        <v>0</v>
      </c>
      <c r="L23" s="438">
        <f>'[1]май 20'!AE22</f>
        <v>39.722999999999999</v>
      </c>
      <c r="M23" s="443">
        <f t="shared" si="21"/>
        <v>0.42634968337447671</v>
      </c>
      <c r="N23" s="403">
        <f>'[1]май 20'!W22</f>
        <v>9.4030000000000005</v>
      </c>
      <c r="O23" s="453">
        <f>'[1]май 20'!AU22</f>
        <v>0</v>
      </c>
      <c r="P23" s="401">
        <f t="shared" si="0"/>
        <v>134.93299999999999</v>
      </c>
      <c r="Q23" s="122">
        <f>'[1]май 20'!S22</f>
        <v>134.93299999999999</v>
      </c>
      <c r="R23" s="123">
        <f t="shared" si="22"/>
        <v>1.4100000000000001</v>
      </c>
      <c r="S23" s="129">
        <v>22.01</v>
      </c>
      <c r="T23" s="125">
        <f t="shared" si="1"/>
        <v>133.0304447</v>
      </c>
      <c r="U23" s="147">
        <f t="shared" si="2"/>
        <v>1.4278248867661263</v>
      </c>
      <c r="V23" s="130">
        <v>45.32</v>
      </c>
      <c r="W23" s="130">
        <v>49.02</v>
      </c>
      <c r="X23" s="129">
        <v>0.82</v>
      </c>
      <c r="Y23" s="131">
        <v>483</v>
      </c>
      <c r="Z23" s="150">
        <v>1167</v>
      </c>
      <c r="AA23" s="148" t="s">
        <v>269</v>
      </c>
      <c r="AB23" s="149">
        <v>75.02</v>
      </c>
      <c r="AC23" s="150">
        <v>94</v>
      </c>
      <c r="AD23" s="151">
        <v>4</v>
      </c>
      <c r="AE23" s="149">
        <v>1.55</v>
      </c>
      <c r="AF23" s="134">
        <f t="shared" si="3"/>
        <v>16.63625630567779</v>
      </c>
      <c r="AG23" s="152"/>
      <c r="AH23" s="129">
        <v>71.05</v>
      </c>
      <c r="AI23" s="134">
        <f t="shared" si="4"/>
        <v>762.58452291510127</v>
      </c>
      <c r="AJ23" s="136">
        <v>10.76</v>
      </c>
      <c r="AK23" s="154"/>
      <c r="AL23" s="155">
        <v>4.82</v>
      </c>
      <c r="AM23" s="156">
        <v>24.69</v>
      </c>
      <c r="AN23" s="126">
        <f t="shared" si="23"/>
        <v>0.20295930949445129</v>
      </c>
      <c r="AO23" s="157" t="s">
        <v>270</v>
      </c>
      <c r="AP23" s="156">
        <v>8.89</v>
      </c>
      <c r="AQ23" s="156">
        <v>6.9</v>
      </c>
      <c r="AR23" s="151"/>
      <c r="AS23" s="149">
        <v>9.93</v>
      </c>
      <c r="AT23" s="149">
        <v>121.65</v>
      </c>
      <c r="AU23" s="149">
        <v>1.03</v>
      </c>
      <c r="AV23" s="149"/>
      <c r="AW23" s="149"/>
      <c r="AX23" s="158">
        <f t="shared" si="5"/>
        <v>0</v>
      </c>
      <c r="AY23" s="125">
        <f t="shared" si="6"/>
        <v>93.170000000000016</v>
      </c>
      <c r="AZ23" s="125">
        <f t="shared" si="29"/>
        <v>106.30292022675013</v>
      </c>
      <c r="BA23" s="159">
        <f t="shared" si="7"/>
        <v>5.4653461267605623</v>
      </c>
      <c r="BB23" s="160">
        <f t="shared" si="8"/>
        <v>3.7268000000000008</v>
      </c>
      <c r="BC23" s="161">
        <f>IF((D23*E23)=0,0,(AY23*AB23)/(D23*E23))</f>
        <v>0.77363049949054363</v>
      </c>
      <c r="BD23" s="160">
        <f t="shared" si="24"/>
        <v>9.1921461267605622</v>
      </c>
      <c r="BE23" s="162">
        <v>0.86599999999999999</v>
      </c>
      <c r="BF23" s="25">
        <f t="shared" si="25"/>
        <v>2060.7399999999998</v>
      </c>
      <c r="BG23" s="25">
        <f t="shared" si="10"/>
        <v>114.51612903225806</v>
      </c>
      <c r="BH23" s="25">
        <f t="shared" si="26"/>
        <v>1946.7741935483871</v>
      </c>
      <c r="BI23" s="26">
        <f t="shared" si="11"/>
        <v>1</v>
      </c>
      <c r="BJ23" s="37">
        <f t="shared" si="27"/>
        <v>1946.7741935483871</v>
      </c>
      <c r="BK23" s="38"/>
      <c r="BL23" s="31">
        <v>73.05</v>
      </c>
      <c r="BM23" s="31">
        <v>94.028999999999996</v>
      </c>
      <c r="BN23" s="234"/>
      <c r="BO23" s="42"/>
      <c r="BP23" s="40">
        <v>28.187999999999999</v>
      </c>
      <c r="BQ23" s="411">
        <v>39.722999999999999</v>
      </c>
      <c r="BR23" s="33"/>
      <c r="BS23" s="34">
        <v>0.21</v>
      </c>
      <c r="BT23" s="35">
        <v>0.6</v>
      </c>
      <c r="BU23" s="35"/>
      <c r="BV23" s="235"/>
      <c r="BW23" s="235">
        <v>0.22</v>
      </c>
      <c r="BX23" s="36"/>
      <c r="BY23" s="33"/>
      <c r="BZ23" s="34">
        <v>37.49</v>
      </c>
      <c r="CA23" s="35">
        <v>38.39</v>
      </c>
      <c r="CB23" s="405"/>
      <c r="CC23" s="404"/>
      <c r="CD23" s="235">
        <v>35.520000000000003</v>
      </c>
      <c r="CE23" s="413">
        <v>43.18</v>
      </c>
      <c r="CF23" s="30">
        <v>87.93</v>
      </c>
      <c r="CG23" s="30">
        <v>47.003</v>
      </c>
      <c r="CH23" s="31"/>
      <c r="CI23" s="32"/>
      <c r="CJ23" s="33">
        <v>1.41</v>
      </c>
      <c r="CK23" s="33">
        <v>1.41</v>
      </c>
      <c r="CL23" s="35"/>
      <c r="CM23" s="36"/>
      <c r="CN23" s="286"/>
      <c r="CO23" s="249">
        <f t="shared" ref="CO23:CU37" si="30">BK23*((100-BR23)/100)</f>
        <v>0</v>
      </c>
      <c r="CP23" s="12">
        <f t="shared" si="30"/>
        <v>72.896595000000005</v>
      </c>
      <c r="CQ23" s="12">
        <f t="shared" si="30"/>
        <v>93.464826000000002</v>
      </c>
      <c r="CR23" s="12">
        <f t="shared" si="30"/>
        <v>0</v>
      </c>
      <c r="CS23" s="11">
        <f t="shared" si="30"/>
        <v>0</v>
      </c>
      <c r="CT23" s="11">
        <f t="shared" si="30"/>
        <v>28.125986399999999</v>
      </c>
      <c r="CU23" s="272">
        <f t="shared" si="30"/>
        <v>39.722999999999999</v>
      </c>
      <c r="CV23" s="249">
        <f t="shared" si="13"/>
        <v>86.690187000000009</v>
      </c>
      <c r="CW23" s="11">
        <f t="shared" si="13"/>
        <v>46.340257700000002</v>
      </c>
      <c r="CX23" s="249">
        <f t="shared" si="13"/>
        <v>0</v>
      </c>
      <c r="CY23" s="272">
        <f t="shared" si="13"/>
        <v>0</v>
      </c>
      <c r="CZ23" s="13"/>
      <c r="DA23" s="240">
        <f>(D23+'[2]май 20'!D23)/(AY23+'[2]май 20'!AX23)</f>
        <v>2.4104417689504896</v>
      </c>
      <c r="DB23" s="241">
        <f>(T23+'[2]май 20'!R23)/(AY23+'[2]май 20'!AX23)</f>
        <v>1.3580425973422876</v>
      </c>
      <c r="DD23" s="292">
        <f t="shared" si="14"/>
        <v>4.633</v>
      </c>
      <c r="DE23" s="291">
        <v>0.24</v>
      </c>
      <c r="DF23" s="291">
        <v>18.920000000000002</v>
      </c>
      <c r="DG23" s="145">
        <f t="shared" si="15"/>
        <v>4.6218808000000005</v>
      </c>
      <c r="DH23" s="293">
        <f t="shared" si="28"/>
        <v>1.1656356269794723</v>
      </c>
      <c r="DJ23" s="322"/>
    </row>
    <row r="24" spans="1:114" s="76" customFormat="1" ht="16.5" customHeight="1" thickBot="1">
      <c r="A24" s="144">
        <v>18</v>
      </c>
      <c r="B24" s="122">
        <f>'[1]май 20'!K23</f>
        <v>200.07599999999999</v>
      </c>
      <c r="C24" s="123">
        <f t="shared" si="16"/>
        <v>0.37976423958895617</v>
      </c>
      <c r="D24" s="145">
        <f t="shared" si="17"/>
        <v>199.3161829</v>
      </c>
      <c r="E24" s="125">
        <f t="shared" si="18"/>
        <v>39.1015810492013</v>
      </c>
      <c r="F24" s="146">
        <f t="shared" si="19"/>
        <v>2.4677006673269779</v>
      </c>
      <c r="G24" s="127">
        <v>12.99</v>
      </c>
      <c r="H24" s="126">
        <f t="shared" si="20"/>
        <v>1.9686911340844373</v>
      </c>
      <c r="I24" s="230">
        <f>'[1]июль 20'!AI23</f>
        <v>0</v>
      </c>
      <c r="J24" s="439">
        <f>'[1]май 20'!AA23</f>
        <v>4.0259999999999998</v>
      </c>
      <c r="K24" s="440">
        <f>'[1]сентябрь 20'!AM23</f>
        <v>0</v>
      </c>
      <c r="L24" s="441">
        <f>'[1]май 20'!AE23</f>
        <v>40.305</v>
      </c>
      <c r="M24" s="442">
        <f t="shared" si="21"/>
        <v>0.49900953324254055</v>
      </c>
      <c r="N24" s="403">
        <f>'[1]май 20'!W23</f>
        <v>8.8450000000000006</v>
      </c>
      <c r="O24" s="452">
        <f>'[1]май 20'!AU23</f>
        <v>0</v>
      </c>
      <c r="P24" s="401">
        <f t="shared" si="0"/>
        <v>114.08799999999999</v>
      </c>
      <c r="Q24" s="122">
        <f>'[1]май 20'!S23</f>
        <v>114.08799999999999</v>
      </c>
      <c r="R24" s="123">
        <f t="shared" si="22"/>
        <v>1.3700000000000003</v>
      </c>
      <c r="S24" s="129">
        <v>3.43</v>
      </c>
      <c r="T24" s="125">
        <f t="shared" si="1"/>
        <v>112.52499439999998</v>
      </c>
      <c r="U24" s="147">
        <f t="shared" si="2"/>
        <v>1.3931533292063885</v>
      </c>
      <c r="V24" s="130">
        <v>60.19</v>
      </c>
      <c r="W24" s="130">
        <v>60.54</v>
      </c>
      <c r="X24" s="129">
        <v>1.07</v>
      </c>
      <c r="Y24" s="150">
        <v>506</v>
      </c>
      <c r="Z24" s="150">
        <v>1166</v>
      </c>
      <c r="AA24" s="148" t="s">
        <v>271</v>
      </c>
      <c r="AB24" s="149">
        <v>75.400000000000006</v>
      </c>
      <c r="AC24" s="150">
        <v>80</v>
      </c>
      <c r="AD24" s="151">
        <v>4</v>
      </c>
      <c r="AE24" s="149">
        <v>2.9</v>
      </c>
      <c r="AF24" s="134">
        <f t="shared" si="3"/>
        <v>35.904419957905162</v>
      </c>
      <c r="AG24" s="152"/>
      <c r="AH24" s="129">
        <v>75.5</v>
      </c>
      <c r="AI24" s="134">
        <f t="shared" si="4"/>
        <v>934.75300235235864</v>
      </c>
      <c r="AJ24" s="153">
        <v>11.63</v>
      </c>
      <c r="AK24" s="154"/>
      <c r="AL24" s="155">
        <v>6.25</v>
      </c>
      <c r="AM24" s="156">
        <v>30.98</v>
      </c>
      <c r="AN24" s="126">
        <f t="shared" si="23"/>
        <v>0.2660369257191928</v>
      </c>
      <c r="AO24" s="157" t="s">
        <v>272</v>
      </c>
      <c r="AP24" s="156">
        <v>9.1</v>
      </c>
      <c r="AQ24" s="156">
        <v>6.85</v>
      </c>
      <c r="AR24" s="151"/>
      <c r="AS24" s="149">
        <v>8.91</v>
      </c>
      <c r="AT24" s="149">
        <v>116.45</v>
      </c>
      <c r="AU24" s="149">
        <v>1.55</v>
      </c>
      <c r="AV24" s="164"/>
      <c r="AW24" s="149"/>
      <c r="AX24" s="158">
        <f t="shared" si="5"/>
        <v>0</v>
      </c>
      <c r="AY24" s="125">
        <f t="shared" si="6"/>
        <v>80.77</v>
      </c>
      <c r="AZ24" s="125">
        <f t="shared" si="29"/>
        <v>91.263388948957484</v>
      </c>
      <c r="BA24" s="159">
        <f t="shared" si="7"/>
        <v>5.2110950704225347</v>
      </c>
      <c r="BB24" s="160">
        <f t="shared" si="8"/>
        <v>3.2307999999999999</v>
      </c>
      <c r="BC24" s="161">
        <f t="shared" si="9"/>
        <v>0.78142004785305297</v>
      </c>
      <c r="BD24" s="160">
        <f t="shared" si="24"/>
        <v>8.4418950704225342</v>
      </c>
      <c r="BE24" s="162">
        <v>0.86199999999999999</v>
      </c>
      <c r="BF24" s="25">
        <f t="shared" si="25"/>
        <v>2141.5099999999998</v>
      </c>
      <c r="BG24" s="25">
        <f t="shared" si="10"/>
        <v>114.51612903225806</v>
      </c>
      <c r="BH24" s="25">
        <f t="shared" si="26"/>
        <v>2061.2903225806454</v>
      </c>
      <c r="BI24" s="26">
        <f t="shared" si="11"/>
        <v>1</v>
      </c>
      <c r="BJ24" s="37">
        <f t="shared" si="27"/>
        <v>2061.2903225806454</v>
      </c>
      <c r="BK24" s="38"/>
      <c r="BL24" s="31">
        <v>55.734999999999999</v>
      </c>
      <c r="BM24" s="31">
        <v>80.027000000000001</v>
      </c>
      <c r="BN24" s="234"/>
      <c r="BO24" s="42"/>
      <c r="BP24" s="40">
        <v>24.009</v>
      </c>
      <c r="BQ24" s="411">
        <v>40.305</v>
      </c>
      <c r="BR24" s="33"/>
      <c r="BS24" s="34">
        <v>0.72</v>
      </c>
      <c r="BT24" s="35">
        <v>0.31</v>
      </c>
      <c r="BU24" s="35"/>
      <c r="BV24" s="235"/>
      <c r="BW24" s="235">
        <v>0.46</v>
      </c>
      <c r="BX24" s="36"/>
      <c r="BY24" s="33"/>
      <c r="BZ24" s="34">
        <v>38.03</v>
      </c>
      <c r="CA24" s="35">
        <v>39.19</v>
      </c>
      <c r="CB24" s="405"/>
      <c r="CC24" s="404"/>
      <c r="CD24" s="235">
        <v>34.75</v>
      </c>
      <c r="CE24" s="413">
        <v>43</v>
      </c>
      <c r="CF24" s="30">
        <v>74.09</v>
      </c>
      <c r="CG24" s="30">
        <v>39.997999999999998</v>
      </c>
      <c r="CH24" s="31"/>
      <c r="CI24" s="32"/>
      <c r="CJ24" s="33">
        <v>1.37</v>
      </c>
      <c r="CK24" s="33">
        <v>1.37</v>
      </c>
      <c r="CL24" s="35"/>
      <c r="CM24" s="36"/>
      <c r="CN24" s="286"/>
      <c r="CO24" s="249">
        <f t="shared" si="30"/>
        <v>0</v>
      </c>
      <c r="CP24" s="12">
        <f t="shared" si="30"/>
        <v>55.333708000000001</v>
      </c>
      <c r="CQ24" s="12">
        <f t="shared" si="30"/>
        <v>79.778916300000006</v>
      </c>
      <c r="CR24" s="12">
        <f t="shared" si="30"/>
        <v>0</v>
      </c>
      <c r="CS24" s="11">
        <f t="shared" si="30"/>
        <v>0</v>
      </c>
      <c r="CT24" s="11">
        <f t="shared" si="30"/>
        <v>23.898558600000001</v>
      </c>
      <c r="CU24" s="272">
        <f t="shared" si="30"/>
        <v>40.305</v>
      </c>
      <c r="CV24" s="249">
        <f t="shared" si="13"/>
        <v>73.074967000000001</v>
      </c>
      <c r="CW24" s="12">
        <f t="shared" si="13"/>
        <v>39.450027399999996</v>
      </c>
      <c r="CX24" s="249">
        <f t="shared" si="13"/>
        <v>0</v>
      </c>
      <c r="CY24" s="272">
        <f t="shared" si="13"/>
        <v>0</v>
      </c>
      <c r="CZ24" s="13"/>
      <c r="DA24" s="240">
        <f>(D24+'[2]май 20'!D24)/(AY24+'[2]май 20'!AX24)</f>
        <v>2.4466175115011399</v>
      </c>
      <c r="DB24" s="241">
        <f>(T24+'[2]май 20'!R24)/(AY24+'[2]май 20'!AX24)</f>
        <v>1.3808906885220549</v>
      </c>
      <c r="DD24" s="292">
        <f t="shared" si="14"/>
        <v>4.0259999999999998</v>
      </c>
      <c r="DE24" s="291">
        <v>0.2</v>
      </c>
      <c r="DF24" s="291">
        <v>19.28</v>
      </c>
      <c r="DG24" s="145">
        <f t="shared" si="15"/>
        <v>4.0179479999999996</v>
      </c>
      <c r="DH24" s="293">
        <f t="shared" si="28"/>
        <v>1.0274010270557028</v>
      </c>
      <c r="DJ24" s="322"/>
    </row>
    <row r="25" spans="1:114" s="76" customFormat="1" ht="16.5" customHeight="1" thickBot="1">
      <c r="A25" s="144">
        <v>19</v>
      </c>
      <c r="B25" s="122">
        <f>'[1]май 20'!K24</f>
        <v>210.10900000000001</v>
      </c>
      <c r="C25" s="123">
        <f t="shared" si="16"/>
        <v>0.27500411691074633</v>
      </c>
      <c r="D25" s="145">
        <f t="shared" si="17"/>
        <v>209.5311916</v>
      </c>
      <c r="E25" s="125">
        <f t="shared" si="18"/>
        <v>39.113614171691829</v>
      </c>
      <c r="F25" s="146">
        <f t="shared" si="19"/>
        <v>2.1961135268839742</v>
      </c>
      <c r="G25" s="127"/>
      <c r="H25" s="126">
        <f t="shared" si="20"/>
        <v>1.7117408196205846</v>
      </c>
      <c r="I25" s="230">
        <f>'[1]июль 20'!AI24</f>
        <v>0</v>
      </c>
      <c r="J25" s="277">
        <f>'[1]май 20'!AA24</f>
        <v>7.0389999999999997</v>
      </c>
      <c r="K25" s="437">
        <f>'[1]сентябрь 20'!AM24</f>
        <v>0</v>
      </c>
      <c r="L25" s="438">
        <f>'[1]май 20'!AE24</f>
        <v>46.213999999999999</v>
      </c>
      <c r="M25" s="443">
        <f t="shared" si="21"/>
        <v>0.48437270726338949</v>
      </c>
      <c r="N25" s="403">
        <f>'[1]май 20'!W24</f>
        <v>9.6440000000000001</v>
      </c>
      <c r="O25" s="453">
        <f>'[1]май 20'!AU24</f>
        <v>0</v>
      </c>
      <c r="P25" s="401">
        <f t="shared" si="0"/>
        <v>118.69900000000001</v>
      </c>
      <c r="Q25" s="122">
        <f>'[1]май 20'!S24</f>
        <v>118.699</v>
      </c>
      <c r="R25" s="123">
        <f>IF(Q25=0,0,(CI25*CM25+CG25*CK25+CH25*CL25+CF25*CJ25)/Q25)</f>
        <v>1.3800000000000001</v>
      </c>
      <c r="S25" s="129">
        <v>16.78</v>
      </c>
      <c r="T25" s="125">
        <f t="shared" si="1"/>
        <v>117.06095380000001</v>
      </c>
      <c r="U25" s="147">
        <f t="shared" si="2"/>
        <v>1.2269254145267792</v>
      </c>
      <c r="V25" s="130">
        <v>22.68</v>
      </c>
      <c r="W25" s="130">
        <v>71.61</v>
      </c>
      <c r="X25" s="129">
        <v>0.8</v>
      </c>
      <c r="Y25" s="150">
        <v>511</v>
      </c>
      <c r="Z25" s="150">
        <v>1159</v>
      </c>
      <c r="AA25" s="148" t="s">
        <v>273</v>
      </c>
      <c r="AB25" s="149">
        <v>74.55</v>
      </c>
      <c r="AC25" s="150">
        <v>89</v>
      </c>
      <c r="AD25" s="151">
        <v>4</v>
      </c>
      <c r="AE25" s="149">
        <v>2.95</v>
      </c>
      <c r="AF25" s="134">
        <f t="shared" si="3"/>
        <v>30.919190860496801</v>
      </c>
      <c r="AG25" s="152"/>
      <c r="AH25" s="129">
        <v>71.3</v>
      </c>
      <c r="AI25" s="134">
        <f t="shared" si="4"/>
        <v>747.30112147573618</v>
      </c>
      <c r="AJ25" s="136">
        <v>11.91</v>
      </c>
      <c r="AK25" s="154"/>
      <c r="AL25" s="155">
        <v>4.47</v>
      </c>
      <c r="AM25" s="156">
        <v>24.58</v>
      </c>
      <c r="AN25" s="126">
        <f t="shared" si="23"/>
        <v>0.2004076640847941</v>
      </c>
      <c r="AO25" s="157" t="s">
        <v>274</v>
      </c>
      <c r="AP25" s="156">
        <v>9.4600000000000009</v>
      </c>
      <c r="AQ25" s="156">
        <v>6.8</v>
      </c>
      <c r="AR25" s="152"/>
      <c r="AS25" s="149">
        <v>8.36</v>
      </c>
      <c r="AT25" s="149">
        <v>122.65</v>
      </c>
      <c r="AU25" s="149">
        <v>1.81</v>
      </c>
      <c r="AV25" s="164"/>
      <c r="AW25" s="149"/>
      <c r="AX25" s="158">
        <f t="shared" si="5"/>
        <v>0</v>
      </c>
      <c r="AY25" s="125">
        <f t="shared" si="6"/>
        <v>95.410000000000011</v>
      </c>
      <c r="AZ25" s="125">
        <f t="shared" si="29"/>
        <v>98.00475410553625</v>
      </c>
      <c r="BA25" s="159">
        <f t="shared" si="7"/>
        <v>4.6174281690140839</v>
      </c>
      <c r="BB25" s="160">
        <f t="shared" si="8"/>
        <v>3.8164000000000007</v>
      </c>
      <c r="BC25" s="161">
        <f t="shared" si="9"/>
        <v>0.8678904576531481</v>
      </c>
      <c r="BD25" s="160">
        <f t="shared" si="24"/>
        <v>8.4338281690140846</v>
      </c>
      <c r="BE25" s="162">
        <v>0.86199999999999999</v>
      </c>
      <c r="BF25" s="25">
        <f t="shared" si="25"/>
        <v>2236.9199999999996</v>
      </c>
      <c r="BG25" s="25">
        <f t="shared" si="10"/>
        <v>114.51612903225806</v>
      </c>
      <c r="BH25" s="25">
        <f t="shared" si="26"/>
        <v>2175.8064516129034</v>
      </c>
      <c r="BI25" s="26">
        <f t="shared" si="11"/>
        <v>1</v>
      </c>
      <c r="BJ25" s="37">
        <f t="shared" si="27"/>
        <v>2175.8064516129034</v>
      </c>
      <c r="BK25" s="38"/>
      <c r="BL25" s="31">
        <v>54.694000000000003</v>
      </c>
      <c r="BM25" s="31">
        <v>84.02</v>
      </c>
      <c r="BN25" s="234"/>
      <c r="BO25" s="42"/>
      <c r="BP25" s="40">
        <v>25.181000000000001</v>
      </c>
      <c r="BQ25" s="411">
        <v>46.213999999999999</v>
      </c>
      <c r="BR25" s="33"/>
      <c r="BS25" s="34">
        <v>0.39</v>
      </c>
      <c r="BT25" s="35">
        <v>0.26</v>
      </c>
      <c r="BU25" s="35"/>
      <c r="BV25" s="235"/>
      <c r="BW25" s="235">
        <v>0.57999999999999996</v>
      </c>
      <c r="BX25" s="36"/>
      <c r="BY25" s="33"/>
      <c r="BZ25" s="34">
        <v>37.94</v>
      </c>
      <c r="CA25" s="35">
        <v>38.67</v>
      </c>
      <c r="CB25" s="405"/>
      <c r="CC25" s="404"/>
      <c r="CD25" s="235">
        <v>35.68</v>
      </c>
      <c r="CE25" s="413">
        <v>43.18</v>
      </c>
      <c r="CF25" s="30">
        <v>76.757000000000005</v>
      </c>
      <c r="CG25" s="30">
        <v>41.942</v>
      </c>
      <c r="CH25" s="31"/>
      <c r="CI25" s="32"/>
      <c r="CJ25" s="33">
        <v>1.38</v>
      </c>
      <c r="CK25" s="33">
        <v>1.38</v>
      </c>
      <c r="CL25" s="35"/>
      <c r="CM25" s="36"/>
      <c r="CN25" s="286"/>
      <c r="CO25" s="249">
        <f t="shared" si="30"/>
        <v>0</v>
      </c>
      <c r="CP25" s="12">
        <f t="shared" si="30"/>
        <v>54.4806934</v>
      </c>
      <c r="CQ25" s="12">
        <f t="shared" si="30"/>
        <v>83.801547999999997</v>
      </c>
      <c r="CR25" s="12">
        <f t="shared" si="30"/>
        <v>0</v>
      </c>
      <c r="CS25" s="11">
        <f t="shared" si="30"/>
        <v>0</v>
      </c>
      <c r="CT25" s="11">
        <f t="shared" si="30"/>
        <v>25.034950200000001</v>
      </c>
      <c r="CU25" s="272">
        <f t="shared" si="30"/>
        <v>46.213999999999999</v>
      </c>
      <c r="CV25" s="249">
        <f t="shared" si="13"/>
        <v>75.697753400000011</v>
      </c>
      <c r="CW25" s="251">
        <f t="shared" si="13"/>
        <v>41.363200400000004</v>
      </c>
      <c r="CX25" s="249">
        <f t="shared" si="13"/>
        <v>0</v>
      </c>
      <c r="CY25" s="272">
        <f t="shared" si="13"/>
        <v>0</v>
      </c>
      <c r="CZ25" s="13"/>
      <c r="DA25" s="240">
        <f>(D25+'[2]май 20'!D25)/(AY25+'[2]май 20'!AX25)</f>
        <v>2.1884525621303799</v>
      </c>
      <c r="DB25" s="241">
        <f>(T25+'[2]май 20'!R25)/(AY25+'[2]май 20'!AX25)</f>
        <v>1.2400812012443165</v>
      </c>
      <c r="DD25" s="292">
        <f t="shared" si="14"/>
        <v>7.0389999999999997</v>
      </c>
      <c r="DE25" s="291">
        <v>0.13</v>
      </c>
      <c r="DF25" s="291">
        <v>21.56</v>
      </c>
      <c r="DG25" s="145">
        <f t="shared" si="15"/>
        <v>7.0298492999999995</v>
      </c>
      <c r="DH25" s="293">
        <f t="shared" si="28"/>
        <v>2.0330456191549295</v>
      </c>
      <c r="DJ25" s="322"/>
    </row>
    <row r="26" spans="1:114" s="76" customFormat="1" ht="16.5" customHeight="1" thickBot="1">
      <c r="A26" s="144">
        <v>20</v>
      </c>
      <c r="B26" s="122">
        <f>'[1]май 20'!K25</f>
        <v>130.04300000000001</v>
      </c>
      <c r="C26" s="123">
        <f t="shared" si="16"/>
        <v>0.35574509969779228</v>
      </c>
      <c r="D26" s="145">
        <f t="shared" si="17"/>
        <v>129.5803784</v>
      </c>
      <c r="E26" s="125">
        <f t="shared" si="18"/>
        <v>39.220196088985958</v>
      </c>
      <c r="F26" s="146">
        <f t="shared" si="19"/>
        <v>1.9917057854288354</v>
      </c>
      <c r="G26" s="127"/>
      <c r="H26" s="126">
        <f t="shared" si="20"/>
        <v>1.5518656378727334</v>
      </c>
      <c r="I26" s="230">
        <f>'[1]июль 20'!AI25</f>
        <v>0</v>
      </c>
      <c r="J26" s="439">
        <f>'[1]май 20'!AA25</f>
        <v>5.2190000000000003</v>
      </c>
      <c r="K26" s="440">
        <f>'[1]сентябрь 20'!AM25</f>
        <v>0</v>
      </c>
      <c r="L26" s="441">
        <f>'[1]май 20'!AE25</f>
        <v>28.616</v>
      </c>
      <c r="M26" s="442">
        <f t="shared" si="21"/>
        <v>0.43984014755610212</v>
      </c>
      <c r="N26" s="403">
        <f>'[1]май 20'!W25</f>
        <v>7.0709999999999997</v>
      </c>
      <c r="O26" s="452">
        <f>'[1]май 20'!AU25</f>
        <v>0</v>
      </c>
      <c r="P26" s="401">
        <f t="shared" si="0"/>
        <v>76.591999999999999</v>
      </c>
      <c r="Q26" s="122">
        <f>'[1]май 20'!S25</f>
        <v>76.591999999999999</v>
      </c>
      <c r="R26" s="123">
        <f t="shared" si="22"/>
        <v>1.45</v>
      </c>
      <c r="S26" s="129">
        <v>10.74</v>
      </c>
      <c r="T26" s="125">
        <f t="shared" si="1"/>
        <v>75.481415999999996</v>
      </c>
      <c r="U26" s="147">
        <f t="shared" si="2"/>
        <v>1.1601816169689518</v>
      </c>
      <c r="V26" s="169"/>
      <c r="W26" s="169">
        <v>65.06</v>
      </c>
      <c r="X26" s="170">
        <v>0.66</v>
      </c>
      <c r="Y26" s="166">
        <v>494</v>
      </c>
      <c r="Z26" s="166">
        <v>1110</v>
      </c>
      <c r="AA26" s="148" t="s">
        <v>273</v>
      </c>
      <c r="AB26" s="164">
        <v>74.150000000000006</v>
      </c>
      <c r="AC26" s="166">
        <v>53</v>
      </c>
      <c r="AD26" s="171">
        <v>3</v>
      </c>
      <c r="AE26" s="164">
        <v>1.2</v>
      </c>
      <c r="AF26" s="172">
        <f t="shared" si="3"/>
        <v>18.44451275745466</v>
      </c>
      <c r="AG26" s="173"/>
      <c r="AH26" s="170">
        <v>54</v>
      </c>
      <c r="AI26" s="134">
        <f t="shared" si="4"/>
        <v>830.00307408545973</v>
      </c>
      <c r="AJ26" s="174">
        <v>9.5399999999999991</v>
      </c>
      <c r="AK26" s="175"/>
      <c r="AL26" s="176">
        <v>4.51</v>
      </c>
      <c r="AM26" s="177">
        <v>12.41</v>
      </c>
      <c r="AN26" s="126">
        <f t="shared" si="23"/>
        <v>0.15349412492269637</v>
      </c>
      <c r="AO26" s="178" t="s">
        <v>275</v>
      </c>
      <c r="AP26" s="177">
        <v>8.27</v>
      </c>
      <c r="AQ26" s="177">
        <v>6.5</v>
      </c>
      <c r="AR26" s="171"/>
      <c r="AS26" s="164">
        <v>14.6</v>
      </c>
      <c r="AT26" s="149">
        <v>80.849999999999994</v>
      </c>
      <c r="AU26" s="164">
        <v>1.1299999999999999</v>
      </c>
      <c r="AV26" s="164"/>
      <c r="AW26" s="164"/>
      <c r="AX26" s="179">
        <f t="shared" si="5"/>
        <v>0</v>
      </c>
      <c r="AY26" s="125">
        <f t="shared" si="6"/>
        <v>65.059999999999988</v>
      </c>
      <c r="AZ26" s="125">
        <f t="shared" si="29"/>
        <v>61.214568655375714</v>
      </c>
      <c r="BA26" s="159">
        <f t="shared" si="7"/>
        <v>6.1073239436619708</v>
      </c>
      <c r="BB26" s="159">
        <f t="shared" si="8"/>
        <v>2.6023999999999994</v>
      </c>
      <c r="BC26" s="180">
        <f t="shared" si="9"/>
        <v>0.94924039155333095</v>
      </c>
      <c r="BD26" s="159">
        <f t="shared" si="24"/>
        <v>8.7097239436619702</v>
      </c>
      <c r="BE26" s="167">
        <v>0.86499999999999999</v>
      </c>
      <c r="BF26" s="25">
        <f t="shared" si="25"/>
        <v>2301.9799999999996</v>
      </c>
      <c r="BG26" s="25">
        <f t="shared" si="10"/>
        <v>114.51612903225806</v>
      </c>
      <c r="BH26" s="25">
        <f t="shared" si="26"/>
        <v>2290.3225806451615</v>
      </c>
      <c r="BI26" s="26">
        <f t="shared" si="11"/>
        <v>1</v>
      </c>
      <c r="BJ26" s="37">
        <f t="shared" si="27"/>
        <v>2290.3225806451615</v>
      </c>
      <c r="BK26" s="38"/>
      <c r="BL26" s="43">
        <v>33.792000000000002</v>
      </c>
      <c r="BM26" s="31">
        <v>52.026000000000003</v>
      </c>
      <c r="BN26" s="406"/>
      <c r="BO26" s="42"/>
      <c r="BP26" s="40">
        <v>15.609</v>
      </c>
      <c r="BQ26" s="412">
        <v>28.616</v>
      </c>
      <c r="BR26" s="33"/>
      <c r="BS26" s="34">
        <v>0.63</v>
      </c>
      <c r="BT26" s="35">
        <v>0.3</v>
      </c>
      <c r="BU26" s="35"/>
      <c r="BV26" s="235"/>
      <c r="BW26" s="235">
        <v>0.6</v>
      </c>
      <c r="BX26" s="36"/>
      <c r="BY26" s="33"/>
      <c r="BZ26" s="34">
        <v>38.200000000000003</v>
      </c>
      <c r="CA26" s="35">
        <v>39.4</v>
      </c>
      <c r="CB26" s="405"/>
      <c r="CC26" s="404"/>
      <c r="CD26" s="235">
        <v>34.119999999999997</v>
      </c>
      <c r="CE26" s="413">
        <v>42.88</v>
      </c>
      <c r="CF26" s="30">
        <v>76.591999999999999</v>
      </c>
      <c r="CG26" s="30"/>
      <c r="CH26" s="43"/>
      <c r="CI26" s="32"/>
      <c r="CJ26" s="33">
        <v>1.45</v>
      </c>
      <c r="CK26" s="33"/>
      <c r="CL26" s="35"/>
      <c r="CM26" s="36"/>
      <c r="CN26" s="286"/>
      <c r="CO26" s="249">
        <f t="shared" si="30"/>
        <v>0</v>
      </c>
      <c r="CP26" s="12">
        <f t="shared" si="30"/>
        <v>33.579110400000005</v>
      </c>
      <c r="CQ26" s="12">
        <f t="shared" si="30"/>
        <v>51.869922000000003</v>
      </c>
      <c r="CR26" s="12">
        <f t="shared" si="30"/>
        <v>0</v>
      </c>
      <c r="CS26" s="11">
        <f t="shared" si="30"/>
        <v>0</v>
      </c>
      <c r="CT26" s="11">
        <f t="shared" si="30"/>
        <v>15.515346000000001</v>
      </c>
      <c r="CU26" s="272">
        <f t="shared" si="30"/>
        <v>28.616</v>
      </c>
      <c r="CV26" s="249">
        <f t="shared" si="13"/>
        <v>75.481415999999996</v>
      </c>
      <c r="CW26" s="12">
        <f t="shared" si="13"/>
        <v>0</v>
      </c>
      <c r="CX26" s="249">
        <f t="shared" si="13"/>
        <v>0</v>
      </c>
      <c r="CY26" s="274">
        <f t="shared" si="13"/>
        <v>0</v>
      </c>
      <c r="CZ26" s="13"/>
      <c r="DA26" s="240">
        <f>(D26+'[2]май 20'!D26)/(AY26+'[2]май 20'!AX26)</f>
        <v>2.0447801547209017</v>
      </c>
      <c r="DB26" s="241">
        <f>(T26+'[2]май 20'!R26)/(AY26+'[2]май 20'!AX26)</f>
        <v>1.1988487015472093</v>
      </c>
      <c r="DD26" s="292">
        <f t="shared" si="14"/>
        <v>5.2190000000000003</v>
      </c>
      <c r="DE26" s="291">
        <v>0.22</v>
      </c>
      <c r="DF26" s="291">
        <v>19.649999999999999</v>
      </c>
      <c r="DG26" s="145">
        <f t="shared" si="15"/>
        <v>5.2075182</v>
      </c>
      <c r="DH26" s="293">
        <f t="shared" si="28"/>
        <v>1.3800098803776126</v>
      </c>
      <c r="DJ26" s="322"/>
    </row>
    <row r="27" spans="1:114" s="76" customFormat="1" ht="16.5" customHeight="1" thickBot="1">
      <c r="A27" s="144">
        <v>21</v>
      </c>
      <c r="B27" s="122">
        <f>'[1]май 20'!K26</f>
        <v>232.55699999999999</v>
      </c>
      <c r="C27" s="123">
        <f t="shared" si="16"/>
        <v>0.36907906448741601</v>
      </c>
      <c r="D27" s="145">
        <f t="shared" si="17"/>
        <v>231.69868079999998</v>
      </c>
      <c r="E27" s="125">
        <f t="shared" si="18"/>
        <v>38.467880304613509</v>
      </c>
      <c r="F27" s="146">
        <f t="shared" si="19"/>
        <v>2.5466990635304465</v>
      </c>
      <c r="G27" s="127">
        <v>12.9</v>
      </c>
      <c r="H27" s="126">
        <f t="shared" si="20"/>
        <v>1.984542545614421</v>
      </c>
      <c r="I27" s="230">
        <f>'[1]июль 20'!AI26</f>
        <v>0</v>
      </c>
      <c r="J27" s="277">
        <f>'[1]май 20'!AA26</f>
        <v>9.2230000000000008</v>
      </c>
      <c r="K27" s="437">
        <f>'[1]сентябрь 20'!AM26</f>
        <v>0</v>
      </c>
      <c r="L27" s="438">
        <f>'[1]май 20'!AE26</f>
        <v>51.145000000000003</v>
      </c>
      <c r="M27" s="443">
        <f t="shared" si="21"/>
        <v>0.56215651791602561</v>
      </c>
      <c r="N27" s="403">
        <f>'[1]май 20'!W26</f>
        <v>12.987</v>
      </c>
      <c r="O27" s="453">
        <f>'[1]май 20'!AU26</f>
        <v>0</v>
      </c>
      <c r="P27" s="401">
        <f t="shared" si="0"/>
        <v>131.608</v>
      </c>
      <c r="Q27" s="122">
        <f>'[1]май 20'!S26</f>
        <v>131.608</v>
      </c>
      <c r="R27" s="123">
        <f t="shared" si="22"/>
        <v>1.42</v>
      </c>
      <c r="S27" s="129">
        <v>13.93</v>
      </c>
      <c r="T27" s="125">
        <f t="shared" si="1"/>
        <v>129.73916640000002</v>
      </c>
      <c r="U27" s="147">
        <f t="shared" si="2"/>
        <v>1.4260185359419657</v>
      </c>
      <c r="V27" s="130"/>
      <c r="W27" s="130">
        <v>65.58</v>
      </c>
      <c r="X27" s="129">
        <v>0.85</v>
      </c>
      <c r="Y27" s="150">
        <v>461</v>
      </c>
      <c r="Z27" s="150">
        <v>1129</v>
      </c>
      <c r="AA27" s="148" t="s">
        <v>276</v>
      </c>
      <c r="AB27" s="149">
        <v>74.47</v>
      </c>
      <c r="AC27" s="150">
        <v>93</v>
      </c>
      <c r="AD27" s="151">
        <v>4</v>
      </c>
      <c r="AE27" s="149">
        <v>1.7</v>
      </c>
      <c r="AF27" s="134">
        <f t="shared" si="3"/>
        <v>18.685425368212794</v>
      </c>
      <c r="AG27" s="152"/>
      <c r="AH27" s="129">
        <v>77.150000000000006</v>
      </c>
      <c r="AI27" s="134">
        <f t="shared" si="4"/>
        <v>847.98856891624553</v>
      </c>
      <c r="AJ27" s="136">
        <v>12.46</v>
      </c>
      <c r="AK27" s="154"/>
      <c r="AL27" s="155">
        <v>3.72</v>
      </c>
      <c r="AM27" s="156">
        <v>24.87</v>
      </c>
      <c r="AN27" s="126">
        <f t="shared" si="23"/>
        <v>0.20969645868465431</v>
      </c>
      <c r="AO27" s="157" t="s">
        <v>277</v>
      </c>
      <c r="AP27" s="156">
        <v>8.92</v>
      </c>
      <c r="AQ27" s="156">
        <v>6.28</v>
      </c>
      <c r="AR27" s="151"/>
      <c r="AS27" s="149">
        <v>10.39</v>
      </c>
      <c r="AT27" s="149">
        <v>118.6</v>
      </c>
      <c r="AU27" s="149">
        <v>0.97</v>
      </c>
      <c r="AV27" s="164"/>
      <c r="AW27" s="149"/>
      <c r="AX27" s="158">
        <f t="shared" si="5"/>
        <v>0</v>
      </c>
      <c r="AY27" s="125">
        <f t="shared" si="6"/>
        <v>90.97999999999999</v>
      </c>
      <c r="AZ27" s="125">
        <f t="shared" si="29"/>
        <v>106.99431874564041</v>
      </c>
      <c r="BA27" s="159">
        <f t="shared" si="7"/>
        <v>6.2094883802816909</v>
      </c>
      <c r="BB27" s="160">
        <f t="shared" si="8"/>
        <v>3.6391999999999998</v>
      </c>
      <c r="BC27" s="161">
        <f t="shared" si="9"/>
        <v>0.76016079837138151</v>
      </c>
      <c r="BD27" s="160">
        <f t="shared" si="24"/>
        <v>9.8486883802816898</v>
      </c>
      <c r="BE27" s="162">
        <v>0.86</v>
      </c>
      <c r="BF27" s="25">
        <f t="shared" si="25"/>
        <v>2392.9599999999996</v>
      </c>
      <c r="BG27" s="25">
        <f t="shared" si="10"/>
        <v>114.51612903225806</v>
      </c>
      <c r="BH27" s="25">
        <f t="shared" si="26"/>
        <v>2404.8387096774195</v>
      </c>
      <c r="BI27" s="26">
        <f t="shared" si="11"/>
        <v>1</v>
      </c>
      <c r="BJ27" s="37">
        <f t="shared" si="27"/>
        <v>2404.8387096774195</v>
      </c>
      <c r="BK27" s="38"/>
      <c r="BL27" s="31">
        <v>60.463000000000001</v>
      </c>
      <c r="BM27" s="31">
        <v>93.022000000000006</v>
      </c>
      <c r="BN27" s="234"/>
      <c r="BO27" s="42"/>
      <c r="BP27" s="40">
        <v>27.927</v>
      </c>
      <c r="BQ27" s="411">
        <v>51.145000000000003</v>
      </c>
      <c r="BR27" s="33"/>
      <c r="BS27" s="34">
        <v>0.51</v>
      </c>
      <c r="BT27" s="35">
        <v>0.3</v>
      </c>
      <c r="BU27" s="35"/>
      <c r="BV27" s="235"/>
      <c r="BW27" s="235">
        <v>0.97</v>
      </c>
      <c r="BX27" s="36"/>
      <c r="BY27" s="33"/>
      <c r="BZ27" s="34">
        <v>37.33</v>
      </c>
      <c r="CA27" s="35">
        <v>38.06</v>
      </c>
      <c r="CB27" s="405"/>
      <c r="CC27" s="404"/>
      <c r="CD27" s="235">
        <v>33.99</v>
      </c>
      <c r="CE27" s="413">
        <v>43</v>
      </c>
      <c r="CF27" s="30">
        <v>131.608</v>
      </c>
      <c r="CG27" s="30"/>
      <c r="CH27" s="31"/>
      <c r="CI27" s="32"/>
      <c r="CJ27" s="33">
        <v>1.42</v>
      </c>
      <c r="CK27" s="33"/>
      <c r="CL27" s="35"/>
      <c r="CM27" s="36"/>
      <c r="CN27" s="286"/>
      <c r="CO27" s="249">
        <f t="shared" si="30"/>
        <v>0</v>
      </c>
      <c r="CP27" s="12">
        <f t="shared" si="30"/>
        <v>60.154638699999992</v>
      </c>
      <c r="CQ27" s="12">
        <f t="shared" si="30"/>
        <v>92.742934000000005</v>
      </c>
      <c r="CR27" s="12">
        <f t="shared" si="30"/>
        <v>0</v>
      </c>
      <c r="CS27" s="11">
        <f t="shared" si="30"/>
        <v>0</v>
      </c>
      <c r="CT27" s="11">
        <f t="shared" si="30"/>
        <v>27.656108099999997</v>
      </c>
      <c r="CU27" s="272">
        <f t="shared" si="30"/>
        <v>51.145000000000003</v>
      </c>
      <c r="CV27" s="249">
        <f t="shared" si="13"/>
        <v>129.73916640000002</v>
      </c>
      <c r="CW27" s="11">
        <f t="shared" si="13"/>
        <v>0</v>
      </c>
      <c r="CX27" s="249">
        <f t="shared" si="13"/>
        <v>0</v>
      </c>
      <c r="CY27" s="272">
        <f t="shared" si="13"/>
        <v>0</v>
      </c>
      <c r="CZ27" s="13"/>
      <c r="DA27" s="240">
        <f>(D27+'[2]май 20'!D27)/(AY27+'[2]май 20'!AX27)</f>
        <v>2.3744473794860905</v>
      </c>
      <c r="DB27" s="241">
        <f>(T27+'[2]май 20'!R27)/(AY27+'[2]май 20'!AX27)</f>
        <v>1.3573977716429535</v>
      </c>
      <c r="DD27" s="292">
        <f t="shared" si="14"/>
        <v>9.2230000000000008</v>
      </c>
      <c r="DE27" s="291">
        <v>1.89</v>
      </c>
      <c r="DF27" s="291">
        <v>20.65</v>
      </c>
      <c r="DG27" s="145">
        <f t="shared" si="15"/>
        <v>9.0486853000000007</v>
      </c>
      <c r="DH27" s="293">
        <f t="shared" si="28"/>
        <v>2.5091359130522357</v>
      </c>
      <c r="DJ27" s="322"/>
    </row>
    <row r="28" spans="1:114" s="76" customFormat="1" ht="16.5" customHeight="1" thickBot="1">
      <c r="A28" s="144">
        <v>22</v>
      </c>
      <c r="B28" s="122">
        <f>'[1]май 20'!K27</f>
        <v>235.10300000000001</v>
      </c>
      <c r="C28" s="123">
        <f t="shared" si="16"/>
        <v>0.64105587763661032</v>
      </c>
      <c r="D28" s="145">
        <f t="shared" si="17"/>
        <v>233.5958584</v>
      </c>
      <c r="E28" s="125">
        <f t="shared" si="18"/>
        <v>38.184072470364057</v>
      </c>
      <c r="F28" s="146">
        <f t="shared" si="19"/>
        <v>2.3569353082433659</v>
      </c>
      <c r="G28" s="127"/>
      <c r="H28" s="126">
        <f t="shared" si="20"/>
        <v>1.8355146645141762</v>
      </c>
      <c r="I28" s="230">
        <f>'[1]июль 20'!AI27</f>
        <v>0</v>
      </c>
      <c r="J28" s="439">
        <f>'[1]май 20'!AA27</f>
        <v>5.4720000000000004</v>
      </c>
      <c r="K28" s="440">
        <f>'[1]сентябрь 20'!AM27</f>
        <v>0</v>
      </c>
      <c r="L28" s="441">
        <f>'[1]май 20'!AE27</f>
        <v>51.677999999999997</v>
      </c>
      <c r="M28" s="442">
        <f t="shared" si="21"/>
        <v>0.52142064372918973</v>
      </c>
      <c r="N28" s="403">
        <f>'[1]май 20'!W27</f>
        <v>13.023</v>
      </c>
      <c r="O28" s="452">
        <f>'[1]май 20'!AU27</f>
        <v>0</v>
      </c>
      <c r="P28" s="401">
        <f t="shared" si="0"/>
        <v>133.38200000000001</v>
      </c>
      <c r="Q28" s="122">
        <f>'[1]май 20'!S27</f>
        <v>133.38200000000001</v>
      </c>
      <c r="R28" s="123">
        <f t="shared" si="22"/>
        <v>1.45</v>
      </c>
      <c r="S28" s="129">
        <v>11.53</v>
      </c>
      <c r="T28" s="125">
        <f t="shared" si="1"/>
        <v>131.44796099999999</v>
      </c>
      <c r="U28" s="147">
        <f t="shared" si="2"/>
        <v>1.3262835334476843</v>
      </c>
      <c r="V28" s="130">
        <v>24.24</v>
      </c>
      <c r="W28" s="130">
        <v>99.11</v>
      </c>
      <c r="X28" s="129">
        <v>0.45</v>
      </c>
      <c r="Y28" s="150">
        <v>450</v>
      </c>
      <c r="Z28" s="150">
        <v>1153</v>
      </c>
      <c r="AA28" s="148" t="s">
        <v>278</v>
      </c>
      <c r="AB28" s="149">
        <v>74.62</v>
      </c>
      <c r="AC28" s="150">
        <v>94</v>
      </c>
      <c r="AD28" s="151">
        <v>4</v>
      </c>
      <c r="AE28" s="149">
        <v>1.95</v>
      </c>
      <c r="AF28" s="134">
        <f t="shared" si="3"/>
        <v>19.675108465341541</v>
      </c>
      <c r="AG28" s="152"/>
      <c r="AH28" s="129">
        <v>88</v>
      </c>
      <c r="AI28" s="134">
        <f t="shared" si="4"/>
        <v>887.90233074361822</v>
      </c>
      <c r="AJ28" s="153">
        <v>11.51</v>
      </c>
      <c r="AK28" s="154"/>
      <c r="AL28" s="155">
        <v>7.22</v>
      </c>
      <c r="AM28" s="156">
        <v>22.8</v>
      </c>
      <c r="AN28" s="126">
        <f t="shared" si="23"/>
        <v>0.17833398513883458</v>
      </c>
      <c r="AO28" s="157" t="s">
        <v>279</v>
      </c>
      <c r="AP28" s="156">
        <v>8.14</v>
      </c>
      <c r="AQ28" s="156">
        <v>6.17</v>
      </c>
      <c r="AR28" s="151"/>
      <c r="AS28" s="149">
        <v>14.38</v>
      </c>
      <c r="AT28" s="149">
        <v>127.85</v>
      </c>
      <c r="AU28" s="149">
        <v>1.28</v>
      </c>
      <c r="AV28" s="164"/>
      <c r="AW28" s="149"/>
      <c r="AX28" s="158">
        <f t="shared" si="5"/>
        <v>0</v>
      </c>
      <c r="AY28" s="125">
        <f t="shared" si="6"/>
        <v>99.11</v>
      </c>
      <c r="AZ28" s="125">
        <f t="shared" si="29"/>
        <v>105.88907284886547</v>
      </c>
      <c r="BA28" s="159">
        <f t="shared" si="7"/>
        <v>9.8027042253521124</v>
      </c>
      <c r="BB28" s="160">
        <f t="shared" si="8"/>
        <v>3.9643999999999999</v>
      </c>
      <c r="BC28" s="161">
        <f t="shared" si="9"/>
        <v>0.82913516876353166</v>
      </c>
      <c r="BD28" s="160">
        <f t="shared" si="24"/>
        <v>13.767104225352112</v>
      </c>
      <c r="BE28" s="162">
        <v>0.85899999999999999</v>
      </c>
      <c r="BF28" s="25">
        <f t="shared" si="25"/>
        <v>2492.0699999999997</v>
      </c>
      <c r="BG28" s="25">
        <f t="shared" si="10"/>
        <v>114.51612903225806</v>
      </c>
      <c r="BH28" s="25">
        <f t="shared" si="26"/>
        <v>2519.3548387096776</v>
      </c>
      <c r="BI28" s="26">
        <f t="shared" si="11"/>
        <v>1</v>
      </c>
      <c r="BJ28" s="37">
        <f t="shared" si="27"/>
        <v>2519.3548387096776</v>
      </c>
      <c r="BK28" s="38"/>
      <c r="BL28" s="31">
        <v>61.195999999999998</v>
      </c>
      <c r="BM28" s="31">
        <v>94</v>
      </c>
      <c r="BN28" s="234"/>
      <c r="BO28" s="42"/>
      <c r="BP28" s="40">
        <v>28.228999999999999</v>
      </c>
      <c r="BQ28" s="411">
        <v>51.677999999999997</v>
      </c>
      <c r="BR28" s="33"/>
      <c r="BS28" s="34">
        <v>1</v>
      </c>
      <c r="BT28" s="35">
        <v>0.64</v>
      </c>
      <c r="BU28" s="35"/>
      <c r="BV28" s="235"/>
      <c r="BW28" s="235">
        <v>1.04</v>
      </c>
      <c r="BX28" s="36"/>
      <c r="BY28" s="33"/>
      <c r="BZ28" s="34">
        <v>36.85</v>
      </c>
      <c r="CA28" s="35">
        <v>37.520000000000003</v>
      </c>
      <c r="CB28" s="405"/>
      <c r="CC28" s="404"/>
      <c r="CD28" s="235">
        <v>34.049999999999997</v>
      </c>
      <c r="CE28" s="36">
        <v>43.23</v>
      </c>
      <c r="CF28" s="30">
        <v>133.38200000000001</v>
      </c>
      <c r="CG28" s="30"/>
      <c r="CH28" s="31"/>
      <c r="CI28" s="32"/>
      <c r="CJ28" s="33">
        <v>1.45</v>
      </c>
      <c r="CK28" s="33"/>
      <c r="CL28" s="35"/>
      <c r="CM28" s="36"/>
      <c r="CN28" s="286"/>
      <c r="CO28" s="249">
        <f t="shared" si="30"/>
        <v>0</v>
      </c>
      <c r="CP28" s="12">
        <f t="shared" si="30"/>
        <v>60.584039999999995</v>
      </c>
      <c r="CQ28" s="12">
        <f t="shared" si="30"/>
        <v>93.398400000000009</v>
      </c>
      <c r="CR28" s="12">
        <f t="shared" si="30"/>
        <v>0</v>
      </c>
      <c r="CS28" s="11">
        <f t="shared" si="30"/>
        <v>0</v>
      </c>
      <c r="CT28" s="11">
        <f t="shared" si="30"/>
        <v>27.935418399999996</v>
      </c>
      <c r="CU28" s="272">
        <f t="shared" si="30"/>
        <v>51.677999999999997</v>
      </c>
      <c r="CV28" s="249">
        <f t="shared" si="13"/>
        <v>131.44796099999999</v>
      </c>
      <c r="CW28" s="12">
        <f t="shared" si="13"/>
        <v>0</v>
      </c>
      <c r="CX28" s="249">
        <f t="shared" si="13"/>
        <v>0</v>
      </c>
      <c r="CY28" s="272">
        <f t="shared" si="13"/>
        <v>0</v>
      </c>
      <c r="CZ28" s="13"/>
      <c r="DA28" s="240">
        <f>(D28+'[2]май 20'!D28)/(AY28+'[2]май 20'!AX28)</f>
        <v>2.3770040171525348</v>
      </c>
      <c r="DB28" s="241">
        <f>(T28+'[2]май 20'!R28)/(AY28+'[2]май 20'!AX28)</f>
        <v>1.3702856149327953</v>
      </c>
      <c r="DD28" s="292">
        <f t="shared" si="14"/>
        <v>5.4720000000000004</v>
      </c>
      <c r="DE28" s="305">
        <v>0.37</v>
      </c>
      <c r="DF28" s="291">
        <v>21.02</v>
      </c>
      <c r="DG28" s="145">
        <f t="shared" si="15"/>
        <v>5.4517536</v>
      </c>
      <c r="DH28" s="293">
        <f t="shared" si="28"/>
        <v>1.5357258197802197</v>
      </c>
      <c r="DJ28" s="322"/>
    </row>
    <row r="29" spans="1:114" s="76" customFormat="1" ht="16.5" customHeight="1" thickBot="1">
      <c r="A29" s="144">
        <v>23</v>
      </c>
      <c r="B29" s="122">
        <f>'[1]май 20'!K28</f>
        <v>220.166</v>
      </c>
      <c r="C29" s="123">
        <f t="shared" si="16"/>
        <v>0.60426260185496405</v>
      </c>
      <c r="D29" s="145">
        <f t="shared" si="17"/>
        <v>218.8356192</v>
      </c>
      <c r="E29" s="125">
        <f t="shared" si="18"/>
        <v>38.818744084009339</v>
      </c>
      <c r="F29" s="146">
        <f t="shared" si="19"/>
        <v>2.4333995240742801</v>
      </c>
      <c r="G29" s="127">
        <v>10.44</v>
      </c>
      <c r="H29" s="126">
        <f t="shared" si="20"/>
        <v>1.8951920293561659</v>
      </c>
      <c r="I29" s="230">
        <f>'[1]июль 20'!AI28</f>
        <v>0</v>
      </c>
      <c r="J29" s="277">
        <f>'[1]май 20'!AA28</f>
        <v>4.5890000000000004</v>
      </c>
      <c r="K29" s="437">
        <f>'[1]сентябрь 20'!AM28</f>
        <v>0</v>
      </c>
      <c r="L29" s="438">
        <f>'[1]май 20'!AE28</f>
        <v>48.401000000000003</v>
      </c>
      <c r="M29" s="443">
        <f t="shared" si="21"/>
        <v>0.53820749471811413</v>
      </c>
      <c r="N29" s="403">
        <f>'[1]май 20'!W28</f>
        <v>12.943</v>
      </c>
      <c r="O29" s="453">
        <f>'[1]май 20'!AU28</f>
        <v>0</v>
      </c>
      <c r="P29" s="401">
        <f t="shared" si="0"/>
        <v>125.92400000000001</v>
      </c>
      <c r="Q29" s="122">
        <f>'[1]май 20'!S28</f>
        <v>125.92400000000001</v>
      </c>
      <c r="R29" s="123">
        <f t="shared" si="22"/>
        <v>1.39</v>
      </c>
      <c r="S29" s="129">
        <v>7.04</v>
      </c>
      <c r="T29" s="125">
        <f t="shared" si="1"/>
        <v>124.1736564</v>
      </c>
      <c r="U29" s="147">
        <f t="shared" si="2"/>
        <v>1.3807812342933394</v>
      </c>
      <c r="V29" s="130">
        <v>23.24</v>
      </c>
      <c r="W29" s="130">
        <v>66.69</v>
      </c>
      <c r="X29" s="129">
        <v>0.42</v>
      </c>
      <c r="Y29" s="150">
        <v>464</v>
      </c>
      <c r="Z29" s="150">
        <v>1158</v>
      </c>
      <c r="AA29" s="148" t="s">
        <v>280</v>
      </c>
      <c r="AB29" s="149">
        <v>74.06</v>
      </c>
      <c r="AC29" s="150">
        <v>88</v>
      </c>
      <c r="AD29" s="151">
        <v>4</v>
      </c>
      <c r="AE29" s="149">
        <v>0.9</v>
      </c>
      <c r="AF29" s="134">
        <f t="shared" si="3"/>
        <v>10.007783831869233</v>
      </c>
      <c r="AG29" s="152"/>
      <c r="AH29" s="129">
        <v>85.85</v>
      </c>
      <c r="AI29" s="134">
        <f t="shared" si="4"/>
        <v>954.6313799621928</v>
      </c>
      <c r="AJ29" s="136">
        <v>15.03</v>
      </c>
      <c r="AK29" s="154"/>
      <c r="AL29" s="155">
        <v>6.41</v>
      </c>
      <c r="AM29" s="156">
        <v>29.15</v>
      </c>
      <c r="AN29" s="126">
        <f t="shared" si="23"/>
        <v>0.23699186991869917</v>
      </c>
      <c r="AO29" s="157" t="s">
        <v>281</v>
      </c>
      <c r="AP29" s="156">
        <v>8.35</v>
      </c>
      <c r="AQ29" s="156">
        <v>6.29</v>
      </c>
      <c r="AR29" s="149"/>
      <c r="AS29" s="149">
        <v>13.67</v>
      </c>
      <c r="AT29" s="149">
        <v>123</v>
      </c>
      <c r="AU29" s="149">
        <v>2.4900000000000002</v>
      </c>
      <c r="AV29" s="164"/>
      <c r="AW29" s="149"/>
      <c r="AX29" s="158">
        <f t="shared" si="5"/>
        <v>0</v>
      </c>
      <c r="AY29" s="125">
        <f t="shared" si="6"/>
        <v>89.929999999999993</v>
      </c>
      <c r="AZ29" s="125">
        <f t="shared" si="29"/>
        <v>101.37756740813292</v>
      </c>
      <c r="BA29" s="159">
        <f t="shared" si="7"/>
        <v>9.0910313380281664</v>
      </c>
      <c r="BB29" s="160">
        <f t="shared" si="8"/>
        <v>3.5972</v>
      </c>
      <c r="BC29" s="161">
        <f t="shared" si="9"/>
        <v>0.78402300948436676</v>
      </c>
      <c r="BD29" s="160">
        <f t="shared" si="24"/>
        <v>12.688231338028167</v>
      </c>
      <c r="BE29" s="162">
        <v>0.85599999999999998</v>
      </c>
      <c r="BF29" s="25">
        <f t="shared" si="25"/>
        <v>2581.9999999999995</v>
      </c>
      <c r="BG29" s="25">
        <f t="shared" si="10"/>
        <v>114.51612903225806</v>
      </c>
      <c r="BH29" s="25">
        <f t="shared" si="26"/>
        <v>2633.8709677419356</v>
      </c>
      <c r="BI29" s="26">
        <f t="shared" si="11"/>
        <v>1</v>
      </c>
      <c r="BJ29" s="37">
        <f t="shared" si="27"/>
        <v>2633.8709677419356</v>
      </c>
      <c r="BK29" s="328"/>
      <c r="BL29" s="31">
        <v>57.344999999999999</v>
      </c>
      <c r="BM29" s="31">
        <v>88.028000000000006</v>
      </c>
      <c r="BN29" s="31"/>
      <c r="BO29" s="40"/>
      <c r="BP29" s="40">
        <v>26.391999999999999</v>
      </c>
      <c r="BQ29" s="32">
        <v>48.401000000000003</v>
      </c>
      <c r="BR29" s="33"/>
      <c r="BS29" s="34">
        <v>1.04</v>
      </c>
      <c r="BT29" s="35">
        <v>0.54</v>
      </c>
      <c r="BU29" s="35"/>
      <c r="BV29" s="235"/>
      <c r="BW29" s="235">
        <v>0.98</v>
      </c>
      <c r="BX29" s="36"/>
      <c r="BY29" s="33"/>
      <c r="BZ29" s="34">
        <v>37.630000000000003</v>
      </c>
      <c r="CA29" s="35">
        <v>38.46</v>
      </c>
      <c r="CB29" s="35"/>
      <c r="CC29" s="235"/>
      <c r="CD29" s="235">
        <v>34.6</v>
      </c>
      <c r="CE29" s="36">
        <v>43.18</v>
      </c>
      <c r="CF29" s="30">
        <v>125.92400000000001</v>
      </c>
      <c r="CG29" s="30"/>
      <c r="CH29" s="31"/>
      <c r="CI29" s="32"/>
      <c r="CJ29" s="33">
        <v>1.39</v>
      </c>
      <c r="CK29" s="33"/>
      <c r="CL29" s="35"/>
      <c r="CM29" s="36"/>
      <c r="CN29" s="286"/>
      <c r="CO29" s="249">
        <f t="shared" si="30"/>
        <v>0</v>
      </c>
      <c r="CP29" s="12">
        <f t="shared" si="30"/>
        <v>56.748611999999994</v>
      </c>
      <c r="CQ29" s="12">
        <f t="shared" si="30"/>
        <v>87.5526488</v>
      </c>
      <c r="CR29" s="12">
        <f t="shared" si="30"/>
        <v>0</v>
      </c>
      <c r="CS29" s="11">
        <f t="shared" si="30"/>
        <v>0</v>
      </c>
      <c r="CT29" s="11">
        <f t="shared" si="30"/>
        <v>26.133358399999999</v>
      </c>
      <c r="CU29" s="272">
        <f t="shared" si="30"/>
        <v>48.401000000000003</v>
      </c>
      <c r="CV29" s="249">
        <f t="shared" si="13"/>
        <v>124.1736564</v>
      </c>
      <c r="CW29" s="12">
        <f t="shared" si="13"/>
        <v>0</v>
      </c>
      <c r="CX29" s="249">
        <f t="shared" si="13"/>
        <v>0</v>
      </c>
      <c r="CY29" s="272">
        <f t="shared" si="13"/>
        <v>0</v>
      </c>
      <c r="CZ29" s="13"/>
      <c r="DA29" s="240">
        <f>(D29+'[2]май 20'!D29)/(AY29+'[2]май 20'!AX29)</f>
        <v>2.2862100243061851</v>
      </c>
      <c r="DB29" s="241">
        <f>(T29+'[2]май 20'!R29)/(AY29+'[2]май 20'!AX29)</f>
        <v>1.3276751547251948</v>
      </c>
      <c r="DD29" s="292">
        <f t="shared" si="14"/>
        <v>4.5890000000000004</v>
      </c>
      <c r="DE29" s="291">
        <v>0.11</v>
      </c>
      <c r="DF29" s="291">
        <v>20.059999999999999</v>
      </c>
      <c r="DG29" s="145">
        <f t="shared" si="15"/>
        <v>4.5839521000000003</v>
      </c>
      <c r="DH29" s="293">
        <f t="shared" si="28"/>
        <v>1.241615975236295</v>
      </c>
      <c r="DJ29" s="322"/>
    </row>
    <row r="30" spans="1:114" s="76" customFormat="1" ht="16.5" customHeight="1" thickBot="1">
      <c r="A30" s="144">
        <v>24</v>
      </c>
      <c r="B30" s="122">
        <f>'[1]май 20'!K29</f>
        <v>202.446</v>
      </c>
      <c r="C30" s="123">
        <f t="shared" si="16"/>
        <v>0.70293263388755522</v>
      </c>
      <c r="D30" s="145">
        <f t="shared" si="17"/>
        <v>201.022941</v>
      </c>
      <c r="E30" s="125">
        <f t="shared" si="18"/>
        <v>38.737597532181418</v>
      </c>
      <c r="F30" s="146">
        <f t="shared" si="19"/>
        <v>2.0329989987864074</v>
      </c>
      <c r="G30" s="127"/>
      <c r="H30" s="126">
        <f t="shared" si="20"/>
        <v>1.5818561994336569</v>
      </c>
      <c r="I30" s="230">
        <f>'[1]июль 20'!AI29</f>
        <v>0</v>
      </c>
      <c r="J30" s="439">
        <f>'[1]май 20'!AA29</f>
        <v>4.2960000000000003</v>
      </c>
      <c r="K30" s="440">
        <f>'[1]сентябрь 20'!AM29</f>
        <v>0</v>
      </c>
      <c r="L30" s="441">
        <f>'[1]май 20'!AE29</f>
        <v>44.609000000000002</v>
      </c>
      <c r="M30" s="442">
        <f t="shared" si="21"/>
        <v>0.45114279935275076</v>
      </c>
      <c r="N30" s="403">
        <f>'[1]май 20'!W29</f>
        <v>10.58</v>
      </c>
      <c r="O30" s="452">
        <f>'[1]май 20'!AU29</f>
        <v>0</v>
      </c>
      <c r="P30" s="401">
        <f t="shared" si="0"/>
        <v>116.589</v>
      </c>
      <c r="Q30" s="122">
        <f>'[1]май 20'!S29</f>
        <v>116.589</v>
      </c>
      <c r="R30" s="123">
        <f t="shared" si="22"/>
        <v>1.37</v>
      </c>
      <c r="S30" s="170">
        <v>7.55</v>
      </c>
      <c r="T30" s="125">
        <f t="shared" si="1"/>
        <v>114.99173069999999</v>
      </c>
      <c r="U30" s="147">
        <f t="shared" si="2"/>
        <v>1.1629422603155337</v>
      </c>
      <c r="V30" s="169"/>
      <c r="W30" s="169">
        <v>98.88</v>
      </c>
      <c r="X30" s="170">
        <v>0.28999999999999998</v>
      </c>
      <c r="Y30" s="166">
        <v>483</v>
      </c>
      <c r="Z30" s="166">
        <v>1151</v>
      </c>
      <c r="AA30" s="148" t="s">
        <v>282</v>
      </c>
      <c r="AB30" s="164">
        <v>73.28</v>
      </c>
      <c r="AC30" s="166">
        <v>81</v>
      </c>
      <c r="AD30" s="171">
        <v>4</v>
      </c>
      <c r="AE30" s="164">
        <v>1.4</v>
      </c>
      <c r="AF30" s="172">
        <f t="shared" si="3"/>
        <v>14.158576051779933</v>
      </c>
      <c r="AG30" s="173"/>
      <c r="AH30" s="170">
        <v>76.55</v>
      </c>
      <c r="AI30" s="134">
        <f t="shared" si="4"/>
        <v>774.17071197410996</v>
      </c>
      <c r="AJ30" s="174">
        <v>12.33</v>
      </c>
      <c r="AK30" s="175"/>
      <c r="AL30" s="176">
        <v>4.12</v>
      </c>
      <c r="AM30" s="177">
        <v>24.29</v>
      </c>
      <c r="AN30" s="126">
        <f t="shared" si="23"/>
        <v>0.19354581673306773</v>
      </c>
      <c r="AO30" s="178" t="s">
        <v>266</v>
      </c>
      <c r="AP30" s="177">
        <v>8.17</v>
      </c>
      <c r="AQ30" s="177">
        <v>6.23</v>
      </c>
      <c r="AR30" s="171"/>
      <c r="AS30" s="164">
        <v>11.88</v>
      </c>
      <c r="AT30" s="149">
        <v>125.5</v>
      </c>
      <c r="AU30" s="164">
        <v>1.79</v>
      </c>
      <c r="AV30" s="164"/>
      <c r="AW30" s="164"/>
      <c r="AX30" s="179">
        <f t="shared" si="5"/>
        <v>0</v>
      </c>
      <c r="AY30" s="125">
        <f t="shared" si="6"/>
        <v>98.88000000000001</v>
      </c>
      <c r="AZ30" s="125">
        <f t="shared" si="29"/>
        <v>93.749801257749482</v>
      </c>
      <c r="BA30" s="159">
        <f t="shared" si="7"/>
        <v>7.0447563380281686</v>
      </c>
      <c r="BB30" s="159">
        <f t="shared" si="8"/>
        <v>3.9552000000000005</v>
      </c>
      <c r="BC30" s="180">
        <f t="shared" si="9"/>
        <v>0.93049836252436258</v>
      </c>
      <c r="BD30" s="159">
        <f t="shared" si="24"/>
        <v>10.99995633802817</v>
      </c>
      <c r="BE30" s="167">
        <v>0.85899999999999999</v>
      </c>
      <c r="BF30" s="25">
        <f t="shared" si="25"/>
        <v>2680.8799999999997</v>
      </c>
      <c r="BG30" s="25">
        <f t="shared" si="10"/>
        <v>114.51612903225806</v>
      </c>
      <c r="BH30" s="25">
        <f t="shared" si="26"/>
        <v>2748.3870967741937</v>
      </c>
      <c r="BI30" s="26">
        <f t="shared" si="11"/>
        <v>1</v>
      </c>
      <c r="BJ30" s="37">
        <f t="shared" si="27"/>
        <v>2748.3870967741937</v>
      </c>
      <c r="BK30" s="38"/>
      <c r="BL30" s="31">
        <v>52.698</v>
      </c>
      <c r="BM30" s="31">
        <v>81.040999999999997</v>
      </c>
      <c r="BN30" s="31"/>
      <c r="BO30" s="40"/>
      <c r="BP30" s="40">
        <v>24.097999999999999</v>
      </c>
      <c r="BQ30" s="44">
        <v>44.609000000000002</v>
      </c>
      <c r="BR30" s="45"/>
      <c r="BS30" s="46">
        <v>0.97</v>
      </c>
      <c r="BT30" s="47">
        <v>0.7</v>
      </c>
      <c r="BU30" s="47"/>
      <c r="BV30" s="283"/>
      <c r="BW30" s="283">
        <v>1.43</v>
      </c>
      <c r="BX30" s="48"/>
      <c r="BY30" s="45"/>
      <c r="BZ30" s="46">
        <v>37.54</v>
      </c>
      <c r="CA30" s="47">
        <v>38.07</v>
      </c>
      <c r="CB30" s="47"/>
      <c r="CC30" s="283"/>
      <c r="CD30" s="283">
        <v>35.229999999999997</v>
      </c>
      <c r="CE30" s="48">
        <v>43.26</v>
      </c>
      <c r="CF30" s="49">
        <v>116.589</v>
      </c>
      <c r="CG30" s="49"/>
      <c r="CH30" s="43"/>
      <c r="CI30" s="32"/>
      <c r="CJ30" s="33">
        <v>1.37</v>
      </c>
      <c r="CK30" s="33"/>
      <c r="CL30" s="35"/>
      <c r="CM30" s="36"/>
      <c r="CN30" s="286"/>
      <c r="CO30" s="249">
        <f t="shared" si="30"/>
        <v>0</v>
      </c>
      <c r="CP30" s="12">
        <f t="shared" si="30"/>
        <v>52.186829400000001</v>
      </c>
      <c r="CQ30" s="12">
        <f t="shared" si="30"/>
        <v>80.473712999999989</v>
      </c>
      <c r="CR30" s="12">
        <f t="shared" si="30"/>
        <v>0</v>
      </c>
      <c r="CS30" s="11">
        <f t="shared" si="30"/>
        <v>0</v>
      </c>
      <c r="CT30" s="11">
        <f t="shared" si="30"/>
        <v>23.753398599999997</v>
      </c>
      <c r="CU30" s="272">
        <f t="shared" si="30"/>
        <v>44.609000000000002</v>
      </c>
      <c r="CV30" s="249">
        <f t="shared" si="13"/>
        <v>114.99173069999999</v>
      </c>
      <c r="CW30" s="11">
        <f t="shared" si="13"/>
        <v>0</v>
      </c>
      <c r="CX30" s="252">
        <f t="shared" si="13"/>
        <v>0</v>
      </c>
      <c r="CY30" s="272">
        <f t="shared" si="13"/>
        <v>0</v>
      </c>
      <c r="CZ30" s="13"/>
      <c r="DA30" s="240">
        <f>(D30+'[2]май 20'!D30)/(AY30+'[2]май 20'!AX30)</f>
        <v>2.1798933230337076</v>
      </c>
      <c r="DB30" s="241">
        <f>(T30+'[2]май 20'!R30)/(AY30+'[2]май 20'!AX30)</f>
        <v>1.2751114139747191</v>
      </c>
      <c r="DD30" s="292">
        <f t="shared" si="14"/>
        <v>4.2960000000000003</v>
      </c>
      <c r="DE30" s="291">
        <v>0.15</v>
      </c>
      <c r="DF30" s="291">
        <v>16.739999999999998</v>
      </c>
      <c r="DG30" s="145">
        <f t="shared" si="15"/>
        <v>4.2895560000000001</v>
      </c>
      <c r="DH30" s="293">
        <f t="shared" si="28"/>
        <v>0.97990130240174667</v>
      </c>
      <c r="DJ30" s="322"/>
    </row>
    <row r="31" spans="1:114" s="76" customFormat="1" ht="16.5" customHeight="1" thickBot="1">
      <c r="A31" s="144">
        <v>25</v>
      </c>
      <c r="B31" s="122">
        <f>'[1]май 20'!K30</f>
        <v>212.57900000000001</v>
      </c>
      <c r="C31" s="123">
        <f t="shared" si="16"/>
        <v>0.60617558648784686</v>
      </c>
      <c r="D31" s="145">
        <f t="shared" si="17"/>
        <v>211.29039799999998</v>
      </c>
      <c r="E31" s="125">
        <f t="shared" si="18"/>
        <v>38.540972767771045</v>
      </c>
      <c r="F31" s="146">
        <f t="shared" si="19"/>
        <v>2.6497416353147729</v>
      </c>
      <c r="G31" s="127"/>
      <c r="H31" s="126">
        <f t="shared" si="20"/>
        <v>2.1328993980436417</v>
      </c>
      <c r="I31" s="230">
        <f>'[1]июль 20'!AI30</f>
        <v>0</v>
      </c>
      <c r="J31" s="277">
        <f>'[1]май 20'!AA30</f>
        <v>4.3099999999999996</v>
      </c>
      <c r="K31" s="437">
        <f>'[1]сентябрь 20'!AM30</f>
        <v>0</v>
      </c>
      <c r="L31" s="438">
        <f>'[1]май 20'!AE30</f>
        <v>41.213000000000001</v>
      </c>
      <c r="M31" s="443">
        <f t="shared" si="21"/>
        <v>0.51684223727113121</v>
      </c>
      <c r="N31" s="403">
        <f>'[1]май 20'!W30</f>
        <v>10.988</v>
      </c>
      <c r="O31" s="453">
        <f>'[1]май 20'!AU30</f>
        <v>0</v>
      </c>
      <c r="P31" s="401">
        <f t="shared" si="0"/>
        <v>126.496</v>
      </c>
      <c r="Q31" s="122">
        <f>'[1]май 20'!S30</f>
        <v>126.496</v>
      </c>
      <c r="R31" s="123">
        <f t="shared" si="22"/>
        <v>1.41</v>
      </c>
      <c r="S31" s="129">
        <v>3.91</v>
      </c>
      <c r="T31" s="125">
        <f t="shared" si="1"/>
        <v>124.71240639999999</v>
      </c>
      <c r="U31" s="147">
        <f t="shared" si="2"/>
        <v>1.5639880411336844</v>
      </c>
      <c r="V31" s="130"/>
      <c r="W31" s="130">
        <v>56.29</v>
      </c>
      <c r="X31" s="129">
        <v>0.79</v>
      </c>
      <c r="Y31" s="150">
        <v>469</v>
      </c>
      <c r="Z31" s="150">
        <v>1144</v>
      </c>
      <c r="AA31" s="148" t="s">
        <v>269</v>
      </c>
      <c r="AB31" s="149">
        <v>74.42</v>
      </c>
      <c r="AC31" s="150">
        <v>86</v>
      </c>
      <c r="AD31" s="151">
        <v>4</v>
      </c>
      <c r="AE31" s="149">
        <v>2.5499999999999998</v>
      </c>
      <c r="AF31" s="134">
        <f t="shared" si="3"/>
        <v>31.978931527464262</v>
      </c>
      <c r="AG31" s="152"/>
      <c r="AH31" s="129">
        <v>69.25</v>
      </c>
      <c r="AI31" s="134">
        <f t="shared" si="4"/>
        <v>868.44745422623532</v>
      </c>
      <c r="AJ31" s="136">
        <v>11.03</v>
      </c>
      <c r="AK31" s="154"/>
      <c r="AL31" s="155">
        <v>3.26</v>
      </c>
      <c r="AM31" s="156">
        <v>25.75</v>
      </c>
      <c r="AN31" s="126">
        <f t="shared" si="23"/>
        <v>0.23853635942566001</v>
      </c>
      <c r="AO31" s="157" t="s">
        <v>283</v>
      </c>
      <c r="AP31" s="156">
        <v>8.2899999999999991</v>
      </c>
      <c r="AQ31" s="156">
        <v>6.16</v>
      </c>
      <c r="AR31" s="151"/>
      <c r="AS31" s="149">
        <v>12.22</v>
      </c>
      <c r="AT31" s="149">
        <v>107.95</v>
      </c>
      <c r="AU31" s="149">
        <v>0.8</v>
      </c>
      <c r="AV31" s="164"/>
      <c r="AW31" s="149"/>
      <c r="AX31" s="158">
        <f t="shared" si="5"/>
        <v>0</v>
      </c>
      <c r="AY31" s="125">
        <f t="shared" si="6"/>
        <v>79.739999999999995</v>
      </c>
      <c r="AZ31" s="125">
        <f t="shared" si="29"/>
        <v>96.601476878695237</v>
      </c>
      <c r="BA31" s="159">
        <f t="shared" si="7"/>
        <v>6.5553415492957745</v>
      </c>
      <c r="BB31" s="160">
        <f t="shared" si="8"/>
        <v>3.1896</v>
      </c>
      <c r="BC31" s="161">
        <f t="shared" si="9"/>
        <v>0.72872465594354896</v>
      </c>
      <c r="BD31" s="160">
        <f t="shared" si="24"/>
        <v>9.7449415492957741</v>
      </c>
      <c r="BE31" s="162">
        <v>0.85399999999999998</v>
      </c>
      <c r="BF31" s="25">
        <f t="shared" si="25"/>
        <v>2760.6199999999994</v>
      </c>
      <c r="BG31" s="25">
        <f t="shared" si="10"/>
        <v>114.51612903225806</v>
      </c>
      <c r="BH31" s="25">
        <f t="shared" si="26"/>
        <v>2862.9032258064517</v>
      </c>
      <c r="BI31" s="26">
        <f t="shared" si="11"/>
        <v>1</v>
      </c>
      <c r="BJ31" s="37">
        <f t="shared" si="27"/>
        <v>2862.9032258064517</v>
      </c>
      <c r="BK31" s="38"/>
      <c r="BL31" s="31">
        <v>62.704000000000001</v>
      </c>
      <c r="BM31" s="31">
        <v>79.450999999999993</v>
      </c>
      <c r="BN31" s="31"/>
      <c r="BO31" s="40"/>
      <c r="BP31" s="40">
        <v>29.210999999999999</v>
      </c>
      <c r="BQ31" s="32">
        <v>41.213000000000001</v>
      </c>
      <c r="BR31" s="33"/>
      <c r="BS31" s="34">
        <v>0.64</v>
      </c>
      <c r="BT31" s="35">
        <v>0.57999999999999996</v>
      </c>
      <c r="BU31" s="35"/>
      <c r="BV31" s="235"/>
      <c r="BW31" s="235">
        <v>1.46</v>
      </c>
      <c r="BX31" s="36"/>
      <c r="BY31" s="33"/>
      <c r="BZ31" s="34">
        <v>37.520000000000003</v>
      </c>
      <c r="CA31" s="35">
        <v>38.47</v>
      </c>
      <c r="CB31" s="35"/>
      <c r="CC31" s="235"/>
      <c r="CD31" s="235">
        <v>34.31</v>
      </c>
      <c r="CE31" s="36">
        <v>43.23</v>
      </c>
      <c r="CF31" s="30">
        <v>126.496</v>
      </c>
      <c r="CG31" s="30"/>
      <c r="CH31" s="31"/>
      <c r="CI31" s="32"/>
      <c r="CJ31" s="33">
        <v>1.41</v>
      </c>
      <c r="CK31" s="33"/>
      <c r="CL31" s="35"/>
      <c r="CM31" s="36"/>
      <c r="CN31" s="286"/>
      <c r="CO31" s="249">
        <f t="shared" si="30"/>
        <v>0</v>
      </c>
      <c r="CP31" s="12">
        <f t="shared" si="30"/>
        <v>62.3026944</v>
      </c>
      <c r="CQ31" s="12">
        <f t="shared" si="30"/>
        <v>78.990184199999987</v>
      </c>
      <c r="CR31" s="12">
        <f t="shared" si="30"/>
        <v>0</v>
      </c>
      <c r="CS31" s="11">
        <f t="shared" si="30"/>
        <v>0</v>
      </c>
      <c r="CT31" s="11">
        <f t="shared" si="30"/>
        <v>28.784519400000001</v>
      </c>
      <c r="CU31" s="272">
        <f t="shared" si="30"/>
        <v>41.213000000000001</v>
      </c>
      <c r="CV31" s="249">
        <f t="shared" si="13"/>
        <v>124.71240639999999</v>
      </c>
      <c r="CW31" s="12">
        <f t="shared" si="13"/>
        <v>0</v>
      </c>
      <c r="CX31" s="249">
        <f t="shared" si="13"/>
        <v>0</v>
      </c>
      <c r="CY31" s="272">
        <f t="shared" si="13"/>
        <v>0</v>
      </c>
      <c r="CZ31" s="13"/>
      <c r="DA31" s="240">
        <f>(D31+'[2]май 20'!D31)/(AY31+'[2]май 20'!AX31)</f>
        <v>2.3704148233360725</v>
      </c>
      <c r="DB31" s="241">
        <f>(T31+'[2]май 20'!R31)/(AY31+'[2]май 20'!AX31)</f>
        <v>1.4044311884664227</v>
      </c>
      <c r="DD31" s="292">
        <f t="shared" si="14"/>
        <v>4.3099999999999996</v>
      </c>
      <c r="DE31" s="291">
        <v>1.28</v>
      </c>
      <c r="DF31" s="291">
        <v>18.79</v>
      </c>
      <c r="DG31" s="145">
        <f t="shared" si="15"/>
        <v>4.2548319999999995</v>
      </c>
      <c r="DH31" s="293">
        <f t="shared" si="28"/>
        <v>1.0742850481053479</v>
      </c>
      <c r="DJ31" s="322"/>
    </row>
    <row r="32" spans="1:114" s="76" customFormat="1" ht="16.5" customHeight="1" thickBot="1">
      <c r="A32" s="144">
        <v>26</v>
      </c>
      <c r="B32" s="122">
        <f>'[1]май 20'!K31</f>
        <v>207.58099999999999</v>
      </c>
      <c r="C32" s="123">
        <f t="shared" si="16"/>
        <v>0.72599900761630398</v>
      </c>
      <c r="D32" s="145">
        <f t="shared" si="17"/>
        <v>206.07396399999999</v>
      </c>
      <c r="E32" s="125">
        <f t="shared" si="18"/>
        <v>37.911062958555938</v>
      </c>
      <c r="F32" s="146">
        <f t="shared" si="19"/>
        <v>2.3374995916515426</v>
      </c>
      <c r="G32" s="127"/>
      <c r="H32" s="126">
        <f t="shared" si="20"/>
        <v>1.9610590290381127</v>
      </c>
      <c r="I32" s="230">
        <f>'[1]июль 20'!AI31</f>
        <v>0</v>
      </c>
      <c r="J32" s="439">
        <f>'[1]май 20'!AA31</f>
        <v>4.2370000000000001</v>
      </c>
      <c r="K32" s="440">
        <f>'[1]сентябрь 20'!AM31</f>
        <v>0</v>
      </c>
      <c r="L32" s="441">
        <f>'[1]май 20'!AE31</f>
        <v>33.186999999999998</v>
      </c>
      <c r="M32" s="442">
        <f t="shared" si="21"/>
        <v>0.37644056261343012</v>
      </c>
      <c r="N32" s="403">
        <f>'[1]май 20'!W31</f>
        <v>10.97</v>
      </c>
      <c r="O32" s="452">
        <f>'[1]май 20'!AU31</f>
        <v>0</v>
      </c>
      <c r="P32" s="401">
        <f t="shared" si="0"/>
        <v>119.306</v>
      </c>
      <c r="Q32" s="122">
        <f>'[1]май 20'!S31</f>
        <v>119.306</v>
      </c>
      <c r="R32" s="123">
        <f t="shared" si="22"/>
        <v>1.3</v>
      </c>
      <c r="S32" s="129">
        <v>1.85</v>
      </c>
      <c r="T32" s="125">
        <f t="shared" si="1"/>
        <v>117.755022</v>
      </c>
      <c r="U32" s="147">
        <f t="shared" si="2"/>
        <v>1.3356967105263158</v>
      </c>
      <c r="V32" s="130">
        <v>42.46</v>
      </c>
      <c r="W32" s="130">
        <v>45.71</v>
      </c>
      <c r="X32" s="129">
        <v>0.89</v>
      </c>
      <c r="Y32" s="150">
        <v>487</v>
      </c>
      <c r="Z32" s="150">
        <v>1157</v>
      </c>
      <c r="AA32" s="148" t="s">
        <v>285</v>
      </c>
      <c r="AB32" s="149">
        <v>74.84</v>
      </c>
      <c r="AC32" s="150">
        <v>83</v>
      </c>
      <c r="AD32" s="151">
        <v>4</v>
      </c>
      <c r="AE32" s="149">
        <v>3.3</v>
      </c>
      <c r="AF32" s="134">
        <f t="shared" si="3"/>
        <v>37.431941923774957</v>
      </c>
      <c r="AG32" s="152"/>
      <c r="AH32" s="129">
        <v>76.5</v>
      </c>
      <c r="AI32" s="134">
        <f t="shared" si="4"/>
        <v>867.74047186932853</v>
      </c>
      <c r="AJ32" s="153">
        <v>10.28</v>
      </c>
      <c r="AK32" s="154"/>
      <c r="AL32" s="155">
        <v>7.6</v>
      </c>
      <c r="AM32" s="156">
        <v>24.07</v>
      </c>
      <c r="AN32" s="126">
        <f t="shared" si="23"/>
        <v>0.2021839563208736</v>
      </c>
      <c r="AO32" s="157" t="s">
        <v>286</v>
      </c>
      <c r="AP32" s="156">
        <v>8.26</v>
      </c>
      <c r="AQ32" s="156">
        <v>6.2</v>
      </c>
      <c r="AR32" s="151"/>
      <c r="AS32" s="149">
        <v>10.7</v>
      </c>
      <c r="AT32" s="149">
        <v>119.05</v>
      </c>
      <c r="AU32" s="149">
        <v>0.78</v>
      </c>
      <c r="AV32" s="149"/>
      <c r="AW32" s="149"/>
      <c r="AX32" s="158">
        <f t="shared" si="5"/>
        <v>0</v>
      </c>
      <c r="AY32" s="125">
        <f t="shared" si="6"/>
        <v>88.16</v>
      </c>
      <c r="AZ32" s="125">
        <f t="shared" si="29"/>
        <v>92.226186358379792</v>
      </c>
      <c r="BA32" s="159">
        <f t="shared" si="7"/>
        <v>6.34088028169014</v>
      </c>
      <c r="BB32" s="160">
        <f t="shared" si="8"/>
        <v>3.5263999999999998</v>
      </c>
      <c r="BC32" s="161">
        <f t="shared" si="9"/>
        <v>0.84453231838108478</v>
      </c>
      <c r="BD32" s="160">
        <f t="shared" si="24"/>
        <v>9.8672802816901388</v>
      </c>
      <c r="BE32" s="162">
        <v>0.85399999999999998</v>
      </c>
      <c r="BF32" s="25">
        <f t="shared" si="25"/>
        <v>2848.7799999999993</v>
      </c>
      <c r="BG32" s="25">
        <f t="shared" si="10"/>
        <v>114.51612903225806</v>
      </c>
      <c r="BH32" s="25">
        <f t="shared" si="26"/>
        <v>2977.4193548387098</v>
      </c>
      <c r="BI32" s="26">
        <f t="shared" si="11"/>
        <v>1</v>
      </c>
      <c r="BJ32" s="37">
        <f t="shared" si="27"/>
        <v>2977.4193548387098</v>
      </c>
      <c r="BK32" s="38"/>
      <c r="BL32" s="31">
        <v>75.034999999999997</v>
      </c>
      <c r="BM32" s="31">
        <v>66.158000000000001</v>
      </c>
      <c r="BN32" s="31"/>
      <c r="BO32" s="40"/>
      <c r="BP32" s="40">
        <v>33.201000000000001</v>
      </c>
      <c r="BQ32" s="32">
        <v>33.186999999999998</v>
      </c>
      <c r="BR32" s="33"/>
      <c r="BS32" s="34">
        <v>1.05</v>
      </c>
      <c r="BT32" s="35">
        <v>0.53</v>
      </c>
      <c r="BU32" s="35"/>
      <c r="BV32" s="235"/>
      <c r="BW32" s="235">
        <v>1.1100000000000001</v>
      </c>
      <c r="BX32" s="36"/>
      <c r="BY32" s="33"/>
      <c r="BZ32" s="34">
        <v>37.29</v>
      </c>
      <c r="CA32" s="35">
        <v>37.9</v>
      </c>
      <c r="CB32" s="35"/>
      <c r="CC32" s="235"/>
      <c r="CD32" s="235">
        <v>34.090000000000003</v>
      </c>
      <c r="CE32" s="36">
        <v>43.16</v>
      </c>
      <c r="CF32" s="30">
        <v>119.306</v>
      </c>
      <c r="CG32" s="30"/>
      <c r="CH32" s="31"/>
      <c r="CI32" s="50"/>
      <c r="CJ32" s="33">
        <v>1.3</v>
      </c>
      <c r="CK32" s="33"/>
      <c r="CL32" s="35"/>
      <c r="CM32" s="36"/>
      <c r="CN32" s="286"/>
      <c r="CO32" s="249">
        <f t="shared" si="30"/>
        <v>0</v>
      </c>
      <c r="CP32" s="12">
        <f t="shared" si="30"/>
        <v>74.247132500000006</v>
      </c>
      <c r="CQ32" s="12">
        <f t="shared" si="30"/>
        <v>65.807362600000005</v>
      </c>
      <c r="CR32" s="12">
        <f t="shared" si="30"/>
        <v>0</v>
      </c>
      <c r="CS32" s="11">
        <f t="shared" si="30"/>
        <v>0</v>
      </c>
      <c r="CT32" s="11">
        <f t="shared" si="30"/>
        <v>32.832468900000002</v>
      </c>
      <c r="CU32" s="272">
        <f t="shared" si="30"/>
        <v>33.186999999999998</v>
      </c>
      <c r="CV32" s="249">
        <f t="shared" si="13"/>
        <v>117.755022</v>
      </c>
      <c r="CW32" s="11">
        <f t="shared" si="13"/>
        <v>0</v>
      </c>
      <c r="CX32" s="249">
        <f t="shared" si="13"/>
        <v>0</v>
      </c>
      <c r="CY32" s="272">
        <f t="shared" si="13"/>
        <v>0</v>
      </c>
      <c r="CZ32" s="13"/>
      <c r="DA32" s="240">
        <f>(D32+'[2]май 20'!D32)/(AY32+'[2]май 20'!AX32)</f>
        <v>2.3677429938271604</v>
      </c>
      <c r="DB32" s="241">
        <f>(T32+'[2]май 20'!R32)/(AY32+'[2]май 20'!AX32)</f>
        <v>1.3883055630834085</v>
      </c>
      <c r="DD32" s="292">
        <f t="shared" si="14"/>
        <v>4.2370000000000001</v>
      </c>
      <c r="DE32" s="291">
        <v>0.35</v>
      </c>
      <c r="DF32" s="291">
        <v>19.399999999999999</v>
      </c>
      <c r="DG32" s="145">
        <f t="shared" si="15"/>
        <v>4.2221705000000007</v>
      </c>
      <c r="DH32" s="293">
        <f t="shared" si="28"/>
        <v>1.0944696378941741</v>
      </c>
      <c r="DJ32" s="322"/>
    </row>
    <row r="33" spans="1:114" s="76" customFormat="1" ht="16.5" customHeight="1" thickBot="1">
      <c r="A33" s="144">
        <v>27</v>
      </c>
      <c r="B33" s="122">
        <f>'[1]май 20'!K32</f>
        <v>240.102</v>
      </c>
      <c r="C33" s="123">
        <f t="shared" si="16"/>
        <v>0.46382883108012429</v>
      </c>
      <c r="D33" s="145">
        <f t="shared" si="17"/>
        <v>238.98833769999999</v>
      </c>
      <c r="E33" s="125">
        <f t="shared" si="18"/>
        <v>37.86014743733913</v>
      </c>
      <c r="F33" s="146">
        <f t="shared" si="19"/>
        <v>2.3446319797900519</v>
      </c>
      <c r="G33" s="127">
        <v>15.58</v>
      </c>
      <c r="H33" s="126">
        <f t="shared" si="20"/>
        <v>1.9679126626115961</v>
      </c>
      <c r="I33" s="230">
        <f>'[1]июль 20'!AI32</f>
        <v>0</v>
      </c>
      <c r="J33" s="277">
        <f>'[1]май 20'!AA32</f>
        <v>4.7869999999999999</v>
      </c>
      <c r="K33" s="437">
        <f>'[1]сентябрь 20'!AM32</f>
        <v>0</v>
      </c>
      <c r="L33" s="438">
        <f>'[1]май 20'!AE32</f>
        <v>38.399000000000001</v>
      </c>
      <c r="M33" s="443">
        <f t="shared" si="21"/>
        <v>0.37671931717845586</v>
      </c>
      <c r="N33" s="403">
        <f>'[1]май 20'!W32</f>
        <v>12.702999999999999</v>
      </c>
      <c r="O33" s="453">
        <f>'[1]май 20'!AU32</f>
        <v>0</v>
      </c>
      <c r="P33" s="401">
        <f t="shared" si="0"/>
        <v>137.125</v>
      </c>
      <c r="Q33" s="122">
        <f>'[1]май 20'!S32</f>
        <v>137.125</v>
      </c>
      <c r="R33" s="123">
        <f t="shared" si="22"/>
        <v>1.34</v>
      </c>
      <c r="S33" s="129">
        <v>12.01</v>
      </c>
      <c r="T33" s="125">
        <f t="shared" si="1"/>
        <v>135.28752499999999</v>
      </c>
      <c r="U33" s="147">
        <f t="shared" si="2"/>
        <v>1.3272591484352005</v>
      </c>
      <c r="V33" s="130">
        <v>76.28</v>
      </c>
      <c r="W33" s="130">
        <v>77.12</v>
      </c>
      <c r="X33" s="129">
        <v>0.68</v>
      </c>
      <c r="Y33" s="150">
        <v>458</v>
      </c>
      <c r="Z33" s="150">
        <v>1159</v>
      </c>
      <c r="AA33" s="148" t="s">
        <v>287</v>
      </c>
      <c r="AB33" s="149">
        <v>75.23</v>
      </c>
      <c r="AC33" s="150">
        <v>96</v>
      </c>
      <c r="AD33" s="151">
        <v>4</v>
      </c>
      <c r="AE33" s="149">
        <v>3.7</v>
      </c>
      <c r="AF33" s="134">
        <f t="shared" si="3"/>
        <v>36.299421171392133</v>
      </c>
      <c r="AG33" s="152"/>
      <c r="AH33" s="129">
        <v>82.45</v>
      </c>
      <c r="AI33" s="134">
        <f t="shared" si="4"/>
        <v>808.88845285980585</v>
      </c>
      <c r="AJ33" s="136">
        <v>11.84</v>
      </c>
      <c r="AK33" s="154"/>
      <c r="AL33" s="155">
        <v>4.51</v>
      </c>
      <c r="AM33" s="156">
        <v>25.2</v>
      </c>
      <c r="AN33" s="126">
        <f t="shared" si="23"/>
        <v>0.19633813790416829</v>
      </c>
      <c r="AO33" s="157" t="s">
        <v>288</v>
      </c>
      <c r="AP33" s="156">
        <v>8.5299999999999994</v>
      </c>
      <c r="AQ33" s="156">
        <v>6.11</v>
      </c>
      <c r="AR33" s="151"/>
      <c r="AS33" s="149">
        <v>9.3699999999999992</v>
      </c>
      <c r="AT33" s="149">
        <v>128.35</v>
      </c>
      <c r="AU33" s="149">
        <v>3.29</v>
      </c>
      <c r="AV33" s="149"/>
      <c r="AW33" s="149"/>
      <c r="AX33" s="158">
        <f t="shared" si="5"/>
        <v>0</v>
      </c>
      <c r="AY33" s="125">
        <f t="shared" si="6"/>
        <v>101.92999999999999</v>
      </c>
      <c r="AZ33" s="125">
        <f t="shared" si="29"/>
        <v>105.70240235458614</v>
      </c>
      <c r="BA33" s="159">
        <f t="shared" si="7"/>
        <v>5.9845926056338019</v>
      </c>
      <c r="BB33" s="160">
        <f t="shared" si="8"/>
        <v>4.0771999999999995</v>
      </c>
      <c r="BC33" s="161">
        <f t="shared" si="9"/>
        <v>0.8474890130154934</v>
      </c>
      <c r="BD33" s="160">
        <f t="shared" si="24"/>
        <v>10.061792605633801</v>
      </c>
      <c r="BE33" s="162">
        <v>0.85399999999999998</v>
      </c>
      <c r="BF33" s="25">
        <f t="shared" si="25"/>
        <v>2950.7099999999991</v>
      </c>
      <c r="BG33" s="25">
        <f t="shared" si="10"/>
        <v>114.51612903225806</v>
      </c>
      <c r="BH33" s="25">
        <f t="shared" si="26"/>
        <v>3091.9354838709678</v>
      </c>
      <c r="BI33" s="26">
        <f t="shared" si="11"/>
        <v>1</v>
      </c>
      <c r="BJ33" s="37">
        <f t="shared" si="27"/>
        <v>3091.9354838709678</v>
      </c>
      <c r="BK33" s="38"/>
      <c r="BL33" s="31">
        <v>91.225999999999999</v>
      </c>
      <c r="BM33" s="31">
        <v>72.054000000000002</v>
      </c>
      <c r="BN33" s="31"/>
      <c r="BO33" s="40"/>
      <c r="BP33" s="40">
        <v>38.423000000000002</v>
      </c>
      <c r="BQ33" s="32">
        <v>38.399000000000001</v>
      </c>
      <c r="BR33" s="33"/>
      <c r="BS33" s="34">
        <v>0.56000000000000005</v>
      </c>
      <c r="BT33" s="35">
        <v>0.33</v>
      </c>
      <c r="BU33" s="35"/>
      <c r="BV33" s="235"/>
      <c r="BW33" s="235">
        <v>0.95</v>
      </c>
      <c r="BX33" s="36"/>
      <c r="BY33" s="33"/>
      <c r="BZ33" s="34">
        <v>37.229999999999997</v>
      </c>
      <c r="CA33" s="35">
        <v>37.86</v>
      </c>
      <c r="CB33" s="35"/>
      <c r="CC33" s="235"/>
      <c r="CD33" s="235">
        <v>34.08</v>
      </c>
      <c r="CE33" s="36">
        <v>43.14</v>
      </c>
      <c r="CF33" s="30">
        <v>137.125</v>
      </c>
      <c r="CG33" s="30"/>
      <c r="CH33" s="31"/>
      <c r="CI33" s="32"/>
      <c r="CJ33" s="33">
        <v>1.34</v>
      </c>
      <c r="CK33" s="33"/>
      <c r="CL33" s="35"/>
      <c r="CM33" s="36"/>
      <c r="CN33" s="270"/>
      <c r="CO33" s="249">
        <f t="shared" si="30"/>
        <v>0</v>
      </c>
      <c r="CP33" s="12">
        <f t="shared" si="30"/>
        <v>90.715134399999997</v>
      </c>
      <c r="CQ33" s="12">
        <f t="shared" si="30"/>
        <v>71.816221800000008</v>
      </c>
      <c r="CR33" s="12">
        <f t="shared" si="30"/>
        <v>0</v>
      </c>
      <c r="CS33" s="11">
        <f t="shared" si="30"/>
        <v>0</v>
      </c>
      <c r="CT33" s="11">
        <f t="shared" si="30"/>
        <v>38.057981499999997</v>
      </c>
      <c r="CU33" s="272">
        <f t="shared" si="30"/>
        <v>38.399000000000001</v>
      </c>
      <c r="CV33" s="249">
        <f t="shared" si="13"/>
        <v>135.28752499999999</v>
      </c>
      <c r="CW33" s="12">
        <f t="shared" si="13"/>
        <v>0</v>
      </c>
      <c r="CX33" s="254">
        <f t="shared" si="13"/>
        <v>0</v>
      </c>
      <c r="CY33" s="275">
        <f t="shared" si="13"/>
        <v>0</v>
      </c>
      <c r="CZ33" s="13"/>
      <c r="DA33" s="240">
        <f>(D33+'[2]май 20'!D33)/(AY33+'[2]май 20'!AX33)</f>
        <v>2.3021922793061158</v>
      </c>
      <c r="DB33" s="241">
        <f>(T33+'[2]май 20'!R33)/(AY33+'[2]май 20'!AX33)</f>
        <v>1.3361749605747328</v>
      </c>
      <c r="DD33" s="292">
        <f t="shared" si="14"/>
        <v>4.7869999999999999</v>
      </c>
      <c r="DE33" s="291">
        <v>0.13</v>
      </c>
      <c r="DF33" s="291">
        <v>11.08</v>
      </c>
      <c r="DG33" s="145">
        <f t="shared" si="15"/>
        <v>4.7807769000000002</v>
      </c>
      <c r="DH33" s="293">
        <f t="shared" si="28"/>
        <v>0.70412080356240858</v>
      </c>
      <c r="DJ33" s="322"/>
    </row>
    <row r="34" spans="1:114" s="76" customFormat="1" ht="16.5" customHeight="1" thickBot="1">
      <c r="A34" s="144">
        <v>28</v>
      </c>
      <c r="B34" s="122">
        <f>'[1]май 20'!K33</f>
        <v>212.571</v>
      </c>
      <c r="C34" s="123">
        <f t="shared" si="16"/>
        <v>0.56624774781131959</v>
      </c>
      <c r="D34" s="145">
        <f t="shared" si="17"/>
        <v>211.3673215</v>
      </c>
      <c r="E34" s="125">
        <f t="shared" si="18"/>
        <v>38.220164744955802</v>
      </c>
      <c r="F34" s="146">
        <f t="shared" si="19"/>
        <v>2.3770503992352681</v>
      </c>
      <c r="G34" s="127"/>
      <c r="H34" s="126">
        <f t="shared" si="20"/>
        <v>1.9933684379217278</v>
      </c>
      <c r="I34" s="230">
        <f>'[1]июль 20'!AI33</f>
        <v>0</v>
      </c>
      <c r="J34" s="439">
        <f>'[1]май 20'!AA33</f>
        <v>4.5570000000000004</v>
      </c>
      <c r="K34" s="440">
        <f>'[1]сентябрь 20'!AM33</f>
        <v>0</v>
      </c>
      <c r="L34" s="441">
        <f>'[1]май 20'!AE33</f>
        <v>34.116999999999997</v>
      </c>
      <c r="M34" s="442">
        <f t="shared" si="21"/>
        <v>0.38368196131354027</v>
      </c>
      <c r="N34" s="403">
        <f>'[1]май 20'!W33</f>
        <v>10.662000000000001</v>
      </c>
      <c r="O34" s="452">
        <f>'[1]май 20'!AU33</f>
        <v>0</v>
      </c>
      <c r="P34" s="401">
        <f t="shared" si="0"/>
        <v>123.068</v>
      </c>
      <c r="Q34" s="122">
        <f>'[1]май 20'!S33</f>
        <v>123.068</v>
      </c>
      <c r="R34" s="123">
        <f t="shared" si="22"/>
        <v>1.49</v>
      </c>
      <c r="S34" s="170">
        <v>1.61</v>
      </c>
      <c r="T34" s="125">
        <f t="shared" si="1"/>
        <v>121.23428680000001</v>
      </c>
      <c r="U34" s="147">
        <f t="shared" si="2"/>
        <v>1.3634085335132706</v>
      </c>
      <c r="V34" s="169">
        <v>46.5</v>
      </c>
      <c r="W34" s="169">
        <v>88.92</v>
      </c>
      <c r="X34" s="170">
        <v>0.36</v>
      </c>
      <c r="Y34" s="166">
        <v>498</v>
      </c>
      <c r="Z34" s="166">
        <v>1164</v>
      </c>
      <c r="AA34" s="148" t="s">
        <v>289</v>
      </c>
      <c r="AB34" s="164">
        <v>74.95</v>
      </c>
      <c r="AC34" s="166">
        <v>85</v>
      </c>
      <c r="AD34" s="171">
        <v>4</v>
      </c>
      <c r="AE34" s="164">
        <v>3.35</v>
      </c>
      <c r="AF34" s="172">
        <f t="shared" si="3"/>
        <v>37.674313990103471</v>
      </c>
      <c r="AG34" s="173"/>
      <c r="AH34" s="170">
        <v>82.15</v>
      </c>
      <c r="AI34" s="134">
        <f t="shared" si="4"/>
        <v>923.86414754835823</v>
      </c>
      <c r="AJ34" s="174">
        <v>10.75</v>
      </c>
      <c r="AK34" s="175"/>
      <c r="AL34" s="176">
        <v>4.7699999999999996</v>
      </c>
      <c r="AM34" s="177">
        <v>25.57</v>
      </c>
      <c r="AN34" s="126">
        <f t="shared" si="23"/>
        <v>0.21651143099068587</v>
      </c>
      <c r="AO34" s="178" t="s">
        <v>246</v>
      </c>
      <c r="AP34" s="177">
        <v>8.31</v>
      </c>
      <c r="AQ34" s="177">
        <v>6.1</v>
      </c>
      <c r="AR34" s="171"/>
      <c r="AS34" s="164">
        <v>9.58</v>
      </c>
      <c r="AT34" s="149">
        <v>118.1</v>
      </c>
      <c r="AU34" s="164">
        <v>1.1599999999999999</v>
      </c>
      <c r="AV34" s="164"/>
      <c r="AW34" s="164"/>
      <c r="AX34" s="179">
        <f t="shared" si="5"/>
        <v>0</v>
      </c>
      <c r="AY34" s="125">
        <f t="shared" si="6"/>
        <v>88.919999999999987</v>
      </c>
      <c r="AZ34" s="125">
        <f t="shared" si="29"/>
        <v>94.967316520912917</v>
      </c>
      <c r="BA34" s="159">
        <f t="shared" si="7"/>
        <v>6.0964556338028171</v>
      </c>
      <c r="BB34" s="159">
        <f t="shared" si="8"/>
        <v>3.5567999999999995</v>
      </c>
      <c r="BC34" s="180">
        <f t="shared" si="9"/>
        <v>0.82497481884821922</v>
      </c>
      <c r="BD34" s="159">
        <f t="shared" si="24"/>
        <v>9.6532556338028161</v>
      </c>
      <c r="BE34" s="167">
        <v>0.85299999999999998</v>
      </c>
      <c r="BF34" s="25">
        <f t="shared" si="25"/>
        <v>3039.6299999999992</v>
      </c>
      <c r="BG34" s="25">
        <f t="shared" si="10"/>
        <v>114.51612903225806</v>
      </c>
      <c r="BH34" s="25">
        <f t="shared" si="26"/>
        <v>3206.4516129032259</v>
      </c>
      <c r="BI34" s="26">
        <f t="shared" si="11"/>
        <v>1</v>
      </c>
      <c r="BJ34" s="37">
        <f t="shared" si="27"/>
        <v>3206.4516129032259</v>
      </c>
      <c r="BK34" s="38"/>
      <c r="BL34" s="30">
        <v>83.590999999999994</v>
      </c>
      <c r="BM34" s="43">
        <v>61.429000000000002</v>
      </c>
      <c r="BN34" s="43"/>
      <c r="BO34" s="281"/>
      <c r="BP34" s="281">
        <v>33.433999999999997</v>
      </c>
      <c r="BQ34" s="44">
        <v>34.116999999999997</v>
      </c>
      <c r="BR34" s="45"/>
      <c r="BS34" s="46">
        <v>0.64</v>
      </c>
      <c r="BT34" s="47">
        <v>0.43</v>
      </c>
      <c r="BU34" s="47"/>
      <c r="BV34" s="283"/>
      <c r="BW34" s="283">
        <v>1.21</v>
      </c>
      <c r="BX34" s="48"/>
      <c r="BY34" s="45"/>
      <c r="BZ34" s="46">
        <v>37.49</v>
      </c>
      <c r="CA34" s="47">
        <v>37.450000000000003</v>
      </c>
      <c r="CB34" s="47"/>
      <c r="CC34" s="283"/>
      <c r="CD34" s="283">
        <v>36.42</v>
      </c>
      <c r="CE34" s="48">
        <v>43.16</v>
      </c>
      <c r="CF34" s="49">
        <v>123.068</v>
      </c>
      <c r="CG34" s="49"/>
      <c r="CH34" s="43"/>
      <c r="CI34" s="32"/>
      <c r="CJ34" s="33">
        <v>1.49</v>
      </c>
      <c r="CK34" s="33"/>
      <c r="CL34" s="35"/>
      <c r="CM34" s="36"/>
      <c r="CN34" s="270"/>
      <c r="CO34" s="249">
        <f t="shared" si="30"/>
        <v>0</v>
      </c>
      <c r="CP34" s="12">
        <f t="shared" si="30"/>
        <v>83.056017600000004</v>
      </c>
      <c r="CQ34" s="12">
        <f t="shared" si="30"/>
        <v>61.164855299999999</v>
      </c>
      <c r="CR34" s="12">
        <f t="shared" si="30"/>
        <v>0</v>
      </c>
      <c r="CS34" s="11">
        <f t="shared" si="30"/>
        <v>0</v>
      </c>
      <c r="CT34" s="11">
        <f t="shared" si="30"/>
        <v>33.029448600000002</v>
      </c>
      <c r="CU34" s="272">
        <f t="shared" si="30"/>
        <v>34.116999999999997</v>
      </c>
      <c r="CV34" s="249">
        <f t="shared" si="13"/>
        <v>121.23428680000001</v>
      </c>
      <c r="CW34" s="12">
        <f t="shared" si="13"/>
        <v>0</v>
      </c>
      <c r="CX34" s="249">
        <f t="shared" si="13"/>
        <v>0</v>
      </c>
      <c r="CY34" s="272">
        <f t="shared" si="13"/>
        <v>0</v>
      </c>
      <c r="CZ34" s="13"/>
      <c r="DA34" s="240">
        <f>(D34+'[2]май 20'!D34)/(AY34+'[2]май 20'!AX34)</f>
        <v>2.3401216041214754</v>
      </c>
      <c r="DB34" s="241">
        <f>(T34+'[2]май 20'!R34)/(AY34+'[2]май 20'!AX34)</f>
        <v>1.3611145582067969</v>
      </c>
      <c r="DD34" s="292">
        <f t="shared" si="14"/>
        <v>4.5570000000000004</v>
      </c>
      <c r="DE34" s="291">
        <v>0.18</v>
      </c>
      <c r="DF34" s="291">
        <v>14.35</v>
      </c>
      <c r="DG34" s="145">
        <f t="shared" si="15"/>
        <v>4.5487974000000007</v>
      </c>
      <c r="DH34" s="293">
        <f t="shared" si="28"/>
        <v>0.87091718065376911</v>
      </c>
      <c r="DJ34" s="322"/>
    </row>
    <row r="35" spans="1:114" s="76" customFormat="1" ht="16.5" customHeight="1" thickBot="1">
      <c r="A35" s="144">
        <v>29</v>
      </c>
      <c r="B35" s="122">
        <f>'[1]май 20'!K34</f>
        <v>237.249</v>
      </c>
      <c r="C35" s="123">
        <f t="shared" si="16"/>
        <v>0.40840349169016521</v>
      </c>
      <c r="D35" s="145">
        <f t="shared" si="17"/>
        <v>236.28006679999999</v>
      </c>
      <c r="E35" s="125">
        <f t="shared" si="18"/>
        <v>38.246568794810514</v>
      </c>
      <c r="F35" s="146">
        <f t="shared" si="19"/>
        <v>2.3540905330277972</v>
      </c>
      <c r="G35" s="127"/>
      <c r="H35" s="126">
        <f t="shared" si="20"/>
        <v>1.9278974474444555</v>
      </c>
      <c r="I35" s="230">
        <f>'[1]июль 20'!AI34</f>
        <v>0</v>
      </c>
      <c r="J35" s="277">
        <f>'[1]май 20'!AA34</f>
        <v>6.6120000000000001</v>
      </c>
      <c r="K35" s="437">
        <f>'[1]сентябрь 20'!AM34</f>
        <v>0</v>
      </c>
      <c r="L35" s="438">
        <f>'[1]май 20'!AE34</f>
        <v>42.777000000000001</v>
      </c>
      <c r="M35" s="443">
        <f t="shared" si="21"/>
        <v>0.42619308558334168</v>
      </c>
      <c r="N35" s="403">
        <f>'[1]май 20'!W34</f>
        <v>0</v>
      </c>
      <c r="O35" s="453">
        <f>'[1]май 20'!AU34</f>
        <v>0</v>
      </c>
      <c r="P35" s="401">
        <f t="shared" si="0"/>
        <v>134.31</v>
      </c>
      <c r="Q35" s="122">
        <f>'[1]май 20'!S34</f>
        <v>134.31</v>
      </c>
      <c r="R35" s="123">
        <f t="shared" si="22"/>
        <v>1.38</v>
      </c>
      <c r="S35" s="129">
        <v>14.49</v>
      </c>
      <c r="T35" s="125">
        <f t="shared" si="1"/>
        <v>132.45652200000001</v>
      </c>
      <c r="U35" s="147">
        <f t="shared" si="2"/>
        <v>1.3196823951379897</v>
      </c>
      <c r="V35" s="130">
        <v>74.02</v>
      </c>
      <c r="W35" s="130">
        <v>76.819999999999993</v>
      </c>
      <c r="X35" s="129">
        <v>0.56000000000000005</v>
      </c>
      <c r="Y35" s="150">
        <v>454</v>
      </c>
      <c r="Z35" s="150">
        <v>1155</v>
      </c>
      <c r="AA35" s="148" t="s">
        <v>290</v>
      </c>
      <c r="AB35" s="149">
        <v>75.430000000000007</v>
      </c>
      <c r="AC35" s="150">
        <v>95</v>
      </c>
      <c r="AD35" s="151">
        <v>4</v>
      </c>
      <c r="AE35" s="181">
        <v>2.5499999999999998</v>
      </c>
      <c r="AF35" s="134">
        <f t="shared" si="3"/>
        <v>25.405997808109994</v>
      </c>
      <c r="AG35" s="182"/>
      <c r="AH35" s="129">
        <v>75.650000000000006</v>
      </c>
      <c r="AI35" s="134">
        <f t="shared" si="4"/>
        <v>753.71126830726325</v>
      </c>
      <c r="AJ35" s="136">
        <v>10.92</v>
      </c>
      <c r="AK35" s="154"/>
      <c r="AL35" s="155">
        <v>3.12</v>
      </c>
      <c r="AM35" s="183">
        <v>25.47</v>
      </c>
      <c r="AN35" s="126">
        <f t="shared" si="23"/>
        <v>0.19937377690802346</v>
      </c>
      <c r="AO35" s="184" t="s">
        <v>291</v>
      </c>
      <c r="AP35" s="183">
        <v>8.75</v>
      </c>
      <c r="AQ35" s="183">
        <v>6.82</v>
      </c>
      <c r="AR35" s="185"/>
      <c r="AS35" s="181">
        <v>8.57</v>
      </c>
      <c r="AT35" s="149">
        <v>127.75</v>
      </c>
      <c r="AU35" s="181">
        <v>1.21</v>
      </c>
      <c r="AV35" s="149"/>
      <c r="AW35" s="149"/>
      <c r="AX35" s="158">
        <f t="shared" si="5"/>
        <v>0</v>
      </c>
      <c r="AY35" s="125">
        <f t="shared" si="6"/>
        <v>100.36999999999999</v>
      </c>
      <c r="AZ35" s="125">
        <f t="shared" si="29"/>
        <v>105.76189878148783</v>
      </c>
      <c r="BA35" s="159">
        <f t="shared" si="7"/>
        <v>5.0222010563380284</v>
      </c>
      <c r="BB35" s="160">
        <f t="shared" si="8"/>
        <v>4.0147999999999993</v>
      </c>
      <c r="BC35" s="161">
        <f t="shared" si="9"/>
        <v>0.83777706593102474</v>
      </c>
      <c r="BD35" s="160">
        <f t="shared" si="24"/>
        <v>9.0370010563380276</v>
      </c>
      <c r="BE35" s="162">
        <v>0.85199999999999998</v>
      </c>
      <c r="BF35" s="25">
        <f t="shared" si="25"/>
        <v>3139.9999999999991</v>
      </c>
      <c r="BG35" s="25">
        <f t="shared" si="10"/>
        <v>114.51612903225806</v>
      </c>
      <c r="BH35" s="25">
        <f t="shared" si="26"/>
        <v>3320.9677419354839</v>
      </c>
      <c r="BI35" s="26">
        <f t="shared" si="11"/>
        <v>1</v>
      </c>
      <c r="BJ35" s="37">
        <f t="shared" si="27"/>
        <v>3320.9677419354839</v>
      </c>
      <c r="BK35" s="38"/>
      <c r="BL35" s="31">
        <v>118.702</v>
      </c>
      <c r="BM35" s="31">
        <v>61.774000000000001</v>
      </c>
      <c r="BN35" s="31"/>
      <c r="BO35" s="40"/>
      <c r="BP35" s="40">
        <v>13.996</v>
      </c>
      <c r="BQ35" s="32">
        <v>42.777000000000001</v>
      </c>
      <c r="BR35" s="33"/>
      <c r="BS35" s="34">
        <v>0.52</v>
      </c>
      <c r="BT35" s="35">
        <v>0.2</v>
      </c>
      <c r="BU35" s="35"/>
      <c r="BV35" s="235"/>
      <c r="BW35" s="235">
        <v>1.63</v>
      </c>
      <c r="BX35" s="36"/>
      <c r="BY35" s="33"/>
      <c r="BZ35" s="34">
        <v>37.47</v>
      </c>
      <c r="CA35" s="35">
        <v>37.479999999999997</v>
      </c>
      <c r="CB35" s="35"/>
      <c r="CC35" s="235"/>
      <c r="CD35" s="235">
        <v>33.26</v>
      </c>
      <c r="CE35" s="36">
        <v>43.14</v>
      </c>
      <c r="CF35" s="30">
        <v>134.31</v>
      </c>
      <c r="CG35" s="30"/>
      <c r="CH35" s="31"/>
      <c r="CI35" s="50"/>
      <c r="CJ35" s="33">
        <v>1.38</v>
      </c>
      <c r="CK35" s="33"/>
      <c r="CL35" s="35"/>
      <c r="CM35" s="36"/>
      <c r="CN35" s="270"/>
      <c r="CO35" s="249">
        <f t="shared" si="30"/>
        <v>0</v>
      </c>
      <c r="CP35" s="12">
        <f t="shared" si="30"/>
        <v>118.08474959999999</v>
      </c>
      <c r="CQ35" s="12">
        <f t="shared" si="30"/>
        <v>61.650452000000001</v>
      </c>
      <c r="CR35" s="12">
        <f t="shared" si="30"/>
        <v>0</v>
      </c>
      <c r="CS35" s="11">
        <f t="shared" si="30"/>
        <v>0</v>
      </c>
      <c r="CT35" s="11">
        <f t="shared" si="30"/>
        <v>13.767865200000001</v>
      </c>
      <c r="CU35" s="272">
        <f t="shared" si="30"/>
        <v>42.777000000000001</v>
      </c>
      <c r="CV35" s="249">
        <f t="shared" si="13"/>
        <v>132.45652200000001</v>
      </c>
      <c r="CW35" s="12">
        <f t="shared" si="13"/>
        <v>0</v>
      </c>
      <c r="CX35" s="249">
        <f t="shared" si="13"/>
        <v>0</v>
      </c>
      <c r="CY35" s="272">
        <f t="shared" si="13"/>
        <v>0</v>
      </c>
      <c r="CZ35" s="13"/>
      <c r="DA35" s="240">
        <f>(D35+'[2]май 20'!D35)/(AY35+'[2]май 20'!AX35)</f>
        <v>2.2745744783875024</v>
      </c>
      <c r="DB35" s="241">
        <f>(T35+'[2]май 20'!R35)/(AY35+'[2]май 20'!AX35)</f>
        <v>1.2884309326802146</v>
      </c>
      <c r="DD35" s="292">
        <f t="shared" si="14"/>
        <v>6.6120000000000001</v>
      </c>
      <c r="DE35" s="291">
        <v>0.37</v>
      </c>
      <c r="DF35" s="291">
        <v>13.42</v>
      </c>
      <c r="DG35" s="145">
        <f t="shared" si="15"/>
        <v>6.5875355999999998</v>
      </c>
      <c r="DH35" s="293">
        <f t="shared" si="28"/>
        <v>1.1720101783375312</v>
      </c>
      <c r="DJ35" s="322"/>
    </row>
    <row r="36" spans="1:114" s="76" customFormat="1" ht="16.5" customHeight="1" thickBot="1">
      <c r="A36" s="144">
        <v>30</v>
      </c>
      <c r="B36" s="122">
        <f>'[1]май 20'!K35</f>
        <v>232.64</v>
      </c>
      <c r="C36" s="123">
        <f t="shared" si="16"/>
        <v>0.4478220426409904</v>
      </c>
      <c r="D36" s="145">
        <f t="shared" si="17"/>
        <v>231.59818679999998</v>
      </c>
      <c r="E36" s="125">
        <f t="shared" si="18"/>
        <v>38.27249329436038</v>
      </c>
      <c r="F36" s="146">
        <f t="shared" si="19"/>
        <v>2.308594366028708</v>
      </c>
      <c r="G36" s="127"/>
      <c r="H36" s="126">
        <f t="shared" si="20"/>
        <v>1.8915688476874006</v>
      </c>
      <c r="I36" s="230">
        <f>'[1]июль 20'!AI35</f>
        <v>0</v>
      </c>
      <c r="J36" s="439">
        <f>'[1]май 20'!AA35</f>
        <v>9.2070000000000007</v>
      </c>
      <c r="K36" s="440">
        <f>'[1]сентябрь 20'!AM35</f>
        <v>0</v>
      </c>
      <c r="L36" s="441">
        <f>'[1]май 20'!AE35</f>
        <v>41.835999999999999</v>
      </c>
      <c r="M36" s="442">
        <f t="shared" si="21"/>
        <v>0.41702551834130785</v>
      </c>
      <c r="N36" s="403">
        <f>'[1]май 20'!W35</f>
        <v>0</v>
      </c>
      <c r="O36" s="452">
        <f>'[1]май 20'!AU35</f>
        <v>0</v>
      </c>
      <c r="P36" s="401">
        <f t="shared" si="0"/>
        <v>132.048</v>
      </c>
      <c r="Q36" s="122">
        <f>'[1]май 20'!S35</f>
        <v>132.048</v>
      </c>
      <c r="R36" s="123">
        <f t="shared" si="22"/>
        <v>1.4</v>
      </c>
      <c r="S36" s="129">
        <v>0.91</v>
      </c>
      <c r="T36" s="125">
        <f t="shared" si="1"/>
        <v>130.19932800000001</v>
      </c>
      <c r="U36" s="147">
        <f t="shared" si="2"/>
        <v>1.2978401913875599</v>
      </c>
      <c r="V36" s="130">
        <v>100.32</v>
      </c>
      <c r="W36" s="130">
        <v>100.32</v>
      </c>
      <c r="X36" s="129">
        <v>0.3</v>
      </c>
      <c r="Y36" s="150">
        <v>490</v>
      </c>
      <c r="Z36" s="150">
        <v>1150</v>
      </c>
      <c r="AA36" s="148" t="s">
        <v>292</v>
      </c>
      <c r="AB36" s="149">
        <v>75.62</v>
      </c>
      <c r="AC36" s="150">
        <v>93</v>
      </c>
      <c r="AD36" s="151">
        <v>4</v>
      </c>
      <c r="AE36" s="149">
        <v>4.0999999999999996</v>
      </c>
      <c r="AF36" s="134">
        <f t="shared" si="3"/>
        <v>40.869218500797444</v>
      </c>
      <c r="AG36" s="152"/>
      <c r="AH36" s="129">
        <v>71.5</v>
      </c>
      <c r="AI36" s="134">
        <f t="shared" si="4"/>
        <v>712.71929824561414</v>
      </c>
      <c r="AJ36" s="153">
        <v>14.53</v>
      </c>
      <c r="AK36" s="154"/>
      <c r="AL36" s="155">
        <v>5.01</v>
      </c>
      <c r="AM36" s="156">
        <v>26.82</v>
      </c>
      <c r="AN36" s="126">
        <f t="shared" si="23"/>
        <v>0.20295119182746879</v>
      </c>
      <c r="AO36" s="157" t="s">
        <v>239</v>
      </c>
      <c r="AP36" s="156">
        <v>8.43</v>
      </c>
      <c r="AQ36" s="156">
        <v>7.09</v>
      </c>
      <c r="AR36" s="151"/>
      <c r="AS36" s="149">
        <v>9.23</v>
      </c>
      <c r="AT36" s="149">
        <v>132.15</v>
      </c>
      <c r="AU36" s="149"/>
      <c r="AV36" s="149"/>
      <c r="AW36" s="149"/>
      <c r="AX36" s="158">
        <f t="shared" si="5"/>
        <v>0</v>
      </c>
      <c r="AY36" s="125">
        <f t="shared" si="6"/>
        <v>100.32</v>
      </c>
      <c r="AZ36" s="125">
        <f t="shared" si="29"/>
        <v>104.15091380951223</v>
      </c>
      <c r="BA36" s="159">
        <f t="shared" si="7"/>
        <v>5.1122500000000004</v>
      </c>
      <c r="BB36" s="160">
        <f t="shared" si="8"/>
        <v>4.0127999999999995</v>
      </c>
      <c r="BC36" s="161">
        <f t="shared" si="9"/>
        <v>0.85585912607897063</v>
      </c>
      <c r="BD36" s="160">
        <f t="shared" si="24"/>
        <v>9.1250499999999999</v>
      </c>
      <c r="BE36" s="162">
        <v>0.85199999999999998</v>
      </c>
      <c r="BF36" s="25">
        <f t="shared" si="25"/>
        <v>3240.3199999999993</v>
      </c>
      <c r="BG36" s="25">
        <f t="shared" si="10"/>
        <v>114.51612903225806</v>
      </c>
      <c r="BH36" s="25">
        <f t="shared" si="26"/>
        <v>3435.483870967742</v>
      </c>
      <c r="BI36" s="26">
        <f t="shared" si="11"/>
        <v>1</v>
      </c>
      <c r="BJ36" s="37">
        <f t="shared" si="27"/>
        <v>3435.483870967742</v>
      </c>
      <c r="BK36" s="38"/>
      <c r="BL36" s="31">
        <v>116.229</v>
      </c>
      <c r="BM36" s="31">
        <v>60.494</v>
      </c>
      <c r="BN36" s="31"/>
      <c r="BO36" s="40"/>
      <c r="BP36" s="40">
        <v>14.081</v>
      </c>
      <c r="BQ36" s="32">
        <v>41.835999999999999</v>
      </c>
      <c r="BR36" s="33"/>
      <c r="BS36" s="34">
        <v>0.55000000000000004</v>
      </c>
      <c r="BT36" s="35">
        <v>0.3</v>
      </c>
      <c r="BU36" s="35"/>
      <c r="BV36" s="235"/>
      <c r="BW36" s="235">
        <v>1.57</v>
      </c>
      <c r="BX36" s="36"/>
      <c r="BY36" s="33"/>
      <c r="BZ36" s="34">
        <v>37.43</v>
      </c>
      <c r="CA36" s="35">
        <v>37.22</v>
      </c>
      <c r="CB36" s="35"/>
      <c r="CC36" s="235"/>
      <c r="CD36" s="235">
        <v>34.93</v>
      </c>
      <c r="CE36" s="36">
        <v>43.26</v>
      </c>
      <c r="CF36" s="30">
        <v>132.048</v>
      </c>
      <c r="CG36" s="30"/>
      <c r="CH36" s="34"/>
      <c r="CI36" s="50"/>
      <c r="CJ36" s="33">
        <v>1.4</v>
      </c>
      <c r="CK36" s="33"/>
      <c r="CL36" s="35"/>
      <c r="CM36" s="36"/>
      <c r="CN36" s="270"/>
      <c r="CO36" s="249">
        <f t="shared" si="30"/>
        <v>0</v>
      </c>
      <c r="CP36" s="12">
        <f t="shared" si="30"/>
        <v>115.5897405</v>
      </c>
      <c r="CQ36" s="12">
        <f t="shared" si="30"/>
        <v>60.312517999999997</v>
      </c>
      <c r="CR36" s="12">
        <f t="shared" si="30"/>
        <v>0</v>
      </c>
      <c r="CS36" s="11">
        <f t="shared" si="30"/>
        <v>0</v>
      </c>
      <c r="CT36" s="11">
        <f t="shared" si="30"/>
        <v>13.8599283</v>
      </c>
      <c r="CU36" s="272">
        <f t="shared" si="30"/>
        <v>41.835999999999999</v>
      </c>
      <c r="CV36" s="249">
        <f t="shared" si="13"/>
        <v>130.19932800000001</v>
      </c>
      <c r="CW36" s="12">
        <f t="shared" si="13"/>
        <v>0</v>
      </c>
      <c r="CX36" s="249">
        <f t="shared" si="13"/>
        <v>0</v>
      </c>
      <c r="CY36" s="274">
        <f t="shared" si="13"/>
        <v>0</v>
      </c>
      <c r="CZ36" s="13"/>
      <c r="DA36" s="240">
        <f>(D36+'[2]май 20'!D36)/(AY36+'[2]май 20'!AX36)</f>
        <v>2.2210161546048153</v>
      </c>
      <c r="DB36" s="241">
        <f>(T36+'[2]май 20'!R36)/(AY36+'[2]май 20'!AX36)</f>
        <v>1.2627850904638827</v>
      </c>
      <c r="DD36" s="292">
        <f t="shared" si="14"/>
        <v>9.2070000000000007</v>
      </c>
      <c r="DE36" s="291">
        <v>0.25</v>
      </c>
      <c r="DF36" s="291">
        <v>15</v>
      </c>
      <c r="DG36" s="145">
        <f t="shared" si="15"/>
        <v>9.1839825000000008</v>
      </c>
      <c r="DH36" s="293">
        <f t="shared" si="28"/>
        <v>1.8217368090452262</v>
      </c>
      <c r="DJ36" s="322"/>
    </row>
    <row r="37" spans="1:114" s="76" customFormat="1" ht="16.5" customHeight="1" thickBot="1">
      <c r="A37" s="186">
        <v>31</v>
      </c>
      <c r="B37" s="122">
        <f>'[1]май 20'!K36</f>
        <v>232.34700000000001</v>
      </c>
      <c r="C37" s="123">
        <f t="shared" si="16"/>
        <v>0.34945912794225875</v>
      </c>
      <c r="D37" s="187">
        <f t="shared" si="17"/>
        <v>231.53504220000002</v>
      </c>
      <c r="E37" s="285">
        <f t="shared" si="18"/>
        <v>38.513087321979619</v>
      </c>
      <c r="F37" s="189">
        <f t="shared" si="19"/>
        <v>2.227155080800308</v>
      </c>
      <c r="G37" s="127"/>
      <c r="H37" s="126">
        <f t="shared" si="20"/>
        <v>1.8247022143131975</v>
      </c>
      <c r="I37" s="230">
        <f>'[1]июль 20'!AI36</f>
        <v>0</v>
      </c>
      <c r="J37" s="277">
        <f>'[1]май 20'!AA36</f>
        <v>9.157</v>
      </c>
      <c r="K37" s="276">
        <f>'[1]сентябрь 20'!AM36</f>
        <v>0</v>
      </c>
      <c r="L37" s="122">
        <f>'[1]май 20'!AE36</f>
        <v>41.838999999999999</v>
      </c>
      <c r="M37" s="128">
        <f t="shared" si="21"/>
        <v>0.40245286648711037</v>
      </c>
      <c r="N37" s="399">
        <f>'[1]май 20'!W36</f>
        <v>0</v>
      </c>
      <c r="O37" s="399">
        <f>'[1]май 20'!AU36</f>
        <v>0</v>
      </c>
      <c r="P37" s="125">
        <f t="shared" si="0"/>
        <v>134.42699999999999</v>
      </c>
      <c r="Q37" s="122">
        <f>'[1]май 20'!S36</f>
        <v>134.42699999999999</v>
      </c>
      <c r="R37" s="123">
        <f t="shared" si="22"/>
        <v>1.38</v>
      </c>
      <c r="S37" s="190">
        <v>15.28</v>
      </c>
      <c r="T37" s="125">
        <f t="shared" si="1"/>
        <v>132.57190740000001</v>
      </c>
      <c r="U37" s="191">
        <f t="shared" si="2"/>
        <v>1.2752203482108504</v>
      </c>
      <c r="V37" s="192">
        <v>103.96</v>
      </c>
      <c r="W37" s="192">
        <v>103.96</v>
      </c>
      <c r="X37" s="190">
        <v>0.14000000000000001</v>
      </c>
      <c r="Y37" s="193">
        <v>482</v>
      </c>
      <c r="Z37" s="194">
        <v>1161</v>
      </c>
      <c r="AA37" s="195" t="s">
        <v>293</v>
      </c>
      <c r="AB37" s="196">
        <v>75.28</v>
      </c>
      <c r="AC37" s="194">
        <v>93</v>
      </c>
      <c r="AD37" s="193">
        <v>4</v>
      </c>
      <c r="AE37" s="196">
        <v>2.9</v>
      </c>
      <c r="AF37" s="134">
        <f t="shared" si="3"/>
        <v>27.895344363216619</v>
      </c>
      <c r="AG37" s="197"/>
      <c r="AH37" s="190">
        <v>73.900000000000006</v>
      </c>
      <c r="AI37" s="134">
        <f t="shared" si="4"/>
        <v>710.85032704886498</v>
      </c>
      <c r="AJ37" s="196">
        <v>12.04</v>
      </c>
      <c r="AK37" s="198"/>
      <c r="AL37" s="199">
        <v>4.68</v>
      </c>
      <c r="AM37" s="200">
        <v>24.16</v>
      </c>
      <c r="AN37" s="126">
        <f t="shared" si="23"/>
        <v>0.18192771084337347</v>
      </c>
      <c r="AO37" s="201" t="s">
        <v>294</v>
      </c>
      <c r="AP37" s="200">
        <v>8.31</v>
      </c>
      <c r="AQ37" s="201">
        <v>7.21</v>
      </c>
      <c r="AR37" s="193"/>
      <c r="AS37" s="196">
        <v>9.06</v>
      </c>
      <c r="AT37" s="242">
        <v>132.80000000000001</v>
      </c>
      <c r="AU37" s="196"/>
      <c r="AV37" s="196"/>
      <c r="AW37" s="196"/>
      <c r="AX37" s="202">
        <f t="shared" si="5"/>
        <v>0</v>
      </c>
      <c r="AY37" s="188">
        <f t="shared" si="6"/>
        <v>103.96000000000001</v>
      </c>
      <c r="AZ37" s="125">
        <f t="shared" si="29"/>
        <v>105.41093087694988</v>
      </c>
      <c r="BA37" s="203">
        <f t="shared" si="7"/>
        <v>5.1865309859154936</v>
      </c>
      <c r="BB37" s="204">
        <f t="shared" si="8"/>
        <v>4.1584000000000003</v>
      </c>
      <c r="BC37" s="205">
        <f t="shared" si="9"/>
        <v>0.87764890898810866</v>
      </c>
      <c r="BD37" s="206">
        <f t="shared" si="24"/>
        <v>9.344930985915493</v>
      </c>
      <c r="BE37" s="207">
        <v>0.85299999999999998</v>
      </c>
      <c r="BF37" s="25">
        <f t="shared" si="25"/>
        <v>3344.2799999999993</v>
      </c>
      <c r="BG37" s="25">
        <f t="shared" si="10"/>
        <v>114.51612903225806</v>
      </c>
      <c r="BH37" s="25">
        <f t="shared" si="26"/>
        <v>3550</v>
      </c>
      <c r="BI37" s="26">
        <f t="shared" si="11"/>
        <v>1</v>
      </c>
      <c r="BJ37" s="37">
        <f t="shared" si="27"/>
        <v>3550</v>
      </c>
      <c r="BK37" s="51"/>
      <c r="BL37" s="53">
        <v>116.226</v>
      </c>
      <c r="BM37" s="53">
        <v>60.493000000000002</v>
      </c>
      <c r="BN37" s="53"/>
      <c r="BO37" s="282"/>
      <c r="BP37" s="282">
        <v>13.789</v>
      </c>
      <c r="BQ37" s="54">
        <v>41.838999999999999</v>
      </c>
      <c r="BR37" s="55"/>
      <c r="BS37" s="52">
        <v>0.38</v>
      </c>
      <c r="BT37" s="56">
        <v>0.35</v>
      </c>
      <c r="BU37" s="56"/>
      <c r="BV37" s="284"/>
      <c r="BW37" s="284">
        <v>1.1499999999999999</v>
      </c>
      <c r="BX37" s="57"/>
      <c r="BY37" s="55"/>
      <c r="BZ37" s="52">
        <v>37.58</v>
      </c>
      <c r="CA37" s="56">
        <v>38.159999999999997</v>
      </c>
      <c r="CB37" s="56"/>
      <c r="CC37" s="284"/>
      <c r="CD37" s="284">
        <v>33.19</v>
      </c>
      <c r="CE37" s="57">
        <v>43.37</v>
      </c>
      <c r="CF37" s="58">
        <v>134.42699999999999</v>
      </c>
      <c r="CG37" s="58"/>
      <c r="CH37" s="52"/>
      <c r="CI37" s="54"/>
      <c r="CJ37" s="33">
        <v>1.38</v>
      </c>
      <c r="CK37" s="265"/>
      <c r="CL37" s="59"/>
      <c r="CM37" s="60"/>
      <c r="CN37" s="270"/>
      <c r="CO37" s="269">
        <f t="shared" si="30"/>
        <v>0</v>
      </c>
      <c r="CP37" s="18">
        <f t="shared" si="30"/>
        <v>115.78434120000001</v>
      </c>
      <c r="CQ37" s="18">
        <f t="shared" si="30"/>
        <v>60.281274500000002</v>
      </c>
      <c r="CR37" s="18">
        <f t="shared" si="30"/>
        <v>0</v>
      </c>
      <c r="CS37" s="251">
        <f t="shared" si="30"/>
        <v>0</v>
      </c>
      <c r="CT37" s="11">
        <f t="shared" si="30"/>
        <v>13.630426499999999</v>
      </c>
      <c r="CU37" s="273">
        <f t="shared" si="30"/>
        <v>41.838999999999999</v>
      </c>
      <c r="CV37" s="269">
        <f t="shared" si="13"/>
        <v>132.57190740000001</v>
      </c>
      <c r="CW37" s="18">
        <f t="shared" si="13"/>
        <v>0</v>
      </c>
      <c r="CX37" s="261">
        <f t="shared" si="13"/>
        <v>0</v>
      </c>
      <c r="CY37" s="273">
        <f t="shared" si="13"/>
        <v>0</v>
      </c>
      <c r="CZ37" s="13"/>
      <c r="DA37" s="240">
        <f>(D37+'[2]май 20'!D37)/(AY37+'[2]май 20'!AX37)</f>
        <v>2.2800000424794957</v>
      </c>
      <c r="DB37" s="241">
        <f>(T37+'[2]май 20'!R37)/(AY37+'[2]май 20'!AX37)</f>
        <v>1.3068062196516683</v>
      </c>
      <c r="DD37" s="292">
        <f t="shared" si="14"/>
        <v>9.157</v>
      </c>
      <c r="DE37" s="294">
        <v>0.15</v>
      </c>
      <c r="DF37" s="294">
        <v>16.48</v>
      </c>
      <c r="DG37" s="323">
        <f t="shared" si="15"/>
        <v>9.143264499999999</v>
      </c>
      <c r="DH37" s="293">
        <f t="shared" si="28"/>
        <v>2.0016073188097763</v>
      </c>
      <c r="DJ37" s="322"/>
    </row>
    <row r="38" spans="1:114" s="214" customFormat="1" ht="16.5" customHeight="1" thickBot="1">
      <c r="A38" s="91" t="s">
        <v>56</v>
      </c>
      <c r="B38" s="92">
        <f>SUM(B7:B37)</f>
        <v>7613.4009999999989</v>
      </c>
      <c r="C38" s="330"/>
      <c r="D38" s="331">
        <f>SUM(D7:D37)</f>
        <v>7560.2391164076107</v>
      </c>
      <c r="E38" s="332"/>
      <c r="F38" s="331"/>
      <c r="G38" s="333">
        <f>SUM(G7:G37)</f>
        <v>51.91</v>
      </c>
      <c r="H38" s="329"/>
      <c r="I38" s="334">
        <f>SUM(I7:I37)</f>
        <v>0</v>
      </c>
      <c r="J38" s="329">
        <f>SUM(J7:J37)</f>
        <v>191.80099999999999</v>
      </c>
      <c r="K38" s="329">
        <f>SUM(K7:K37)</f>
        <v>0</v>
      </c>
      <c r="L38" s="396">
        <f>SUM(L7:L37)</f>
        <v>1682.9739999999993</v>
      </c>
      <c r="M38" s="335"/>
      <c r="N38" s="329">
        <f>SUM(N7:N37)</f>
        <v>150.88</v>
      </c>
      <c r="O38" s="396">
        <f>SUM(O7:O37)</f>
        <v>0</v>
      </c>
      <c r="P38" s="330">
        <f>SUM(P7:P37)</f>
        <v>4393.4990029999999</v>
      </c>
      <c r="Q38" s="396">
        <f>SUM(Q7:Q37)</f>
        <v>4393.4989999999998</v>
      </c>
      <c r="R38" s="336">
        <f>IF(Q38=0,0,(CA38*CH38+CE38*CI38+CF38*CJ38)/Q38)</f>
        <v>0</v>
      </c>
      <c r="S38" s="398">
        <f>SUM(S7:S37)</f>
        <v>277.64</v>
      </c>
      <c r="T38" s="331">
        <f>SUM(T7:T37)</f>
        <v>4329.7670743999997</v>
      </c>
      <c r="U38" s="337"/>
      <c r="V38" s="229">
        <f>SUM(V7:V37)</f>
        <v>1403.67</v>
      </c>
      <c r="W38" s="229">
        <f>SUM(W7:W37)</f>
        <v>2211.4099999999994</v>
      </c>
      <c r="X38" s="338"/>
      <c r="Y38" s="337"/>
      <c r="Z38" s="339"/>
      <c r="AA38" s="340"/>
      <c r="AB38" s="338"/>
      <c r="AC38" s="339"/>
      <c r="AD38" s="339">
        <f>SUM(AD7:AD37)</f>
        <v>123</v>
      </c>
      <c r="AE38" s="90">
        <f>SUM(AE7:AE37)</f>
        <v>97.40000000000002</v>
      </c>
      <c r="AF38" s="341"/>
      <c r="AG38" s="342">
        <f>SUM(AG7:AG37)</f>
        <v>0</v>
      </c>
      <c r="AH38" s="90">
        <f>SUM(AH7:AH37)</f>
        <v>2464.1</v>
      </c>
      <c r="AI38" s="341"/>
      <c r="AJ38" s="332">
        <f>SUM(AJ7:AJ37)</f>
        <v>413.05999999999989</v>
      </c>
      <c r="AK38" s="343"/>
      <c r="AL38" s="397">
        <f>SUM(AL7:AL37)</f>
        <v>166.11</v>
      </c>
      <c r="AM38" s="344">
        <f>SUM(AM7:AM37)</f>
        <v>857.30000000000007</v>
      </c>
      <c r="AN38" s="345"/>
      <c r="AO38" s="342"/>
      <c r="AP38" s="332"/>
      <c r="AQ38" s="342"/>
      <c r="AR38" s="342"/>
      <c r="AS38" s="346"/>
      <c r="AT38" s="332">
        <f>SUM(AT7:AT37)</f>
        <v>4320.7999999999993</v>
      </c>
      <c r="AU38" s="332">
        <f>SUM(AU7:AU37)</f>
        <v>46.889999999999993</v>
      </c>
      <c r="AV38" s="347">
        <f>SUM(AV7:AV37)</f>
        <v>0</v>
      </c>
      <c r="AW38" s="332">
        <f>SUM(AW7:AW37)</f>
        <v>0</v>
      </c>
      <c r="AX38" s="331"/>
      <c r="AY38" s="90">
        <f>SUM(AY7:AY37)</f>
        <v>3344.2799999999993</v>
      </c>
      <c r="AZ38" s="330">
        <f>SUM(AZ7:AZ37)</f>
        <v>3467.2874571269053</v>
      </c>
      <c r="BA38" s="342">
        <f>SUM(BA7:BA37)</f>
        <v>182.68501760563376</v>
      </c>
      <c r="BB38" s="342">
        <f>SUM(BB7:BB37)</f>
        <v>133.77119999999999</v>
      </c>
      <c r="BC38" s="332"/>
      <c r="BD38" s="89">
        <f>SUM(BD7:BD37)</f>
        <v>316.45621760563375</v>
      </c>
      <c r="BE38" s="348"/>
      <c r="BF38" s="19"/>
      <c r="BG38" s="19">
        <f t="shared" si="10"/>
        <v>0</v>
      </c>
      <c r="BH38" s="19"/>
      <c r="BI38" s="208">
        <f>SUM(BI7:BI37)</f>
        <v>31</v>
      </c>
      <c r="BJ38" s="209"/>
      <c r="BK38" s="278">
        <f t="shared" ref="BK38:BQ38" si="31">SUM(BK7:BK37)</f>
        <v>9.9999999999999995E-7</v>
      </c>
      <c r="BL38" s="61">
        <f>SUM(BL7:BL37)</f>
        <v>3593.0759999999991</v>
      </c>
      <c r="BM38" s="61">
        <f t="shared" si="31"/>
        <v>1451.3060010000002</v>
      </c>
      <c r="BN38" s="61">
        <f t="shared" si="31"/>
        <v>9.9999999999999995E-7</v>
      </c>
      <c r="BO38" s="61">
        <f t="shared" si="31"/>
        <v>9.9999999999999995E-7</v>
      </c>
      <c r="BP38" s="61">
        <f t="shared" si="31"/>
        <v>886.04500000000007</v>
      </c>
      <c r="BQ38" s="64">
        <f t="shared" si="31"/>
        <v>1682.9739999999993</v>
      </c>
      <c r="BR38" s="63"/>
      <c r="BS38" s="24"/>
      <c r="BT38" s="24"/>
      <c r="BU38" s="24"/>
      <c r="BV38" s="62"/>
      <c r="BW38" s="62"/>
      <c r="BX38" s="65"/>
      <c r="BY38" s="63"/>
      <c r="BZ38" s="24"/>
      <c r="CA38" s="24"/>
      <c r="CB38" s="24"/>
      <c r="CC38" s="62"/>
      <c r="CD38" s="62"/>
      <c r="CE38" s="62"/>
      <c r="CF38" s="66">
        <f>SUM(CF7:CF37)</f>
        <v>3604.1400000000008</v>
      </c>
      <c r="CG38" s="66">
        <f>SUM(CG7:CG37)</f>
        <v>789.35900100000015</v>
      </c>
      <c r="CH38" s="61">
        <f>SUM(CH7:CH37)</f>
        <v>9.9999999999999995E-7</v>
      </c>
      <c r="CI38" s="67">
        <f>SUM(CI7:CI37)</f>
        <v>9.9999999999999995E-7</v>
      </c>
      <c r="CJ38" s="210"/>
      <c r="CK38" s="266"/>
      <c r="CL38" s="211"/>
      <c r="CM38" s="212"/>
      <c r="CN38" s="213"/>
      <c r="CO38" s="68">
        <f t="shared" ref="CO38:CY38" si="32">SUM(CO7:CO37)</f>
        <v>9.9999998999999992E-7</v>
      </c>
      <c r="CP38" s="69">
        <f t="shared" si="32"/>
        <v>3558.6453292000006</v>
      </c>
      <c r="CQ38" s="70">
        <f t="shared" si="32"/>
        <v>1444.8339512000002</v>
      </c>
      <c r="CR38" s="69">
        <f t="shared" si="32"/>
        <v>9.9999998999999992E-7</v>
      </c>
      <c r="CS38" s="72">
        <f t="shared" si="32"/>
        <v>9.9999998999999992E-7</v>
      </c>
      <c r="CT38" s="72">
        <f t="shared" si="32"/>
        <v>873.78583760000004</v>
      </c>
      <c r="CU38" s="71">
        <f t="shared" si="32"/>
        <v>1682.9739994076094</v>
      </c>
      <c r="CV38" s="72">
        <f t="shared" si="32"/>
        <v>3551.7545428999997</v>
      </c>
      <c r="CW38" s="72">
        <f t="shared" si="32"/>
        <v>778.01253249999979</v>
      </c>
      <c r="CX38" s="72">
        <f t="shared" si="32"/>
        <v>9.9999998999999992E-7</v>
      </c>
      <c r="CY38" s="72">
        <f t="shared" si="32"/>
        <v>9.9999998999999992E-7</v>
      </c>
      <c r="CZ38" s="70"/>
      <c r="DA38" s="240">
        <f>(D38+'[2]май 20'!D38)/(AY38+'[2]май 20'!AX38)</f>
        <v>2.2788552005245739</v>
      </c>
      <c r="DB38" s="241">
        <f>(T38+'[2]май 20'!R38)/(AY38+'[2]май 20'!AX38)</f>
        <v>1.3180492790486698</v>
      </c>
      <c r="DD38" s="295">
        <f>SUM(DD7:DD37)</f>
        <v>191.80099999999999</v>
      </c>
      <c r="DE38" s="296">
        <f>(SUMPRODUCT(DD7:DD37,DE7:DE37))/DD38</f>
        <v>0.35821945662431376</v>
      </c>
      <c r="DF38" s="296">
        <f>(SUMPRODUCT(DD7:DD37,DF7:DF37))/DD38</f>
        <v>17.675267177960492</v>
      </c>
      <c r="DG38" s="296">
        <f>(SUMPRODUCT(DE7:DE37,DG7:DG37))/DE38</f>
        <v>190.22361174106854</v>
      </c>
      <c r="DH38" s="324">
        <f>IF(J38=0,0,(DG38*DF38%)/(AB39/100))</f>
        <v>44.991614153467431</v>
      </c>
    </row>
    <row r="39" spans="1:114" s="214" customFormat="1" ht="16.5" customHeight="1" thickBot="1">
      <c r="A39" s="93" t="s">
        <v>57</v>
      </c>
      <c r="B39" s="349">
        <f>B38/AU2</f>
        <v>245.59358064516127</v>
      </c>
      <c r="C39" s="349">
        <f>(BK38*BR39+BM38*BT39+BQ38*BX39+BL38*BS39+BN38*BU39+BO38*BV39+BP38*BW39)/B38</f>
        <v>0.69826722108017225</v>
      </c>
      <c r="D39" s="350">
        <f>D38/AU2</f>
        <v>243.87868117443907</v>
      </c>
      <c r="E39" s="349">
        <f>(BK38*BY39+BM38*CA39+BQ38*CE39+BL38*BZ39+BN38*CB39+BO38*CC39+BP38*CD39)/B38</f>
        <v>38.748147720053112</v>
      </c>
      <c r="F39" s="351">
        <f>IF($AY$38=0,0,$D$38/$AY$38)</f>
        <v>2.2606477676533103</v>
      </c>
      <c r="G39" s="352">
        <f>G38/AU2</f>
        <v>1.6745161290322579</v>
      </c>
      <c r="H39" s="353">
        <f>IF($AY$38=0,0,(CP38+CO38+CS38+CQ38+CT38)/AY38)</f>
        <v>1.7574082074467456</v>
      </c>
      <c r="I39" s="349">
        <f>I38/AU2</f>
        <v>0</v>
      </c>
      <c r="J39" s="349">
        <f>J38/AU2</f>
        <v>6.1871290322580643</v>
      </c>
      <c r="K39" s="349">
        <f>K38/AU2</f>
        <v>0</v>
      </c>
      <c r="L39" s="349">
        <f>L38/AU2</f>
        <v>54.289483870967715</v>
      </c>
      <c r="M39" s="354">
        <f>IF($AY$38=0,0,(CR38+CU38)/$AY$38)</f>
        <v>0.50323956140263659</v>
      </c>
      <c r="N39" s="349">
        <f>N38/AU2</f>
        <v>4.8670967741935485</v>
      </c>
      <c r="O39" s="349">
        <f>O38/AU2</f>
        <v>0</v>
      </c>
      <c r="P39" s="349">
        <f>P38/AU2</f>
        <v>141.72577429032259</v>
      </c>
      <c r="Q39" s="349">
        <f>Q38/AU2</f>
        <v>141.72577419354838</v>
      </c>
      <c r="R39" s="349">
        <f>(SUMPRODUCT(R7:R37,Q7:Q37))/Q38</f>
        <v>1.4505961102984211</v>
      </c>
      <c r="S39" s="355">
        <f>S38/AU2</f>
        <v>8.9561290322580636</v>
      </c>
      <c r="T39" s="356"/>
      <c r="U39" s="354">
        <f>IF($AY$38=0,0,$T$38/$AY$38)</f>
        <v>1.2946783984594594</v>
      </c>
      <c r="V39" s="349">
        <f>V38/AU2</f>
        <v>45.27967741935484</v>
      </c>
      <c r="W39" s="349">
        <f>W38/AU2</f>
        <v>71.335806451612882</v>
      </c>
      <c r="X39" s="349">
        <f>(SUMPRODUCT(X7:X37,AY7:AY37))/AY38</f>
        <v>0.78532302917219854</v>
      </c>
      <c r="Y39" s="357">
        <f>AVERAGE(Y7:Y37)</f>
        <v>489.45161290322579</v>
      </c>
      <c r="Z39" s="357">
        <f>AVERAGE(Z7:Z37)</f>
        <v>1165.0645161290322</v>
      </c>
      <c r="AA39" s="357"/>
      <c r="AB39" s="349">
        <f>(SUMPRODUCT(AB7:AB37,AY7:AY37))/AY38</f>
        <v>74.730663132273619</v>
      </c>
      <c r="AC39" s="358">
        <f>AVERAGE(AC7:AC37)</f>
        <v>98.483870967741936</v>
      </c>
      <c r="AD39" s="358">
        <f>AVERAGE(AD7:AD37)</f>
        <v>3.967741935483871</v>
      </c>
      <c r="AE39" s="349">
        <f>AE38/AU2</f>
        <v>3.1419354838709683</v>
      </c>
      <c r="AF39" s="355">
        <f>IF(AY38=0,0,AE38/AY38*1000)</f>
        <v>29.124355616156553</v>
      </c>
      <c r="AG39" s="356" t="e">
        <f>AG38/$AW$2</f>
        <v>#DIV/0!</v>
      </c>
      <c r="AH39" s="349">
        <f>AH38/AU2</f>
        <v>79.487096774193546</v>
      </c>
      <c r="AI39" s="355">
        <f>IF(AY38=0,0,AH38/AY38*1000)</f>
        <v>736.81031492578381</v>
      </c>
      <c r="AJ39" s="349">
        <f>AJ38/AU2</f>
        <v>13.324516129032254</v>
      </c>
      <c r="AK39" s="359"/>
      <c r="AL39" s="349">
        <f>AL38/AU2</f>
        <v>5.3583870967741936</v>
      </c>
      <c r="AM39" s="349">
        <f>AM38/AU2</f>
        <v>27.654838709677421</v>
      </c>
      <c r="AN39" s="360">
        <f>IF(AM39=0,0,AM39/AT39)</f>
        <v>0.19841233104980566</v>
      </c>
      <c r="AO39" s="356"/>
      <c r="AP39" s="349">
        <f>AVERAGE(AP7:AP37)</f>
        <v>9.0080645161290303</v>
      </c>
      <c r="AQ39" s="349">
        <f>AVERAGE(AQ7:AQ37)</f>
        <v>6.4709677419354827</v>
      </c>
      <c r="AR39" s="356"/>
      <c r="AS39" s="349">
        <f>AVERAGE(AS7:AS37)</f>
        <v>9.6067741935483877</v>
      </c>
      <c r="AT39" s="349">
        <f>AT38/AU2</f>
        <v>139.38064516129029</v>
      </c>
      <c r="AU39" s="349">
        <f>AU38/AU2</f>
        <v>1.5125806451612902</v>
      </c>
      <c r="AV39" s="349" t="e">
        <f>AV38/$AW$2</f>
        <v>#DIV/0!</v>
      </c>
      <c r="AW39" s="349" t="e">
        <f>AW38/$AW$2</f>
        <v>#DIV/0!</v>
      </c>
      <c r="AX39" s="349" t="e">
        <f>IF(AY39=0,0,AW39/AY39*100)</f>
        <v>#DIV/0!</v>
      </c>
      <c r="AY39" s="349">
        <f>AY38/AU2</f>
        <v>107.87999999999998</v>
      </c>
      <c r="AZ39" s="349">
        <f>AZ38/AU2</f>
        <v>111.84798248796469</v>
      </c>
      <c r="BA39" s="356"/>
      <c r="BB39" s="356"/>
      <c r="BC39" s="351">
        <f>(AY38*AB39)/(D38*E39)</f>
        <v>0.85312955848550953</v>
      </c>
      <c r="BD39" s="349">
        <f>BD38/AU2</f>
        <v>10.208265084052702</v>
      </c>
      <c r="BE39" s="361"/>
      <c r="BF39" s="19"/>
      <c r="BG39" s="19"/>
      <c r="BH39" s="19"/>
      <c r="BI39" s="19"/>
      <c r="BJ39" s="215"/>
      <c r="BK39" s="73"/>
      <c r="BL39" s="216"/>
      <c r="BM39" s="216"/>
      <c r="BN39" s="216"/>
      <c r="BO39" s="219"/>
      <c r="BP39" s="219"/>
      <c r="BQ39" s="217"/>
      <c r="BR39" s="73">
        <f t="shared" ref="BR39:BX39" si="33">(SUMPRODUCT(BK7:BK37,BR7:BR37))/BK38</f>
        <v>9.9999999999999995E-7</v>
      </c>
      <c r="BS39" s="29">
        <f>(SUMPRODUCT(BL7:BL37,BS7:BS37))/BL38</f>
        <v>0.95825055746107257</v>
      </c>
      <c r="BT39" s="29">
        <f t="shared" si="33"/>
        <v>0.44594660226999289</v>
      </c>
      <c r="BU39" s="29">
        <f t="shared" si="33"/>
        <v>9.9999999999999995E-7</v>
      </c>
      <c r="BV39" s="29">
        <f t="shared" si="33"/>
        <v>9.9999999999999995E-7</v>
      </c>
      <c r="BW39" s="29">
        <f t="shared" si="33"/>
        <v>1.3835823688413118</v>
      </c>
      <c r="BX39" s="74">
        <f t="shared" si="33"/>
        <v>3.5198998915015927E-8</v>
      </c>
      <c r="BY39" s="73">
        <f t="shared" ref="BY39:CE39" si="34">(SUMPRODUCT(BK7:BK37,BY7:BY37))/BK38</f>
        <v>9.9999999999999995E-7</v>
      </c>
      <c r="BZ39" s="29">
        <f t="shared" si="34"/>
        <v>37.617703569309427</v>
      </c>
      <c r="CA39" s="29">
        <f t="shared" si="34"/>
        <v>38.248738785446534</v>
      </c>
      <c r="CB39" s="29">
        <f t="shared" si="34"/>
        <v>9.9999999999999995E-7</v>
      </c>
      <c r="CC39" s="29">
        <f t="shared" si="34"/>
        <v>9.9999999999999995E-7</v>
      </c>
      <c r="CD39" s="29">
        <f t="shared" si="34"/>
        <v>35.798129575811615</v>
      </c>
      <c r="CE39" s="74">
        <f t="shared" si="34"/>
        <v>43.145372940996147</v>
      </c>
      <c r="CF39" s="218"/>
      <c r="CG39" s="218"/>
      <c r="CH39" s="216"/>
      <c r="CI39" s="219"/>
      <c r="CJ39" s="75">
        <f>(SUMPRODUCT(CF7:CF37,CJ7:CJ37))/CF38</f>
        <v>1.4534800840144939</v>
      </c>
      <c r="CK39" s="75">
        <f>(SUMPRODUCT(CG7:CG37,CK7:CK37))/CG38</f>
        <v>1.4374281519087926</v>
      </c>
      <c r="CL39" s="29">
        <f>(SUMPRODUCT(CH7:CH37,CL7:CL37))/CH38</f>
        <v>9.9999999999999995E-7</v>
      </c>
      <c r="CM39" s="74">
        <f>(SUMPRODUCT(CI7:CI37,CM7:CM37))/CI38</f>
        <v>9.9999999999999995E-7</v>
      </c>
      <c r="CN39" s="19"/>
      <c r="CO39" s="596">
        <f>CO38+CP38</f>
        <v>3558.6453302000004</v>
      </c>
      <c r="CP39" s="596"/>
      <c r="CQ39" s="597">
        <f>CQ38+CR38+CU38+CS38+CT38</f>
        <v>4001.5937902076093</v>
      </c>
      <c r="CR39" s="597"/>
      <c r="CS39" s="597"/>
      <c r="CT39" s="597"/>
      <c r="CU39" s="597"/>
      <c r="CV39" s="597">
        <f>CV38+CX38+CY38+CW38</f>
        <v>4329.7670773999989</v>
      </c>
      <c r="CW39" s="597"/>
      <c r="CX39" s="597"/>
      <c r="CY39" s="597"/>
      <c r="DA39" s="236"/>
      <c r="DB39" s="238"/>
      <c r="DD39" s="297"/>
      <c r="DE39" s="298"/>
      <c r="DF39" s="298"/>
      <c r="DG39" s="299"/>
      <c r="DH39" s="300"/>
    </row>
    <row r="40" spans="1:114" s="214" customFormat="1" ht="16.5" customHeight="1" thickBot="1">
      <c r="A40" s="94" t="s">
        <v>58</v>
      </c>
      <c r="B40" s="362"/>
      <c r="C40" s="362"/>
      <c r="D40" s="363"/>
      <c r="E40" s="364">
        <v>39.1</v>
      </c>
      <c r="F40" s="363">
        <v>2.0750000000000002</v>
      </c>
      <c r="G40" s="365"/>
      <c r="H40" s="363">
        <v>1.66</v>
      </c>
      <c r="I40" s="363"/>
      <c r="J40" s="363">
        <v>9.73386</v>
      </c>
      <c r="K40" s="363"/>
      <c r="L40" s="363"/>
      <c r="M40" s="363">
        <v>0.41499999999999998</v>
      </c>
      <c r="N40" s="363"/>
      <c r="O40" s="363"/>
      <c r="P40" s="366"/>
      <c r="Q40" s="362"/>
      <c r="R40" s="367"/>
      <c r="S40" s="368">
        <v>13.283856</v>
      </c>
      <c r="T40" s="362"/>
      <c r="U40" s="369">
        <v>1.2849999999999999</v>
      </c>
      <c r="V40" s="370">
        <v>3550</v>
      </c>
      <c r="W40" s="370">
        <v>3550</v>
      </c>
      <c r="X40" s="371"/>
      <c r="Y40" s="371"/>
      <c r="Z40" s="372">
        <v>1190</v>
      </c>
      <c r="AA40" s="372"/>
      <c r="AB40" s="362">
        <v>74</v>
      </c>
      <c r="AC40" s="362"/>
      <c r="AD40" s="362"/>
      <c r="AE40" s="362"/>
      <c r="AF40" s="362"/>
      <c r="AG40" s="362"/>
      <c r="AH40" s="362"/>
      <c r="AI40" s="362">
        <v>640</v>
      </c>
      <c r="AJ40" s="373"/>
      <c r="AK40" s="374"/>
      <c r="AL40" s="375"/>
      <c r="AM40" s="362"/>
      <c r="AN40" s="362"/>
      <c r="AO40" s="362"/>
      <c r="AP40" s="362"/>
      <c r="AQ40" s="362"/>
      <c r="AR40" s="362"/>
      <c r="AS40" s="362"/>
      <c r="AT40" s="376">
        <v>3550</v>
      </c>
      <c r="AU40" s="377">
        <v>24.9</v>
      </c>
      <c r="AV40" s="377"/>
      <c r="AW40" s="378"/>
      <c r="AX40" s="362"/>
      <c r="AY40" s="379">
        <v>114.52</v>
      </c>
      <c r="AZ40" s="362"/>
      <c r="BA40" s="362"/>
      <c r="BB40" s="362"/>
      <c r="BC40" s="363">
        <v>0.9</v>
      </c>
      <c r="BD40" s="362"/>
      <c r="BE40" s="380"/>
      <c r="BF40" s="19"/>
      <c r="BG40" s="19"/>
      <c r="BH40" s="19"/>
      <c r="BI40" s="19"/>
      <c r="BJ40" s="215"/>
      <c r="BK40" s="220"/>
      <c r="BL40" s="221"/>
      <c r="BM40" s="216"/>
      <c r="BN40" s="216"/>
      <c r="BO40" s="219"/>
      <c r="BP40" s="219"/>
      <c r="BQ40" s="217"/>
      <c r="BR40" s="218"/>
      <c r="BS40" s="216"/>
      <c r="BT40" s="216"/>
      <c r="BU40" s="216"/>
      <c r="BV40" s="219"/>
      <c r="BW40" s="219"/>
      <c r="BX40" s="217"/>
      <c r="BY40" s="218"/>
      <c r="BZ40" s="216"/>
      <c r="CA40" s="216"/>
      <c r="CB40" s="216"/>
      <c r="CC40" s="219"/>
      <c r="CD40" s="219"/>
      <c r="CE40" s="217"/>
      <c r="CF40" s="218"/>
      <c r="CG40" s="218"/>
      <c r="CH40" s="216"/>
      <c r="CI40" s="219"/>
      <c r="CJ40" s="220"/>
      <c r="CK40" s="218"/>
      <c r="CL40" s="216"/>
      <c r="CM40" s="217"/>
      <c r="CN40" s="213"/>
      <c r="CO40" s="604">
        <f>CO39+CQ39</f>
        <v>7560.2391204076102</v>
      </c>
      <c r="CP40" s="604"/>
      <c r="CQ40" s="604"/>
      <c r="CR40" s="604"/>
      <c r="CS40" s="604"/>
      <c r="CT40" s="604"/>
      <c r="CU40" s="604"/>
      <c r="DA40" s="237"/>
      <c r="DB40" s="239"/>
      <c r="DD40" s="301"/>
      <c r="DE40" s="302"/>
      <c r="DF40" s="302"/>
      <c r="DG40" s="303"/>
      <c r="DH40" s="304"/>
    </row>
    <row r="41" spans="1:114" s="214" customFormat="1" ht="16.5" customHeight="1" thickBot="1">
      <c r="A41" s="95" t="s">
        <v>59</v>
      </c>
      <c r="B41" s="381"/>
      <c r="C41" s="381"/>
      <c r="D41" s="382"/>
      <c r="E41" s="381"/>
      <c r="F41" s="383">
        <f>F39-F40</f>
        <v>0.18564776765331015</v>
      </c>
      <c r="G41" s="384">
        <f>G39-G40</f>
        <v>1.6745161290322579</v>
      </c>
      <c r="H41" s="383"/>
      <c r="I41" s="385">
        <f>I39-I40</f>
        <v>0</v>
      </c>
      <c r="J41" s="385"/>
      <c r="K41" s="385"/>
      <c r="L41" s="385"/>
      <c r="M41" s="385"/>
      <c r="N41" s="385"/>
      <c r="O41" s="385"/>
      <c r="P41" s="383"/>
      <c r="Q41" s="386"/>
      <c r="R41" s="385">
        <f>R39-R40</f>
        <v>1.4505961102984211</v>
      </c>
      <c r="S41" s="386"/>
      <c r="T41" s="386"/>
      <c r="U41" s="383">
        <f>U39-U40</f>
        <v>9.6783984594595029E-3</v>
      </c>
      <c r="V41" s="383"/>
      <c r="W41" s="383"/>
      <c r="X41" s="383"/>
      <c r="Y41" s="383"/>
      <c r="Z41" s="387">
        <f>Z39-Z40</f>
        <v>-24.935483870967801</v>
      </c>
      <c r="AA41" s="388"/>
      <c r="AB41" s="381"/>
      <c r="AC41" s="381"/>
      <c r="AD41" s="381"/>
      <c r="AE41" s="381"/>
      <c r="AF41" s="381"/>
      <c r="AG41" s="381"/>
      <c r="AH41" s="381"/>
      <c r="AI41" s="381"/>
      <c r="AJ41" s="381"/>
      <c r="AK41" s="389"/>
      <c r="AL41" s="390"/>
      <c r="AM41" s="381"/>
      <c r="AN41" s="381"/>
      <c r="AO41" s="381"/>
      <c r="AP41" s="381"/>
      <c r="AQ41" s="381"/>
      <c r="AR41" s="381"/>
      <c r="AS41" s="381"/>
      <c r="AT41" s="391">
        <f>AT38+AV38-AT40</f>
        <v>770.79999999999927</v>
      </c>
      <c r="AU41" s="392"/>
      <c r="AV41" s="393"/>
      <c r="AW41" s="390"/>
      <c r="AX41" s="381"/>
      <c r="AY41" s="385"/>
      <c r="AZ41" s="381"/>
      <c r="BA41" s="381"/>
      <c r="BB41" s="381"/>
      <c r="BC41" s="394"/>
      <c r="BD41" s="381"/>
      <c r="BE41" s="395"/>
      <c r="BF41" s="222"/>
      <c r="BG41" s="222"/>
      <c r="BH41" s="222"/>
      <c r="BI41" s="222"/>
      <c r="BJ41" s="222"/>
      <c r="BK41" s="223"/>
      <c r="BL41" s="224"/>
      <c r="BM41" s="225"/>
      <c r="BN41" s="225"/>
      <c r="BO41" s="224"/>
      <c r="BP41" s="224"/>
      <c r="BQ41" s="226"/>
      <c r="BR41" s="227"/>
      <c r="BS41" s="225"/>
      <c r="BT41" s="225"/>
      <c r="BU41" s="225"/>
      <c r="BV41" s="224"/>
      <c r="BW41" s="224"/>
      <c r="BX41" s="224"/>
      <c r="BY41" s="228"/>
      <c r="BZ41" s="225"/>
      <c r="CA41" s="225"/>
      <c r="CB41" s="225"/>
      <c r="CC41" s="224"/>
      <c r="CD41" s="224"/>
      <c r="CE41" s="226"/>
      <c r="CF41" s="227"/>
      <c r="CG41" s="227"/>
      <c r="CH41" s="225"/>
      <c r="CI41" s="224"/>
      <c r="CJ41" s="228"/>
      <c r="CK41" s="227"/>
      <c r="CL41" s="225"/>
      <c r="CM41" s="226"/>
      <c r="CN41" s="213"/>
      <c r="CO41" s="213"/>
      <c r="CP41" s="213"/>
      <c r="CQ41" s="213"/>
      <c r="DA41" s="21"/>
      <c r="DH41" s="309"/>
    </row>
    <row r="42" spans="1:114" ht="15" hidden="1" customHeight="1">
      <c r="A42" s="96"/>
      <c r="B42" s="96"/>
      <c r="C42" s="96"/>
      <c r="D42" s="97"/>
      <c r="E42" s="96"/>
      <c r="F42" s="98"/>
      <c r="G42" s="99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1"/>
      <c r="AF42" s="101"/>
      <c r="AG42" s="100"/>
      <c r="AH42" s="100"/>
      <c r="AI42" s="100"/>
      <c r="AJ42" s="100"/>
      <c r="AK42" s="100"/>
      <c r="AL42" s="100"/>
      <c r="AM42" s="100"/>
      <c r="AN42" s="100"/>
      <c r="AO42" s="100"/>
      <c r="AP42" s="100"/>
      <c r="AQ42" s="100"/>
      <c r="AR42" s="100"/>
      <c r="AS42" s="96"/>
      <c r="AT42" s="612"/>
      <c r="AU42" s="612"/>
      <c r="AV42" s="612"/>
      <c r="AW42" s="96"/>
      <c r="AX42" s="96"/>
      <c r="AY42" s="100"/>
      <c r="AZ42" s="100"/>
      <c r="BA42" s="100"/>
      <c r="BB42" s="100"/>
      <c r="BC42" s="100"/>
      <c r="BD42" s="100"/>
      <c r="BE42" s="100"/>
      <c r="BK42" s="20"/>
      <c r="BL42" s="20"/>
      <c r="BM42" s="20"/>
    </row>
    <row r="43" spans="1:114">
      <c r="A43" s="100"/>
      <c r="B43" s="100"/>
      <c r="C43" s="100"/>
      <c r="D43" s="102"/>
      <c r="E43" s="100"/>
      <c r="F43" s="100"/>
      <c r="G43" s="96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1"/>
      <c r="AF43" s="101"/>
      <c r="AG43" s="100"/>
      <c r="AH43" s="100"/>
      <c r="AI43" s="100"/>
      <c r="AJ43" s="100"/>
      <c r="AK43" s="100"/>
      <c r="AL43" s="100"/>
      <c r="AM43" s="100"/>
      <c r="AN43" s="100"/>
      <c r="AO43" s="100"/>
      <c r="AP43" s="100"/>
      <c r="AQ43" s="100"/>
      <c r="AR43" s="100"/>
      <c r="AS43" s="96" t="s">
        <v>60</v>
      </c>
      <c r="AT43" s="103">
        <f>AT40/BE43</f>
        <v>114.51612903225806</v>
      </c>
      <c r="AU43" s="104"/>
      <c r="AV43" s="96"/>
      <c r="AW43" s="96" t="s">
        <v>61</v>
      </c>
      <c r="AX43" s="96"/>
      <c r="AY43" s="100"/>
      <c r="AZ43" s="100"/>
      <c r="BA43" s="100"/>
      <c r="BB43" s="100"/>
      <c r="BC43" s="100"/>
      <c r="BD43" s="105" t="s">
        <v>62</v>
      </c>
      <c r="BE43" s="100">
        <v>31</v>
      </c>
    </row>
    <row r="44" spans="1:114" ht="12" customHeight="1">
      <c r="A44" s="100"/>
      <c r="B44" s="100"/>
      <c r="C44" s="100"/>
      <c r="D44" s="102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100"/>
      <c r="AG44" s="100"/>
      <c r="AH44" s="100"/>
      <c r="AI44" s="100"/>
      <c r="AJ44" s="100"/>
      <c r="AK44" s="100"/>
      <c r="AL44" s="100"/>
      <c r="AM44" s="100"/>
      <c r="AN44" s="100"/>
      <c r="AO44" s="100"/>
      <c r="AP44" s="100"/>
      <c r="AQ44" s="100"/>
      <c r="AR44" s="100"/>
      <c r="AS44" s="100"/>
      <c r="AT44" s="100"/>
      <c r="AU44" s="100"/>
      <c r="AV44" s="100"/>
      <c r="AW44" s="100"/>
      <c r="AX44" s="100"/>
      <c r="AY44" s="100"/>
      <c r="AZ44" s="100"/>
      <c r="BA44" s="100"/>
      <c r="BB44" s="100"/>
      <c r="BC44" s="100"/>
      <c r="BD44" s="96"/>
      <c r="BE44" s="96"/>
      <c r="CR44">
        <v>7560.2389999999996</v>
      </c>
    </row>
    <row r="45" spans="1:114" ht="13.5" thickBot="1">
      <c r="A45" s="100"/>
      <c r="B45" s="100"/>
      <c r="C45" s="100"/>
      <c r="D45" s="102"/>
      <c r="E45" s="100"/>
      <c r="F45" s="100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101"/>
      <c r="AE45" s="101"/>
      <c r="AF45" s="101"/>
      <c r="AG45" s="100"/>
      <c r="AH45" s="100"/>
      <c r="AI45" s="100"/>
      <c r="AJ45" s="100"/>
      <c r="AK45" s="100"/>
      <c r="AL45" s="100"/>
      <c r="AM45" s="106" t="s">
        <v>63</v>
      </c>
      <c r="AN45" s="106"/>
      <c r="AO45" s="106"/>
      <c r="AP45" s="106"/>
      <c r="AQ45" s="106"/>
      <c r="AR45" s="106"/>
      <c r="AS45" s="107" t="s">
        <v>64</v>
      </c>
      <c r="AT45" s="108">
        <v>30</v>
      </c>
      <c r="AU45" s="108"/>
      <c r="AV45" s="100"/>
      <c r="AW45" s="100"/>
      <c r="AX45" s="100"/>
      <c r="AY45" s="100"/>
      <c r="AZ45" s="100"/>
      <c r="BA45" s="100"/>
      <c r="BB45" s="100"/>
      <c r="BC45" s="100"/>
      <c r="BD45" s="96"/>
      <c r="BE45" s="96"/>
      <c r="BS45" s="1"/>
    </row>
    <row r="46" spans="1:114" ht="12.75" customHeight="1" thickBot="1">
      <c r="A46" s="100"/>
      <c r="B46" s="100"/>
      <c r="C46" s="109" t="s">
        <v>65</v>
      </c>
      <c r="D46" s="102"/>
      <c r="E46" s="100"/>
      <c r="F46" s="100"/>
      <c r="G46" s="100"/>
      <c r="H46" s="100"/>
      <c r="I46" s="100"/>
      <c r="J46" s="100"/>
      <c r="K46" s="100"/>
      <c r="L46" s="110">
        <f>AT38/AD38</f>
        <v>35.128455284552842</v>
      </c>
      <c r="M46" s="109" t="s">
        <v>88</v>
      </c>
      <c r="N46" s="606"/>
      <c r="O46" s="606"/>
      <c r="P46" s="111"/>
      <c r="Q46" s="100"/>
      <c r="R46" s="100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101"/>
      <c r="AE46" s="101"/>
      <c r="AF46" s="101"/>
      <c r="AG46" s="100"/>
      <c r="AH46" s="100"/>
      <c r="AI46" s="100"/>
      <c r="AJ46" s="100"/>
      <c r="AK46" s="100"/>
      <c r="AL46" s="100"/>
      <c r="AM46" s="100"/>
      <c r="AN46" s="100"/>
      <c r="AO46" s="106"/>
      <c r="AP46" s="106"/>
      <c r="AQ46" s="106"/>
      <c r="AR46" s="106"/>
      <c r="AS46" s="107" t="s">
        <v>66</v>
      </c>
      <c r="AT46" s="112">
        <f>AT40/AT45</f>
        <v>118.33333333333333</v>
      </c>
      <c r="AU46" s="112"/>
      <c r="AV46" s="100"/>
      <c r="AW46" s="100"/>
      <c r="AX46" s="100">
        <v>0</v>
      </c>
      <c r="AY46" s="100"/>
      <c r="AZ46" s="607" t="s">
        <v>67</v>
      </c>
      <c r="BA46" s="607"/>
      <c r="BB46" s="607"/>
      <c r="BC46" s="607"/>
      <c r="BD46" s="607"/>
      <c r="BE46" s="607"/>
    </row>
    <row r="47" spans="1:114">
      <c r="A47" s="100"/>
      <c r="B47" s="100"/>
      <c r="C47" s="100"/>
      <c r="D47" s="102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100"/>
      <c r="AI47" s="100"/>
      <c r="AJ47" s="100"/>
      <c r="AK47" s="100"/>
      <c r="AL47" s="100"/>
      <c r="AM47" s="100"/>
      <c r="AN47" s="100"/>
      <c r="AO47" s="100"/>
      <c r="AP47" s="100"/>
      <c r="AQ47" s="100"/>
      <c r="AR47" s="100"/>
      <c r="AS47" s="100"/>
      <c r="AT47" s="100"/>
      <c r="AU47" s="100"/>
      <c r="AV47" s="100"/>
      <c r="AW47" s="100"/>
      <c r="AX47" s="100"/>
      <c r="AY47" s="100"/>
      <c r="AZ47" s="607"/>
      <c r="BA47" s="607"/>
      <c r="BB47" s="607"/>
      <c r="BC47" s="607"/>
      <c r="BD47" s="607"/>
      <c r="BE47" s="607"/>
    </row>
    <row r="48" spans="1:114">
      <c r="A48" s="100"/>
      <c r="B48" s="100"/>
      <c r="C48" s="100"/>
      <c r="D48" s="102"/>
      <c r="E48" s="100"/>
      <c r="F48" s="100"/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13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  <c r="AE48" s="100"/>
      <c r="AF48" s="100"/>
      <c r="AG48" s="100"/>
      <c r="AH48" s="100"/>
      <c r="AI48" s="100"/>
      <c r="AJ48" s="100"/>
      <c r="AK48" s="100"/>
      <c r="AL48" s="100"/>
      <c r="AM48" s="100"/>
      <c r="AN48" s="100"/>
      <c r="AO48" s="100"/>
      <c r="AP48" s="100"/>
      <c r="AQ48" s="100"/>
      <c r="AR48" s="100"/>
      <c r="AS48" s="100"/>
      <c r="AT48" s="100"/>
      <c r="AU48" s="100"/>
      <c r="AV48" s="100"/>
      <c r="AW48" s="100"/>
      <c r="AX48" s="100"/>
      <c r="AY48" s="100"/>
      <c r="AZ48" s="608">
        <f>BF37-BJ37</f>
        <v>-205.72000000000071</v>
      </c>
      <c r="BA48" s="608"/>
      <c r="BB48" s="608"/>
      <c r="BC48" s="608"/>
      <c r="BD48" s="609" t="s">
        <v>68</v>
      </c>
      <c r="BE48" s="114"/>
    </row>
    <row r="49" spans="1:57" ht="12" customHeight="1">
      <c r="A49" s="100"/>
      <c r="B49" s="100"/>
      <c r="C49" s="100"/>
      <c r="D49" s="102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15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100"/>
      <c r="AI49" s="100"/>
      <c r="AJ49" s="100"/>
      <c r="AK49" s="100"/>
      <c r="AL49" s="100"/>
      <c r="AM49" s="100"/>
      <c r="AN49" s="100"/>
      <c r="AO49" s="100"/>
      <c r="AP49" s="100"/>
      <c r="AQ49" s="100"/>
      <c r="AR49" s="100"/>
      <c r="AS49" s="100"/>
      <c r="AT49" s="100"/>
      <c r="AU49" s="100"/>
      <c r="AV49" s="100"/>
      <c r="AW49" s="100"/>
      <c r="AX49" s="100"/>
      <c r="AY49" s="100"/>
      <c r="AZ49" s="608"/>
      <c r="BA49" s="608"/>
      <c r="BB49" s="608"/>
      <c r="BC49" s="608"/>
      <c r="BD49" s="609"/>
      <c r="BE49" s="114"/>
    </row>
    <row r="50" spans="1:57" ht="13.5" customHeight="1">
      <c r="A50" s="100"/>
      <c r="B50" s="100"/>
      <c r="C50" s="100"/>
      <c r="D50" s="102"/>
      <c r="E50" s="100"/>
      <c r="F50" s="100"/>
      <c r="G50" s="100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100"/>
      <c r="AC50" s="100"/>
      <c r="AD50" s="100"/>
      <c r="AE50" s="100"/>
      <c r="AF50" s="100"/>
      <c r="AG50" s="100"/>
      <c r="AH50" s="100"/>
      <c r="AI50" s="100"/>
      <c r="AJ50" s="100"/>
      <c r="AK50" s="100"/>
      <c r="AL50" s="100"/>
      <c r="AM50" s="100"/>
      <c r="AN50" s="100"/>
      <c r="AO50" s="100"/>
      <c r="AP50" s="100"/>
      <c r="AQ50" s="100"/>
      <c r="AR50" s="100"/>
      <c r="AS50" s="100"/>
      <c r="AT50" s="100"/>
      <c r="AU50" s="100"/>
      <c r="AV50" s="100"/>
      <c r="AW50" s="100"/>
      <c r="AX50" s="100"/>
      <c r="AY50" s="100"/>
      <c r="AZ50" s="116"/>
      <c r="BA50" s="96"/>
      <c r="BB50" s="96"/>
      <c r="BC50" s="96"/>
      <c r="BD50" s="96"/>
      <c r="BE50" s="114"/>
    </row>
    <row r="51" spans="1:57" ht="13.5" customHeight="1" thickBot="1">
      <c r="A51" s="100"/>
      <c r="B51" s="100"/>
      <c r="C51" s="100"/>
      <c r="D51" s="102"/>
      <c r="E51" s="100"/>
      <c r="F51" s="100"/>
      <c r="G51" s="100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0"/>
      <c r="AC51" s="100"/>
      <c r="AD51" s="100"/>
      <c r="AE51" s="100"/>
      <c r="AF51" s="100"/>
      <c r="AG51" s="100"/>
      <c r="AH51" s="100"/>
      <c r="AI51" s="100"/>
      <c r="AJ51" s="100"/>
      <c r="AK51" s="100"/>
      <c r="AL51" s="100"/>
      <c r="AM51" s="100"/>
      <c r="AN51" s="100"/>
      <c r="AO51" s="100"/>
      <c r="AP51" s="100"/>
      <c r="AQ51" s="100"/>
      <c r="AR51" s="100"/>
      <c r="AS51" s="100"/>
      <c r="AT51" s="100"/>
      <c r="AU51" s="100"/>
      <c r="AV51" s="100"/>
      <c r="AW51" s="100"/>
      <c r="AX51" s="100"/>
      <c r="AY51" s="100"/>
      <c r="AZ51" s="610">
        <f>AZ48/AT40*100</f>
        <v>-5.7949295774648091</v>
      </c>
      <c r="BA51" s="610"/>
      <c r="BB51" s="610"/>
      <c r="BC51" s="610"/>
      <c r="BD51" s="611" t="s">
        <v>69</v>
      </c>
      <c r="BE51" s="114"/>
    </row>
    <row r="52" spans="1:57" ht="13.5" thickBot="1">
      <c r="A52" s="100"/>
      <c r="B52" s="100"/>
      <c r="C52" s="100"/>
      <c r="D52" s="102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  <c r="AF52" s="100"/>
      <c r="AG52" s="100"/>
      <c r="AH52" s="100"/>
      <c r="AI52" s="100"/>
      <c r="AJ52" s="100"/>
      <c r="AK52" s="100"/>
      <c r="AL52" s="100"/>
      <c r="AM52" s="100"/>
      <c r="AN52" s="100"/>
      <c r="AO52" s="100"/>
      <c r="AP52" s="100"/>
      <c r="AQ52" s="100"/>
      <c r="AR52" s="100"/>
      <c r="AS52" s="100"/>
      <c r="AT52" s="100"/>
      <c r="AU52" s="100"/>
      <c r="AV52" s="100"/>
      <c r="AW52" s="100"/>
      <c r="AX52" s="100"/>
      <c r="AY52" s="100"/>
      <c r="AZ52" s="610"/>
      <c r="BA52" s="610"/>
      <c r="BB52" s="610"/>
      <c r="BC52" s="610"/>
      <c r="BD52" s="611"/>
      <c r="BE52" s="117"/>
    </row>
    <row r="53" spans="1:57">
      <c r="A53" s="100"/>
      <c r="B53" s="100"/>
      <c r="C53" s="100"/>
      <c r="D53" s="102"/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100"/>
      <c r="AI53" s="100"/>
      <c r="AJ53" s="100"/>
      <c r="AK53" s="100"/>
      <c r="AL53" s="100"/>
      <c r="AM53" s="100"/>
      <c r="AN53" s="100"/>
      <c r="AO53" s="100"/>
      <c r="AP53" s="100"/>
      <c r="AQ53" s="100"/>
      <c r="AR53" s="100"/>
      <c r="AS53" s="100"/>
      <c r="AT53" s="100"/>
      <c r="AU53" s="100"/>
      <c r="AV53" s="100"/>
      <c r="AW53" s="100"/>
      <c r="AX53" s="100"/>
      <c r="AY53" s="100"/>
      <c r="AZ53" s="100"/>
      <c r="BA53" s="100"/>
      <c r="BB53" s="100"/>
      <c r="BC53" s="100"/>
      <c r="BD53" s="100"/>
      <c r="BE53" s="100"/>
    </row>
    <row r="54" spans="1:57">
      <c r="A54" s="100"/>
      <c r="B54" s="100"/>
      <c r="C54" s="100"/>
      <c r="D54" s="102"/>
      <c r="E54" s="100"/>
      <c r="F54" s="100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100"/>
      <c r="AI54" s="100"/>
      <c r="AJ54" s="100"/>
      <c r="AK54" s="100"/>
      <c r="AL54" s="100"/>
      <c r="AM54" s="100"/>
      <c r="AN54" s="100"/>
      <c r="AO54" s="100"/>
      <c r="AP54" s="100"/>
      <c r="AQ54" s="100"/>
      <c r="AR54" s="100"/>
      <c r="AS54" s="100"/>
      <c r="AT54" s="100"/>
      <c r="AU54" s="100"/>
      <c r="AV54" s="100"/>
      <c r="AW54" s="100"/>
      <c r="AX54" s="100"/>
      <c r="AY54" s="100"/>
      <c r="AZ54" s="100"/>
      <c r="BA54" s="100"/>
      <c r="BB54" s="100"/>
      <c r="BC54" s="100"/>
      <c r="BD54" s="100"/>
      <c r="BE54" s="100"/>
    </row>
    <row r="55" spans="1:57">
      <c r="A55" s="100"/>
      <c r="B55" s="100"/>
      <c r="C55" s="100"/>
      <c r="D55" s="102"/>
      <c r="E55" s="100"/>
      <c r="F55" s="100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  <c r="AH55" s="100"/>
      <c r="AI55" s="100"/>
      <c r="AJ55" s="100"/>
      <c r="AK55" s="100"/>
      <c r="AL55" s="100"/>
      <c r="AM55" s="100"/>
      <c r="AN55" s="100"/>
      <c r="AO55" s="100"/>
      <c r="AP55" s="100"/>
      <c r="AQ55" s="100"/>
      <c r="AR55" s="100"/>
      <c r="AS55" s="100"/>
      <c r="AT55" s="100"/>
      <c r="AU55" s="100"/>
      <c r="AV55" s="100"/>
      <c r="AW55" s="100"/>
      <c r="AX55" s="100"/>
      <c r="AY55" s="100"/>
      <c r="AZ55" s="100"/>
      <c r="BA55" s="100"/>
      <c r="BB55" s="100"/>
      <c r="BC55" s="100"/>
      <c r="BD55" s="100"/>
      <c r="BE55" s="100"/>
    </row>
    <row r="56" spans="1:57">
      <c r="A56" s="100"/>
      <c r="B56" s="100"/>
      <c r="C56" s="100"/>
      <c r="D56" s="102"/>
      <c r="E56" s="100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/>
      <c r="AE56" s="100"/>
      <c r="AF56" s="100"/>
      <c r="AG56" s="100"/>
      <c r="AH56" s="100"/>
      <c r="AI56" s="100"/>
      <c r="AJ56" s="100"/>
      <c r="AK56" s="100"/>
      <c r="AL56" s="100"/>
      <c r="AM56" s="100"/>
      <c r="AN56" s="100"/>
      <c r="AO56" s="100"/>
      <c r="AP56" s="100"/>
      <c r="AQ56" s="100"/>
      <c r="AR56" s="100"/>
      <c r="AS56" s="100"/>
      <c r="AT56" s="100"/>
      <c r="AU56" s="100"/>
      <c r="AV56" s="100"/>
      <c r="AW56" s="100"/>
      <c r="AX56" s="100"/>
      <c r="AY56" s="100"/>
      <c r="AZ56" s="100"/>
      <c r="BA56" s="100"/>
      <c r="BB56" s="100"/>
      <c r="BC56" s="100"/>
      <c r="BD56" s="100"/>
      <c r="BE56" s="100"/>
    </row>
    <row r="57" spans="1:57">
      <c r="A57" s="100"/>
      <c r="B57" s="100"/>
      <c r="C57" s="100"/>
      <c r="D57" s="102"/>
      <c r="E57" s="100"/>
      <c r="F57" s="100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100"/>
      <c r="AI57" s="100"/>
      <c r="AJ57" s="100"/>
      <c r="AK57" s="100"/>
      <c r="AL57" s="100"/>
      <c r="AM57" s="100"/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X57" s="100"/>
      <c r="AY57" s="100"/>
      <c r="AZ57" s="100"/>
      <c r="BA57" s="100"/>
      <c r="BB57" s="100"/>
      <c r="BC57" s="100"/>
      <c r="BD57" s="100"/>
      <c r="BE57" s="100"/>
    </row>
    <row r="58" spans="1:57">
      <c r="A58" s="100"/>
      <c r="B58" s="100"/>
      <c r="C58" s="100"/>
      <c r="D58" s="102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  <c r="AA58" s="100"/>
      <c r="AB58" s="100"/>
      <c r="AC58" s="100"/>
      <c r="AD58" s="100"/>
      <c r="AE58" s="100"/>
      <c r="AF58" s="100"/>
      <c r="AG58" s="100"/>
      <c r="AH58" s="100"/>
      <c r="AI58" s="100"/>
      <c r="AJ58" s="100"/>
      <c r="AK58" s="100"/>
      <c r="AL58" s="100"/>
      <c r="AM58" s="100"/>
      <c r="AN58" s="100"/>
      <c r="AO58" s="100"/>
      <c r="AP58" s="100"/>
      <c r="AQ58" s="100"/>
      <c r="AR58" s="100"/>
      <c r="AS58" s="100"/>
      <c r="AT58" s="100"/>
      <c r="AU58" s="100"/>
      <c r="AV58" s="100"/>
      <c r="AW58" s="100"/>
      <c r="AX58" s="100"/>
      <c r="AY58" s="100"/>
      <c r="AZ58" s="100"/>
      <c r="BA58" s="100"/>
      <c r="BB58" s="100"/>
      <c r="BC58" s="100"/>
      <c r="BD58" s="100"/>
      <c r="BE58" s="100"/>
    </row>
    <row r="59" spans="1:57">
      <c r="A59" s="100"/>
      <c r="B59" s="100"/>
      <c r="C59" s="100"/>
      <c r="D59" s="102"/>
      <c r="E59" s="100"/>
      <c r="F59" s="100"/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  <c r="AE59" s="100"/>
      <c r="AF59" s="100"/>
      <c r="AG59" s="100"/>
      <c r="AH59" s="100"/>
      <c r="AI59" s="100"/>
      <c r="AJ59" s="100"/>
      <c r="AK59" s="100"/>
      <c r="AL59" s="100"/>
      <c r="AM59" s="100"/>
      <c r="AN59" s="100"/>
      <c r="AO59" s="100"/>
      <c r="AP59" s="100"/>
      <c r="AQ59" s="100"/>
      <c r="AR59" s="100"/>
      <c r="AS59" s="100"/>
      <c r="AT59" s="100"/>
      <c r="AU59" s="100"/>
      <c r="AV59" s="100"/>
      <c r="AW59" s="100"/>
      <c r="AX59" s="100"/>
      <c r="AY59" s="100"/>
      <c r="AZ59" s="100"/>
      <c r="BA59" s="100"/>
      <c r="BB59" s="100"/>
      <c r="BC59" s="100"/>
      <c r="BD59" s="100"/>
      <c r="BE59" s="100"/>
    </row>
    <row r="60" spans="1:57">
      <c r="A60" s="100"/>
      <c r="B60" s="100"/>
      <c r="C60" s="100"/>
      <c r="D60" s="102"/>
      <c r="E60" s="100"/>
      <c r="F60" s="100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  <c r="AE60" s="100"/>
      <c r="AF60" s="100"/>
      <c r="AG60" s="100"/>
      <c r="AH60" s="100"/>
      <c r="AI60" s="100"/>
      <c r="AJ60" s="100"/>
      <c r="AK60" s="100"/>
      <c r="AL60" s="100"/>
      <c r="AM60" s="100"/>
      <c r="AN60" s="100"/>
      <c r="AO60" s="100"/>
      <c r="AP60" s="100"/>
      <c r="AQ60" s="100"/>
      <c r="AR60" s="100"/>
      <c r="AS60" s="100"/>
      <c r="AT60" s="100"/>
      <c r="AU60" s="100"/>
      <c r="AV60" s="100"/>
      <c r="AW60" s="100"/>
      <c r="AX60" s="100"/>
      <c r="AY60" s="100"/>
      <c r="AZ60" s="100"/>
      <c r="BA60" s="100"/>
      <c r="BB60" s="100"/>
      <c r="BC60" s="100"/>
      <c r="BD60" s="100"/>
      <c r="BE60" s="100"/>
    </row>
    <row r="61" spans="1:57">
      <c r="A61" s="100"/>
      <c r="B61" s="100"/>
      <c r="C61" s="100"/>
      <c r="D61" s="102"/>
      <c r="E61" s="100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/>
      <c r="AE61" s="100"/>
      <c r="AF61" s="100"/>
      <c r="AG61" s="100"/>
      <c r="AH61" s="100"/>
      <c r="AI61" s="100"/>
      <c r="AJ61" s="100"/>
      <c r="AK61" s="100"/>
      <c r="AL61" s="100"/>
      <c r="AM61" s="100"/>
      <c r="AN61" s="100"/>
      <c r="AO61" s="100"/>
      <c r="AP61" s="100"/>
      <c r="AQ61" s="100"/>
      <c r="AR61" s="100"/>
      <c r="AS61" s="100"/>
      <c r="AT61" s="100"/>
      <c r="AU61" s="100"/>
      <c r="AV61" s="100"/>
      <c r="AW61" s="100"/>
      <c r="AX61" s="100"/>
      <c r="AY61" s="100"/>
      <c r="AZ61" s="100"/>
      <c r="BA61" s="100"/>
      <c r="BB61" s="100"/>
      <c r="BC61" s="100"/>
      <c r="BD61" s="100"/>
      <c r="BE61" s="100"/>
    </row>
    <row r="62" spans="1:57">
      <c r="A62" s="100"/>
      <c r="B62" s="100"/>
      <c r="C62" s="100"/>
      <c r="D62" s="102"/>
      <c r="E62" s="100"/>
      <c r="F62" s="100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100"/>
      <c r="AC62" s="100"/>
      <c r="AD62" s="100"/>
      <c r="AE62" s="100"/>
      <c r="AF62" s="100"/>
      <c r="AG62" s="100"/>
      <c r="AH62" s="100"/>
      <c r="AI62" s="100"/>
      <c r="AJ62" s="100"/>
      <c r="AK62" s="100"/>
      <c r="AL62" s="100"/>
      <c r="AM62" s="100"/>
      <c r="AN62" s="100"/>
      <c r="AO62" s="100"/>
      <c r="AP62" s="100"/>
      <c r="AQ62" s="100"/>
      <c r="AR62" s="100"/>
      <c r="AS62" s="100"/>
      <c r="AT62" s="100"/>
      <c r="AU62" s="100"/>
      <c r="AV62" s="100"/>
      <c r="AW62" s="100"/>
      <c r="AX62" s="100"/>
      <c r="AY62" s="100"/>
      <c r="AZ62" s="100"/>
      <c r="BA62" s="100"/>
      <c r="BB62" s="100"/>
      <c r="BC62" s="100"/>
      <c r="BD62" s="100"/>
      <c r="BE62" s="100"/>
    </row>
    <row r="63" spans="1:57">
      <c r="A63" s="100"/>
      <c r="B63" s="100"/>
      <c r="C63" s="100"/>
      <c r="D63" s="102"/>
      <c r="E63" s="100"/>
      <c r="F63" s="100"/>
      <c r="G63" s="100"/>
      <c r="H63" s="100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  <c r="AA63" s="100"/>
      <c r="AB63" s="100"/>
      <c r="AC63" s="100"/>
      <c r="AD63" s="100"/>
      <c r="AE63" s="100"/>
      <c r="AF63" s="100"/>
      <c r="AG63" s="100"/>
      <c r="AH63" s="100"/>
      <c r="AI63" s="100"/>
      <c r="AJ63" s="100"/>
      <c r="AK63" s="100"/>
      <c r="AL63" s="100"/>
      <c r="AM63" s="100"/>
      <c r="AN63" s="100"/>
      <c r="AO63" s="100"/>
      <c r="AP63" s="100"/>
      <c r="AQ63" s="100"/>
      <c r="AR63" s="100"/>
      <c r="AS63" s="100"/>
      <c r="AT63" s="100"/>
      <c r="AU63" s="100"/>
      <c r="AV63" s="100"/>
      <c r="AW63" s="100"/>
      <c r="AX63" s="100"/>
      <c r="AY63" s="100"/>
      <c r="AZ63" s="100"/>
      <c r="BA63" s="100"/>
      <c r="BB63" s="100"/>
      <c r="BC63" s="100"/>
      <c r="BD63" s="100"/>
      <c r="BE63" s="100"/>
    </row>
    <row r="64" spans="1:57">
      <c r="A64" s="100"/>
      <c r="B64" s="100"/>
      <c r="C64" s="100"/>
      <c r="D64" s="102"/>
      <c r="E64" s="100"/>
      <c r="F64" s="100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  <c r="AE64" s="100"/>
      <c r="AF64" s="100"/>
      <c r="AG64" s="100"/>
      <c r="AH64" s="100"/>
      <c r="AI64" s="100"/>
      <c r="AJ64" s="100"/>
      <c r="AK64" s="100"/>
      <c r="AL64" s="100"/>
      <c r="AM64" s="100"/>
      <c r="AN64" s="100"/>
      <c r="AO64" s="100"/>
      <c r="AP64" s="100"/>
      <c r="AQ64" s="100"/>
      <c r="AR64" s="100"/>
      <c r="AS64" s="100"/>
      <c r="AT64" s="100"/>
      <c r="AU64" s="100"/>
      <c r="AV64" s="100"/>
      <c r="AW64" s="100"/>
      <c r="AX64" s="100"/>
      <c r="AY64" s="100"/>
      <c r="AZ64" s="100"/>
      <c r="BA64" s="100"/>
      <c r="BB64" s="100"/>
      <c r="BC64" s="100"/>
      <c r="BD64" s="100"/>
      <c r="BE64" s="100"/>
    </row>
    <row r="65" spans="1:57">
      <c r="A65" s="100"/>
      <c r="B65" s="100"/>
      <c r="C65" s="100"/>
      <c r="D65" s="102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/>
      <c r="AE65" s="100"/>
      <c r="AF65" s="100"/>
      <c r="AG65" s="100"/>
      <c r="AH65" s="100"/>
      <c r="AI65" s="100"/>
      <c r="AJ65" s="100"/>
      <c r="AK65" s="100"/>
      <c r="AL65" s="100"/>
      <c r="AM65" s="100"/>
      <c r="AN65" s="100"/>
      <c r="AO65" s="100"/>
      <c r="AP65" s="100"/>
      <c r="AQ65" s="100"/>
      <c r="AR65" s="100"/>
      <c r="AS65" s="100"/>
      <c r="AT65" s="100"/>
      <c r="AU65" s="100"/>
      <c r="AV65" s="100"/>
      <c r="AW65" s="100"/>
      <c r="AX65" s="100"/>
      <c r="AY65" s="100"/>
      <c r="AZ65" s="100"/>
      <c r="BA65" s="100"/>
      <c r="BB65" s="100"/>
      <c r="BC65" s="100"/>
      <c r="BD65" s="100"/>
      <c r="BE65" s="100"/>
    </row>
    <row r="66" spans="1:57">
      <c r="A66" s="100"/>
      <c r="B66" s="100"/>
      <c r="C66" s="100"/>
      <c r="D66" s="102"/>
      <c r="E66" s="100"/>
      <c r="F66" s="100"/>
      <c r="G66" s="100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/>
      <c r="AE66" s="100"/>
      <c r="AF66" s="100"/>
      <c r="AG66" s="100"/>
      <c r="AH66" s="100"/>
      <c r="AI66" s="100"/>
      <c r="AJ66" s="100"/>
      <c r="AK66" s="100"/>
      <c r="AL66" s="100"/>
      <c r="AM66" s="100"/>
      <c r="AN66" s="100"/>
      <c r="AO66" s="100"/>
      <c r="AP66" s="100"/>
      <c r="AQ66" s="100"/>
      <c r="AR66" s="100"/>
      <c r="AS66" s="100"/>
      <c r="AT66" s="100"/>
      <c r="AU66" s="100"/>
      <c r="AV66" s="100"/>
      <c r="AW66" s="100"/>
      <c r="AX66" s="100"/>
      <c r="AY66" s="100"/>
      <c r="AZ66" s="100"/>
      <c r="BA66" s="100"/>
      <c r="BB66" s="100"/>
      <c r="BC66" s="100"/>
      <c r="BD66" s="100"/>
      <c r="BE66" s="100"/>
    </row>
    <row r="67" spans="1:57">
      <c r="A67" s="100"/>
      <c r="B67" s="100"/>
      <c r="C67" s="100"/>
      <c r="D67" s="102"/>
      <c r="E67" s="100"/>
      <c r="F67" s="100"/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  <c r="AD67" s="100"/>
      <c r="AE67" s="100"/>
      <c r="AF67" s="100"/>
      <c r="AG67" s="100"/>
      <c r="AH67" s="100"/>
      <c r="AI67" s="100"/>
      <c r="AJ67" s="100"/>
      <c r="AK67" s="100"/>
      <c r="AL67" s="100"/>
      <c r="AM67" s="100"/>
      <c r="AN67" s="100"/>
      <c r="AO67" s="100"/>
      <c r="AP67" s="100"/>
      <c r="AQ67" s="100"/>
      <c r="AR67" s="100"/>
      <c r="AS67" s="100"/>
      <c r="AT67" s="100"/>
      <c r="AU67" s="100"/>
      <c r="AV67" s="100"/>
      <c r="AW67" s="100"/>
      <c r="AX67" s="100"/>
      <c r="AY67" s="100"/>
      <c r="AZ67" s="100"/>
      <c r="BA67" s="100"/>
      <c r="BB67" s="100"/>
      <c r="BC67" s="100"/>
      <c r="BD67" s="100"/>
      <c r="BE67" s="100"/>
    </row>
    <row r="68" spans="1:57">
      <c r="A68" s="100"/>
      <c r="B68" s="100"/>
      <c r="C68" s="100"/>
      <c r="D68" s="102"/>
      <c r="E68" s="100"/>
      <c r="F68" s="100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  <c r="AI68" s="100"/>
      <c r="AJ68" s="100"/>
      <c r="AK68" s="100"/>
      <c r="AL68" s="100"/>
      <c r="AM68" s="100"/>
      <c r="AN68" s="100"/>
      <c r="AO68" s="100"/>
      <c r="AP68" s="100"/>
      <c r="AQ68" s="100"/>
      <c r="AR68" s="100"/>
      <c r="AS68" s="100"/>
      <c r="AT68" s="100"/>
      <c r="AU68" s="100"/>
      <c r="AV68" s="100"/>
      <c r="AW68" s="100"/>
      <c r="AX68" s="100"/>
      <c r="AY68" s="100"/>
      <c r="AZ68" s="100"/>
      <c r="BA68" s="100"/>
      <c r="BB68" s="100"/>
      <c r="BC68" s="100"/>
      <c r="BD68" s="100"/>
      <c r="BE68" s="100"/>
    </row>
    <row r="69" spans="1:57">
      <c r="A69" s="100"/>
      <c r="B69" s="100"/>
      <c r="C69" s="100"/>
      <c r="D69" s="102"/>
      <c r="E69" s="100"/>
      <c r="F69" s="100"/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100"/>
      <c r="AC69" s="100"/>
      <c r="AD69" s="100"/>
      <c r="AE69" s="100"/>
      <c r="AF69" s="100"/>
      <c r="AG69" s="100"/>
      <c r="AH69" s="100"/>
      <c r="AI69" s="100"/>
      <c r="AJ69" s="100"/>
      <c r="AK69" s="100"/>
      <c r="AL69" s="100"/>
      <c r="AM69" s="100"/>
      <c r="AN69" s="100"/>
      <c r="AO69" s="100"/>
      <c r="AP69" s="100"/>
      <c r="AQ69" s="100"/>
      <c r="AR69" s="100"/>
      <c r="AS69" s="100"/>
      <c r="AT69" s="100"/>
      <c r="AU69" s="100"/>
      <c r="AV69" s="100"/>
      <c r="AW69" s="100"/>
      <c r="AX69" s="100"/>
      <c r="AY69" s="100"/>
      <c r="AZ69" s="100"/>
      <c r="BA69" s="100"/>
      <c r="BB69" s="100"/>
      <c r="BC69" s="100"/>
      <c r="BD69" s="100"/>
      <c r="BE69" s="100"/>
    </row>
    <row r="70" spans="1:57">
      <c r="A70" s="100"/>
      <c r="B70" s="100"/>
      <c r="C70" s="100"/>
      <c r="D70" s="102"/>
      <c r="E70" s="100"/>
      <c r="F70" s="100"/>
      <c r="G70" s="100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  <c r="AE70" s="100"/>
      <c r="AF70" s="100"/>
      <c r="AG70" s="100"/>
      <c r="AH70" s="100"/>
      <c r="AI70" s="100"/>
      <c r="AJ70" s="100"/>
      <c r="AK70" s="100"/>
      <c r="AL70" s="100"/>
      <c r="AM70" s="100"/>
      <c r="AN70" s="100"/>
      <c r="AO70" s="100"/>
      <c r="AP70" s="100"/>
      <c r="AQ70" s="100"/>
      <c r="AR70" s="100"/>
      <c r="AS70" s="100"/>
      <c r="AT70" s="100"/>
      <c r="AU70" s="100"/>
      <c r="AV70" s="100"/>
      <c r="AW70" s="100"/>
      <c r="AX70" s="100"/>
      <c r="AY70" s="100"/>
      <c r="AZ70" s="100"/>
      <c r="BA70" s="100"/>
      <c r="BB70" s="100"/>
      <c r="BC70" s="100"/>
      <c r="BD70" s="100"/>
      <c r="BE70" s="100"/>
    </row>
    <row r="71" spans="1:57" ht="18" customHeight="1">
      <c r="A71" s="318" t="s">
        <v>70</v>
      </c>
      <c r="B71" s="319"/>
      <c r="C71" s="318"/>
      <c r="D71" s="318"/>
      <c r="E71" s="318"/>
      <c r="F71" s="318"/>
      <c r="G71" s="318"/>
      <c r="H71" s="318"/>
      <c r="I71" s="318"/>
      <c r="J71" s="320"/>
      <c r="K71" s="320"/>
      <c r="L71" s="605" t="s">
        <v>194</v>
      </c>
      <c r="M71" s="605"/>
      <c r="N71" s="605"/>
      <c r="O71" s="605"/>
      <c r="P71" s="605"/>
      <c r="Q71" s="605"/>
      <c r="R71" s="109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/>
      <c r="AE71" s="100"/>
      <c r="AF71" s="100"/>
      <c r="AG71" s="100"/>
      <c r="AH71" s="100"/>
      <c r="AI71" s="100"/>
      <c r="AJ71" s="100"/>
      <c r="AK71" s="100"/>
      <c r="AL71" s="100"/>
      <c r="AM71" s="100"/>
      <c r="AN71" s="100"/>
      <c r="AO71" s="100"/>
      <c r="AP71" s="100"/>
      <c r="AQ71" s="100"/>
      <c r="AR71" s="100"/>
      <c r="AS71" s="100"/>
      <c r="AT71" s="100"/>
      <c r="AU71" s="100"/>
      <c r="AV71" s="100"/>
      <c r="AW71" s="100"/>
      <c r="AX71" s="100"/>
      <c r="AY71" s="100"/>
      <c r="AZ71" s="100"/>
      <c r="BA71" s="100"/>
      <c r="BB71" s="100"/>
      <c r="BC71" s="100"/>
      <c r="BD71" s="100"/>
      <c r="BE71" s="100"/>
    </row>
    <row r="72" spans="1:57" ht="15">
      <c r="A72" s="118"/>
      <c r="B72" s="118"/>
      <c r="C72" s="119"/>
      <c r="D72" s="120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  <c r="AE72" s="100"/>
      <c r="AF72" s="100"/>
      <c r="AG72" s="100"/>
      <c r="AH72" s="100"/>
      <c r="AI72" s="100"/>
      <c r="AJ72" s="100"/>
      <c r="AK72" s="100"/>
      <c r="AL72" s="100"/>
      <c r="AM72" s="100"/>
      <c r="AN72" s="100"/>
      <c r="AO72" s="100"/>
      <c r="AP72" s="100"/>
      <c r="AQ72" s="100"/>
      <c r="AR72" s="100"/>
      <c r="AS72" s="100"/>
      <c r="AT72" s="100"/>
      <c r="AU72" s="100"/>
      <c r="AV72" s="100"/>
      <c r="AW72" s="100"/>
      <c r="AX72" s="100"/>
      <c r="AY72" s="100"/>
      <c r="AZ72" s="100"/>
      <c r="BA72" s="100"/>
      <c r="BB72" s="100"/>
      <c r="BC72" s="100"/>
      <c r="BD72" s="100"/>
      <c r="BE72" s="100"/>
    </row>
    <row r="73" spans="1:57" ht="15.75">
      <c r="A73" s="100"/>
      <c r="B73" s="100"/>
      <c r="C73" s="100"/>
      <c r="D73" s="102"/>
      <c r="E73" s="100"/>
      <c r="F73" s="100"/>
      <c r="G73" s="100"/>
      <c r="H73" s="100"/>
      <c r="I73" s="100"/>
      <c r="J73" s="100"/>
      <c r="K73" s="100"/>
      <c r="L73" s="111"/>
      <c r="M73" s="111"/>
      <c r="N73" s="111"/>
      <c r="O73" s="111"/>
      <c r="P73" s="111"/>
      <c r="Q73" s="111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00"/>
      <c r="AK73" s="100"/>
      <c r="AL73" s="100"/>
      <c r="AM73" s="100"/>
      <c r="AN73" s="100"/>
      <c r="AO73" s="100"/>
      <c r="AP73" s="100"/>
      <c r="AQ73" s="100"/>
      <c r="AR73" s="100"/>
      <c r="AS73" s="100"/>
      <c r="AT73" s="100"/>
      <c r="AU73" s="100"/>
      <c r="AV73" s="100"/>
      <c r="AW73" s="100"/>
      <c r="AX73" s="100"/>
      <c r="AY73" s="100"/>
      <c r="AZ73" s="100"/>
      <c r="BA73" s="100"/>
      <c r="BB73" s="100"/>
      <c r="BC73" s="100"/>
      <c r="BD73" s="100"/>
      <c r="BE73" s="100"/>
    </row>
    <row r="74" spans="1:57">
      <c r="A74" s="100"/>
      <c r="B74" s="100"/>
      <c r="C74" s="100"/>
      <c r="D74" s="102"/>
      <c r="E74" s="100"/>
      <c r="F74" s="100"/>
      <c r="G74" s="100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00"/>
      <c r="AK74" s="100"/>
      <c r="AL74" s="100"/>
      <c r="AM74" s="100"/>
      <c r="AN74" s="100"/>
      <c r="AO74" s="100"/>
      <c r="AP74" s="100"/>
      <c r="AQ74" s="100"/>
      <c r="AR74" s="100"/>
      <c r="AS74" s="100"/>
      <c r="AT74" s="100"/>
      <c r="AU74" s="100"/>
      <c r="AV74" s="100"/>
      <c r="AW74" s="100"/>
      <c r="AX74" s="100"/>
      <c r="AY74" s="100"/>
      <c r="AZ74" s="100"/>
      <c r="BA74" s="100"/>
      <c r="BB74" s="100"/>
      <c r="BC74" s="100"/>
      <c r="BD74" s="100"/>
      <c r="BE74" s="100"/>
    </row>
    <row r="75" spans="1:57">
      <c r="A75" s="100"/>
      <c r="B75" s="100"/>
      <c r="C75" s="100"/>
      <c r="D75" s="102"/>
      <c r="E75" s="100"/>
      <c r="F75" s="100"/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  <c r="AD75" s="100"/>
      <c r="AE75" s="100"/>
      <c r="AF75" s="100"/>
      <c r="AG75" s="100"/>
      <c r="AH75" s="100"/>
      <c r="AI75" s="100"/>
      <c r="AJ75" s="100"/>
      <c r="AK75" s="100"/>
      <c r="AL75" s="100"/>
      <c r="AM75" s="100"/>
      <c r="AN75" s="100"/>
      <c r="AO75" s="100"/>
      <c r="AP75" s="100"/>
      <c r="AQ75" s="100"/>
      <c r="AR75" s="100"/>
      <c r="AS75" s="100"/>
      <c r="AT75" s="100"/>
      <c r="AU75" s="100"/>
      <c r="AV75" s="100"/>
      <c r="AW75" s="100"/>
      <c r="AX75" s="100"/>
      <c r="AY75" s="100"/>
      <c r="AZ75" s="100"/>
      <c r="BA75" s="100"/>
      <c r="BB75" s="100"/>
      <c r="BC75" s="100"/>
      <c r="BD75" s="100"/>
      <c r="BE75" s="100"/>
    </row>
  </sheetData>
  <sheetProtection selectLockedCells="1" selectUnlockedCells="1"/>
  <mergeCells count="78">
    <mergeCell ref="AE3:AF4"/>
    <mergeCell ref="AG3:AI4"/>
    <mergeCell ref="AI5:AI6"/>
    <mergeCell ref="AY2:BC2"/>
    <mergeCell ref="A3:A6"/>
    <mergeCell ref="B3:G3"/>
    <mergeCell ref="H3:P3"/>
    <mergeCell ref="Q3:U3"/>
    <mergeCell ref="V3:V6"/>
    <mergeCell ref="W3:W6"/>
    <mergeCell ref="X3:X6"/>
    <mergeCell ref="Y3:Y6"/>
    <mergeCell ref="Z3:Z6"/>
    <mergeCell ref="P4:P6"/>
    <mergeCell ref="L4:L6"/>
    <mergeCell ref="M4:M6"/>
    <mergeCell ref="CJ3:CM5"/>
    <mergeCell ref="B4:B6"/>
    <mergeCell ref="C4:C6"/>
    <mergeCell ref="D4:D6"/>
    <mergeCell ref="E4:E6"/>
    <mergeCell ref="F4:F6"/>
    <mergeCell ref="G4:G6"/>
    <mergeCell ref="H4:H6"/>
    <mergeCell ref="I4:I6"/>
    <mergeCell ref="J4:J6"/>
    <mergeCell ref="BD3:BD6"/>
    <mergeCell ref="BE3:BE6"/>
    <mergeCell ref="BK3:BQ5"/>
    <mergeCell ref="BR3:BX5"/>
    <mergeCell ref="BY3:CE5"/>
    <mergeCell ref="K4:K6"/>
    <mergeCell ref="AA3:AA6"/>
    <mergeCell ref="AB3:AB6"/>
    <mergeCell ref="N4:N6"/>
    <mergeCell ref="O4:O6"/>
    <mergeCell ref="DD4:DH4"/>
    <mergeCell ref="AE5:AE6"/>
    <mergeCell ref="AF5:AF6"/>
    <mergeCell ref="AG5:AG6"/>
    <mergeCell ref="AH5:AH6"/>
    <mergeCell ref="CF3:CI5"/>
    <mergeCell ref="AQ3:AQ6"/>
    <mergeCell ref="AS3:AS6"/>
    <mergeCell ref="AT3:AY4"/>
    <mergeCell ref="AZ3:AZ6"/>
    <mergeCell ref="BA3:BB4"/>
    <mergeCell ref="BC3:BC6"/>
    <mergeCell ref="Q4:Q6"/>
    <mergeCell ref="R4:R6"/>
    <mergeCell ref="S4:S6"/>
    <mergeCell ref="T4:T6"/>
    <mergeCell ref="U4:U6"/>
    <mergeCell ref="AC3:AC6"/>
    <mergeCell ref="AD3:AD6"/>
    <mergeCell ref="DA5:DB5"/>
    <mergeCell ref="CO39:CP39"/>
    <mergeCell ref="CQ39:CU39"/>
    <mergeCell ref="CV39:CY39"/>
    <mergeCell ref="AX5:AX6"/>
    <mergeCell ref="AY5:AY6"/>
    <mergeCell ref="AJ3:AK6"/>
    <mergeCell ref="AL3:AL6"/>
    <mergeCell ref="AM3:AM6"/>
    <mergeCell ref="AN3:AN6"/>
    <mergeCell ref="AO3:AO6"/>
    <mergeCell ref="AP3:AP6"/>
    <mergeCell ref="AT5:AT6"/>
    <mergeCell ref="AW5:AW6"/>
    <mergeCell ref="CO40:CU40"/>
    <mergeCell ref="L71:Q71"/>
    <mergeCell ref="N46:O46"/>
    <mergeCell ref="AZ46:BE47"/>
    <mergeCell ref="AZ48:BC49"/>
    <mergeCell ref="BD48:BD49"/>
    <mergeCell ref="AZ51:BC52"/>
    <mergeCell ref="BD51:BD52"/>
    <mergeCell ref="AT42:AV42"/>
  </mergeCells>
  <printOptions horizontalCentered="1" verticalCentered="1"/>
  <pageMargins left="0" right="0" top="0" bottom="0" header="0" footer="0"/>
  <pageSetup paperSize="9" scale="46" firstPageNumber="0" orientation="landscape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N75"/>
  <sheetViews>
    <sheetView showZeros="0" zoomScale="88" zoomScaleNormal="88" workbookViewId="0">
      <pane xSplit="1" ySplit="6" topLeftCell="B16" activePane="bottomRight" state="frozen"/>
      <selection pane="topRight" activeCell="B1" sqref="B1"/>
      <selection pane="bottomLeft" activeCell="A7" sqref="A7"/>
      <selection pane="bottomRight" activeCell="CZ3" sqref="CZ3"/>
    </sheetView>
  </sheetViews>
  <sheetFormatPr defaultColWidth="8.7109375" defaultRowHeight="12.75"/>
  <cols>
    <col min="1" max="1" width="3.5703125" customWidth="1"/>
    <col min="2" max="2" width="9.7109375" customWidth="1"/>
    <col min="3" max="3" width="6" customWidth="1"/>
    <col min="4" max="4" width="12" style="1" hidden="1" customWidth="1"/>
    <col min="5" max="5" width="7.140625" customWidth="1"/>
    <col min="6" max="6" width="7.5703125" customWidth="1"/>
    <col min="7" max="7" width="8" customWidth="1"/>
    <col min="8" max="8" width="7.28515625" customWidth="1"/>
    <col min="9" max="9" width="7.42578125" hidden="1" customWidth="1"/>
    <col min="10" max="10" width="9.140625" customWidth="1"/>
    <col min="11" max="11" width="5.5703125" hidden="1" customWidth="1"/>
    <col min="12" max="12" width="8.42578125" customWidth="1"/>
    <col min="13" max="13" width="7" customWidth="1"/>
    <col min="14" max="14" width="8.42578125" customWidth="1"/>
    <col min="15" max="15" width="7.28515625" customWidth="1"/>
    <col min="16" max="16" width="9.85546875" hidden="1" customWidth="1"/>
    <col min="17" max="17" width="9.28515625" customWidth="1"/>
    <col min="18" max="18" width="6" customWidth="1"/>
    <col min="19" max="19" width="6.7109375" customWidth="1"/>
    <col min="20" max="20" width="9.140625" hidden="1" customWidth="1"/>
    <col min="21" max="21" width="7.140625" customWidth="1"/>
    <col min="22" max="22" width="7.85546875" customWidth="1"/>
    <col min="23" max="23" width="8.28515625" customWidth="1"/>
    <col min="24" max="24" width="6" customWidth="1"/>
    <col min="25" max="25" width="5.42578125" customWidth="1"/>
    <col min="26" max="26" width="6.85546875" customWidth="1"/>
    <col min="27" max="27" width="6.5703125" customWidth="1"/>
    <col min="28" max="28" width="7.5703125" customWidth="1"/>
    <col min="29" max="29" width="6.5703125" customWidth="1"/>
    <col min="30" max="30" width="4.28515625" customWidth="1"/>
    <col min="31" max="32" width="6.85546875" customWidth="1"/>
    <col min="33" max="33" width="0" hidden="1" customWidth="1"/>
    <col min="34" max="34" width="8.42578125" customWidth="1"/>
    <col min="35" max="35" width="7" customWidth="1"/>
    <col min="36" max="36" width="7.85546875" customWidth="1"/>
    <col min="37" max="37" width="0" hidden="1" customWidth="1"/>
    <col min="38" max="38" width="6.7109375" customWidth="1"/>
    <col min="39" max="39" width="7.7109375" customWidth="1"/>
    <col min="40" max="40" width="7" customWidth="1"/>
    <col min="41" max="41" width="9.42578125" customWidth="1"/>
    <col min="42" max="42" width="6.28515625" customWidth="1"/>
    <col min="43" max="43" width="6.85546875" customWidth="1"/>
    <col min="44" max="44" width="0" hidden="1" customWidth="1"/>
    <col min="45" max="45" width="6.7109375" customWidth="1"/>
    <col min="46" max="46" width="9.7109375" customWidth="1"/>
    <col min="47" max="47" width="7" customWidth="1"/>
    <col min="48" max="48" width="0" hidden="1" customWidth="1"/>
    <col min="49" max="49" width="6.140625" hidden="1" customWidth="1"/>
    <col min="50" max="50" width="5.140625" hidden="1" customWidth="1"/>
    <col min="51" max="51" width="8.42578125" customWidth="1"/>
    <col min="52" max="52" width="10" customWidth="1"/>
    <col min="53" max="53" width="8.7109375" hidden="1" customWidth="1"/>
    <col min="54" max="54" width="3.85546875" hidden="1" customWidth="1"/>
    <col min="55" max="55" width="6.5703125" customWidth="1"/>
    <col min="56" max="56" width="6.140625" customWidth="1"/>
    <col min="57" max="57" width="6.7109375" customWidth="1"/>
    <col min="58" max="58" width="8.85546875" customWidth="1"/>
    <col min="59" max="59" width="7.85546875" customWidth="1"/>
    <col min="60" max="60" width="9.85546875" customWidth="1"/>
    <col min="61" max="62" width="8.7109375" customWidth="1"/>
    <col min="63" max="63" width="10.28515625" customWidth="1"/>
    <col min="64" max="64" width="10.85546875" customWidth="1"/>
    <col min="65" max="65" width="10.7109375" customWidth="1"/>
    <col min="66" max="66" width="11.28515625" customWidth="1"/>
    <col min="67" max="68" width="8.85546875" customWidth="1"/>
    <col min="69" max="69" width="11.28515625" customWidth="1"/>
    <col min="70" max="70" width="7.7109375" customWidth="1"/>
    <col min="71" max="71" width="10" customWidth="1"/>
    <col min="72" max="72" width="8.85546875" customWidth="1"/>
    <col min="73" max="73" width="10.140625" customWidth="1"/>
    <col min="74" max="75" width="8.85546875" customWidth="1"/>
    <col min="76" max="76" width="10.85546875" customWidth="1"/>
    <col min="77" max="78" width="8.7109375" customWidth="1"/>
    <col min="79" max="79" width="10" customWidth="1"/>
    <col min="80" max="80" width="10.42578125" customWidth="1"/>
    <col min="81" max="82" width="8.42578125" customWidth="1"/>
    <col min="83" max="83" width="9.85546875" customWidth="1"/>
    <col min="84" max="85" width="11.42578125" customWidth="1"/>
    <col min="86" max="86" width="11.140625" customWidth="1"/>
    <col min="87" max="87" width="11.28515625" customWidth="1"/>
    <col min="88" max="89" width="10" customWidth="1"/>
    <col min="90" max="90" width="8.7109375" customWidth="1"/>
    <col min="91" max="91" width="11.85546875" customWidth="1"/>
    <col min="92" max="92" width="8.7109375" customWidth="1"/>
    <col min="93" max="93" width="12.140625" customWidth="1"/>
    <col min="94" max="94" width="12.5703125" customWidth="1"/>
    <col min="95" max="95" width="11.7109375" customWidth="1"/>
    <col min="96" max="98" width="12.28515625" customWidth="1"/>
    <col min="99" max="99" width="13.28515625" customWidth="1"/>
    <col min="100" max="100" width="12.85546875" customWidth="1"/>
    <col min="101" max="101" width="13.42578125" customWidth="1"/>
    <col min="102" max="103" width="12.5703125" customWidth="1"/>
    <col min="104" max="104" width="9.5703125" customWidth="1"/>
    <col min="105" max="105" width="19.140625" customWidth="1"/>
    <col min="106" max="106" width="19.42578125" customWidth="1"/>
    <col min="111" max="111" width="8.7109375" hidden="1" customWidth="1"/>
    <col min="112" max="112" width="9" bestFit="1" customWidth="1"/>
    <col min="114" max="114" width="9.5703125" bestFit="1" customWidth="1"/>
  </cols>
  <sheetData>
    <row r="1" spans="1:118" ht="17.25" customHeight="1">
      <c r="A1" s="310" t="s">
        <v>0</v>
      </c>
      <c r="B1" s="310"/>
      <c r="C1" s="310"/>
      <c r="D1" s="311"/>
      <c r="E1" s="310"/>
      <c r="F1" s="310"/>
      <c r="G1" s="310"/>
      <c r="H1" s="310"/>
      <c r="I1" s="310"/>
      <c r="J1" s="310"/>
      <c r="K1" s="310"/>
      <c r="L1" s="310"/>
      <c r="M1" s="310"/>
      <c r="N1" s="310"/>
      <c r="O1" s="310"/>
      <c r="P1" s="77"/>
      <c r="Q1" s="77"/>
      <c r="R1" s="77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</row>
    <row r="2" spans="1:118" ht="19.5" customHeight="1" thickBot="1">
      <c r="A2" s="22"/>
      <c r="B2" s="78"/>
      <c r="C2" s="78"/>
      <c r="D2" s="79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80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80"/>
      <c r="AT2" s="312" t="s">
        <v>1</v>
      </c>
      <c r="AU2" s="313">
        <v>31</v>
      </c>
      <c r="AV2" s="314"/>
      <c r="AW2" s="314"/>
      <c r="AX2" s="315" t="s">
        <v>81</v>
      </c>
      <c r="AY2" s="556" t="s">
        <v>237</v>
      </c>
      <c r="AZ2" s="556"/>
      <c r="BA2" s="556"/>
      <c r="BB2" s="556"/>
      <c r="BC2" s="556"/>
      <c r="BD2" s="316" t="s">
        <v>107</v>
      </c>
      <c r="BE2" s="317"/>
    </row>
    <row r="3" spans="1:118" ht="39.75" customHeight="1" thickBot="1">
      <c r="A3" s="557" t="s">
        <v>3</v>
      </c>
      <c r="B3" s="558" t="s">
        <v>71</v>
      </c>
      <c r="C3" s="558"/>
      <c r="D3" s="558"/>
      <c r="E3" s="558"/>
      <c r="F3" s="558"/>
      <c r="G3" s="558"/>
      <c r="H3" s="554" t="s">
        <v>4</v>
      </c>
      <c r="I3" s="554"/>
      <c r="J3" s="554"/>
      <c r="K3" s="554"/>
      <c r="L3" s="554"/>
      <c r="M3" s="554"/>
      <c r="N3" s="554"/>
      <c r="O3" s="554"/>
      <c r="P3" s="559"/>
      <c r="Q3" s="560" t="s">
        <v>5</v>
      </c>
      <c r="R3" s="561"/>
      <c r="S3" s="561"/>
      <c r="T3" s="561"/>
      <c r="U3" s="562"/>
      <c r="V3" s="563" t="s">
        <v>6</v>
      </c>
      <c r="W3" s="563" t="s">
        <v>7</v>
      </c>
      <c r="X3" s="564" t="s">
        <v>8</v>
      </c>
      <c r="Y3" s="564" t="s">
        <v>9</v>
      </c>
      <c r="Z3" s="564" t="s">
        <v>10</v>
      </c>
      <c r="AA3" s="564" t="s">
        <v>11</v>
      </c>
      <c r="AB3" s="564" t="s">
        <v>12</v>
      </c>
      <c r="AC3" s="564" t="s">
        <v>13</v>
      </c>
      <c r="AD3" s="564" t="s">
        <v>14</v>
      </c>
      <c r="AE3" s="554" t="s">
        <v>15</v>
      </c>
      <c r="AF3" s="554"/>
      <c r="AG3" s="554" t="s">
        <v>16</v>
      </c>
      <c r="AH3" s="554"/>
      <c r="AI3" s="554"/>
      <c r="AJ3" s="593" t="s">
        <v>17</v>
      </c>
      <c r="AK3" s="593"/>
      <c r="AL3" s="564" t="s">
        <v>18</v>
      </c>
      <c r="AM3" s="599" t="s">
        <v>19</v>
      </c>
      <c r="AN3" s="600" t="s">
        <v>95</v>
      </c>
      <c r="AO3" s="603" t="s">
        <v>20</v>
      </c>
      <c r="AP3" s="564" t="s">
        <v>105</v>
      </c>
      <c r="AQ3" s="564" t="s">
        <v>21</v>
      </c>
      <c r="AR3" s="81"/>
      <c r="AS3" s="593" t="s">
        <v>22</v>
      </c>
      <c r="AT3" s="554" t="s">
        <v>23</v>
      </c>
      <c r="AU3" s="554"/>
      <c r="AV3" s="554"/>
      <c r="AW3" s="554"/>
      <c r="AX3" s="554"/>
      <c r="AY3" s="554"/>
      <c r="AZ3" s="564" t="s">
        <v>24</v>
      </c>
      <c r="BA3" s="594" t="s">
        <v>25</v>
      </c>
      <c r="BB3" s="594"/>
      <c r="BC3" s="564" t="s">
        <v>26</v>
      </c>
      <c r="BD3" s="564" t="s">
        <v>27</v>
      </c>
      <c r="BE3" s="572" t="s">
        <v>28</v>
      </c>
      <c r="BF3" s="3"/>
      <c r="BG3" s="3"/>
      <c r="BH3" s="3"/>
      <c r="BI3" s="3"/>
      <c r="BJ3" s="3"/>
      <c r="BK3" s="573" t="s">
        <v>29</v>
      </c>
      <c r="BL3" s="574"/>
      <c r="BM3" s="574"/>
      <c r="BN3" s="574"/>
      <c r="BO3" s="575"/>
      <c r="BP3" s="575"/>
      <c r="BQ3" s="576"/>
      <c r="BR3" s="573" t="s">
        <v>30</v>
      </c>
      <c r="BS3" s="585"/>
      <c r="BT3" s="585"/>
      <c r="BU3" s="585"/>
      <c r="BV3" s="585"/>
      <c r="BW3" s="585"/>
      <c r="BX3" s="586"/>
      <c r="BY3" s="566" t="s">
        <v>31</v>
      </c>
      <c r="BZ3" s="566"/>
      <c r="CA3" s="566"/>
      <c r="CB3" s="566"/>
      <c r="CC3" s="566"/>
      <c r="CD3" s="566"/>
      <c r="CE3" s="566"/>
      <c r="CF3" s="566" t="s">
        <v>87</v>
      </c>
      <c r="CG3" s="566"/>
      <c r="CH3" s="566"/>
      <c r="CI3" s="566"/>
      <c r="CJ3" s="566" t="s">
        <v>32</v>
      </c>
      <c r="CK3" s="566"/>
      <c r="CL3" s="566"/>
      <c r="CM3" s="566"/>
      <c r="CN3" s="4"/>
      <c r="CO3" s="5"/>
      <c r="CP3" s="6"/>
      <c r="CQ3" s="6"/>
    </row>
    <row r="4" spans="1:118" s="7" customFormat="1" ht="30.75" customHeight="1" thickBot="1">
      <c r="A4" s="557"/>
      <c r="B4" s="565" t="s">
        <v>72</v>
      </c>
      <c r="C4" s="565" t="s">
        <v>73</v>
      </c>
      <c r="D4" s="568" t="s">
        <v>33</v>
      </c>
      <c r="E4" s="565" t="s">
        <v>74</v>
      </c>
      <c r="F4" s="569" t="s">
        <v>75</v>
      </c>
      <c r="G4" s="569" t="s">
        <v>34</v>
      </c>
      <c r="H4" s="555" t="s">
        <v>76</v>
      </c>
      <c r="I4" s="570" t="s">
        <v>101</v>
      </c>
      <c r="J4" s="555" t="s">
        <v>89</v>
      </c>
      <c r="K4" s="565" t="s">
        <v>35</v>
      </c>
      <c r="L4" s="565" t="s">
        <v>77</v>
      </c>
      <c r="M4" s="565" t="s">
        <v>78</v>
      </c>
      <c r="N4" s="565" t="s">
        <v>101</v>
      </c>
      <c r="O4" s="565" t="s">
        <v>96</v>
      </c>
      <c r="P4" s="555" t="s">
        <v>79</v>
      </c>
      <c r="Q4" s="555" t="s">
        <v>36</v>
      </c>
      <c r="R4" s="555" t="s">
        <v>32</v>
      </c>
      <c r="S4" s="555" t="s">
        <v>37</v>
      </c>
      <c r="T4" s="555" t="s">
        <v>38</v>
      </c>
      <c r="U4" s="555" t="s">
        <v>39</v>
      </c>
      <c r="V4" s="563"/>
      <c r="W4" s="563"/>
      <c r="X4" s="564"/>
      <c r="Y4" s="564"/>
      <c r="Z4" s="564"/>
      <c r="AA4" s="564"/>
      <c r="AB4" s="564"/>
      <c r="AC4" s="564"/>
      <c r="AD4" s="564"/>
      <c r="AE4" s="554"/>
      <c r="AF4" s="554"/>
      <c r="AG4" s="554"/>
      <c r="AH4" s="554"/>
      <c r="AI4" s="554"/>
      <c r="AJ4" s="593"/>
      <c r="AK4" s="593"/>
      <c r="AL4" s="564"/>
      <c r="AM4" s="599"/>
      <c r="AN4" s="601"/>
      <c r="AO4" s="603"/>
      <c r="AP4" s="564"/>
      <c r="AQ4" s="564"/>
      <c r="AR4" s="82"/>
      <c r="AS4" s="593"/>
      <c r="AT4" s="554"/>
      <c r="AU4" s="554"/>
      <c r="AV4" s="554"/>
      <c r="AW4" s="554"/>
      <c r="AX4" s="554"/>
      <c r="AY4" s="554"/>
      <c r="AZ4" s="564"/>
      <c r="BA4" s="594"/>
      <c r="BB4" s="594"/>
      <c r="BC4" s="564"/>
      <c r="BD4" s="564"/>
      <c r="BE4" s="572"/>
      <c r="BF4" s="3"/>
      <c r="BG4" s="3"/>
      <c r="BH4" s="3"/>
      <c r="BI4" s="3"/>
      <c r="BJ4" s="3"/>
      <c r="BK4" s="577"/>
      <c r="BL4" s="578"/>
      <c r="BM4" s="578"/>
      <c r="BN4" s="578"/>
      <c r="BO4" s="579"/>
      <c r="BP4" s="579"/>
      <c r="BQ4" s="580"/>
      <c r="BR4" s="577"/>
      <c r="BS4" s="566"/>
      <c r="BT4" s="566"/>
      <c r="BU4" s="566"/>
      <c r="BV4" s="566"/>
      <c r="BW4" s="566"/>
      <c r="BX4" s="587"/>
      <c r="BY4" s="566"/>
      <c r="BZ4" s="566"/>
      <c r="CA4" s="566"/>
      <c r="CB4" s="566"/>
      <c r="CC4" s="566"/>
      <c r="CD4" s="566"/>
      <c r="CE4" s="566"/>
      <c r="CF4" s="566"/>
      <c r="CG4" s="566"/>
      <c r="CH4" s="566"/>
      <c r="CI4" s="566"/>
      <c r="CJ4" s="566"/>
      <c r="CK4" s="566"/>
      <c r="CL4" s="566"/>
      <c r="CM4" s="566"/>
      <c r="CN4" s="4"/>
      <c r="CO4" s="6"/>
      <c r="CP4" s="6"/>
      <c r="CQ4" s="262"/>
      <c r="CR4" s="231"/>
      <c r="CS4" s="231"/>
      <c r="CT4" s="231"/>
      <c r="CU4" s="231"/>
      <c r="CV4" s="231"/>
      <c r="CW4" s="231"/>
      <c r="CX4" s="231"/>
      <c r="CY4" s="231"/>
      <c r="DD4" s="590" t="s">
        <v>90</v>
      </c>
      <c r="DE4" s="591"/>
      <c r="DF4" s="591"/>
      <c r="DG4" s="591"/>
      <c r="DH4" s="592"/>
    </row>
    <row r="5" spans="1:118" s="7" customFormat="1" ht="8.25" hidden="1" customHeight="1">
      <c r="A5" s="557"/>
      <c r="B5" s="565"/>
      <c r="C5" s="565"/>
      <c r="D5" s="568"/>
      <c r="E5" s="565"/>
      <c r="F5" s="569"/>
      <c r="G5" s="569"/>
      <c r="H5" s="555"/>
      <c r="I5" s="570"/>
      <c r="J5" s="565"/>
      <c r="K5" s="565"/>
      <c r="L5" s="565"/>
      <c r="M5" s="565"/>
      <c r="N5" s="565"/>
      <c r="O5" s="565"/>
      <c r="P5" s="555"/>
      <c r="Q5" s="555"/>
      <c r="R5" s="555"/>
      <c r="S5" s="555"/>
      <c r="T5" s="555"/>
      <c r="U5" s="555"/>
      <c r="V5" s="563"/>
      <c r="W5" s="563"/>
      <c r="X5" s="564"/>
      <c r="Y5" s="564"/>
      <c r="Z5" s="564"/>
      <c r="AA5" s="564"/>
      <c r="AB5" s="564"/>
      <c r="AC5" s="564"/>
      <c r="AD5" s="564"/>
      <c r="AE5" s="555" t="s">
        <v>40</v>
      </c>
      <c r="AF5" s="555" t="s">
        <v>41</v>
      </c>
      <c r="AG5" s="555" t="s">
        <v>42</v>
      </c>
      <c r="AH5" s="555" t="s">
        <v>40</v>
      </c>
      <c r="AI5" s="555" t="s">
        <v>41</v>
      </c>
      <c r="AJ5" s="593"/>
      <c r="AK5" s="593"/>
      <c r="AL5" s="564"/>
      <c r="AM5" s="599"/>
      <c r="AN5" s="601"/>
      <c r="AO5" s="603"/>
      <c r="AP5" s="564"/>
      <c r="AQ5" s="564"/>
      <c r="AR5" s="83"/>
      <c r="AS5" s="593"/>
      <c r="AT5" s="555" t="s">
        <v>43</v>
      </c>
      <c r="AU5" s="84"/>
      <c r="AV5" s="85"/>
      <c r="AW5" s="598" t="s">
        <v>44</v>
      </c>
      <c r="AX5" s="598" t="s">
        <v>45</v>
      </c>
      <c r="AY5" s="555" t="s">
        <v>46</v>
      </c>
      <c r="AZ5" s="564"/>
      <c r="BA5" s="86" t="s">
        <v>47</v>
      </c>
      <c r="BB5" s="86" t="s">
        <v>48</v>
      </c>
      <c r="BC5" s="564"/>
      <c r="BD5" s="564"/>
      <c r="BE5" s="572"/>
      <c r="BF5" s="3"/>
      <c r="BG5" s="3"/>
      <c r="BH5" s="3"/>
      <c r="BI5" s="3"/>
      <c r="BJ5" s="3"/>
      <c r="BK5" s="581"/>
      <c r="BL5" s="582"/>
      <c r="BM5" s="582"/>
      <c r="BN5" s="582"/>
      <c r="BO5" s="583"/>
      <c r="BP5" s="583"/>
      <c r="BQ5" s="584"/>
      <c r="BR5" s="581"/>
      <c r="BS5" s="588"/>
      <c r="BT5" s="588"/>
      <c r="BU5" s="588"/>
      <c r="BV5" s="588"/>
      <c r="BW5" s="588"/>
      <c r="BX5" s="589"/>
      <c r="BY5" s="567"/>
      <c r="BZ5" s="566"/>
      <c r="CA5" s="566"/>
      <c r="CB5" s="566"/>
      <c r="CC5" s="566"/>
      <c r="CD5" s="566"/>
      <c r="CE5" s="566"/>
      <c r="CF5" s="567"/>
      <c r="CG5" s="567"/>
      <c r="CH5" s="567"/>
      <c r="CI5" s="567"/>
      <c r="CJ5" s="567"/>
      <c r="CK5" s="567"/>
      <c r="CL5" s="567"/>
      <c r="CM5" s="567"/>
      <c r="CN5" s="4"/>
      <c r="CO5"/>
      <c r="CP5"/>
      <c r="CQ5" s="255"/>
      <c r="CR5" s="256"/>
      <c r="CS5" s="256"/>
      <c r="CT5" s="256"/>
      <c r="CU5" s="256"/>
      <c r="CV5" s="257"/>
      <c r="CW5" s="257"/>
      <c r="CX5" s="257"/>
      <c r="CY5" s="258"/>
      <c r="DA5" s="595" t="s">
        <v>49</v>
      </c>
      <c r="DB5" s="595"/>
    </row>
    <row r="6" spans="1:118" s="7" customFormat="1" ht="106.5" customHeight="1" thickBot="1">
      <c r="A6" s="557"/>
      <c r="B6" s="565"/>
      <c r="C6" s="565"/>
      <c r="D6" s="568"/>
      <c r="E6" s="565"/>
      <c r="F6" s="569"/>
      <c r="G6" s="569"/>
      <c r="H6" s="555"/>
      <c r="I6" s="570"/>
      <c r="J6" s="571"/>
      <c r="K6" s="565"/>
      <c r="L6" s="565"/>
      <c r="M6" s="565"/>
      <c r="N6" s="565"/>
      <c r="O6" s="565"/>
      <c r="P6" s="565"/>
      <c r="Q6" s="565"/>
      <c r="R6" s="565"/>
      <c r="S6" s="565"/>
      <c r="T6" s="555"/>
      <c r="U6" s="555"/>
      <c r="V6" s="563"/>
      <c r="W6" s="563"/>
      <c r="X6" s="564"/>
      <c r="Y6" s="564"/>
      <c r="Z6" s="564"/>
      <c r="AA6" s="564"/>
      <c r="AB6" s="564"/>
      <c r="AC6" s="564"/>
      <c r="AD6" s="564"/>
      <c r="AE6" s="555"/>
      <c r="AF6" s="555"/>
      <c r="AG6" s="555"/>
      <c r="AH6" s="555"/>
      <c r="AI6" s="555"/>
      <c r="AJ6" s="593"/>
      <c r="AK6" s="593"/>
      <c r="AL6" s="564"/>
      <c r="AM6" s="599"/>
      <c r="AN6" s="602"/>
      <c r="AO6" s="603"/>
      <c r="AP6" s="564"/>
      <c r="AQ6" s="564"/>
      <c r="AR6" s="473"/>
      <c r="AS6" s="593"/>
      <c r="AT6" s="555"/>
      <c r="AU6" s="472" t="s">
        <v>50</v>
      </c>
      <c r="AV6" s="472" t="s">
        <v>51</v>
      </c>
      <c r="AW6" s="598"/>
      <c r="AX6" s="598"/>
      <c r="AY6" s="555"/>
      <c r="AZ6" s="555"/>
      <c r="BA6" s="87"/>
      <c r="BB6" s="88">
        <v>0.04</v>
      </c>
      <c r="BC6" s="564"/>
      <c r="BD6" s="564"/>
      <c r="BE6" s="572"/>
      <c r="BF6" s="8" t="s">
        <v>52</v>
      </c>
      <c r="BG6" s="8" t="s">
        <v>53</v>
      </c>
      <c r="BH6" s="8" t="s">
        <v>54</v>
      </c>
      <c r="BI6" s="3"/>
      <c r="BJ6" s="3"/>
      <c r="BK6" s="308" t="s">
        <v>104</v>
      </c>
      <c r="BL6" s="280" t="s">
        <v>82</v>
      </c>
      <c r="BM6" s="279" t="s">
        <v>262</v>
      </c>
      <c r="BN6" s="307" t="s">
        <v>102</v>
      </c>
      <c r="BO6" s="308" t="s">
        <v>97</v>
      </c>
      <c r="BP6" s="326" t="s">
        <v>99</v>
      </c>
      <c r="BQ6" s="306" t="s">
        <v>86</v>
      </c>
      <c r="BR6" s="308" t="s">
        <v>104</v>
      </c>
      <c r="BS6" s="280" t="s">
        <v>82</v>
      </c>
      <c r="BT6" s="279" t="s">
        <v>262</v>
      </c>
      <c r="BU6" s="327"/>
      <c r="BV6" s="308" t="s">
        <v>97</v>
      </c>
      <c r="BW6" s="326" t="s">
        <v>99</v>
      </c>
      <c r="BX6" s="306"/>
      <c r="BY6" s="308" t="s">
        <v>104</v>
      </c>
      <c r="BZ6" s="280" t="s">
        <v>82</v>
      </c>
      <c r="CA6" s="279" t="s">
        <v>262</v>
      </c>
      <c r="CB6" s="307" t="s">
        <v>102</v>
      </c>
      <c r="CC6" s="308" t="s">
        <v>97</v>
      </c>
      <c r="CD6" s="326" t="s">
        <v>99</v>
      </c>
      <c r="CE6" s="306" t="s">
        <v>86</v>
      </c>
      <c r="CF6" s="267" t="s">
        <v>106</v>
      </c>
      <c r="CG6" s="268" t="s">
        <v>85</v>
      </c>
      <c r="CH6" s="244" t="s">
        <v>109</v>
      </c>
      <c r="CI6" s="245" t="s">
        <v>103</v>
      </c>
      <c r="CJ6" s="267" t="s">
        <v>106</v>
      </c>
      <c r="CK6" s="268" t="s">
        <v>85</v>
      </c>
      <c r="CL6" s="244" t="s">
        <v>109</v>
      </c>
      <c r="CM6" s="245" t="s">
        <v>103</v>
      </c>
      <c r="CN6" s="243"/>
      <c r="CO6" s="248" t="s">
        <v>104</v>
      </c>
      <c r="CP6" s="10" t="s">
        <v>82</v>
      </c>
      <c r="CQ6" s="264" t="s">
        <v>263</v>
      </c>
      <c r="CR6" s="23" t="s">
        <v>102</v>
      </c>
      <c r="CS6" s="248" t="s">
        <v>98</v>
      </c>
      <c r="CT6" s="248" t="s">
        <v>99</v>
      </c>
      <c r="CU6" s="9" t="s">
        <v>83</v>
      </c>
      <c r="CV6" s="259" t="s">
        <v>106</v>
      </c>
      <c r="CW6" s="248" t="s">
        <v>84</v>
      </c>
      <c r="CX6" s="232" t="s">
        <v>108</v>
      </c>
      <c r="CY6" s="263" t="s">
        <v>103</v>
      </c>
      <c r="CZ6" s="253"/>
      <c r="DA6" s="321" t="s">
        <v>80</v>
      </c>
      <c r="DB6" s="321" t="s">
        <v>55</v>
      </c>
      <c r="DD6" s="288" t="s">
        <v>91</v>
      </c>
      <c r="DE6" s="289" t="s">
        <v>92</v>
      </c>
      <c r="DF6" s="290" t="s">
        <v>93</v>
      </c>
      <c r="DG6" s="290"/>
      <c r="DH6" s="289" t="s">
        <v>94</v>
      </c>
    </row>
    <row r="7" spans="1:118" s="76" customFormat="1" ht="16.5" customHeight="1" thickBot="1">
      <c r="A7" s="121">
        <v>1</v>
      </c>
      <c r="B7" s="122">
        <f>BL7+BM7+BP7</f>
        <v>324.24600099999998</v>
      </c>
      <c r="C7" s="123">
        <f>IF(B7=0,0,(BK7*BR7+BL7*BS7+BM7*BT7+BN7*BU7+BQ7*BX7+BO7*BV7+BP7*BW7)/B7)</f>
        <v>1.9968378268449489</v>
      </c>
      <c r="D7" s="124">
        <f>B7*((100-C7)/100)</f>
        <v>317.7713341999999</v>
      </c>
      <c r="E7" s="125">
        <f>IF(B7=0,0,(BK7*BY7+BL7*BZ7+BM7*CA7+BQ7*CE7+BN7*CB7+BO7*CC7+BP7*CD7)/B7)</f>
        <v>37.939454196815241</v>
      </c>
      <c r="F7" s="126">
        <f>IF(AY7=0,0,D7/AY7)</f>
        <v>2.3545593820391222</v>
      </c>
      <c r="G7" s="127"/>
      <c r="H7" s="126">
        <f>IF(AY7=0,0,(CP7+CO7+CS7+CQ7+CT7)/AY7)</f>
        <v>2.3545593968583285</v>
      </c>
      <c r="I7" s="230">
        <f>'[1]июль 20'!AI6</f>
        <v>0</v>
      </c>
      <c r="J7" s="246">
        <f>'[1]май 20'!AA6</f>
        <v>12.218999999999999</v>
      </c>
      <c r="K7" s="437">
        <f>'[1]сентябрь 20'!AM6</f>
        <v>0</v>
      </c>
      <c r="L7" s="438"/>
      <c r="M7" s="399">
        <f>IF(AY7=0,0,(CR7+CU7)/AY7)</f>
        <v>1.4819205542382929E-8</v>
      </c>
      <c r="N7" s="399">
        <f>'[1]май 20'!W6</f>
        <v>0</v>
      </c>
      <c r="O7" s="402">
        <f>'[1]май 20'!AU6</f>
        <v>0</v>
      </c>
      <c r="P7" s="125">
        <f t="shared" ref="P7:P37" si="0">CF7+CH7+CI7+CG7</f>
        <v>193.17700299999998</v>
      </c>
      <c r="Q7" s="122">
        <f>CF7+CG7</f>
        <v>193.17700099999999</v>
      </c>
      <c r="R7" s="123">
        <f>IF(Q7=0,0,(CI7*CM7+CG7*CK7+CH7*CL7+CF7*CJ7)/Q7)</f>
        <v>1.6599999914068602</v>
      </c>
      <c r="S7" s="129">
        <v>10.45</v>
      </c>
      <c r="T7" s="125">
        <f t="shared" ref="T7:T37" si="1">Q7*((100-R7)/100)</f>
        <v>189.97026279999994</v>
      </c>
      <c r="U7" s="128">
        <f t="shared" ref="U7:U37" si="2">IF(AY7=0,0,T7/AY7)</f>
        <v>1.4076041997628925</v>
      </c>
      <c r="V7" s="130">
        <v>134.96</v>
      </c>
      <c r="W7" s="130">
        <v>102.13</v>
      </c>
      <c r="X7" s="129">
        <v>0.81</v>
      </c>
      <c r="Y7" s="131">
        <v>500</v>
      </c>
      <c r="Z7" s="131">
        <v>1178</v>
      </c>
      <c r="AA7" s="132" t="s">
        <v>195</v>
      </c>
      <c r="AB7" s="129">
        <v>76.540000000000006</v>
      </c>
      <c r="AC7" s="131">
        <v>122</v>
      </c>
      <c r="AD7" s="133">
        <v>4</v>
      </c>
      <c r="AE7" s="129">
        <v>5.35</v>
      </c>
      <c r="AF7" s="134">
        <f t="shared" ref="AF7:AF37" si="3">IF(AY7=0,0,AE7/AY7*1000)</f>
        <v>39.64137522228809</v>
      </c>
      <c r="AG7" s="135"/>
      <c r="AH7" s="129">
        <v>105.35</v>
      </c>
      <c r="AI7" s="134">
        <f t="shared" ref="AI7:AI37" si="4">IF(AY7=0,0,AH7/AY7*1000)</f>
        <v>780.60165975103746</v>
      </c>
      <c r="AJ7" s="136">
        <v>14.02</v>
      </c>
      <c r="AK7" s="127"/>
      <c r="AL7" s="137">
        <v>5.68</v>
      </c>
      <c r="AM7" s="138">
        <v>32</v>
      </c>
      <c r="AN7" s="126">
        <f>IF(AM7=0,0,AM7/AT7)</f>
        <v>0.18851251840942562</v>
      </c>
      <c r="AO7" s="139" t="s">
        <v>181</v>
      </c>
      <c r="AP7" s="138">
        <v>8.82</v>
      </c>
      <c r="AQ7" s="138">
        <v>6.28</v>
      </c>
      <c r="AR7" s="129"/>
      <c r="AS7" s="129">
        <v>9.86</v>
      </c>
      <c r="AT7" s="129">
        <v>169.75</v>
      </c>
      <c r="AU7" s="129">
        <v>2.89</v>
      </c>
      <c r="AV7" s="129"/>
      <c r="AW7" s="129"/>
      <c r="AX7" s="140">
        <f t="shared" ref="AX7:AX37" si="5">IF(AY7=0,0,AW7/AY7*100)</f>
        <v>0</v>
      </c>
      <c r="AY7" s="125">
        <f t="shared" ref="AY7:AY37" si="6">AT7-AL7-AM7+AV7+AW7+AU7</f>
        <v>134.95999999999998</v>
      </c>
      <c r="AZ7" s="125">
        <f>IF(AB7=0,0,((D7*0.97)*(E7/100)*0.9)/(AB7/100))+DH7</f>
        <v>140.10135979597803</v>
      </c>
      <c r="BA7" s="141">
        <f t="shared" ref="BA7:BA37" si="7">(AH7*AS7)/100*(55/71)</f>
        <v>8.0466626760563376</v>
      </c>
      <c r="BB7" s="142">
        <f t="shared" ref="BB7:BB37" si="8">AY7*$BB$6</f>
        <v>5.3983999999999996</v>
      </c>
      <c r="BC7" s="122">
        <f t="shared" ref="BC7:BC37" si="9">IF((D7*E7)=0,0,(AY7*AB7)/(D7*E7))</f>
        <v>0.85681632250200235</v>
      </c>
      <c r="BD7" s="142">
        <f>BA7+BB7</f>
        <v>13.445062676056338</v>
      </c>
      <c r="BE7" s="143">
        <v>0.85699999999999998</v>
      </c>
      <c r="BF7" s="25">
        <f>AY7</f>
        <v>134.95999999999998</v>
      </c>
      <c r="BG7" s="25">
        <f t="shared" ref="BG7:BG38" si="10">IF(A7&lt;=$BE$43,$AT$43,0)</f>
        <v>114.51612903225806</v>
      </c>
      <c r="BH7" s="25">
        <f>BG7</f>
        <v>114.51612903225806</v>
      </c>
      <c r="BI7" s="26">
        <f t="shared" ref="BI7:BI37" si="11">IF(AY7&lt;&gt;0,1,0)</f>
        <v>1</v>
      </c>
      <c r="BJ7" s="27">
        <f>BG7*BI7</f>
        <v>114.51612903225806</v>
      </c>
      <c r="BK7" s="28">
        <v>9.9999999999999995E-7</v>
      </c>
      <c r="BL7" s="28">
        <f>DL7</f>
        <v>281.50299999999999</v>
      </c>
      <c r="BM7" s="28">
        <v>9.9999999999999995E-7</v>
      </c>
      <c r="BN7" s="28">
        <v>9.9999999999999995E-7</v>
      </c>
      <c r="BO7" s="28">
        <v>9.9999999999999995E-7</v>
      </c>
      <c r="BP7" s="28">
        <v>42.743000000000002</v>
      </c>
      <c r="BQ7" s="28">
        <v>9.9999999999999995E-7</v>
      </c>
      <c r="BR7" s="28">
        <v>9.9999999999999995E-7</v>
      </c>
      <c r="BS7" s="28">
        <v>1.43</v>
      </c>
      <c r="BT7" s="28">
        <v>9.9999999999999995E-7</v>
      </c>
      <c r="BU7" s="28">
        <v>9.9999999999999995E-7</v>
      </c>
      <c r="BV7" s="28">
        <v>9.9999999999999995E-7</v>
      </c>
      <c r="BW7" s="28">
        <v>5.73</v>
      </c>
      <c r="BX7" s="28">
        <v>9.9999999999999995E-7</v>
      </c>
      <c r="BY7" s="28">
        <v>9.9999999999999995E-7</v>
      </c>
      <c r="BZ7" s="28">
        <v>37.950000000000003</v>
      </c>
      <c r="CA7" s="28">
        <v>9.9999999999999995E-7</v>
      </c>
      <c r="CB7" s="28">
        <v>9.9999999999999995E-7</v>
      </c>
      <c r="CC7" s="28">
        <v>9.9999999999999995E-7</v>
      </c>
      <c r="CD7" s="28">
        <v>37.869999999999997</v>
      </c>
      <c r="CE7" s="28">
        <v>43.44</v>
      </c>
      <c r="CF7" s="28">
        <f>DN7</f>
        <v>193.17699999999999</v>
      </c>
      <c r="CG7" s="28">
        <v>9.9999999999999995E-7</v>
      </c>
      <c r="CH7" s="28">
        <v>9.9999999999999995E-7</v>
      </c>
      <c r="CI7" s="28">
        <v>9.9999999999999995E-7</v>
      </c>
      <c r="CJ7" s="28">
        <v>1.66</v>
      </c>
      <c r="CK7" s="28">
        <v>9.9999999999999995E-7</v>
      </c>
      <c r="CL7" s="28">
        <v>9.9999999999999995E-7</v>
      </c>
      <c r="CM7" s="28">
        <v>9.9999999999999995E-7</v>
      </c>
      <c r="CN7" s="286"/>
      <c r="CO7" s="252">
        <f t="shared" ref="CO7:CU22" si="12">BK7*((100-BR7)/100)</f>
        <v>9.9999998999999992E-7</v>
      </c>
      <c r="CP7" s="11">
        <f t="shared" si="12"/>
        <v>277.47750709999997</v>
      </c>
      <c r="CQ7" s="11">
        <f t="shared" si="12"/>
        <v>9.9999998999999992E-7</v>
      </c>
      <c r="CR7" s="11">
        <f t="shared" si="12"/>
        <v>9.9999998999999992E-7</v>
      </c>
      <c r="CS7" s="11">
        <f t="shared" si="12"/>
        <v>9.9999998999999992E-7</v>
      </c>
      <c r="CT7" s="11">
        <f t="shared" si="12"/>
        <v>40.293826100000004</v>
      </c>
      <c r="CU7" s="271">
        <f t="shared" si="12"/>
        <v>9.9999998999999992E-7</v>
      </c>
      <c r="CV7" s="260">
        <f t="shared" ref="CV7:CY37" si="13">CF7*((100-CJ7)/100)</f>
        <v>189.9702618</v>
      </c>
      <c r="CW7" s="250">
        <f t="shared" si="13"/>
        <v>9.9999998999999992E-7</v>
      </c>
      <c r="CX7" s="260">
        <f t="shared" si="13"/>
        <v>9.9999998999999992E-7</v>
      </c>
      <c r="CY7" s="271">
        <f t="shared" si="13"/>
        <v>9.9999998999999992E-7</v>
      </c>
      <c r="CZ7" s="13"/>
      <c r="DA7" s="240">
        <f>(D7+'[2]май 20'!D7)/(AY7+'[2]май 20'!AX7)</f>
        <v>2.2818231976060326</v>
      </c>
      <c r="DB7" s="241">
        <f>(T7+'[2]май 20'!R7)/(AY7+'[2]май 20'!AX7)</f>
        <v>1.3689616430866181</v>
      </c>
      <c r="DD7" s="292">
        <f t="shared" ref="DD7:DD37" si="14">J7</f>
        <v>12.218999999999999</v>
      </c>
      <c r="DE7" s="291">
        <v>0.26</v>
      </c>
      <c r="DF7" s="291">
        <v>16.28</v>
      </c>
      <c r="DG7" s="145">
        <f t="shared" ref="DG7:DG37" si="15">DD7*((100-DE7)/100)</f>
        <v>12.187230599999999</v>
      </c>
      <c r="DH7" s="293">
        <f>IF(AB7=0,0,(DG7*DF7%)/(AB7/100))</f>
        <v>2.5922147134570155</v>
      </c>
      <c r="DJ7" s="28">
        <v>203.26400000000001</v>
      </c>
      <c r="DK7" s="28">
        <v>59.238999999999997</v>
      </c>
      <c r="DL7" s="460">
        <f>DJ7+DK7+19</f>
        <v>281.50299999999999</v>
      </c>
      <c r="DM7" s="28">
        <v>178.17699999999999</v>
      </c>
      <c r="DN7" s="460">
        <f>DM7+15</f>
        <v>193.17699999999999</v>
      </c>
    </row>
    <row r="8" spans="1:118" s="76" customFormat="1" ht="16.5" customHeight="1" thickBot="1">
      <c r="A8" s="144">
        <v>2</v>
      </c>
      <c r="B8" s="122">
        <f t="shared" ref="B8:B37" si="16">BL8+BM8+BP8</f>
        <v>313.99599999999998</v>
      </c>
      <c r="C8" s="123">
        <f t="shared" ref="C8:C37" si="17">IF(B8=0,0,(BK8*BR8+BL8*BS8+BM8*BT8+BN8*BU8+BQ8*BX8+BO8*BV8+BP8*BW8)/B8)</f>
        <v>1.483645078281252</v>
      </c>
      <c r="D8" s="145">
        <f t="shared" ref="D8:D37" si="18">B8*((100-C8)/100)</f>
        <v>309.33741379999998</v>
      </c>
      <c r="E8" s="125">
        <f t="shared" ref="E8:E37" si="19">IF(B8=0,0,(BK8*BY8+BL8*BZ8+BM8*CA8+BQ8*CE8+BN8*CB8+BO8*CC8+BP8*CD8)/B8)</f>
        <v>37.575356246576391</v>
      </c>
      <c r="F8" s="146">
        <f t="shared" ref="F8:F37" si="20">IF(AY8=0,0,D8/AY8)</f>
        <v>2.4231349976500076</v>
      </c>
      <c r="G8" s="127"/>
      <c r="H8" s="126">
        <f t="shared" ref="H8:H37" si="21">IF(AY8=0,0,(CP8+CO8+CS8+CQ8+CT8)/AY8)</f>
        <v>2.4231349976500072</v>
      </c>
      <c r="I8" s="230">
        <f>'[1]июль 20'!AI7</f>
        <v>0</v>
      </c>
      <c r="J8" s="439">
        <f>'[1]май 20'!AA7</f>
        <v>11.805</v>
      </c>
      <c r="K8" s="440">
        <f>'[1]сентябрь 20'!AM7</f>
        <v>0</v>
      </c>
      <c r="L8" s="441"/>
      <c r="M8" s="442">
        <f t="shared" ref="M8:M37" si="22">IF(AY8=0,0,(CR8+CU8)/AY8)</f>
        <v>0</v>
      </c>
      <c r="N8" s="403">
        <f>'[1]май 20'!W7</f>
        <v>0</v>
      </c>
      <c r="O8" s="452">
        <f>'[1]май 20'!AU7</f>
        <v>0</v>
      </c>
      <c r="P8" s="401">
        <f t="shared" si="0"/>
        <v>189.672</v>
      </c>
      <c r="Q8" s="122">
        <f t="shared" ref="Q8:Q37" si="23">CF8+CG8</f>
        <v>189.672</v>
      </c>
      <c r="R8" s="123">
        <f t="shared" ref="R8:R37" si="24">IF(Q8=0,0,(CI8*CM8+CG8*CK8+CH8*CL8+CF8*CJ8)/Q8)</f>
        <v>1.9000000000000001</v>
      </c>
      <c r="S8" s="129">
        <v>9.3000000000000007</v>
      </c>
      <c r="T8" s="125">
        <f t="shared" si="1"/>
        <v>186.06823199999999</v>
      </c>
      <c r="U8" s="147">
        <f t="shared" si="2"/>
        <v>1.4575296255679149</v>
      </c>
      <c r="V8" s="130">
        <v>127.66</v>
      </c>
      <c r="W8" s="130">
        <v>95.14</v>
      </c>
      <c r="X8" s="129">
        <v>0.88</v>
      </c>
      <c r="Y8" s="131">
        <v>500</v>
      </c>
      <c r="Z8" s="131">
        <v>1173</v>
      </c>
      <c r="AA8" s="148" t="s">
        <v>249</v>
      </c>
      <c r="AB8" s="149">
        <v>75.38</v>
      </c>
      <c r="AC8" s="150">
        <v>118</v>
      </c>
      <c r="AD8" s="151">
        <v>4</v>
      </c>
      <c r="AE8" s="149">
        <v>5.2</v>
      </c>
      <c r="AF8" s="134">
        <f t="shared" si="3"/>
        <v>40.73319755600815</v>
      </c>
      <c r="AG8" s="152"/>
      <c r="AH8" s="129">
        <v>91.85</v>
      </c>
      <c r="AI8" s="134">
        <f t="shared" si="4"/>
        <v>719.48926836910539</v>
      </c>
      <c r="AJ8" s="153">
        <v>13.38</v>
      </c>
      <c r="AK8" s="154"/>
      <c r="AL8" s="155">
        <v>6.2</v>
      </c>
      <c r="AM8" s="156">
        <v>31.26</v>
      </c>
      <c r="AN8" s="126">
        <f t="shared" ref="AN8:AN37" si="25">IF(AM8=0,0,AM8/AT8)</f>
        <v>0.19066788655077771</v>
      </c>
      <c r="AO8" s="157" t="s">
        <v>219</v>
      </c>
      <c r="AP8" s="156">
        <v>9.48</v>
      </c>
      <c r="AQ8" s="156">
        <v>6.18</v>
      </c>
      <c r="AR8" s="149"/>
      <c r="AS8" s="149">
        <v>8.8000000000000007</v>
      </c>
      <c r="AT8" s="149">
        <v>163.95</v>
      </c>
      <c r="AU8" s="149">
        <v>1.17</v>
      </c>
      <c r="AV8" s="149"/>
      <c r="AW8" s="149"/>
      <c r="AX8" s="158">
        <f t="shared" si="5"/>
        <v>0</v>
      </c>
      <c r="AY8" s="125">
        <f t="shared" si="6"/>
        <v>127.66</v>
      </c>
      <c r="AZ8" s="125">
        <f>IF(AB8=0,0,((D8*0.97)*(E8/100)*0.9)/(AB8/100))+DH8</f>
        <v>137.05755611495829</v>
      </c>
      <c r="BA8" s="159">
        <f t="shared" si="7"/>
        <v>6.2613239436619708</v>
      </c>
      <c r="BB8" s="160">
        <f t="shared" si="8"/>
        <v>5.1063999999999998</v>
      </c>
      <c r="BC8" s="161">
        <f t="shared" si="9"/>
        <v>0.82789529817758578</v>
      </c>
      <c r="BD8" s="160">
        <f t="shared" ref="BD8:BD37" si="26">BA8+BB8</f>
        <v>11.367723943661971</v>
      </c>
      <c r="BE8" s="162">
        <v>0.84299999999999997</v>
      </c>
      <c r="BF8" s="25">
        <f t="shared" ref="BF8:BF37" si="27">BF7+AY8</f>
        <v>262.62</v>
      </c>
      <c r="BG8" s="25">
        <f t="shared" si="10"/>
        <v>114.51612903225806</v>
      </c>
      <c r="BH8" s="25">
        <f t="shared" ref="BH8:BH37" si="28">BG8+BH7</f>
        <v>229.03225806451613</v>
      </c>
      <c r="BI8" s="26">
        <f t="shared" si="11"/>
        <v>1</v>
      </c>
      <c r="BJ8" s="27">
        <f t="shared" ref="BJ8:BJ37" si="29">BG8*BI8+BJ7</f>
        <v>229.03225806451613</v>
      </c>
      <c r="BK8" s="30"/>
      <c r="BL8" s="28">
        <f t="shared" ref="BL8:BL37" si="30">DL8</f>
        <v>274.34699999999998</v>
      </c>
      <c r="BM8" s="31"/>
      <c r="BN8" s="31"/>
      <c r="BO8" s="40"/>
      <c r="BP8" s="40">
        <v>39.649000000000001</v>
      </c>
      <c r="BQ8" s="32"/>
      <c r="BR8" s="33"/>
      <c r="BS8" s="34">
        <v>1.37</v>
      </c>
      <c r="BT8" s="35"/>
      <c r="BU8" s="28"/>
      <c r="BV8" s="287"/>
      <c r="BW8" s="28">
        <v>2.27</v>
      </c>
      <c r="BX8" s="36"/>
      <c r="BY8" s="33"/>
      <c r="BZ8" s="34">
        <v>37.54</v>
      </c>
      <c r="CA8" s="35"/>
      <c r="CB8" s="35"/>
      <c r="CC8" s="235"/>
      <c r="CD8" s="235">
        <v>37.82</v>
      </c>
      <c r="CE8" s="36">
        <v>43.08</v>
      </c>
      <c r="CF8" s="28">
        <f t="shared" ref="CF8:CF37" si="31">DN8</f>
        <v>189.672</v>
      </c>
      <c r="CG8" s="30"/>
      <c r="CH8" s="31"/>
      <c r="CI8" s="32"/>
      <c r="CJ8" s="33">
        <v>1.9</v>
      </c>
      <c r="CK8" s="33"/>
      <c r="CL8" s="35"/>
      <c r="CM8" s="28"/>
      <c r="CN8" s="286"/>
      <c r="CO8" s="249">
        <f t="shared" si="12"/>
        <v>0</v>
      </c>
      <c r="CP8" s="12">
        <f t="shared" si="12"/>
        <v>270.58844609999994</v>
      </c>
      <c r="CQ8" s="12">
        <f t="shared" si="12"/>
        <v>0</v>
      </c>
      <c r="CR8" s="12">
        <f t="shared" si="12"/>
        <v>0</v>
      </c>
      <c r="CS8" s="11">
        <f t="shared" si="12"/>
        <v>0</v>
      </c>
      <c r="CT8" s="11">
        <f t="shared" si="12"/>
        <v>38.748967700000001</v>
      </c>
      <c r="CU8" s="272">
        <f t="shared" si="12"/>
        <v>0</v>
      </c>
      <c r="CV8" s="249">
        <f t="shared" si="13"/>
        <v>186.06823199999999</v>
      </c>
      <c r="CW8" s="12">
        <f t="shared" si="13"/>
        <v>0</v>
      </c>
      <c r="CX8" s="254">
        <f t="shared" si="13"/>
        <v>0</v>
      </c>
      <c r="CY8" s="272">
        <f t="shared" si="13"/>
        <v>0</v>
      </c>
      <c r="CZ8" s="13"/>
      <c r="DA8" s="240">
        <f>(D8+'[2]май 20'!D8)/(AY8+'[2]май 20'!AX8)</f>
        <v>2.3562358182161751</v>
      </c>
      <c r="DB8" s="241">
        <f>(T8+'[2]май 20'!R8)/(AY8+'[2]май 20'!AX8)</f>
        <v>1.4186452254976065</v>
      </c>
      <c r="DD8" s="292">
        <f t="shared" si="14"/>
        <v>11.805</v>
      </c>
      <c r="DE8" s="291">
        <v>0.47</v>
      </c>
      <c r="DF8" s="291">
        <v>15.67</v>
      </c>
      <c r="DG8" s="145">
        <f t="shared" si="15"/>
        <v>11.749516499999999</v>
      </c>
      <c r="DH8" s="293">
        <f t="shared" ref="DH8:DH37" si="32">IF(AB8=0,0,(DG8*DF8%)/(AB8/100))</f>
        <v>2.442490362894667</v>
      </c>
      <c r="DJ8" s="31">
        <v>188.83699999999999</v>
      </c>
      <c r="DK8" s="32">
        <v>66.510000000000005</v>
      </c>
      <c r="DL8" s="460">
        <f t="shared" ref="DL8:DL35" si="33">DJ8+DK8+19</f>
        <v>274.34699999999998</v>
      </c>
      <c r="DM8" s="30">
        <v>174.672</v>
      </c>
      <c r="DN8" s="460">
        <f t="shared" ref="DN8:DN35" si="34">DM8+15</f>
        <v>189.672</v>
      </c>
    </row>
    <row r="9" spans="1:118" s="76" customFormat="1" ht="16.5" customHeight="1" thickBot="1">
      <c r="A9" s="144">
        <v>3</v>
      </c>
      <c r="B9" s="122">
        <f t="shared" si="16"/>
        <v>304.01499999999999</v>
      </c>
      <c r="C9" s="123">
        <f t="shared" si="17"/>
        <v>2.068507080242751</v>
      </c>
      <c r="D9" s="145">
        <f>B9*((100-C9)/100)</f>
        <v>297.72642819999999</v>
      </c>
      <c r="E9" s="125">
        <f t="shared" si="19"/>
        <v>36.981738368172621</v>
      </c>
      <c r="F9" s="146">
        <f t="shared" si="20"/>
        <v>2.332730770195095</v>
      </c>
      <c r="G9" s="127"/>
      <c r="H9" s="126">
        <f t="shared" si="21"/>
        <v>2.3327307701950954</v>
      </c>
      <c r="I9" s="230">
        <f>'[1]июль 20'!AI8</f>
        <v>0</v>
      </c>
      <c r="J9" s="277">
        <f>'[1]май 20'!AA8</f>
        <v>8.0280000000000005</v>
      </c>
      <c r="K9" s="437">
        <f>'[1]сентябрь 20'!AM8</f>
        <v>0</v>
      </c>
      <c r="L9" s="438"/>
      <c r="M9" s="443">
        <f t="shared" si="22"/>
        <v>0</v>
      </c>
      <c r="N9" s="403">
        <f>'[1]май 20'!W8</f>
        <v>0</v>
      </c>
      <c r="O9" s="453">
        <f>'[1]май 20'!AU8</f>
        <v>0</v>
      </c>
      <c r="P9" s="401">
        <f t="shared" si="0"/>
        <v>183.15700000000001</v>
      </c>
      <c r="Q9" s="122">
        <f t="shared" si="23"/>
        <v>183.15700000000001</v>
      </c>
      <c r="R9" s="123">
        <f t="shared" si="24"/>
        <v>1.44</v>
      </c>
      <c r="S9" s="129">
        <v>7.17</v>
      </c>
      <c r="T9" s="125">
        <f t="shared" si="1"/>
        <v>180.51953920000003</v>
      </c>
      <c r="U9" s="147">
        <f>IF(AY9=0,0,T9/AY9)</f>
        <v>1.4143973924625872</v>
      </c>
      <c r="V9" s="130">
        <v>31.03</v>
      </c>
      <c r="W9" s="130">
        <v>63.17</v>
      </c>
      <c r="X9" s="129">
        <v>1</v>
      </c>
      <c r="Y9" s="131">
        <v>498</v>
      </c>
      <c r="Z9" s="131">
        <v>1169</v>
      </c>
      <c r="AA9" s="148" t="s">
        <v>250</v>
      </c>
      <c r="AB9" s="149">
        <v>74.36</v>
      </c>
      <c r="AC9" s="150">
        <v>114</v>
      </c>
      <c r="AD9" s="151">
        <v>4</v>
      </c>
      <c r="AE9" s="149">
        <v>4.8</v>
      </c>
      <c r="AF9" s="134">
        <f t="shared" si="3"/>
        <v>37.608712685105381</v>
      </c>
      <c r="AG9" s="152"/>
      <c r="AH9" s="129">
        <v>89.1</v>
      </c>
      <c r="AI9" s="134">
        <f t="shared" si="4"/>
        <v>698.11172921726859</v>
      </c>
      <c r="AJ9" s="153">
        <v>13.38</v>
      </c>
      <c r="AK9" s="154"/>
      <c r="AL9" s="155">
        <v>5.89</v>
      </c>
      <c r="AM9" s="156">
        <v>30.02</v>
      </c>
      <c r="AN9" s="126">
        <f t="shared" si="25"/>
        <v>0.18548038307074452</v>
      </c>
      <c r="AO9" s="157" t="s">
        <v>183</v>
      </c>
      <c r="AP9" s="156">
        <v>9.77</v>
      </c>
      <c r="AQ9" s="156">
        <v>6.37</v>
      </c>
      <c r="AR9" s="149"/>
      <c r="AS9" s="149">
        <v>8.66</v>
      </c>
      <c r="AT9" s="149">
        <v>161.85</v>
      </c>
      <c r="AU9" s="149">
        <v>1.69</v>
      </c>
      <c r="AV9" s="149"/>
      <c r="AW9" s="149"/>
      <c r="AX9" s="158">
        <f t="shared" si="5"/>
        <v>0</v>
      </c>
      <c r="AY9" s="125">
        <f t="shared" si="6"/>
        <v>127.63000000000001</v>
      </c>
      <c r="AZ9" s="125">
        <f t="shared" ref="AZ9:AZ37" si="35">IF(AB9=0,0,((D9*0.97)*(E9/100)*0.9)/(AB9/100))+DH9</f>
        <v>131.16407647044244</v>
      </c>
      <c r="BA9" s="159">
        <f t="shared" si="7"/>
        <v>5.9772295774647883</v>
      </c>
      <c r="BB9" s="160">
        <f t="shared" si="8"/>
        <v>5.1052000000000008</v>
      </c>
      <c r="BC9" s="161">
        <f t="shared" si="9"/>
        <v>0.86196065257365417</v>
      </c>
      <c r="BD9" s="160">
        <f t="shared" si="26"/>
        <v>11.08242957746479</v>
      </c>
      <c r="BE9" s="162">
        <v>0.84899999999999998</v>
      </c>
      <c r="BF9" s="25">
        <f t="shared" si="27"/>
        <v>390.25</v>
      </c>
      <c r="BG9" s="25">
        <f t="shared" si="10"/>
        <v>114.51612903225806</v>
      </c>
      <c r="BH9" s="25">
        <f t="shared" si="28"/>
        <v>343.54838709677421</v>
      </c>
      <c r="BI9" s="26">
        <f t="shared" si="11"/>
        <v>1</v>
      </c>
      <c r="BJ9" s="37">
        <f t="shared" si="29"/>
        <v>343.54838709677421</v>
      </c>
      <c r="BK9" s="38"/>
      <c r="BL9" s="28">
        <f t="shared" si="30"/>
        <v>269.82099999999997</v>
      </c>
      <c r="BM9" s="31"/>
      <c r="BN9" s="31"/>
      <c r="BO9" s="40"/>
      <c r="BP9" s="40">
        <v>34.194000000000003</v>
      </c>
      <c r="BQ9" s="32"/>
      <c r="BR9" s="33"/>
      <c r="BS9" s="34">
        <v>2.1</v>
      </c>
      <c r="BT9" s="35"/>
      <c r="BU9" s="28"/>
      <c r="BV9" s="287"/>
      <c r="BW9" s="287">
        <v>1.82</v>
      </c>
      <c r="BX9" s="36"/>
      <c r="BY9" s="33"/>
      <c r="BZ9" s="34">
        <v>36.93</v>
      </c>
      <c r="CA9" s="35"/>
      <c r="CB9" s="35"/>
      <c r="CC9" s="235"/>
      <c r="CD9" s="235">
        <v>37.39</v>
      </c>
      <c r="CE9" s="36">
        <v>42.79</v>
      </c>
      <c r="CF9" s="28">
        <f t="shared" si="31"/>
        <v>183.15700000000001</v>
      </c>
      <c r="CG9" s="30"/>
      <c r="CH9" s="31"/>
      <c r="CI9" s="32"/>
      <c r="CJ9" s="33">
        <v>1.44</v>
      </c>
      <c r="CK9" s="33"/>
      <c r="CL9" s="35"/>
      <c r="CM9" s="36"/>
      <c r="CN9" s="286"/>
      <c r="CO9" s="249">
        <f t="shared" si="12"/>
        <v>0</v>
      </c>
      <c r="CP9" s="12">
        <f t="shared" si="12"/>
        <v>264.15475900000001</v>
      </c>
      <c r="CQ9" s="12">
        <f t="shared" si="12"/>
        <v>0</v>
      </c>
      <c r="CR9" s="12">
        <f t="shared" si="12"/>
        <v>0</v>
      </c>
      <c r="CS9" s="11">
        <f t="shared" si="12"/>
        <v>0</v>
      </c>
      <c r="CT9" s="11">
        <f t="shared" si="12"/>
        <v>33.571669200000009</v>
      </c>
      <c r="CU9" s="272">
        <f t="shared" si="12"/>
        <v>0</v>
      </c>
      <c r="CV9" s="249">
        <f t="shared" si="13"/>
        <v>180.51953920000003</v>
      </c>
      <c r="CW9" s="251">
        <f t="shared" si="13"/>
        <v>0</v>
      </c>
      <c r="CX9" s="249">
        <f t="shared" si="13"/>
        <v>0</v>
      </c>
      <c r="CY9" s="272">
        <f t="shared" si="13"/>
        <v>0</v>
      </c>
      <c r="CZ9" s="13"/>
      <c r="DA9" s="240">
        <f>(D9+'[2]май 20'!D9)/(AY9+'[2]май 20'!AX9)</f>
        <v>2.2826533966836733</v>
      </c>
      <c r="DB9" s="241">
        <f>(T9+'[2]май 20'!R9)/(AY9+'[2]май 20'!AX9)</f>
        <v>1.3893161326530612</v>
      </c>
      <c r="DD9" s="292">
        <f t="shared" si="14"/>
        <v>8.0280000000000005</v>
      </c>
      <c r="DE9" s="291">
        <v>0.09</v>
      </c>
      <c r="DF9" s="291">
        <v>17.61</v>
      </c>
      <c r="DG9" s="145">
        <f t="shared" si="15"/>
        <v>8.0207747999999999</v>
      </c>
      <c r="DH9" s="293">
        <f t="shared" si="32"/>
        <v>1.8994868777299623</v>
      </c>
      <c r="DJ9" s="31">
        <v>182.42599999999999</v>
      </c>
      <c r="DK9" s="32">
        <v>68.394999999999996</v>
      </c>
      <c r="DL9" s="460">
        <f t="shared" si="33"/>
        <v>269.82099999999997</v>
      </c>
      <c r="DM9" s="30">
        <v>168.15700000000001</v>
      </c>
      <c r="DN9" s="460">
        <f t="shared" si="34"/>
        <v>183.15700000000001</v>
      </c>
    </row>
    <row r="10" spans="1:118" s="76" customFormat="1" ht="16.5" customHeight="1" thickBot="1">
      <c r="A10" s="144">
        <v>4</v>
      </c>
      <c r="B10" s="122">
        <f t="shared" si="16"/>
        <v>316.44799999999998</v>
      </c>
      <c r="C10" s="123">
        <f t="shared" si="17"/>
        <v>1.2505115216402063</v>
      </c>
      <c r="D10" s="145">
        <f t="shared" si="18"/>
        <v>312.49078129999998</v>
      </c>
      <c r="E10" s="125">
        <f>IF(B10=0,0,(BK10*BY10+BL10*BZ10+BM10*CA10+BQ10*CE10+BN10*CB10+BO10*CC10+BP10*CD10)/B10)</f>
        <v>37.46609651506725</v>
      </c>
      <c r="F10" s="146">
        <f t="shared" si="20"/>
        <v>2.5484487139129017</v>
      </c>
      <c r="G10" s="127"/>
      <c r="H10" s="126">
        <f t="shared" si="21"/>
        <v>2.5484487139129017</v>
      </c>
      <c r="I10" s="230">
        <f>'[1]июль 20'!AI9</f>
        <v>0</v>
      </c>
      <c r="J10" s="444">
        <f>'[1]май 20'!AA9</f>
        <v>5.9320000000000004</v>
      </c>
      <c r="K10" s="448">
        <f>'[1]сентябрь 20'!AM9</f>
        <v>0</v>
      </c>
      <c r="L10" s="449"/>
      <c r="M10" s="450">
        <f t="shared" si="22"/>
        <v>0</v>
      </c>
      <c r="N10" s="403">
        <f>'[1]май 20'!W9</f>
        <v>0</v>
      </c>
      <c r="O10" s="454">
        <f>'[1]май 20'!AU9</f>
        <v>0</v>
      </c>
      <c r="P10" s="401">
        <f t="shared" si="0"/>
        <v>189.654</v>
      </c>
      <c r="Q10" s="122">
        <f t="shared" si="23"/>
        <v>189.654</v>
      </c>
      <c r="R10" s="123">
        <f t="shared" si="24"/>
        <v>1.41</v>
      </c>
      <c r="S10" s="129">
        <v>9.66</v>
      </c>
      <c r="T10" s="125">
        <f t="shared" si="1"/>
        <v>186.97987860000001</v>
      </c>
      <c r="U10" s="147">
        <f t="shared" si="2"/>
        <v>1.5248726031642474</v>
      </c>
      <c r="V10" s="130">
        <v>61.6</v>
      </c>
      <c r="W10" s="130">
        <v>61.01</v>
      </c>
      <c r="X10" s="129">
        <v>0.85</v>
      </c>
      <c r="Y10" s="131">
        <v>486</v>
      </c>
      <c r="Z10" s="131">
        <v>1172</v>
      </c>
      <c r="AA10" s="148" t="s">
        <v>251</v>
      </c>
      <c r="AB10" s="149">
        <v>75.02</v>
      </c>
      <c r="AC10" s="150">
        <v>119</v>
      </c>
      <c r="AD10" s="151">
        <v>4</v>
      </c>
      <c r="AE10" s="149">
        <v>4.75</v>
      </c>
      <c r="AF10" s="134">
        <f t="shared" si="3"/>
        <v>38.737563203392597</v>
      </c>
      <c r="AG10" s="152"/>
      <c r="AH10" s="129">
        <v>86.05</v>
      </c>
      <c r="AI10" s="134">
        <f t="shared" si="4"/>
        <v>701.76153971619635</v>
      </c>
      <c r="AJ10" s="153">
        <v>14.15</v>
      </c>
      <c r="AK10" s="154"/>
      <c r="AL10" s="155">
        <v>6.32</v>
      </c>
      <c r="AM10" s="156">
        <v>36.93</v>
      </c>
      <c r="AN10" s="126">
        <f t="shared" si="25"/>
        <v>0.22490864799025581</v>
      </c>
      <c r="AO10" s="157" t="s">
        <v>199</v>
      </c>
      <c r="AP10" s="156">
        <v>9.9499999999999993</v>
      </c>
      <c r="AQ10" s="156">
        <v>6.5</v>
      </c>
      <c r="AR10" s="149"/>
      <c r="AS10" s="149">
        <v>7.47</v>
      </c>
      <c r="AT10" s="149">
        <v>164.2</v>
      </c>
      <c r="AU10" s="149">
        <v>1.67</v>
      </c>
      <c r="AV10" s="149"/>
      <c r="AW10" s="149"/>
      <c r="AX10" s="158">
        <f t="shared" si="5"/>
        <v>0</v>
      </c>
      <c r="AY10" s="125">
        <f>AT10-AL10-AM10+AV10+AW10+AU10</f>
        <v>122.61999999999999</v>
      </c>
      <c r="AZ10" s="125">
        <f>IF(AB10=0,0,((D10*0.97)*(E10/100)*0.9)/(AB10/100))+DH10</f>
        <v>137.74265455481526</v>
      </c>
      <c r="BA10" s="159">
        <f t="shared" si="7"/>
        <v>4.9793862676056335</v>
      </c>
      <c r="BB10" s="160">
        <f t="shared" si="8"/>
        <v>4.9047999999999998</v>
      </c>
      <c r="BC10" s="161">
        <f t="shared" si="9"/>
        <v>0.78571078442014664</v>
      </c>
      <c r="BD10" s="160">
        <f t="shared" si="26"/>
        <v>9.8841862676056333</v>
      </c>
      <c r="BE10" s="162">
        <v>0.83299999999999996</v>
      </c>
      <c r="BF10" s="25">
        <f t="shared" si="27"/>
        <v>512.87</v>
      </c>
      <c r="BG10" s="25">
        <f t="shared" si="10"/>
        <v>114.51612903225806</v>
      </c>
      <c r="BH10" s="25">
        <f t="shared" si="28"/>
        <v>458.06451612903226</v>
      </c>
      <c r="BI10" s="26">
        <f t="shared" si="11"/>
        <v>1</v>
      </c>
      <c r="BJ10" s="37">
        <f t="shared" si="29"/>
        <v>458.06451612903226</v>
      </c>
      <c r="BK10" s="38"/>
      <c r="BL10" s="28">
        <f t="shared" si="30"/>
        <v>280.745</v>
      </c>
      <c r="BM10" s="31"/>
      <c r="BN10" s="31"/>
      <c r="BO10" s="40"/>
      <c r="BP10" s="40">
        <v>35.703000000000003</v>
      </c>
      <c r="BQ10" s="32"/>
      <c r="BR10" s="33"/>
      <c r="BS10" s="34">
        <v>1.29</v>
      </c>
      <c r="BT10" s="35"/>
      <c r="BU10" s="28"/>
      <c r="BV10" s="287"/>
      <c r="BW10" s="287">
        <v>0.94</v>
      </c>
      <c r="BX10" s="36"/>
      <c r="BY10" s="33"/>
      <c r="BZ10" s="34">
        <v>37.65</v>
      </c>
      <c r="CA10" s="35"/>
      <c r="CB10" s="35"/>
      <c r="CC10" s="235"/>
      <c r="CD10" s="235">
        <v>36.020000000000003</v>
      </c>
      <c r="CE10" s="36">
        <v>43.07</v>
      </c>
      <c r="CF10" s="28">
        <f t="shared" si="31"/>
        <v>166.15600000000001</v>
      </c>
      <c r="CG10" s="30">
        <v>23.498000000000001</v>
      </c>
      <c r="CH10" s="31"/>
      <c r="CI10" s="32"/>
      <c r="CJ10" s="33">
        <v>1.41</v>
      </c>
      <c r="CK10" s="33">
        <v>1.41</v>
      </c>
      <c r="CL10" s="35"/>
      <c r="CM10" s="36"/>
      <c r="CN10" s="286"/>
      <c r="CO10" s="249">
        <f t="shared" si="12"/>
        <v>0</v>
      </c>
      <c r="CP10" s="12">
        <f t="shared" si="12"/>
        <v>277.12338949999997</v>
      </c>
      <c r="CQ10" s="12">
        <f t="shared" si="12"/>
        <v>0</v>
      </c>
      <c r="CR10" s="14">
        <f t="shared" si="12"/>
        <v>0</v>
      </c>
      <c r="CS10" s="11">
        <f t="shared" si="12"/>
        <v>0</v>
      </c>
      <c r="CT10" s="11">
        <f t="shared" si="12"/>
        <v>35.367391800000007</v>
      </c>
      <c r="CU10" s="272">
        <f t="shared" si="12"/>
        <v>0</v>
      </c>
      <c r="CV10" s="249">
        <f t="shared" si="13"/>
        <v>163.8132004</v>
      </c>
      <c r="CW10" s="12">
        <f t="shared" si="13"/>
        <v>23.1666782</v>
      </c>
      <c r="CX10" s="249">
        <f t="shared" si="13"/>
        <v>0</v>
      </c>
      <c r="CY10" s="272">
        <f t="shared" si="13"/>
        <v>0</v>
      </c>
      <c r="CZ10" s="13"/>
      <c r="DA10" s="240">
        <f>(D10+'[2]май 20'!D10)/(AY10+'[2]май 20'!AX10)</f>
        <v>2.2906824258760108</v>
      </c>
      <c r="DB10" s="241">
        <f>(T10+'[2]май 20'!R10)/(AY10+'[2]май 20'!AX10)</f>
        <v>1.373346325456027</v>
      </c>
      <c r="DD10" s="292">
        <f t="shared" si="14"/>
        <v>5.9320000000000004</v>
      </c>
      <c r="DE10" s="291">
        <v>0.31</v>
      </c>
      <c r="DF10" s="291">
        <v>19.03</v>
      </c>
      <c r="DG10" s="145">
        <f t="shared" si="15"/>
        <v>5.9136108000000007</v>
      </c>
      <c r="DH10" s="293">
        <f t="shared" si="32"/>
        <v>1.5000801589442818</v>
      </c>
      <c r="DJ10" s="31">
        <v>190.387</v>
      </c>
      <c r="DK10" s="32">
        <v>71.358000000000004</v>
      </c>
      <c r="DL10" s="460">
        <f t="shared" si="33"/>
        <v>280.745</v>
      </c>
      <c r="DM10" s="30">
        <v>151.15600000000001</v>
      </c>
      <c r="DN10" s="460">
        <f t="shared" si="34"/>
        <v>166.15600000000001</v>
      </c>
    </row>
    <row r="11" spans="1:118" s="76" customFormat="1" ht="16.5" customHeight="1" thickBot="1">
      <c r="A11" s="144">
        <v>5</v>
      </c>
      <c r="B11" s="122">
        <f t="shared" si="16"/>
        <v>303.83999999999997</v>
      </c>
      <c r="C11" s="123">
        <f t="shared" si="17"/>
        <v>0.97807385466034757</v>
      </c>
      <c r="D11" s="145">
        <f t="shared" si="18"/>
        <v>300.86822039999993</v>
      </c>
      <c r="E11" s="125">
        <f t="shared" si="19"/>
        <v>37.221715047393374</v>
      </c>
      <c r="F11" s="146">
        <f t="shared" si="20"/>
        <v>2.4154481406551058</v>
      </c>
      <c r="G11" s="127"/>
      <c r="H11" s="126">
        <f t="shared" si="21"/>
        <v>2.4154481406551063</v>
      </c>
      <c r="I11" s="230">
        <f>'[1]июль 20'!AI10</f>
        <v>0</v>
      </c>
      <c r="J11" s="439">
        <f>'[1]май 20'!AA10</f>
        <v>5.6909999999999998</v>
      </c>
      <c r="K11" s="440">
        <f>'[1]сентябрь 20'!AM10</f>
        <v>0</v>
      </c>
      <c r="L11" s="441"/>
      <c r="M11" s="442">
        <f t="shared" si="22"/>
        <v>0</v>
      </c>
      <c r="N11" s="403">
        <f>'[1]май 20'!W10</f>
        <v>0</v>
      </c>
      <c r="O11" s="452">
        <f>'[1]май 20'!AU10</f>
        <v>0</v>
      </c>
      <c r="P11" s="401">
        <f t="shared" si="0"/>
        <v>182.56800000000001</v>
      </c>
      <c r="Q11" s="122">
        <f t="shared" si="23"/>
        <v>182.56800000000001</v>
      </c>
      <c r="R11" s="123">
        <f t="shared" si="24"/>
        <v>1.55</v>
      </c>
      <c r="S11" s="129">
        <v>8.5399999999999991</v>
      </c>
      <c r="T11" s="125">
        <f t="shared" si="1"/>
        <v>179.73819600000002</v>
      </c>
      <c r="U11" s="147">
        <f t="shared" si="2"/>
        <v>1.4429848747591525</v>
      </c>
      <c r="V11" s="130">
        <v>94.64</v>
      </c>
      <c r="W11" s="130">
        <v>29.92</v>
      </c>
      <c r="X11" s="129">
        <v>1.02</v>
      </c>
      <c r="Y11" s="131">
        <v>500</v>
      </c>
      <c r="Z11" s="131">
        <v>1177</v>
      </c>
      <c r="AA11" s="148" t="s">
        <v>252</v>
      </c>
      <c r="AB11" s="149">
        <v>75.010000000000005</v>
      </c>
      <c r="AC11" s="150">
        <v>114</v>
      </c>
      <c r="AD11" s="151">
        <v>4</v>
      </c>
      <c r="AE11" s="149">
        <v>5.0999999999999996</v>
      </c>
      <c r="AF11" s="134">
        <f t="shared" si="3"/>
        <v>40.944123314065507</v>
      </c>
      <c r="AG11" s="152"/>
      <c r="AH11" s="129">
        <v>76.8</v>
      </c>
      <c r="AI11" s="134">
        <f t="shared" si="4"/>
        <v>616.57032755298656</v>
      </c>
      <c r="AJ11" s="163">
        <v>15.37</v>
      </c>
      <c r="AK11" s="154"/>
      <c r="AL11" s="155">
        <v>6.34</v>
      </c>
      <c r="AM11" s="156">
        <v>30.69</v>
      </c>
      <c r="AN11" s="126">
        <f t="shared" si="25"/>
        <v>0.19247412982126061</v>
      </c>
      <c r="AO11" s="157" t="s">
        <v>203</v>
      </c>
      <c r="AP11" s="156">
        <v>9.56</v>
      </c>
      <c r="AQ11" s="156">
        <v>6.34</v>
      </c>
      <c r="AR11" s="149"/>
      <c r="AS11" s="149">
        <v>7.48</v>
      </c>
      <c r="AT11" s="149">
        <v>159.44999999999999</v>
      </c>
      <c r="AU11" s="149">
        <v>2.14</v>
      </c>
      <c r="AV11" s="149"/>
      <c r="AW11" s="149"/>
      <c r="AX11" s="158">
        <f t="shared" si="5"/>
        <v>0</v>
      </c>
      <c r="AY11" s="125">
        <f t="shared" si="6"/>
        <v>124.55999999999999</v>
      </c>
      <c r="AZ11" s="125">
        <f t="shared" si="35"/>
        <v>131.70454385593797</v>
      </c>
      <c r="BA11" s="159">
        <f t="shared" si="7"/>
        <v>4.4500732394366196</v>
      </c>
      <c r="BB11" s="160">
        <f t="shared" si="8"/>
        <v>4.9823999999999993</v>
      </c>
      <c r="BC11" s="161">
        <f t="shared" si="9"/>
        <v>0.83430542536542285</v>
      </c>
      <c r="BD11" s="160">
        <f t="shared" si="26"/>
        <v>9.432473239436618</v>
      </c>
      <c r="BE11" s="162">
        <v>0.83299999999999996</v>
      </c>
      <c r="BF11" s="25">
        <f t="shared" si="27"/>
        <v>637.42999999999995</v>
      </c>
      <c r="BG11" s="25">
        <f t="shared" si="10"/>
        <v>114.51612903225806</v>
      </c>
      <c r="BH11" s="25">
        <f t="shared" si="28"/>
        <v>572.58064516129036</v>
      </c>
      <c r="BI11" s="26">
        <f t="shared" si="11"/>
        <v>1</v>
      </c>
      <c r="BJ11" s="37">
        <f t="shared" si="29"/>
        <v>572.58064516129036</v>
      </c>
      <c r="BK11" s="38"/>
      <c r="BL11" s="28">
        <f t="shared" si="30"/>
        <v>271.238</v>
      </c>
      <c r="BM11" s="31"/>
      <c r="BN11" s="31"/>
      <c r="BO11" s="40"/>
      <c r="BP11" s="40">
        <v>32.601999999999997</v>
      </c>
      <c r="BQ11" s="32"/>
      <c r="BR11" s="33"/>
      <c r="BS11" s="34">
        <v>0.83</v>
      </c>
      <c r="BT11" s="35"/>
      <c r="BU11" s="28"/>
      <c r="BV11" s="287"/>
      <c r="BW11" s="287">
        <v>2.21</v>
      </c>
      <c r="BX11" s="36"/>
      <c r="BY11" s="33"/>
      <c r="BZ11" s="34">
        <v>37.270000000000003</v>
      </c>
      <c r="CA11" s="35"/>
      <c r="CB11" s="35"/>
      <c r="CC11" s="235"/>
      <c r="CD11" s="235">
        <v>36.82</v>
      </c>
      <c r="CE11" s="36">
        <v>43.25</v>
      </c>
      <c r="CF11" s="28">
        <f t="shared" si="31"/>
        <v>125.572</v>
      </c>
      <c r="CG11" s="30">
        <v>56.996000000000002</v>
      </c>
      <c r="CH11" s="31"/>
      <c r="CI11" s="32"/>
      <c r="CJ11" s="33">
        <v>1.55</v>
      </c>
      <c r="CK11" s="33">
        <v>1.55</v>
      </c>
      <c r="CL11" s="35"/>
      <c r="CM11" s="36"/>
      <c r="CN11" s="286"/>
      <c r="CO11" s="249">
        <f t="shared" si="12"/>
        <v>0</v>
      </c>
      <c r="CP11" s="12">
        <f t="shared" si="12"/>
        <v>268.9867246</v>
      </c>
      <c r="CQ11" s="15">
        <f t="shared" si="12"/>
        <v>0</v>
      </c>
      <c r="CR11" s="16">
        <f t="shared" si="12"/>
        <v>0</v>
      </c>
      <c r="CS11" s="11">
        <f t="shared" si="12"/>
        <v>0</v>
      </c>
      <c r="CT11" s="11">
        <f t="shared" si="12"/>
        <v>31.8814958</v>
      </c>
      <c r="CU11" s="272">
        <f t="shared" si="12"/>
        <v>0</v>
      </c>
      <c r="CV11" s="249">
        <f t="shared" si="13"/>
        <v>123.62563400000001</v>
      </c>
      <c r="CW11" s="12">
        <f t="shared" si="13"/>
        <v>56.112562000000004</v>
      </c>
      <c r="CX11" s="249">
        <f t="shared" si="13"/>
        <v>0</v>
      </c>
      <c r="CY11" s="272">
        <f t="shared" si="13"/>
        <v>0</v>
      </c>
      <c r="CZ11" s="13"/>
      <c r="DA11" s="240">
        <f>(D11+'[2]май 20'!D11)/(AY11+'[2]май 20'!AX11)</f>
        <v>2.2392047849236825</v>
      </c>
      <c r="DB11" s="241">
        <f>(T11+'[2]май 20'!R11)/(AY11+'[2]май 20'!AX11)</f>
        <v>1.3498279905773019</v>
      </c>
      <c r="DD11" s="292">
        <f t="shared" si="14"/>
        <v>5.6909999999999998</v>
      </c>
      <c r="DE11" s="291">
        <v>0.8</v>
      </c>
      <c r="DF11" s="407">
        <v>18.170000000000002</v>
      </c>
      <c r="DG11" s="145">
        <f t="shared" si="15"/>
        <v>5.6454719999999998</v>
      </c>
      <c r="DH11" s="293">
        <f t="shared" si="32"/>
        <v>1.367527346220504</v>
      </c>
      <c r="DJ11" s="31">
        <v>182.35599999999999</v>
      </c>
      <c r="DK11" s="32">
        <v>69.882000000000005</v>
      </c>
      <c r="DL11" s="460">
        <f t="shared" si="33"/>
        <v>271.238</v>
      </c>
      <c r="DM11" s="30">
        <v>110.572</v>
      </c>
      <c r="DN11" s="460">
        <f t="shared" si="34"/>
        <v>125.572</v>
      </c>
    </row>
    <row r="12" spans="1:118" s="76" customFormat="1" ht="16.5" customHeight="1" thickBot="1">
      <c r="A12" s="144">
        <v>6</v>
      </c>
      <c r="B12" s="122">
        <f t="shared" si="16"/>
        <v>296.25600000000003</v>
      </c>
      <c r="C12" s="123">
        <f t="shared" si="17"/>
        <v>1.2006496408511556</v>
      </c>
      <c r="D12" s="145">
        <f t="shared" si="18"/>
        <v>292.69900340000004</v>
      </c>
      <c r="E12" s="125">
        <f t="shared" si="19"/>
        <v>37.51938036697991</v>
      </c>
      <c r="F12" s="146">
        <f t="shared" si="20"/>
        <v>2.1982651400675937</v>
      </c>
      <c r="G12" s="127"/>
      <c r="H12" s="126">
        <f t="shared" si="21"/>
        <v>2.1982651400675937</v>
      </c>
      <c r="I12" s="230">
        <f>'[1]июль 20'!AI11</f>
        <v>0</v>
      </c>
      <c r="J12" s="277">
        <f>'[1]май 20'!AA11</f>
        <v>5.6319999999999997</v>
      </c>
      <c r="K12" s="437">
        <f>'[1]сентябрь 20'!AM11</f>
        <v>0</v>
      </c>
      <c r="L12" s="438"/>
      <c r="M12" s="443">
        <f t="shared" si="22"/>
        <v>0</v>
      </c>
      <c r="N12" s="403">
        <f>'[1]май 20'!W11</f>
        <v>0</v>
      </c>
      <c r="O12" s="455">
        <f>'[1]май 20'!AU11</f>
        <v>0</v>
      </c>
      <c r="P12" s="401">
        <f t="shared" si="0"/>
        <v>175.476</v>
      </c>
      <c r="Q12" s="122">
        <f t="shared" si="23"/>
        <v>175.476</v>
      </c>
      <c r="R12" s="123">
        <f t="shared" si="24"/>
        <v>1.4</v>
      </c>
      <c r="S12" s="129">
        <v>23.65</v>
      </c>
      <c r="T12" s="125">
        <f t="shared" si="1"/>
        <v>173.01933600000001</v>
      </c>
      <c r="U12" s="147">
        <f t="shared" si="2"/>
        <v>1.2994317386406311</v>
      </c>
      <c r="V12" s="130">
        <v>101.45</v>
      </c>
      <c r="W12" s="130">
        <v>70.150000000000006</v>
      </c>
      <c r="X12" s="129">
        <v>0.99</v>
      </c>
      <c r="Y12" s="131">
        <v>500</v>
      </c>
      <c r="Z12" s="150">
        <v>1174</v>
      </c>
      <c r="AA12" s="148" t="s">
        <v>253</v>
      </c>
      <c r="AB12" s="149">
        <v>75.14</v>
      </c>
      <c r="AC12" s="150">
        <v>111</v>
      </c>
      <c r="AD12" s="151">
        <v>4</v>
      </c>
      <c r="AE12" s="149">
        <v>2.95</v>
      </c>
      <c r="AF12" s="134">
        <f t="shared" si="3"/>
        <v>22.15546376267368</v>
      </c>
      <c r="AG12" s="152"/>
      <c r="AH12" s="129">
        <v>81.45</v>
      </c>
      <c r="AI12" s="134">
        <f t="shared" si="4"/>
        <v>611.71610965076991</v>
      </c>
      <c r="AJ12" s="153">
        <v>15.86</v>
      </c>
      <c r="AK12" s="154"/>
      <c r="AL12" s="155">
        <v>4.78</v>
      </c>
      <c r="AM12" s="156">
        <v>29.92</v>
      </c>
      <c r="AN12" s="126">
        <f t="shared" si="25"/>
        <v>0.18094950105836108</v>
      </c>
      <c r="AO12" s="157" t="s">
        <v>254</v>
      </c>
      <c r="AP12" s="156">
        <v>9.85</v>
      </c>
      <c r="AQ12" s="156">
        <v>6.89</v>
      </c>
      <c r="AR12" s="149"/>
      <c r="AS12" s="149">
        <v>6.76</v>
      </c>
      <c r="AT12" s="149">
        <v>165.35</v>
      </c>
      <c r="AU12" s="149">
        <v>2.5</v>
      </c>
      <c r="AV12" s="164"/>
      <c r="AW12" s="164"/>
      <c r="AX12" s="158">
        <f t="shared" si="5"/>
        <v>0</v>
      </c>
      <c r="AY12" s="125">
        <f t="shared" si="6"/>
        <v>133.14999999999998</v>
      </c>
      <c r="AZ12" s="125">
        <f t="shared" si="35"/>
        <v>128.91579258660204</v>
      </c>
      <c r="BA12" s="159">
        <f t="shared" si="7"/>
        <v>4.2652267605633796</v>
      </c>
      <c r="BB12" s="160">
        <f t="shared" si="8"/>
        <v>5.3259999999999996</v>
      </c>
      <c r="BC12" s="161">
        <f t="shared" si="9"/>
        <v>0.91103583582356229</v>
      </c>
      <c r="BD12" s="160">
        <f t="shared" si="26"/>
        <v>9.5912267605633801</v>
      </c>
      <c r="BE12" s="162">
        <v>0.84599999999999997</v>
      </c>
      <c r="BF12" s="25">
        <f t="shared" si="27"/>
        <v>770.57999999999993</v>
      </c>
      <c r="BG12" s="25">
        <f t="shared" si="10"/>
        <v>114.51612903225806</v>
      </c>
      <c r="BH12" s="25">
        <f t="shared" si="28"/>
        <v>687.09677419354841</v>
      </c>
      <c r="BI12" s="26">
        <f t="shared" si="11"/>
        <v>1</v>
      </c>
      <c r="BJ12" s="37">
        <f t="shared" si="29"/>
        <v>687.09677419354841</v>
      </c>
      <c r="BK12" s="38"/>
      <c r="BL12" s="28">
        <f t="shared" si="30"/>
        <v>268.55500000000001</v>
      </c>
      <c r="BM12" s="31"/>
      <c r="BN12" s="31"/>
      <c r="BO12" s="40"/>
      <c r="BP12" s="40">
        <v>27.701000000000001</v>
      </c>
      <c r="BQ12" s="32"/>
      <c r="BR12" s="33"/>
      <c r="BS12" s="34">
        <v>1.21</v>
      </c>
      <c r="BT12" s="33"/>
      <c r="BU12" s="28"/>
      <c r="BV12" s="287"/>
      <c r="BW12" s="287">
        <v>1.1100000000000001</v>
      </c>
      <c r="BX12" s="36"/>
      <c r="BY12" s="33"/>
      <c r="BZ12" s="34">
        <v>37.64</v>
      </c>
      <c r="CA12" s="33"/>
      <c r="CB12" s="35"/>
      <c r="CC12" s="235"/>
      <c r="CD12" s="235">
        <v>36.35</v>
      </c>
      <c r="CE12" s="36">
        <v>43.09</v>
      </c>
      <c r="CF12" s="28">
        <f t="shared" si="31"/>
        <v>120.99</v>
      </c>
      <c r="CG12" s="30">
        <v>54.485999999999997</v>
      </c>
      <c r="CH12" s="31"/>
      <c r="CI12" s="32"/>
      <c r="CJ12" s="33">
        <v>1.4</v>
      </c>
      <c r="CK12" s="33">
        <v>1.4</v>
      </c>
      <c r="CL12" s="35"/>
      <c r="CM12" s="36"/>
      <c r="CN12" s="286"/>
      <c r="CO12" s="249">
        <f t="shared" si="12"/>
        <v>0</v>
      </c>
      <c r="CP12" s="12">
        <f t="shared" si="12"/>
        <v>265.30548450000003</v>
      </c>
      <c r="CQ12" s="12">
        <f t="shared" si="12"/>
        <v>0</v>
      </c>
      <c r="CR12" s="12">
        <f t="shared" si="12"/>
        <v>0</v>
      </c>
      <c r="CS12" s="11">
        <f t="shared" si="12"/>
        <v>0</v>
      </c>
      <c r="CT12" s="11">
        <f t="shared" si="12"/>
        <v>27.3935189</v>
      </c>
      <c r="CU12" s="272">
        <f t="shared" si="12"/>
        <v>0</v>
      </c>
      <c r="CV12" s="249">
        <f t="shared" si="13"/>
        <v>119.29613999999999</v>
      </c>
      <c r="CW12" s="12">
        <f t="shared" si="13"/>
        <v>53.723195999999994</v>
      </c>
      <c r="CX12" s="252">
        <f t="shared" si="13"/>
        <v>0</v>
      </c>
      <c r="CY12" s="272">
        <f t="shared" si="13"/>
        <v>0</v>
      </c>
      <c r="CZ12" s="13"/>
      <c r="DA12" s="240">
        <f>(D12+'[2]май 20'!D12)/(AY12+'[2]май 20'!AX12)</f>
        <v>2.2806964753150112</v>
      </c>
      <c r="DB12" s="241">
        <f>(T12+'[2]май 20'!R12)/(AY12+'[2]май 20'!AX12)</f>
        <v>1.3606895413188256</v>
      </c>
      <c r="DD12" s="292">
        <f t="shared" si="14"/>
        <v>5.6319999999999997</v>
      </c>
      <c r="DE12" s="291">
        <v>0.14000000000000001</v>
      </c>
      <c r="DF12" s="291">
        <v>17.7</v>
      </c>
      <c r="DG12" s="145">
        <f t="shared" si="15"/>
        <v>5.6241152000000003</v>
      </c>
      <c r="DH12" s="293">
        <f t="shared" si="32"/>
        <v>1.3248181932392868</v>
      </c>
      <c r="DJ12" s="31">
        <v>175.83600000000001</v>
      </c>
      <c r="DK12" s="32">
        <v>73.718999999999994</v>
      </c>
      <c r="DL12" s="460">
        <f t="shared" si="33"/>
        <v>268.55500000000001</v>
      </c>
      <c r="DM12" s="30">
        <v>105.99</v>
      </c>
      <c r="DN12" s="460">
        <f t="shared" si="34"/>
        <v>120.99</v>
      </c>
    </row>
    <row r="13" spans="1:118" s="76" customFormat="1" ht="16.5" customHeight="1" thickBot="1">
      <c r="A13" s="144">
        <v>7</v>
      </c>
      <c r="B13" s="122">
        <f t="shared" si="16"/>
        <v>289.01100000000002</v>
      </c>
      <c r="C13" s="123">
        <f t="shared" si="17"/>
        <v>1.0392116909044984</v>
      </c>
      <c r="D13" s="145">
        <f t="shared" si="18"/>
        <v>286.00756390000004</v>
      </c>
      <c r="E13" s="125">
        <f t="shared" si="19"/>
        <v>37.943806048904719</v>
      </c>
      <c r="F13" s="146">
        <f t="shared" si="20"/>
        <v>2.2145378544328302</v>
      </c>
      <c r="G13" s="127"/>
      <c r="H13" s="126">
        <f t="shared" si="21"/>
        <v>2.2145378544328302</v>
      </c>
      <c r="I13" s="230">
        <f>'[1]июль 20'!AI12</f>
        <v>0</v>
      </c>
      <c r="J13" s="439">
        <f>'[1]май 20'!AA12</f>
        <v>6.1509999999999998</v>
      </c>
      <c r="K13" s="440">
        <f>'[1]сентябрь 20'!AM12</f>
        <v>0</v>
      </c>
      <c r="L13" s="441"/>
      <c r="M13" s="442">
        <f t="shared" si="22"/>
        <v>0</v>
      </c>
      <c r="N13" s="403">
        <f>'[1]май 20'!W12</f>
        <v>0</v>
      </c>
      <c r="O13" s="452">
        <f>'[1]май 20'!AU12</f>
        <v>0</v>
      </c>
      <c r="P13" s="401">
        <f t="shared" si="0"/>
        <v>171.96</v>
      </c>
      <c r="Q13" s="122">
        <f t="shared" si="23"/>
        <v>171.96</v>
      </c>
      <c r="R13" s="123">
        <f t="shared" si="24"/>
        <v>1.3599999999999999</v>
      </c>
      <c r="S13" s="129"/>
      <c r="T13" s="125">
        <f t="shared" si="1"/>
        <v>169.62134400000002</v>
      </c>
      <c r="U13" s="147">
        <f t="shared" si="2"/>
        <v>1.3133669686411151</v>
      </c>
      <c r="V13" s="130"/>
      <c r="W13" s="130">
        <v>129.15</v>
      </c>
      <c r="X13" s="129">
        <v>0.73</v>
      </c>
      <c r="Y13" s="165">
        <v>489</v>
      </c>
      <c r="Z13" s="166">
        <v>1179</v>
      </c>
      <c r="AA13" s="148" t="s">
        <v>255</v>
      </c>
      <c r="AB13" s="149">
        <v>74.319999999999993</v>
      </c>
      <c r="AC13" s="150">
        <v>108</v>
      </c>
      <c r="AD13" s="151">
        <v>4</v>
      </c>
      <c r="AE13" s="149">
        <v>2.5</v>
      </c>
      <c r="AF13" s="134">
        <f t="shared" si="3"/>
        <v>19.357336430507161</v>
      </c>
      <c r="AG13" s="152"/>
      <c r="AH13" s="129">
        <v>88.9</v>
      </c>
      <c r="AI13" s="134">
        <f t="shared" si="4"/>
        <v>688.34688346883468</v>
      </c>
      <c r="AJ13" s="136">
        <v>15.92</v>
      </c>
      <c r="AK13" s="154"/>
      <c r="AL13" s="155">
        <v>6.56</v>
      </c>
      <c r="AM13" s="156">
        <v>29.27</v>
      </c>
      <c r="AN13" s="126">
        <f t="shared" si="25"/>
        <v>0.17858450274557655</v>
      </c>
      <c r="AO13" s="157" t="s">
        <v>151</v>
      </c>
      <c r="AP13" s="156">
        <v>9.5</v>
      </c>
      <c r="AQ13" s="156">
        <v>6.63</v>
      </c>
      <c r="AR13" s="149"/>
      <c r="AS13" s="149">
        <v>8</v>
      </c>
      <c r="AT13" s="149">
        <v>163.9</v>
      </c>
      <c r="AU13" s="149">
        <v>1.08</v>
      </c>
      <c r="AV13" s="149"/>
      <c r="AW13" s="149"/>
      <c r="AX13" s="158">
        <f t="shared" si="5"/>
        <v>0</v>
      </c>
      <c r="AY13" s="125">
        <f t="shared" si="6"/>
        <v>129.15</v>
      </c>
      <c r="AZ13" s="125">
        <f t="shared" si="35"/>
        <v>129.08490260721715</v>
      </c>
      <c r="BA13" s="159">
        <f t="shared" si="7"/>
        <v>5.509295774647887</v>
      </c>
      <c r="BB13" s="160">
        <f t="shared" si="8"/>
        <v>5.1660000000000004</v>
      </c>
      <c r="BC13" s="161">
        <f t="shared" si="9"/>
        <v>0.88446713675079403</v>
      </c>
      <c r="BD13" s="160">
        <f t="shared" si="26"/>
        <v>10.675295774647887</v>
      </c>
      <c r="BE13" s="162">
        <v>0.85099999999999998</v>
      </c>
      <c r="BF13" s="25">
        <f t="shared" si="27"/>
        <v>899.7299999999999</v>
      </c>
      <c r="BG13" s="25">
        <f t="shared" si="10"/>
        <v>114.51612903225806</v>
      </c>
      <c r="BH13" s="25">
        <f t="shared" si="28"/>
        <v>801.61290322580646</v>
      </c>
      <c r="BI13" s="26">
        <f t="shared" si="11"/>
        <v>1</v>
      </c>
      <c r="BJ13" s="37">
        <f t="shared" si="29"/>
        <v>801.61290322580646</v>
      </c>
      <c r="BK13" s="39"/>
      <c r="BL13" s="28">
        <f t="shared" si="30"/>
        <v>261.98</v>
      </c>
      <c r="BM13" s="325"/>
      <c r="BN13" s="31"/>
      <c r="BO13" s="40"/>
      <c r="BP13" s="40">
        <v>27.030999999999999</v>
      </c>
      <c r="BQ13" s="32"/>
      <c r="BR13" s="33"/>
      <c r="BS13" s="34">
        <v>0.97</v>
      </c>
      <c r="BT13" s="33"/>
      <c r="BU13" s="28"/>
      <c r="BV13" s="287"/>
      <c r="BW13" s="287">
        <v>1.71</v>
      </c>
      <c r="BX13" s="36"/>
      <c r="BY13" s="33"/>
      <c r="BZ13" s="34">
        <v>38.1</v>
      </c>
      <c r="CA13" s="33"/>
      <c r="CB13" s="35"/>
      <c r="CC13" s="235"/>
      <c r="CD13" s="235">
        <v>36.43</v>
      </c>
      <c r="CE13" s="36">
        <v>43.36</v>
      </c>
      <c r="CF13" s="28">
        <f t="shared" si="31"/>
        <v>117.97</v>
      </c>
      <c r="CG13" s="30">
        <v>53.99</v>
      </c>
      <c r="CH13" s="30"/>
      <c r="CI13" s="32"/>
      <c r="CJ13" s="33">
        <v>1.36</v>
      </c>
      <c r="CK13" s="33">
        <v>1.36</v>
      </c>
      <c r="CL13" s="33"/>
      <c r="CM13" s="36"/>
      <c r="CN13" s="286"/>
      <c r="CO13" s="249">
        <f t="shared" si="12"/>
        <v>0</v>
      </c>
      <c r="CP13" s="12">
        <f t="shared" si="12"/>
        <v>259.43879400000003</v>
      </c>
      <c r="CQ13" s="12">
        <f t="shared" si="12"/>
        <v>0</v>
      </c>
      <c r="CR13" s="12">
        <f t="shared" si="12"/>
        <v>0</v>
      </c>
      <c r="CS13" s="11">
        <f t="shared" si="12"/>
        <v>0</v>
      </c>
      <c r="CT13" s="11">
        <f t="shared" si="12"/>
        <v>26.568769900000003</v>
      </c>
      <c r="CU13" s="272">
        <f t="shared" si="12"/>
        <v>0</v>
      </c>
      <c r="CV13" s="249">
        <f t="shared" si="13"/>
        <v>116.36560800000001</v>
      </c>
      <c r="CW13" s="251">
        <f t="shared" si="13"/>
        <v>53.255736000000006</v>
      </c>
      <c r="CX13" s="249">
        <f t="shared" si="13"/>
        <v>0</v>
      </c>
      <c r="CY13" s="272">
        <f t="shared" si="13"/>
        <v>0</v>
      </c>
      <c r="CZ13" s="13"/>
      <c r="DA13" s="240">
        <f>(D13+'[2]май 20'!D13)/(AY13+'[2]май 20'!AX13)</f>
        <v>2.2309533179942873</v>
      </c>
      <c r="DB13" s="241">
        <f>(T13+'[2]май 20'!R13)/(AY13+'[2]май 20'!AX13)</f>
        <v>1.3152057886385276</v>
      </c>
      <c r="DD13" s="292">
        <f t="shared" si="14"/>
        <v>6.1509999999999998</v>
      </c>
      <c r="DE13" s="291">
        <v>0.18</v>
      </c>
      <c r="DF13" s="291">
        <v>19.48</v>
      </c>
      <c r="DG13" s="145">
        <f t="shared" si="15"/>
        <v>6.1399281999999999</v>
      </c>
      <c r="DH13" s="293">
        <f t="shared" si="32"/>
        <v>1.6093353247578042</v>
      </c>
      <c r="DJ13" s="40">
        <v>167.36600000000001</v>
      </c>
      <c r="DK13" s="32">
        <v>75.614000000000004</v>
      </c>
      <c r="DL13" s="460">
        <f t="shared" si="33"/>
        <v>261.98</v>
      </c>
      <c r="DM13" s="30">
        <v>102.97</v>
      </c>
      <c r="DN13" s="460">
        <f t="shared" si="34"/>
        <v>117.97</v>
      </c>
    </row>
    <row r="14" spans="1:118" s="76" customFormat="1" ht="16.5" customHeight="1" thickBot="1">
      <c r="A14" s="144">
        <v>8</v>
      </c>
      <c r="B14" s="122">
        <f t="shared" si="16"/>
        <v>289.06099999999998</v>
      </c>
      <c r="C14" s="123">
        <f t="shared" si="17"/>
        <v>1.3390679130010623</v>
      </c>
      <c r="D14" s="145">
        <f t="shared" si="18"/>
        <v>285.19027690000001</v>
      </c>
      <c r="E14" s="125">
        <f t="shared" si="19"/>
        <v>37.898388782990445</v>
      </c>
      <c r="F14" s="146">
        <f t="shared" si="20"/>
        <v>2.3256158925222219</v>
      </c>
      <c r="G14" s="127"/>
      <c r="H14" s="126">
        <f t="shared" si="21"/>
        <v>2.3256158925222219</v>
      </c>
      <c r="I14" s="230">
        <f>'[1]июль 20'!AI13</f>
        <v>0</v>
      </c>
      <c r="J14" s="451">
        <f>'[1]май 20'!AA13</f>
        <v>5.3860000000000001</v>
      </c>
      <c r="K14" s="445">
        <f>'[1]сентябрь 20'!AM13</f>
        <v>0</v>
      </c>
      <c r="L14" s="446"/>
      <c r="M14" s="447">
        <f t="shared" si="22"/>
        <v>0</v>
      </c>
      <c r="N14" s="403">
        <f>'[1]май 20'!W13</f>
        <v>0</v>
      </c>
      <c r="O14" s="456">
        <f>'[1]май 20'!AU13</f>
        <v>0</v>
      </c>
      <c r="P14" s="401">
        <f t="shared" si="0"/>
        <v>171.31399999999999</v>
      </c>
      <c r="Q14" s="122">
        <f t="shared" si="23"/>
        <v>171.31399999999999</v>
      </c>
      <c r="R14" s="123">
        <f t="shared" si="24"/>
        <v>1.8100000000000003</v>
      </c>
      <c r="S14" s="129"/>
      <c r="T14" s="125">
        <f t="shared" si="1"/>
        <v>168.21321659999998</v>
      </c>
      <c r="U14" s="147">
        <f t="shared" si="2"/>
        <v>1.3717134192285738</v>
      </c>
      <c r="V14" s="130">
        <v>30.12</v>
      </c>
      <c r="W14" s="130">
        <v>63.71</v>
      </c>
      <c r="X14" s="129">
        <v>0.83</v>
      </c>
      <c r="Y14" s="131">
        <v>494</v>
      </c>
      <c r="Z14" s="150">
        <v>1176</v>
      </c>
      <c r="AA14" s="148" t="s">
        <v>256</v>
      </c>
      <c r="AB14" s="149">
        <v>74.55</v>
      </c>
      <c r="AC14" s="150">
        <v>108</v>
      </c>
      <c r="AD14" s="151">
        <v>4</v>
      </c>
      <c r="AE14" s="149">
        <v>3.45</v>
      </c>
      <c r="AF14" s="134">
        <f t="shared" si="3"/>
        <v>28.133409443040044</v>
      </c>
      <c r="AG14" s="152"/>
      <c r="AH14" s="129">
        <v>68.5</v>
      </c>
      <c r="AI14" s="134">
        <f t="shared" si="4"/>
        <v>558.59088314441829</v>
      </c>
      <c r="AJ14" s="153">
        <v>17.12</v>
      </c>
      <c r="AK14" s="154"/>
      <c r="AL14" s="155">
        <v>5.52</v>
      </c>
      <c r="AM14" s="156">
        <v>29.98</v>
      </c>
      <c r="AN14" s="126">
        <f t="shared" si="25"/>
        <v>0.19174928046050529</v>
      </c>
      <c r="AO14" s="157" t="s">
        <v>204</v>
      </c>
      <c r="AP14" s="156">
        <v>9.67</v>
      </c>
      <c r="AQ14" s="156">
        <v>6.08</v>
      </c>
      <c r="AR14" s="149"/>
      <c r="AS14" s="149">
        <v>7.44</v>
      </c>
      <c r="AT14" s="149">
        <v>156.35</v>
      </c>
      <c r="AU14" s="149">
        <v>1.78</v>
      </c>
      <c r="AV14" s="149"/>
      <c r="AW14" s="149"/>
      <c r="AX14" s="158">
        <f t="shared" si="5"/>
        <v>0</v>
      </c>
      <c r="AY14" s="125">
        <f t="shared" si="6"/>
        <v>122.62999999999998</v>
      </c>
      <c r="AZ14" s="125">
        <f t="shared" si="35"/>
        <v>127.72470016924369</v>
      </c>
      <c r="BA14" s="159">
        <f t="shared" si="7"/>
        <v>3.9479154929577462</v>
      </c>
      <c r="BB14" s="160">
        <f t="shared" si="8"/>
        <v>4.9051999999999998</v>
      </c>
      <c r="BC14" s="161">
        <f t="shared" si="9"/>
        <v>0.84584135413763117</v>
      </c>
      <c r="BD14" s="159">
        <f t="shared" si="26"/>
        <v>8.8531154929577465</v>
      </c>
      <c r="BE14" s="167">
        <v>0.85</v>
      </c>
      <c r="BF14" s="25">
        <f t="shared" si="27"/>
        <v>1022.3599999999999</v>
      </c>
      <c r="BG14" s="25">
        <f t="shared" si="10"/>
        <v>114.51612903225806</v>
      </c>
      <c r="BH14" s="25">
        <f t="shared" si="28"/>
        <v>916.12903225806451</v>
      </c>
      <c r="BI14" s="26">
        <f t="shared" si="11"/>
        <v>1</v>
      </c>
      <c r="BJ14" s="37">
        <f t="shared" si="29"/>
        <v>916.12903225806451</v>
      </c>
      <c r="BK14" s="39"/>
      <c r="BL14" s="28">
        <f t="shared" si="30"/>
        <v>262.11799999999999</v>
      </c>
      <c r="BM14" s="325"/>
      <c r="BN14" s="31"/>
      <c r="BO14" s="40"/>
      <c r="BP14" s="40">
        <v>26.943000000000001</v>
      </c>
      <c r="BQ14" s="32"/>
      <c r="BR14" s="33"/>
      <c r="BS14" s="34">
        <v>1.34</v>
      </c>
      <c r="BT14" s="33"/>
      <c r="BU14" s="28"/>
      <c r="BV14" s="287"/>
      <c r="BW14" s="287">
        <v>1.33</v>
      </c>
      <c r="BX14" s="36"/>
      <c r="BY14" s="33"/>
      <c r="BZ14" s="34">
        <v>37.89</v>
      </c>
      <c r="CA14" s="33"/>
      <c r="CB14" s="35"/>
      <c r="CC14" s="235"/>
      <c r="CD14" s="235">
        <v>37.979999999999997</v>
      </c>
      <c r="CE14" s="36">
        <v>43.23</v>
      </c>
      <c r="CF14" s="28">
        <f t="shared" si="31"/>
        <v>117.371</v>
      </c>
      <c r="CG14" s="30">
        <v>53.942999999999998</v>
      </c>
      <c r="CH14" s="30"/>
      <c r="CI14" s="32"/>
      <c r="CJ14" s="33">
        <v>1.81</v>
      </c>
      <c r="CK14" s="33">
        <v>1.81</v>
      </c>
      <c r="CL14" s="33"/>
      <c r="CM14" s="36"/>
      <c r="CN14" s="286"/>
      <c r="CO14" s="249">
        <f t="shared" si="12"/>
        <v>0</v>
      </c>
      <c r="CP14" s="12">
        <f t="shared" si="12"/>
        <v>258.6056188</v>
      </c>
      <c r="CQ14" s="12">
        <f t="shared" si="12"/>
        <v>0</v>
      </c>
      <c r="CR14" s="12">
        <f t="shared" si="12"/>
        <v>0</v>
      </c>
      <c r="CS14" s="11">
        <f t="shared" si="12"/>
        <v>0</v>
      </c>
      <c r="CT14" s="11">
        <f t="shared" si="12"/>
        <v>26.584658100000002</v>
      </c>
      <c r="CU14" s="272">
        <f t="shared" si="12"/>
        <v>0</v>
      </c>
      <c r="CV14" s="249">
        <f t="shared" si="13"/>
        <v>115.24658489999999</v>
      </c>
      <c r="CW14" s="12">
        <f t="shared" si="13"/>
        <v>52.966631700000001</v>
      </c>
      <c r="CX14" s="252">
        <f t="shared" si="13"/>
        <v>0</v>
      </c>
      <c r="CY14" s="272">
        <f t="shared" si="13"/>
        <v>0</v>
      </c>
      <c r="CZ14" s="13"/>
      <c r="DA14" s="240">
        <f>(D14+'[2]май 20'!D14)/(AY14+'[2]май 20'!AX14)</f>
        <v>2.2597061949765318</v>
      </c>
      <c r="DB14" s="241">
        <f>(T14+'[2]май 20'!R14)/(AY14+'[2]май 20'!AX14)</f>
        <v>1.314452672206013</v>
      </c>
      <c r="DD14" s="292">
        <f t="shared" si="14"/>
        <v>5.3860000000000001</v>
      </c>
      <c r="DE14" s="291">
        <v>0.2</v>
      </c>
      <c r="DF14" s="291">
        <v>16.05</v>
      </c>
      <c r="DG14" s="145">
        <f t="shared" si="15"/>
        <v>5.3752279999999999</v>
      </c>
      <c r="DH14" s="293">
        <f t="shared" si="32"/>
        <v>1.1572422454728373</v>
      </c>
      <c r="DJ14" s="40">
        <v>167.54400000000001</v>
      </c>
      <c r="DK14" s="32">
        <v>75.573999999999998</v>
      </c>
      <c r="DL14" s="460">
        <f t="shared" si="33"/>
        <v>262.11799999999999</v>
      </c>
      <c r="DM14" s="30">
        <v>102.371</v>
      </c>
      <c r="DN14" s="460">
        <f t="shared" si="34"/>
        <v>117.371</v>
      </c>
    </row>
    <row r="15" spans="1:118" s="76" customFormat="1" ht="16.5" customHeight="1" thickBot="1">
      <c r="A15" s="144">
        <v>9</v>
      </c>
      <c r="B15" s="122">
        <f t="shared" si="16"/>
        <v>281.43399999999997</v>
      </c>
      <c r="C15" s="123">
        <f t="shared" si="17"/>
        <v>0.72934286546756966</v>
      </c>
      <c r="D15" s="145">
        <f t="shared" si="18"/>
        <v>279.38138119999996</v>
      </c>
      <c r="E15" s="125">
        <f t="shared" si="19"/>
        <v>37.854702772230794</v>
      </c>
      <c r="F15" s="146">
        <f t="shared" si="20"/>
        <v>2.1484264933866499</v>
      </c>
      <c r="G15" s="127"/>
      <c r="H15" s="126">
        <f t="shared" si="21"/>
        <v>2.1484264933866499</v>
      </c>
      <c r="I15" s="230">
        <f>'[1]июль 20'!AI14</f>
        <v>0</v>
      </c>
      <c r="J15" s="277">
        <f>'[1]май 20'!AA14</f>
        <v>5.3310000000000004</v>
      </c>
      <c r="K15" s="437">
        <f>'[1]сентябрь 20'!AM14</f>
        <v>0</v>
      </c>
      <c r="L15" s="438"/>
      <c r="M15" s="443">
        <f t="shared" si="22"/>
        <v>0</v>
      </c>
      <c r="N15" s="403">
        <f>'[1]май 20'!W14</f>
        <v>0</v>
      </c>
      <c r="O15" s="453">
        <f>'[1]май 20'!AU14</f>
        <v>0</v>
      </c>
      <c r="P15" s="401">
        <f t="shared" si="0"/>
        <v>167.13400000000001</v>
      </c>
      <c r="Q15" s="122">
        <f t="shared" si="23"/>
        <v>167.13400000000001</v>
      </c>
      <c r="R15" s="123">
        <f t="shared" si="24"/>
        <v>1.3399999999999999</v>
      </c>
      <c r="S15" s="129">
        <v>28.08</v>
      </c>
      <c r="T15" s="125">
        <f t="shared" si="1"/>
        <v>164.89440440000001</v>
      </c>
      <c r="U15" s="147">
        <f t="shared" si="2"/>
        <v>1.2680283328206707</v>
      </c>
      <c r="V15" s="130">
        <v>33.47</v>
      </c>
      <c r="W15" s="130">
        <v>96.57</v>
      </c>
      <c r="X15" s="129">
        <v>0.71</v>
      </c>
      <c r="Y15" s="131">
        <v>495</v>
      </c>
      <c r="Z15" s="150">
        <v>1175</v>
      </c>
      <c r="AA15" s="148" t="s">
        <v>257</v>
      </c>
      <c r="AB15" s="149">
        <v>74.599999999999994</v>
      </c>
      <c r="AC15" s="150">
        <v>106</v>
      </c>
      <c r="AD15" s="151">
        <v>4</v>
      </c>
      <c r="AE15" s="149">
        <v>3.95</v>
      </c>
      <c r="AF15" s="134">
        <f t="shared" si="3"/>
        <v>30.37526914795448</v>
      </c>
      <c r="AG15" s="152"/>
      <c r="AH15" s="129">
        <v>82.15</v>
      </c>
      <c r="AI15" s="134">
        <f t="shared" si="4"/>
        <v>631.7286988618888</v>
      </c>
      <c r="AJ15" s="136">
        <v>16.18</v>
      </c>
      <c r="AK15" s="154"/>
      <c r="AL15" s="155">
        <v>4.28</v>
      </c>
      <c r="AM15" s="156">
        <v>31.11</v>
      </c>
      <c r="AN15" s="126">
        <f t="shared" si="25"/>
        <v>0.1897529734675206</v>
      </c>
      <c r="AO15" s="157" t="s">
        <v>258</v>
      </c>
      <c r="AP15" s="156">
        <v>9.5500000000000007</v>
      </c>
      <c r="AQ15" s="156">
        <v>6.58</v>
      </c>
      <c r="AR15" s="149"/>
      <c r="AS15" s="149">
        <v>8.3000000000000007</v>
      </c>
      <c r="AT15" s="149">
        <v>163.95</v>
      </c>
      <c r="AU15" s="149">
        <v>1.48</v>
      </c>
      <c r="AV15" s="149"/>
      <c r="AW15" s="149"/>
      <c r="AX15" s="158">
        <f t="shared" si="5"/>
        <v>0</v>
      </c>
      <c r="AY15" s="125">
        <f t="shared" si="6"/>
        <v>130.04</v>
      </c>
      <c r="AZ15" s="125">
        <f t="shared" si="35"/>
        <v>124.94967818186062</v>
      </c>
      <c r="BA15" s="159">
        <f t="shared" si="7"/>
        <v>5.2818978873239448</v>
      </c>
      <c r="BB15" s="160">
        <f t="shared" si="8"/>
        <v>5.2016</v>
      </c>
      <c r="BC15" s="161">
        <f t="shared" si="9"/>
        <v>0.91727274122124258</v>
      </c>
      <c r="BD15" s="159">
        <f t="shared" si="26"/>
        <v>10.483497887323946</v>
      </c>
      <c r="BE15" s="167">
        <v>0.85699999999999998</v>
      </c>
      <c r="BF15" s="25">
        <f t="shared" si="27"/>
        <v>1152.3999999999999</v>
      </c>
      <c r="BG15" s="25">
        <f t="shared" si="10"/>
        <v>114.51612903225806</v>
      </c>
      <c r="BH15" s="25">
        <f t="shared" si="28"/>
        <v>1030.6451612903227</v>
      </c>
      <c r="BI15" s="26">
        <f t="shared" si="11"/>
        <v>1</v>
      </c>
      <c r="BJ15" s="37">
        <f t="shared" si="29"/>
        <v>1030.6451612903227</v>
      </c>
      <c r="BK15" s="38"/>
      <c r="BL15" s="28">
        <f t="shared" si="30"/>
        <v>255.14</v>
      </c>
      <c r="BM15" s="31"/>
      <c r="BN15" s="31"/>
      <c r="BO15" s="40"/>
      <c r="BP15" s="40">
        <v>26.294</v>
      </c>
      <c r="BQ15" s="32"/>
      <c r="BR15" s="33"/>
      <c r="BS15" s="35">
        <v>0.72</v>
      </c>
      <c r="BT15" s="35"/>
      <c r="BU15" s="28"/>
      <c r="BV15" s="287"/>
      <c r="BW15" s="287">
        <v>0.82</v>
      </c>
      <c r="BX15" s="36"/>
      <c r="BY15" s="33"/>
      <c r="BZ15" s="34">
        <v>37.950000000000003</v>
      </c>
      <c r="CA15" s="35"/>
      <c r="CB15" s="35"/>
      <c r="CC15" s="35"/>
      <c r="CD15" s="35">
        <v>36.93</v>
      </c>
      <c r="CE15" s="35">
        <v>43.21</v>
      </c>
      <c r="CF15" s="28">
        <f t="shared" si="31"/>
        <v>114.614</v>
      </c>
      <c r="CG15" s="30">
        <v>52.52</v>
      </c>
      <c r="CH15" s="30"/>
      <c r="CI15" s="32"/>
      <c r="CJ15" s="33">
        <v>1.34</v>
      </c>
      <c r="CK15" s="33">
        <v>1.34</v>
      </c>
      <c r="CL15" s="33"/>
      <c r="CM15" s="36"/>
      <c r="CN15" s="286"/>
      <c r="CO15" s="249">
        <f t="shared" si="12"/>
        <v>0</v>
      </c>
      <c r="CP15" s="12">
        <f t="shared" si="12"/>
        <v>253.30299199999999</v>
      </c>
      <c r="CQ15" s="12">
        <f t="shared" si="12"/>
        <v>0</v>
      </c>
      <c r="CR15" s="17">
        <f t="shared" si="12"/>
        <v>0</v>
      </c>
      <c r="CS15" s="11">
        <f t="shared" si="12"/>
        <v>0</v>
      </c>
      <c r="CT15" s="11">
        <f t="shared" si="12"/>
        <v>26.0783892</v>
      </c>
      <c r="CU15" s="272">
        <f t="shared" si="12"/>
        <v>0</v>
      </c>
      <c r="CV15" s="249">
        <f t="shared" si="13"/>
        <v>113.0781724</v>
      </c>
      <c r="CW15" s="12">
        <f t="shared" si="13"/>
        <v>51.816231999999999</v>
      </c>
      <c r="CX15" s="249">
        <f t="shared" si="13"/>
        <v>0</v>
      </c>
      <c r="CY15" s="274">
        <f t="shared" si="13"/>
        <v>0</v>
      </c>
      <c r="CZ15" s="13"/>
      <c r="DA15" s="240">
        <f>(D15+'[2]май 20'!D15)/(AY15+'[2]май 20'!AX15)</f>
        <v>2.2011491549426996</v>
      </c>
      <c r="DB15" s="241">
        <f>(T15+'[2]май 20'!R15)/(AY15+'[2]май 20'!AX15)</f>
        <v>1.2768545743656634</v>
      </c>
      <c r="DD15" s="292">
        <f t="shared" si="14"/>
        <v>5.3310000000000004</v>
      </c>
      <c r="DE15" s="291">
        <v>0.13</v>
      </c>
      <c r="DF15" s="291">
        <v>16.62</v>
      </c>
      <c r="DG15" s="145">
        <f t="shared" si="15"/>
        <v>5.3240697000000008</v>
      </c>
      <c r="DH15" s="293">
        <f t="shared" si="32"/>
        <v>1.1861399251206437</v>
      </c>
      <c r="DJ15" s="42">
        <v>162.745</v>
      </c>
      <c r="DK15" s="32">
        <v>73.394999999999996</v>
      </c>
      <c r="DL15" s="460">
        <f t="shared" si="33"/>
        <v>255.14</v>
      </c>
      <c r="DM15" s="38">
        <v>99.614000000000004</v>
      </c>
      <c r="DN15" s="460">
        <f t="shared" si="34"/>
        <v>114.614</v>
      </c>
    </row>
    <row r="16" spans="1:118" s="76" customFormat="1" ht="16.5" customHeight="1" thickBot="1">
      <c r="A16" s="144">
        <v>10</v>
      </c>
      <c r="B16" s="122">
        <f t="shared" si="16"/>
        <v>296.45800000000003</v>
      </c>
      <c r="C16" s="123">
        <f t="shared" si="17"/>
        <v>0.6462122796483819</v>
      </c>
      <c r="D16" s="145">
        <f t="shared" si="18"/>
        <v>294.54225200000002</v>
      </c>
      <c r="E16" s="125">
        <f t="shared" si="19"/>
        <v>37.781237915657535</v>
      </c>
      <c r="F16" s="146">
        <f t="shared" si="20"/>
        <v>2.4805646959743979</v>
      </c>
      <c r="G16" s="127"/>
      <c r="H16" s="126">
        <f t="shared" si="21"/>
        <v>2.4805646959743979</v>
      </c>
      <c r="I16" s="230">
        <f>'[1]июль 20'!AI15</f>
        <v>0</v>
      </c>
      <c r="J16" s="439">
        <f>'[1]май 20'!AA15</f>
        <v>5.4980000000000002</v>
      </c>
      <c r="K16" s="440">
        <f>'[1]сентябрь 20'!AM15</f>
        <v>0</v>
      </c>
      <c r="L16" s="441"/>
      <c r="M16" s="442">
        <f t="shared" si="22"/>
        <v>0</v>
      </c>
      <c r="N16" s="403">
        <f>'[1]май 20'!W15</f>
        <v>0</v>
      </c>
      <c r="O16" s="452">
        <f>'[1]май 20'!AU15</f>
        <v>0</v>
      </c>
      <c r="P16" s="401">
        <f t="shared" si="0"/>
        <v>175.68299999999999</v>
      </c>
      <c r="Q16" s="122">
        <f t="shared" si="23"/>
        <v>175.68299999999999</v>
      </c>
      <c r="R16" s="123">
        <f t="shared" si="24"/>
        <v>1.3</v>
      </c>
      <c r="S16" s="129">
        <v>8.98</v>
      </c>
      <c r="T16" s="125">
        <f t="shared" si="1"/>
        <v>173.39912099999998</v>
      </c>
      <c r="U16" s="147">
        <f t="shared" si="2"/>
        <v>1.4603260990399189</v>
      </c>
      <c r="V16" s="130">
        <v>28.54</v>
      </c>
      <c r="W16" s="130">
        <v>29.24</v>
      </c>
      <c r="X16" s="129">
        <v>1.03</v>
      </c>
      <c r="Y16" s="131">
        <v>489</v>
      </c>
      <c r="Z16" s="150">
        <v>1179</v>
      </c>
      <c r="AA16" s="148" t="s">
        <v>244</v>
      </c>
      <c r="AB16" s="149">
        <v>74.53</v>
      </c>
      <c r="AC16" s="150">
        <v>111</v>
      </c>
      <c r="AD16" s="151">
        <v>4</v>
      </c>
      <c r="AE16" s="149">
        <v>3.85</v>
      </c>
      <c r="AF16" s="134">
        <f t="shared" si="3"/>
        <v>32.423783055415193</v>
      </c>
      <c r="AG16" s="152"/>
      <c r="AH16" s="129">
        <v>72.25</v>
      </c>
      <c r="AI16" s="134">
        <f t="shared" si="4"/>
        <v>608.4722924035708</v>
      </c>
      <c r="AJ16" s="153">
        <v>15.51</v>
      </c>
      <c r="AK16" s="154"/>
      <c r="AL16" s="155">
        <v>4.87</v>
      </c>
      <c r="AM16" s="156">
        <v>28.66</v>
      </c>
      <c r="AN16" s="126">
        <f t="shared" si="25"/>
        <v>0.1896129672510751</v>
      </c>
      <c r="AO16" s="157" t="s">
        <v>217</v>
      </c>
      <c r="AP16" s="156">
        <v>9.52</v>
      </c>
      <c r="AQ16" s="156">
        <v>6.26</v>
      </c>
      <c r="AR16" s="149"/>
      <c r="AS16" s="149">
        <v>8.66</v>
      </c>
      <c r="AT16" s="149">
        <v>151.15</v>
      </c>
      <c r="AU16" s="149">
        <v>1.1200000000000001</v>
      </c>
      <c r="AV16" s="149"/>
      <c r="AW16" s="149"/>
      <c r="AX16" s="158">
        <f t="shared" si="5"/>
        <v>0</v>
      </c>
      <c r="AY16" s="125">
        <f t="shared" si="6"/>
        <v>118.74000000000001</v>
      </c>
      <c r="AZ16" s="125">
        <f t="shared" si="35"/>
        <v>131.6632987795426</v>
      </c>
      <c r="BA16" s="159">
        <f t="shared" si="7"/>
        <v>4.846855633802817</v>
      </c>
      <c r="BB16" s="160">
        <f t="shared" si="8"/>
        <v>4.7496</v>
      </c>
      <c r="BC16" s="161">
        <f t="shared" si="9"/>
        <v>0.79525128435751535</v>
      </c>
      <c r="BD16" s="160">
        <f t="shared" si="26"/>
        <v>9.5964556338028171</v>
      </c>
      <c r="BE16" s="162">
        <v>0.85099999999999998</v>
      </c>
      <c r="BF16" s="25">
        <f t="shared" si="27"/>
        <v>1271.1399999999999</v>
      </c>
      <c r="BG16" s="25">
        <f t="shared" si="10"/>
        <v>114.51612903225806</v>
      </c>
      <c r="BH16" s="25">
        <f t="shared" si="28"/>
        <v>1145.1612903225807</v>
      </c>
      <c r="BI16" s="26">
        <f t="shared" si="11"/>
        <v>1</v>
      </c>
      <c r="BJ16" s="37">
        <f t="shared" si="29"/>
        <v>1145.1612903225807</v>
      </c>
      <c r="BK16" s="38"/>
      <c r="BL16" s="28">
        <f t="shared" si="30"/>
        <v>268.70500000000004</v>
      </c>
      <c r="BM16" s="31"/>
      <c r="BN16" s="234"/>
      <c r="BO16" s="42"/>
      <c r="BP16" s="40">
        <v>27.753</v>
      </c>
      <c r="BQ16" s="32"/>
      <c r="BR16" s="33"/>
      <c r="BS16" s="34">
        <v>0.62</v>
      </c>
      <c r="BT16" s="35"/>
      <c r="BU16" s="28"/>
      <c r="BV16" s="287"/>
      <c r="BW16" s="287">
        <v>0.9</v>
      </c>
      <c r="BX16" s="36"/>
      <c r="BY16" s="33"/>
      <c r="BZ16" s="34">
        <v>37.99</v>
      </c>
      <c r="CA16" s="35"/>
      <c r="CB16" s="405"/>
      <c r="CC16" s="404"/>
      <c r="CD16" s="235">
        <v>35.76</v>
      </c>
      <c r="CE16" s="36">
        <v>43.26</v>
      </c>
      <c r="CF16" s="28">
        <f t="shared" si="31"/>
        <v>120.179</v>
      </c>
      <c r="CG16" s="30">
        <v>55.503999999999998</v>
      </c>
      <c r="CH16" s="30"/>
      <c r="CI16" s="32"/>
      <c r="CJ16" s="33">
        <v>1.3</v>
      </c>
      <c r="CK16" s="33">
        <v>1.3</v>
      </c>
      <c r="CL16" s="33"/>
      <c r="CM16" s="36"/>
      <c r="CN16" s="286"/>
      <c r="CO16" s="249">
        <f t="shared" si="12"/>
        <v>0</v>
      </c>
      <c r="CP16" s="12">
        <f t="shared" si="12"/>
        <v>267.03902900000003</v>
      </c>
      <c r="CQ16" s="12">
        <f t="shared" si="12"/>
        <v>0</v>
      </c>
      <c r="CR16" s="11">
        <f t="shared" si="12"/>
        <v>0</v>
      </c>
      <c r="CS16" s="11">
        <f t="shared" si="12"/>
        <v>0</v>
      </c>
      <c r="CT16" s="11">
        <f t="shared" si="12"/>
        <v>27.503222999999998</v>
      </c>
      <c r="CU16" s="272">
        <f t="shared" si="12"/>
        <v>0</v>
      </c>
      <c r="CV16" s="249">
        <f t="shared" si="13"/>
        <v>118.61667300000001</v>
      </c>
      <c r="CW16" s="12">
        <f t="shared" si="13"/>
        <v>54.782447999999995</v>
      </c>
      <c r="CX16" s="249">
        <f t="shared" si="13"/>
        <v>0</v>
      </c>
      <c r="CY16" s="272">
        <f t="shared" si="13"/>
        <v>0</v>
      </c>
      <c r="CZ16" s="13"/>
      <c r="DA16" s="240">
        <f>(D16+'[2]май 20'!D16)/(AY16+'[2]май 20'!AX16)</f>
        <v>2.4327454565716153</v>
      </c>
      <c r="DB16" s="241">
        <f>(T16+'[2]май 20'!R16)/(AY16+'[2]май 20'!AX16)</f>
        <v>1.4036352704031463</v>
      </c>
      <c r="DD16" s="292">
        <f t="shared" si="14"/>
        <v>5.4980000000000002</v>
      </c>
      <c r="DE16" s="291">
        <v>0.17</v>
      </c>
      <c r="DF16" s="291">
        <v>17.850000000000001</v>
      </c>
      <c r="DG16" s="145">
        <f t="shared" si="15"/>
        <v>5.4886534000000005</v>
      </c>
      <c r="DH16" s="293">
        <f t="shared" si="32"/>
        <v>1.3145372761304175</v>
      </c>
      <c r="DJ16" s="31">
        <v>172.08500000000001</v>
      </c>
      <c r="DK16" s="32">
        <v>77.62</v>
      </c>
      <c r="DL16" s="460">
        <f t="shared" si="33"/>
        <v>268.70500000000004</v>
      </c>
      <c r="DM16" s="38">
        <v>105.179</v>
      </c>
      <c r="DN16" s="460">
        <f t="shared" si="34"/>
        <v>120.179</v>
      </c>
    </row>
    <row r="17" spans="1:118" s="76" customFormat="1" ht="16.5" customHeight="1" thickBot="1">
      <c r="A17" s="144">
        <v>11</v>
      </c>
      <c r="B17" s="122">
        <f t="shared" si="16"/>
        <v>288.93899999999996</v>
      </c>
      <c r="C17" s="123">
        <f t="shared" si="17"/>
        <v>0.75429668545956063</v>
      </c>
      <c r="D17" s="145">
        <f t="shared" si="18"/>
        <v>286.75954269999994</v>
      </c>
      <c r="E17" s="125">
        <f t="shared" si="19"/>
        <v>37.701685996006084</v>
      </c>
      <c r="F17" s="146">
        <f t="shared" si="20"/>
        <v>2.1860004779692019</v>
      </c>
      <c r="G17" s="127"/>
      <c r="H17" s="126">
        <f t="shared" si="21"/>
        <v>2.1860004779692019</v>
      </c>
      <c r="I17" s="230">
        <f>'[1]июль 20'!AI16</f>
        <v>0</v>
      </c>
      <c r="J17" s="277">
        <f>'[1]май 20'!AA16</f>
        <v>5.2640000000000002</v>
      </c>
      <c r="K17" s="437">
        <f>'[1]сентябрь 20'!AM16</f>
        <v>0</v>
      </c>
      <c r="L17" s="438"/>
      <c r="M17" s="443">
        <f t="shared" si="22"/>
        <v>0</v>
      </c>
      <c r="N17" s="403">
        <f>'[1]май 20'!W16</f>
        <v>0</v>
      </c>
      <c r="O17" s="453">
        <f>'[1]май 20'!AU16</f>
        <v>0</v>
      </c>
      <c r="P17" s="401">
        <f t="shared" si="0"/>
        <v>171.125</v>
      </c>
      <c r="Q17" s="122">
        <f t="shared" si="23"/>
        <v>171.125</v>
      </c>
      <c r="R17" s="123">
        <f t="shared" si="24"/>
        <v>1.35</v>
      </c>
      <c r="S17" s="129">
        <v>7.53</v>
      </c>
      <c r="T17" s="125">
        <f t="shared" si="1"/>
        <v>168.81481250000002</v>
      </c>
      <c r="U17" s="147">
        <f t="shared" si="2"/>
        <v>1.2868944389388628</v>
      </c>
      <c r="V17" s="130">
        <v>31.52</v>
      </c>
      <c r="W17" s="130">
        <v>68.3</v>
      </c>
      <c r="X17" s="129">
        <v>0.73</v>
      </c>
      <c r="Y17" s="131">
        <v>500</v>
      </c>
      <c r="Z17" s="150">
        <v>1187</v>
      </c>
      <c r="AA17" s="148" t="s">
        <v>212</v>
      </c>
      <c r="AB17" s="149">
        <v>74.25</v>
      </c>
      <c r="AC17" s="150">
        <v>108</v>
      </c>
      <c r="AD17" s="151">
        <v>4</v>
      </c>
      <c r="AE17" s="149">
        <v>4.5</v>
      </c>
      <c r="AF17" s="134">
        <f t="shared" si="3"/>
        <v>34.304009757585</v>
      </c>
      <c r="AG17" s="152"/>
      <c r="AH17" s="129">
        <v>78.5</v>
      </c>
      <c r="AI17" s="134">
        <f t="shared" si="4"/>
        <v>598.4143924378717</v>
      </c>
      <c r="AJ17" s="136">
        <v>14.75</v>
      </c>
      <c r="AK17" s="154"/>
      <c r="AL17" s="155">
        <v>6.31</v>
      </c>
      <c r="AM17" s="156">
        <v>28.51</v>
      </c>
      <c r="AN17" s="126">
        <f t="shared" si="25"/>
        <v>0.17320777642770355</v>
      </c>
      <c r="AO17" s="157" t="s">
        <v>203</v>
      </c>
      <c r="AP17" s="156">
        <v>9.6</v>
      </c>
      <c r="AQ17" s="156">
        <v>6.29</v>
      </c>
      <c r="AR17" s="149"/>
      <c r="AS17" s="149">
        <v>9.56</v>
      </c>
      <c r="AT17" s="149">
        <v>164.6</v>
      </c>
      <c r="AU17" s="149">
        <v>1.4</v>
      </c>
      <c r="AV17" s="149"/>
      <c r="AW17" s="149"/>
      <c r="AX17" s="158">
        <f t="shared" si="5"/>
        <v>0</v>
      </c>
      <c r="AY17" s="125">
        <f t="shared" si="6"/>
        <v>131.18</v>
      </c>
      <c r="AZ17" s="125">
        <f t="shared" si="35"/>
        <v>128.36115883742781</v>
      </c>
      <c r="BA17" s="159">
        <f t="shared" si="7"/>
        <v>5.8134225352112674</v>
      </c>
      <c r="BB17" s="160">
        <f t="shared" si="8"/>
        <v>5.2472000000000003</v>
      </c>
      <c r="BC17" s="161">
        <f t="shared" si="9"/>
        <v>0.90091835131236031</v>
      </c>
      <c r="BD17" s="160">
        <f t="shared" si="26"/>
        <v>11.060622535211268</v>
      </c>
      <c r="BE17" s="162">
        <v>0.85599999999999998</v>
      </c>
      <c r="BF17" s="25">
        <f t="shared" si="27"/>
        <v>1402.32</v>
      </c>
      <c r="BG17" s="25">
        <f t="shared" si="10"/>
        <v>114.51612903225806</v>
      </c>
      <c r="BH17" s="25">
        <f t="shared" si="28"/>
        <v>1259.6774193548388</v>
      </c>
      <c r="BI17" s="26">
        <f t="shared" si="11"/>
        <v>1</v>
      </c>
      <c r="BJ17" s="37">
        <f t="shared" si="29"/>
        <v>1259.6774193548388</v>
      </c>
      <c r="BK17" s="39"/>
      <c r="BL17" s="28">
        <f t="shared" si="30"/>
        <v>261.93799999999999</v>
      </c>
      <c r="BM17" s="31"/>
      <c r="BN17" s="234"/>
      <c r="BO17" s="42"/>
      <c r="BP17" s="40">
        <v>27.001000000000001</v>
      </c>
      <c r="BQ17" s="32"/>
      <c r="BR17" s="33"/>
      <c r="BS17" s="34">
        <v>0.73</v>
      </c>
      <c r="BT17" s="35"/>
      <c r="BU17" s="28"/>
      <c r="BV17" s="287"/>
      <c r="BW17" s="287">
        <v>0.99</v>
      </c>
      <c r="BX17" s="36"/>
      <c r="BY17" s="33"/>
      <c r="BZ17" s="34">
        <v>37.74</v>
      </c>
      <c r="CA17" s="35"/>
      <c r="CB17" s="405"/>
      <c r="CC17" s="404"/>
      <c r="CD17" s="235">
        <v>37.33</v>
      </c>
      <c r="CE17" s="36">
        <v>42.84</v>
      </c>
      <c r="CF17" s="28">
        <f t="shared" si="31"/>
        <v>117.134</v>
      </c>
      <c r="CG17" s="42">
        <v>53.991</v>
      </c>
      <c r="CH17" s="234"/>
      <c r="CI17" s="233"/>
      <c r="CJ17" s="33">
        <v>1.35</v>
      </c>
      <c r="CK17" s="33">
        <v>1.35</v>
      </c>
      <c r="CL17" s="33"/>
      <c r="CM17" s="36"/>
      <c r="CN17" s="286"/>
      <c r="CO17" s="249">
        <f t="shared" si="12"/>
        <v>0</v>
      </c>
      <c r="CP17" s="12">
        <f t="shared" si="12"/>
        <v>260.02585259999995</v>
      </c>
      <c r="CQ17" s="12">
        <f t="shared" si="12"/>
        <v>0</v>
      </c>
      <c r="CR17" s="12">
        <f t="shared" si="12"/>
        <v>0</v>
      </c>
      <c r="CS17" s="11">
        <f t="shared" si="12"/>
        <v>0</v>
      </c>
      <c r="CT17" s="11">
        <f t="shared" si="12"/>
        <v>26.733690100000004</v>
      </c>
      <c r="CU17" s="272">
        <f t="shared" si="12"/>
        <v>0</v>
      </c>
      <c r="CV17" s="249">
        <f t="shared" si="13"/>
        <v>115.55269100000001</v>
      </c>
      <c r="CW17" s="12">
        <f t="shared" si="13"/>
        <v>53.262121499999999</v>
      </c>
      <c r="CX17" s="254">
        <f t="shared" si="13"/>
        <v>0</v>
      </c>
      <c r="CY17" s="272">
        <f t="shared" si="13"/>
        <v>0</v>
      </c>
      <c r="CZ17" s="13"/>
      <c r="DA17" s="240">
        <f>(D17+'[2]май 20'!D17)/(AY17+'[2]май 20'!AX17)</f>
        <v>2.2677059402675708</v>
      </c>
      <c r="DB17" s="241">
        <f>(T17+'[2]май 20'!R17)/(AY17+'[2]май 20'!AX17)</f>
        <v>1.3134690424596442</v>
      </c>
      <c r="DD17" s="292">
        <f t="shared" si="14"/>
        <v>5.2640000000000002</v>
      </c>
      <c r="DE17" s="291">
        <v>0.12</v>
      </c>
      <c r="DF17" s="291">
        <v>17.600000000000001</v>
      </c>
      <c r="DG17" s="145">
        <f t="shared" si="15"/>
        <v>5.2576831999999998</v>
      </c>
      <c r="DH17" s="293">
        <f t="shared" si="32"/>
        <v>1.2462656474074074</v>
      </c>
      <c r="DJ17" s="31">
        <v>167.35900000000001</v>
      </c>
      <c r="DK17" s="32">
        <v>75.578999999999994</v>
      </c>
      <c r="DL17" s="460">
        <f t="shared" si="33"/>
        <v>261.93799999999999</v>
      </c>
      <c r="DM17" s="38">
        <v>102.134</v>
      </c>
      <c r="DN17" s="460">
        <f t="shared" si="34"/>
        <v>117.134</v>
      </c>
    </row>
    <row r="18" spans="1:118" s="76" customFormat="1" ht="16.5" customHeight="1" thickBot="1">
      <c r="A18" s="144">
        <v>12</v>
      </c>
      <c r="B18" s="122">
        <f t="shared" si="16"/>
        <v>266.52800000000002</v>
      </c>
      <c r="C18" s="123">
        <f t="shared" si="17"/>
        <v>1.0291432795053428</v>
      </c>
      <c r="D18" s="145">
        <f t="shared" si="18"/>
        <v>263.78504500000003</v>
      </c>
      <c r="E18" s="125">
        <f t="shared" si="19"/>
        <v>37.302810473946444</v>
      </c>
      <c r="F18" s="146">
        <f t="shared" si="20"/>
        <v>2.2789204751619874</v>
      </c>
      <c r="G18" s="127"/>
      <c r="H18" s="126">
        <f t="shared" si="21"/>
        <v>2.2789204751619869</v>
      </c>
      <c r="I18" s="230">
        <f>'[1]июль 20'!AI17</f>
        <v>0</v>
      </c>
      <c r="J18" s="439">
        <f>'[1]май 20'!AA17</f>
        <v>5.01</v>
      </c>
      <c r="K18" s="440">
        <f>'[1]сентябрь 20'!AM17</f>
        <v>0</v>
      </c>
      <c r="L18" s="441"/>
      <c r="M18" s="442">
        <f t="shared" si="22"/>
        <v>0</v>
      </c>
      <c r="N18" s="403">
        <f>'[1]май 20'!W17</f>
        <v>0</v>
      </c>
      <c r="O18" s="452">
        <f>'[1]май 20'!AU17</f>
        <v>0</v>
      </c>
      <c r="P18" s="401">
        <f t="shared" si="0"/>
        <v>157.946</v>
      </c>
      <c r="Q18" s="122">
        <f t="shared" si="23"/>
        <v>157.946</v>
      </c>
      <c r="R18" s="123">
        <f t="shared" si="24"/>
        <v>1.31</v>
      </c>
      <c r="S18" s="129">
        <v>12.49</v>
      </c>
      <c r="T18" s="125">
        <f t="shared" si="1"/>
        <v>155.87690739999999</v>
      </c>
      <c r="U18" s="147">
        <f t="shared" si="2"/>
        <v>1.3466687464362852</v>
      </c>
      <c r="V18" s="130">
        <v>31.17</v>
      </c>
      <c r="W18" s="130">
        <v>115.75</v>
      </c>
      <c r="X18" s="129">
        <v>0.53</v>
      </c>
      <c r="Y18" s="131">
        <v>540</v>
      </c>
      <c r="Z18" s="150">
        <v>1179</v>
      </c>
      <c r="AA18" s="148" t="s">
        <v>259</v>
      </c>
      <c r="AB18" s="149">
        <v>74.52</v>
      </c>
      <c r="AC18" s="150">
        <v>99</v>
      </c>
      <c r="AD18" s="151">
        <v>4</v>
      </c>
      <c r="AE18" s="149">
        <v>3.15</v>
      </c>
      <c r="AF18" s="134">
        <f t="shared" si="3"/>
        <v>27.213822894168469</v>
      </c>
      <c r="AG18" s="152"/>
      <c r="AH18" s="129">
        <v>78.400000000000006</v>
      </c>
      <c r="AI18" s="134">
        <f t="shared" si="4"/>
        <v>677.32181425485976</v>
      </c>
      <c r="AJ18" s="153">
        <v>13.54</v>
      </c>
      <c r="AK18" s="154"/>
      <c r="AL18" s="155">
        <v>6.15</v>
      </c>
      <c r="AM18" s="156">
        <v>30.11</v>
      </c>
      <c r="AN18" s="126">
        <f t="shared" si="25"/>
        <v>0.20013293452974412</v>
      </c>
      <c r="AO18" s="157" t="s">
        <v>119</v>
      </c>
      <c r="AP18" s="156">
        <v>9.5299999999999994</v>
      </c>
      <c r="AQ18" s="156">
        <v>6.55</v>
      </c>
      <c r="AR18" s="151"/>
      <c r="AS18" s="149">
        <v>8.26</v>
      </c>
      <c r="AT18" s="149">
        <v>150.44999999999999</v>
      </c>
      <c r="AU18" s="149">
        <v>1.56</v>
      </c>
      <c r="AV18" s="149"/>
      <c r="AW18" s="149"/>
      <c r="AX18" s="158">
        <f t="shared" si="5"/>
        <v>0</v>
      </c>
      <c r="AY18" s="125">
        <f t="shared" si="6"/>
        <v>115.74999999999999</v>
      </c>
      <c r="AZ18" s="125">
        <f t="shared" si="35"/>
        <v>116.64936071108949</v>
      </c>
      <c r="BA18" s="159">
        <f t="shared" si="7"/>
        <v>5.016495774647888</v>
      </c>
      <c r="BB18" s="160">
        <f t="shared" si="8"/>
        <v>4.63</v>
      </c>
      <c r="BC18" s="161">
        <f t="shared" si="9"/>
        <v>0.87660132371734112</v>
      </c>
      <c r="BD18" s="160">
        <f t="shared" si="26"/>
        <v>9.6464957746478888</v>
      </c>
      <c r="BE18" s="162">
        <v>0.85699999999999998</v>
      </c>
      <c r="BF18" s="25">
        <f t="shared" si="27"/>
        <v>1518.07</v>
      </c>
      <c r="BG18" s="25">
        <f t="shared" si="10"/>
        <v>114.51612903225806</v>
      </c>
      <c r="BH18" s="25">
        <f t="shared" si="28"/>
        <v>1374.1935483870968</v>
      </c>
      <c r="BI18" s="26">
        <f t="shared" si="11"/>
        <v>1</v>
      </c>
      <c r="BJ18" s="37">
        <f t="shared" si="29"/>
        <v>1374.1935483870968</v>
      </c>
      <c r="BK18" s="38"/>
      <c r="BL18" s="28">
        <f t="shared" si="30"/>
        <v>236.65299999999999</v>
      </c>
      <c r="BM18" s="31"/>
      <c r="BN18" s="234"/>
      <c r="BO18" s="42"/>
      <c r="BP18" s="40">
        <v>29.875</v>
      </c>
      <c r="BQ18" s="411"/>
      <c r="BR18" s="41"/>
      <c r="BS18" s="34">
        <v>1</v>
      </c>
      <c r="BT18" s="35"/>
      <c r="BU18" s="28"/>
      <c r="BV18" s="287"/>
      <c r="BW18" s="287">
        <v>1.26</v>
      </c>
      <c r="BX18" s="36"/>
      <c r="BY18" s="34"/>
      <c r="BZ18" s="34">
        <v>37.49</v>
      </c>
      <c r="CA18" s="35"/>
      <c r="CB18" s="405"/>
      <c r="CC18" s="404"/>
      <c r="CD18" s="235">
        <v>35.82</v>
      </c>
      <c r="CE18" s="405">
        <v>43.42</v>
      </c>
      <c r="CF18" s="28">
        <f t="shared" si="31"/>
        <v>108.426</v>
      </c>
      <c r="CG18" s="42">
        <v>49.52</v>
      </c>
      <c r="CH18" s="234"/>
      <c r="CI18" s="233"/>
      <c r="CJ18" s="33">
        <v>1.31</v>
      </c>
      <c r="CK18" s="33">
        <v>1.31</v>
      </c>
      <c r="CL18" s="33"/>
      <c r="CM18" s="36"/>
      <c r="CN18" s="286"/>
      <c r="CO18" s="249">
        <f t="shared" si="12"/>
        <v>0</v>
      </c>
      <c r="CP18" s="12">
        <f t="shared" si="12"/>
        <v>234.28646999999998</v>
      </c>
      <c r="CQ18" s="12">
        <f t="shared" si="12"/>
        <v>0</v>
      </c>
      <c r="CR18" s="12">
        <f t="shared" si="12"/>
        <v>0</v>
      </c>
      <c r="CS18" s="11">
        <f t="shared" si="12"/>
        <v>0</v>
      </c>
      <c r="CT18" s="11">
        <f t="shared" si="12"/>
        <v>29.498574999999999</v>
      </c>
      <c r="CU18" s="272">
        <f t="shared" si="12"/>
        <v>0</v>
      </c>
      <c r="CV18" s="249">
        <f t="shared" si="13"/>
        <v>107.0056194</v>
      </c>
      <c r="CW18" s="11">
        <f t="shared" si="13"/>
        <v>48.871288</v>
      </c>
      <c r="CX18" s="249">
        <f t="shared" si="13"/>
        <v>0</v>
      </c>
      <c r="CY18" s="272">
        <f t="shared" si="13"/>
        <v>0</v>
      </c>
      <c r="CZ18" s="13"/>
      <c r="DA18" s="240">
        <f>(D18+'[2]май 20'!D18)/(AY18+'[2]май 20'!AX18)</f>
        <v>2.3278001028383386</v>
      </c>
      <c r="DB18" s="241">
        <f>(T18+'[2]май 20'!R18)/(AY18+'[2]май 20'!AX18)</f>
        <v>1.3569755498423146</v>
      </c>
      <c r="DD18" s="292">
        <f t="shared" si="14"/>
        <v>5.01</v>
      </c>
      <c r="DE18" s="291">
        <v>0.28999999999999998</v>
      </c>
      <c r="DF18" s="291">
        <v>20.51</v>
      </c>
      <c r="DG18" s="145">
        <f t="shared" si="15"/>
        <v>4.9954709999999993</v>
      </c>
      <c r="DH18" s="293">
        <f t="shared" si="32"/>
        <v>1.3748941252012881</v>
      </c>
      <c r="DJ18" s="31">
        <v>144.946</v>
      </c>
      <c r="DK18" s="411">
        <v>72.706999999999994</v>
      </c>
      <c r="DL18" s="460">
        <f t="shared" si="33"/>
        <v>236.65299999999999</v>
      </c>
      <c r="DM18" s="38">
        <v>93.426000000000002</v>
      </c>
      <c r="DN18" s="460">
        <f t="shared" si="34"/>
        <v>108.426</v>
      </c>
    </row>
    <row r="19" spans="1:118" s="76" customFormat="1" ht="16.5" customHeight="1" thickBot="1">
      <c r="A19" s="144">
        <v>13</v>
      </c>
      <c r="B19" s="122">
        <f t="shared" si="16"/>
        <v>304.10500000000002</v>
      </c>
      <c r="C19" s="123">
        <f t="shared" si="17"/>
        <v>1.1056700481741502</v>
      </c>
      <c r="D19" s="145">
        <f t="shared" si="18"/>
        <v>300.74260210000006</v>
      </c>
      <c r="E19" s="125">
        <f t="shared" si="19"/>
        <v>37.924266618437706</v>
      </c>
      <c r="F19" s="146">
        <f t="shared" si="20"/>
        <v>2.478307392665843</v>
      </c>
      <c r="G19" s="127"/>
      <c r="H19" s="126">
        <f t="shared" si="21"/>
        <v>2.4783073926658425</v>
      </c>
      <c r="I19" s="230">
        <f>'[1]июль 20'!AI18</f>
        <v>0</v>
      </c>
      <c r="J19" s="277">
        <f>'[1]май 20'!AA18</f>
        <v>5.6829999999999998</v>
      </c>
      <c r="K19" s="437">
        <f>'[1]сентябрь 20'!AM18</f>
        <v>0</v>
      </c>
      <c r="L19" s="438"/>
      <c r="M19" s="443">
        <f t="shared" si="22"/>
        <v>0</v>
      </c>
      <c r="N19" s="403">
        <f>'[1]май 20'!W18</f>
        <v>1.2130000000000001</v>
      </c>
      <c r="O19" s="453">
        <f>'[1]май 20'!AU18</f>
        <v>0</v>
      </c>
      <c r="P19" s="401">
        <f t="shared" si="0"/>
        <v>179.07499999999999</v>
      </c>
      <c r="Q19" s="122">
        <f t="shared" si="23"/>
        <v>179.07499999999999</v>
      </c>
      <c r="R19" s="123">
        <f t="shared" si="24"/>
        <v>1.6700000000000002</v>
      </c>
      <c r="S19" s="129">
        <v>4.03</v>
      </c>
      <c r="T19" s="125">
        <f t="shared" si="1"/>
        <v>176.08444749999998</v>
      </c>
      <c r="U19" s="147">
        <f t="shared" si="2"/>
        <v>1.4510461269056447</v>
      </c>
      <c r="V19" s="130"/>
      <c r="W19" s="130">
        <v>31.59</v>
      </c>
      <c r="X19" s="129">
        <v>1.48</v>
      </c>
      <c r="Y19" s="131">
        <v>495</v>
      </c>
      <c r="Z19" s="150">
        <v>1181</v>
      </c>
      <c r="AA19" s="148" t="s">
        <v>260</v>
      </c>
      <c r="AB19" s="149">
        <v>73.239999999999995</v>
      </c>
      <c r="AC19" s="150">
        <v>114</v>
      </c>
      <c r="AD19" s="151">
        <v>4</v>
      </c>
      <c r="AE19" s="149">
        <v>4.0999999999999996</v>
      </c>
      <c r="AF19" s="134">
        <f t="shared" si="3"/>
        <v>33.786567779151213</v>
      </c>
      <c r="AG19" s="152"/>
      <c r="AH19" s="129">
        <v>76.650000000000006</v>
      </c>
      <c r="AI19" s="134">
        <f t="shared" si="4"/>
        <v>631.64400494437587</v>
      </c>
      <c r="AJ19" s="136">
        <v>12.24</v>
      </c>
      <c r="AK19" s="154"/>
      <c r="AL19" s="155">
        <v>5.49</v>
      </c>
      <c r="AM19" s="156">
        <v>29.56</v>
      </c>
      <c r="AN19" s="126">
        <f t="shared" si="25"/>
        <v>0.19114128677659228</v>
      </c>
      <c r="AO19" s="157" t="s">
        <v>261</v>
      </c>
      <c r="AP19" s="156">
        <v>9.43</v>
      </c>
      <c r="AQ19" s="156">
        <v>6.04</v>
      </c>
      <c r="AR19" s="151"/>
      <c r="AS19" s="149">
        <v>8.33</v>
      </c>
      <c r="AT19" s="149">
        <v>154.65</v>
      </c>
      <c r="AU19" s="149">
        <v>1.75</v>
      </c>
      <c r="AV19" s="164"/>
      <c r="AW19" s="149"/>
      <c r="AX19" s="158">
        <f t="shared" si="5"/>
        <v>0</v>
      </c>
      <c r="AY19" s="125">
        <f t="shared" si="6"/>
        <v>121.35</v>
      </c>
      <c r="AZ19" s="125">
        <f t="shared" si="35"/>
        <v>137.36583529951682</v>
      </c>
      <c r="BA19" s="159">
        <f t="shared" si="7"/>
        <v>4.9460841549295775</v>
      </c>
      <c r="BB19" s="160">
        <f t="shared" si="8"/>
        <v>4.8540000000000001</v>
      </c>
      <c r="BC19" s="161">
        <f t="shared" si="9"/>
        <v>0.77924849493170667</v>
      </c>
      <c r="BD19" s="160">
        <f t="shared" si="26"/>
        <v>9.8000841549295785</v>
      </c>
      <c r="BE19" s="162">
        <v>0.85099999999999998</v>
      </c>
      <c r="BF19" s="25">
        <f t="shared" si="27"/>
        <v>1639.4199999999998</v>
      </c>
      <c r="BG19" s="25">
        <f t="shared" si="10"/>
        <v>114.51612903225806</v>
      </c>
      <c r="BH19" s="25">
        <f t="shared" si="28"/>
        <v>1488.7096774193549</v>
      </c>
      <c r="BI19" s="26">
        <f t="shared" si="11"/>
        <v>1</v>
      </c>
      <c r="BJ19" s="37">
        <f t="shared" si="29"/>
        <v>1488.7096774193549</v>
      </c>
      <c r="BK19" s="38"/>
      <c r="BL19" s="28">
        <f t="shared" si="30"/>
        <v>235.94299999999998</v>
      </c>
      <c r="BM19" s="31">
        <v>25.026</v>
      </c>
      <c r="BN19" s="234"/>
      <c r="BO19" s="42"/>
      <c r="BP19" s="40">
        <v>43.136000000000003</v>
      </c>
      <c r="BQ19" s="411"/>
      <c r="BR19" s="33"/>
      <c r="BS19" s="34">
        <v>1.17</v>
      </c>
      <c r="BT19" s="35">
        <v>0.44</v>
      </c>
      <c r="BU19" s="28"/>
      <c r="BV19" s="287"/>
      <c r="BW19" s="287">
        <v>1.1399999999999999</v>
      </c>
      <c r="BX19" s="36"/>
      <c r="BY19" s="33"/>
      <c r="BZ19" s="34">
        <v>37.86</v>
      </c>
      <c r="CA19" s="35">
        <v>39.520000000000003</v>
      </c>
      <c r="CB19" s="405"/>
      <c r="CC19" s="404"/>
      <c r="CD19" s="235">
        <v>37.35</v>
      </c>
      <c r="CE19" s="413">
        <v>43.35</v>
      </c>
      <c r="CF19" s="28">
        <f t="shared" si="31"/>
        <v>122.081</v>
      </c>
      <c r="CG19" s="41">
        <v>56.994</v>
      </c>
      <c r="CH19" s="30"/>
      <c r="CI19" s="32"/>
      <c r="CJ19" s="33">
        <v>1.67</v>
      </c>
      <c r="CK19" s="33">
        <v>1.67</v>
      </c>
      <c r="CL19" s="33"/>
      <c r="CM19" s="36"/>
      <c r="CN19" s="286"/>
      <c r="CO19" s="249">
        <f t="shared" si="12"/>
        <v>0</v>
      </c>
      <c r="CP19" s="12">
        <f t="shared" si="12"/>
        <v>233.18246689999998</v>
      </c>
      <c r="CQ19" s="12">
        <f t="shared" si="12"/>
        <v>24.915885599999999</v>
      </c>
      <c r="CR19" s="12">
        <f t="shared" si="12"/>
        <v>0</v>
      </c>
      <c r="CS19" s="11">
        <f t="shared" si="12"/>
        <v>0</v>
      </c>
      <c r="CT19" s="11">
        <f t="shared" si="12"/>
        <v>42.644249600000002</v>
      </c>
      <c r="CU19" s="272">
        <f t="shared" si="12"/>
        <v>0</v>
      </c>
      <c r="CV19" s="249">
        <f t="shared" si="13"/>
        <v>120.0422473</v>
      </c>
      <c r="CW19" s="251">
        <f t="shared" si="13"/>
        <v>56.042200199999996</v>
      </c>
      <c r="CX19" s="249">
        <f t="shared" si="13"/>
        <v>0</v>
      </c>
      <c r="CY19" s="272">
        <f t="shared" si="13"/>
        <v>0</v>
      </c>
      <c r="CZ19" s="13"/>
      <c r="DA19" s="240">
        <f>(D19+'[2]май 20'!D19)/(AY19+'[2]май 20'!AX19)</f>
        <v>2.4364938612347524</v>
      </c>
      <c r="DB19" s="241">
        <f>(T19+'[2]май 20'!R19)/(AY19+'[2]май 20'!AX19)</f>
        <v>1.4097191651659813</v>
      </c>
      <c r="DD19" s="292">
        <f t="shared" si="14"/>
        <v>5.6829999999999998</v>
      </c>
      <c r="DE19" s="291">
        <v>0.7</v>
      </c>
      <c r="DF19" s="291">
        <v>18.38</v>
      </c>
      <c r="DG19" s="145">
        <f t="shared" si="15"/>
        <v>5.6432190000000002</v>
      </c>
      <c r="DH19" s="293">
        <f t="shared" si="32"/>
        <v>1.4161983235936648</v>
      </c>
      <c r="DJ19" s="31">
        <v>136.79599999999999</v>
      </c>
      <c r="DK19" s="411">
        <v>80.147000000000006</v>
      </c>
      <c r="DL19" s="460">
        <f t="shared" si="33"/>
        <v>235.94299999999998</v>
      </c>
      <c r="DM19" s="41">
        <v>107.081</v>
      </c>
      <c r="DN19" s="460">
        <f t="shared" si="34"/>
        <v>122.081</v>
      </c>
    </row>
    <row r="20" spans="1:118" s="76" customFormat="1" ht="16.5" customHeight="1" thickBot="1">
      <c r="A20" s="144">
        <v>14</v>
      </c>
      <c r="B20" s="122">
        <f t="shared" si="16"/>
        <v>274.20299999999997</v>
      </c>
      <c r="C20" s="123">
        <f t="shared" si="17"/>
        <v>0.65015579698252768</v>
      </c>
      <c r="D20" s="145">
        <f t="shared" si="18"/>
        <v>272.42025329999996</v>
      </c>
      <c r="E20" s="125">
        <f t="shared" si="19"/>
        <v>37.755164203163361</v>
      </c>
      <c r="F20" s="146">
        <f t="shared" si="20"/>
        <v>2.3460235385807779</v>
      </c>
      <c r="G20" s="127"/>
      <c r="H20" s="126">
        <f t="shared" si="21"/>
        <v>2.3460235385807784</v>
      </c>
      <c r="I20" s="230">
        <f>'[1]июль 20'!AI19</f>
        <v>0</v>
      </c>
      <c r="J20" s="439">
        <f>'[1]май 20'!AA19</f>
        <v>5.05</v>
      </c>
      <c r="K20" s="440">
        <f>'[1]сентябрь 20'!AM19</f>
        <v>0</v>
      </c>
      <c r="L20" s="441"/>
      <c r="M20" s="442">
        <f t="shared" si="22"/>
        <v>0</v>
      </c>
      <c r="N20" s="403">
        <f>'[1]май 20'!W19</f>
        <v>5.4560000000000004</v>
      </c>
      <c r="O20" s="452">
        <f>'[1]май 20'!AU19</f>
        <v>0</v>
      </c>
      <c r="P20" s="401">
        <f t="shared" si="0"/>
        <v>159.25799999999998</v>
      </c>
      <c r="Q20" s="122">
        <f t="shared" si="23"/>
        <v>159.25799999999998</v>
      </c>
      <c r="R20" s="123">
        <f t="shared" si="24"/>
        <v>1.4</v>
      </c>
      <c r="S20" s="129">
        <v>2.13</v>
      </c>
      <c r="T20" s="125">
        <f t="shared" si="1"/>
        <v>157.02838799999998</v>
      </c>
      <c r="U20" s="147">
        <f t="shared" si="2"/>
        <v>1.3522940750947294</v>
      </c>
      <c r="V20" s="130">
        <v>24.63</v>
      </c>
      <c r="W20" s="130"/>
      <c r="X20" s="129">
        <v>1.46</v>
      </c>
      <c r="Y20" s="131">
        <v>508</v>
      </c>
      <c r="Z20" s="150">
        <v>1180</v>
      </c>
      <c r="AA20" s="168" t="s">
        <v>260</v>
      </c>
      <c r="AB20" s="149">
        <v>73.94</v>
      </c>
      <c r="AC20" s="150">
        <v>102</v>
      </c>
      <c r="AD20" s="151">
        <v>4</v>
      </c>
      <c r="AE20" s="149">
        <v>2.75</v>
      </c>
      <c r="AF20" s="134">
        <f t="shared" si="3"/>
        <v>23.682397519807093</v>
      </c>
      <c r="AG20" s="152"/>
      <c r="AH20" s="129">
        <v>89.05</v>
      </c>
      <c r="AI20" s="134">
        <f t="shared" si="4"/>
        <v>766.87909059593517</v>
      </c>
      <c r="AJ20" s="153">
        <v>17.45</v>
      </c>
      <c r="AK20" s="154"/>
      <c r="AL20" s="155">
        <v>6.66</v>
      </c>
      <c r="AM20" s="156">
        <v>29.69</v>
      </c>
      <c r="AN20" s="126">
        <f t="shared" si="25"/>
        <v>0.19707932293395286</v>
      </c>
      <c r="AO20" s="157" t="s">
        <v>264</v>
      </c>
      <c r="AP20" s="156">
        <v>8.9499999999999993</v>
      </c>
      <c r="AQ20" s="156">
        <v>6.18</v>
      </c>
      <c r="AR20" s="149"/>
      <c r="AS20" s="149">
        <v>10.41</v>
      </c>
      <c r="AT20" s="149">
        <v>150.65</v>
      </c>
      <c r="AU20" s="149">
        <v>1.82</v>
      </c>
      <c r="AV20" s="149"/>
      <c r="AW20" s="149"/>
      <c r="AX20" s="158">
        <f t="shared" si="5"/>
        <v>0</v>
      </c>
      <c r="AY20" s="125">
        <f t="shared" si="6"/>
        <v>116.12</v>
      </c>
      <c r="AZ20" s="125">
        <f t="shared" si="35"/>
        <v>122.65343696397797</v>
      </c>
      <c r="BA20" s="159">
        <f t="shared" si="7"/>
        <v>7.1810672535211255</v>
      </c>
      <c r="BB20" s="160">
        <f t="shared" si="8"/>
        <v>4.6448</v>
      </c>
      <c r="BC20" s="161">
        <f t="shared" si="9"/>
        <v>0.83477746670502351</v>
      </c>
      <c r="BD20" s="160">
        <f t="shared" si="26"/>
        <v>11.825867253521125</v>
      </c>
      <c r="BE20" s="162">
        <v>0.85</v>
      </c>
      <c r="BF20" s="25">
        <f t="shared" si="27"/>
        <v>1755.54</v>
      </c>
      <c r="BG20" s="25">
        <f t="shared" si="10"/>
        <v>114.51612903225806</v>
      </c>
      <c r="BH20" s="25">
        <f t="shared" si="28"/>
        <v>1603.2258064516129</v>
      </c>
      <c r="BI20" s="26">
        <f t="shared" si="11"/>
        <v>1</v>
      </c>
      <c r="BJ20" s="37">
        <f t="shared" si="29"/>
        <v>1603.2258064516129</v>
      </c>
      <c r="BK20" s="38"/>
      <c r="BL20" s="28">
        <f t="shared" si="30"/>
        <v>141.36000000000001</v>
      </c>
      <c r="BM20" s="31">
        <v>102.116</v>
      </c>
      <c r="BN20" s="234"/>
      <c r="BO20" s="42"/>
      <c r="BP20" s="40">
        <v>30.727</v>
      </c>
      <c r="BQ20" s="411"/>
      <c r="BR20" s="33"/>
      <c r="BS20" s="34">
        <v>0.76</v>
      </c>
      <c r="BT20" s="35">
        <v>0.45</v>
      </c>
      <c r="BU20" s="28"/>
      <c r="BV20" s="287"/>
      <c r="BW20" s="287">
        <v>0.81</v>
      </c>
      <c r="BX20" s="36"/>
      <c r="BY20" s="33"/>
      <c r="BZ20" s="34">
        <v>37.4</v>
      </c>
      <c r="CA20" s="35">
        <v>38.79</v>
      </c>
      <c r="CB20" s="405"/>
      <c r="CC20" s="404"/>
      <c r="CD20" s="235">
        <v>35.950000000000003</v>
      </c>
      <c r="CE20" s="413">
        <v>42.05</v>
      </c>
      <c r="CF20" s="28">
        <f t="shared" si="31"/>
        <v>108.324</v>
      </c>
      <c r="CG20" s="30">
        <v>50.933999999999997</v>
      </c>
      <c r="CH20" s="31"/>
      <c r="CI20" s="32"/>
      <c r="CJ20" s="33">
        <v>1.4</v>
      </c>
      <c r="CK20" s="33">
        <v>1.4</v>
      </c>
      <c r="CL20" s="35"/>
      <c r="CM20" s="36"/>
      <c r="CN20" s="286"/>
      <c r="CO20" s="249">
        <f t="shared" si="12"/>
        <v>0</v>
      </c>
      <c r="CP20" s="12">
        <f t="shared" si="12"/>
        <v>140.285664</v>
      </c>
      <c r="CQ20" s="12">
        <f t="shared" si="12"/>
        <v>101.65647799999999</v>
      </c>
      <c r="CR20" s="12">
        <f t="shared" si="12"/>
        <v>0</v>
      </c>
      <c r="CS20" s="11">
        <f t="shared" si="12"/>
        <v>0</v>
      </c>
      <c r="CT20" s="11">
        <f t="shared" si="12"/>
        <v>30.478111300000002</v>
      </c>
      <c r="CU20" s="272">
        <f t="shared" si="12"/>
        <v>0</v>
      </c>
      <c r="CV20" s="249">
        <f t="shared" si="13"/>
        <v>106.807464</v>
      </c>
      <c r="CW20" s="12">
        <f t="shared" si="13"/>
        <v>50.220923999999997</v>
      </c>
      <c r="CX20" s="249">
        <f t="shared" si="13"/>
        <v>0</v>
      </c>
      <c r="CY20" s="272">
        <f t="shared" si="13"/>
        <v>0</v>
      </c>
      <c r="CZ20" s="13"/>
      <c r="DA20" s="240">
        <f>(D20+'[2]май 20'!D20)/(AY20+'[2]май 20'!AX20)</f>
        <v>2.3890604422986019</v>
      </c>
      <c r="DB20" s="241">
        <f>(T20+'[2]май 20'!R20)/(AY20+'[2]май 20'!AX20)</f>
        <v>1.3565007360388952</v>
      </c>
      <c r="DD20" s="292">
        <f t="shared" si="14"/>
        <v>5.05</v>
      </c>
      <c r="DE20" s="291">
        <v>0.21</v>
      </c>
      <c r="DF20" s="407">
        <v>17.850000000000001</v>
      </c>
      <c r="DG20" s="145">
        <f t="shared" si="15"/>
        <v>5.0393949999999998</v>
      </c>
      <c r="DH20" s="293">
        <f t="shared" si="32"/>
        <v>1.2165702021909659</v>
      </c>
      <c r="DJ20" s="31">
        <v>81.564999999999998</v>
      </c>
      <c r="DK20" s="411">
        <v>40.795000000000002</v>
      </c>
      <c r="DL20" s="460">
        <f t="shared" si="33"/>
        <v>141.36000000000001</v>
      </c>
      <c r="DM20" s="30">
        <v>93.323999999999998</v>
      </c>
      <c r="DN20" s="460">
        <f t="shared" si="34"/>
        <v>108.324</v>
      </c>
    </row>
    <row r="21" spans="1:118" s="76" customFormat="1" ht="16.5" customHeight="1" thickBot="1">
      <c r="A21" s="144">
        <v>15</v>
      </c>
      <c r="B21" s="122">
        <f t="shared" si="16"/>
        <v>289.161</v>
      </c>
      <c r="C21" s="123">
        <f t="shared" si="17"/>
        <v>0.60675768862329293</v>
      </c>
      <c r="D21" s="145">
        <f t="shared" si="18"/>
        <v>287.40649339999999</v>
      </c>
      <c r="E21" s="125">
        <f t="shared" si="19"/>
        <v>37.791254353111242</v>
      </c>
      <c r="F21" s="146">
        <f t="shared" si="20"/>
        <v>2.4892299792135804</v>
      </c>
      <c r="G21" s="127"/>
      <c r="H21" s="126">
        <f t="shared" si="21"/>
        <v>2.4892299792135808</v>
      </c>
      <c r="I21" s="230">
        <f>'[1]июль 20'!AI20</f>
        <v>0</v>
      </c>
      <c r="J21" s="277">
        <f>'[1]май 20'!AA20</f>
        <v>5.3879999999999999</v>
      </c>
      <c r="K21" s="437">
        <f>'[1]сентябрь 20'!AM20</f>
        <v>0</v>
      </c>
      <c r="L21" s="438"/>
      <c r="M21" s="443">
        <f t="shared" si="22"/>
        <v>0</v>
      </c>
      <c r="N21" s="403">
        <f>'[1]май 20'!W20</f>
        <v>7.399</v>
      </c>
      <c r="O21" s="453">
        <f>'[1]май 20'!AU20</f>
        <v>0</v>
      </c>
      <c r="P21" s="401">
        <f t="shared" si="0"/>
        <v>168.102</v>
      </c>
      <c r="Q21" s="122">
        <f t="shared" si="23"/>
        <v>168.102</v>
      </c>
      <c r="R21" s="123">
        <f t="shared" si="24"/>
        <v>1.42</v>
      </c>
      <c r="S21" s="129">
        <v>2.56</v>
      </c>
      <c r="T21" s="125">
        <f t="shared" si="1"/>
        <v>165.71495160000001</v>
      </c>
      <c r="U21" s="147">
        <f t="shared" si="2"/>
        <v>1.4352585449506321</v>
      </c>
      <c r="V21" s="130"/>
      <c r="W21" s="130">
        <v>85.68</v>
      </c>
      <c r="X21" s="129">
        <v>0.89</v>
      </c>
      <c r="Y21" s="131">
        <v>492</v>
      </c>
      <c r="Z21" s="150">
        <v>1183</v>
      </c>
      <c r="AA21" s="168" t="s">
        <v>265</v>
      </c>
      <c r="AB21" s="149">
        <v>74.67</v>
      </c>
      <c r="AC21" s="150">
        <v>108</v>
      </c>
      <c r="AD21" s="151">
        <v>4</v>
      </c>
      <c r="AE21" s="149">
        <v>2.75</v>
      </c>
      <c r="AF21" s="134">
        <f t="shared" si="3"/>
        <v>23.817772388706043</v>
      </c>
      <c r="AG21" s="152"/>
      <c r="AH21" s="129">
        <v>90.7</v>
      </c>
      <c r="AI21" s="134">
        <f t="shared" si="4"/>
        <v>785.55343842023206</v>
      </c>
      <c r="AJ21" s="136">
        <v>15.43</v>
      </c>
      <c r="AK21" s="154"/>
      <c r="AL21" s="155">
        <v>4.92</v>
      </c>
      <c r="AM21" s="156">
        <v>30.52</v>
      </c>
      <c r="AN21" s="126">
        <f t="shared" si="25"/>
        <v>0.20524546065904506</v>
      </c>
      <c r="AO21" s="157" t="s">
        <v>266</v>
      </c>
      <c r="AP21" s="156">
        <v>9.15</v>
      </c>
      <c r="AQ21" s="156">
        <v>6.81</v>
      </c>
      <c r="AR21" s="149"/>
      <c r="AS21" s="149">
        <v>8.98</v>
      </c>
      <c r="AT21" s="149">
        <v>148.69999999999999</v>
      </c>
      <c r="AU21" s="149">
        <v>2.2000000000000002</v>
      </c>
      <c r="AV21" s="149"/>
      <c r="AW21" s="149"/>
      <c r="AX21" s="158">
        <f t="shared" si="5"/>
        <v>0</v>
      </c>
      <c r="AY21" s="125">
        <f t="shared" si="6"/>
        <v>115.46000000000001</v>
      </c>
      <c r="AZ21" s="125">
        <f t="shared" si="35"/>
        <v>128.40165289703572</v>
      </c>
      <c r="BA21" s="159">
        <f t="shared" si="7"/>
        <v>6.3093985915492965</v>
      </c>
      <c r="BB21" s="160">
        <f t="shared" si="8"/>
        <v>4.6184000000000003</v>
      </c>
      <c r="BC21" s="161">
        <f t="shared" si="9"/>
        <v>0.79376111807994143</v>
      </c>
      <c r="BD21" s="160">
        <f t="shared" si="26"/>
        <v>10.927798591549298</v>
      </c>
      <c r="BE21" s="162">
        <v>0.84599999999999997</v>
      </c>
      <c r="BF21" s="25">
        <f t="shared" si="27"/>
        <v>1871</v>
      </c>
      <c r="BG21" s="25">
        <f t="shared" si="10"/>
        <v>114.51612903225806</v>
      </c>
      <c r="BH21" s="25">
        <f t="shared" si="28"/>
        <v>1717.741935483871</v>
      </c>
      <c r="BI21" s="26">
        <f t="shared" si="11"/>
        <v>1</v>
      </c>
      <c r="BJ21" s="37">
        <f t="shared" si="29"/>
        <v>1717.741935483871</v>
      </c>
      <c r="BK21" s="38"/>
      <c r="BL21" s="28">
        <f t="shared" si="30"/>
        <v>148.63</v>
      </c>
      <c r="BM21" s="31">
        <v>108.075</v>
      </c>
      <c r="BN21" s="234"/>
      <c r="BO21" s="42"/>
      <c r="BP21" s="40">
        <v>32.456000000000003</v>
      </c>
      <c r="BQ21" s="411"/>
      <c r="BR21" s="33"/>
      <c r="BS21" s="34">
        <v>0.6</v>
      </c>
      <c r="BT21" s="35">
        <v>0.54</v>
      </c>
      <c r="BU21" s="35"/>
      <c r="BV21" s="235"/>
      <c r="BW21" s="235">
        <v>0.86</v>
      </c>
      <c r="BX21" s="36"/>
      <c r="BY21" s="33"/>
      <c r="BZ21" s="34">
        <v>37.86</v>
      </c>
      <c r="CA21" s="35">
        <v>38.58</v>
      </c>
      <c r="CB21" s="405"/>
      <c r="CC21" s="404"/>
      <c r="CD21" s="235">
        <v>34.85</v>
      </c>
      <c r="CE21" s="413">
        <v>43.17</v>
      </c>
      <c r="CF21" s="28">
        <f t="shared" si="31"/>
        <v>114.08</v>
      </c>
      <c r="CG21" s="30">
        <v>54.021999999999998</v>
      </c>
      <c r="CH21" s="31"/>
      <c r="CI21" s="32"/>
      <c r="CJ21" s="33">
        <v>1.42</v>
      </c>
      <c r="CK21" s="33">
        <v>1.42</v>
      </c>
      <c r="CL21" s="35"/>
      <c r="CM21" s="36"/>
      <c r="CN21" s="286"/>
      <c r="CO21" s="249">
        <f t="shared" si="12"/>
        <v>0</v>
      </c>
      <c r="CP21" s="12">
        <f t="shared" si="12"/>
        <v>147.73822000000001</v>
      </c>
      <c r="CQ21" s="12">
        <f t="shared" si="12"/>
        <v>107.491395</v>
      </c>
      <c r="CR21" s="12">
        <f t="shared" si="12"/>
        <v>0</v>
      </c>
      <c r="CS21" s="11">
        <f t="shared" si="12"/>
        <v>0</v>
      </c>
      <c r="CT21" s="11">
        <f t="shared" si="12"/>
        <v>32.176878400000007</v>
      </c>
      <c r="CU21" s="272">
        <f t="shared" si="12"/>
        <v>0</v>
      </c>
      <c r="CV21" s="249">
        <f t="shared" si="13"/>
        <v>112.460064</v>
      </c>
      <c r="CW21" s="12">
        <f t="shared" si="13"/>
        <v>53.254887599999996</v>
      </c>
      <c r="CX21" s="249">
        <f t="shared" si="13"/>
        <v>0</v>
      </c>
      <c r="CY21" s="272">
        <f t="shared" si="13"/>
        <v>0</v>
      </c>
      <c r="CZ21" s="13"/>
      <c r="DA21" s="240">
        <f>(D21+'[2]май 20'!D21)/(AY21+'[2]май 20'!AX21)</f>
        <v>2.4366476068896938</v>
      </c>
      <c r="DB21" s="241">
        <f>(T21+'[2]май 20'!R21)/(AY21+'[2]май 20'!AX21)</f>
        <v>1.3875451505917822</v>
      </c>
      <c r="DD21" s="292">
        <f t="shared" si="14"/>
        <v>5.3879999999999999</v>
      </c>
      <c r="DE21" s="291">
        <v>0.11</v>
      </c>
      <c r="DF21" s="291">
        <v>19.64</v>
      </c>
      <c r="DG21" s="145">
        <f t="shared" si="15"/>
        <v>5.3820731999999998</v>
      </c>
      <c r="DH21" s="293">
        <f t="shared" si="32"/>
        <v>1.415614271434311</v>
      </c>
      <c r="DJ21" s="31">
        <v>86.45</v>
      </c>
      <c r="DK21" s="411">
        <v>43.18</v>
      </c>
      <c r="DL21" s="460">
        <f t="shared" si="33"/>
        <v>148.63</v>
      </c>
      <c r="DM21" s="30">
        <v>99.08</v>
      </c>
      <c r="DN21" s="460">
        <f t="shared" si="34"/>
        <v>114.08</v>
      </c>
    </row>
    <row r="22" spans="1:118" s="76" customFormat="1" ht="16.5" customHeight="1" thickBot="1">
      <c r="A22" s="144">
        <v>16</v>
      </c>
      <c r="B22" s="122">
        <f t="shared" si="16"/>
        <v>239.14099999999999</v>
      </c>
      <c r="C22" s="123">
        <f t="shared" si="17"/>
        <v>0.6577837760986196</v>
      </c>
      <c r="D22" s="145">
        <f t="shared" si="18"/>
        <v>237.56796929999996</v>
      </c>
      <c r="E22" s="125">
        <f t="shared" si="19"/>
        <v>37.262052262054603</v>
      </c>
      <c r="F22" s="146">
        <f t="shared" si="20"/>
        <v>2.4600597421559489</v>
      </c>
      <c r="G22" s="127"/>
      <c r="H22" s="126">
        <f t="shared" si="21"/>
        <v>2.4600597421559489</v>
      </c>
      <c r="I22" s="230">
        <f>'[1]июль 20'!AI21</f>
        <v>0</v>
      </c>
      <c r="J22" s="439">
        <f>'[1]май 20'!AA21</f>
        <v>6.3689999999999998</v>
      </c>
      <c r="K22" s="440">
        <f>'[1]сентябрь 20'!AM21</f>
        <v>0</v>
      </c>
      <c r="L22" s="441"/>
      <c r="M22" s="442">
        <f t="shared" si="22"/>
        <v>0</v>
      </c>
      <c r="N22" s="403">
        <f>'[1]май 20'!W21</f>
        <v>6.9930000000000003</v>
      </c>
      <c r="O22" s="452">
        <f>'[1]май 20'!AU21</f>
        <v>0</v>
      </c>
      <c r="P22" s="401">
        <f t="shared" si="0"/>
        <v>139.60300000000001</v>
      </c>
      <c r="Q22" s="122">
        <f t="shared" si="23"/>
        <v>139.60300000000001</v>
      </c>
      <c r="R22" s="123">
        <f t="shared" si="24"/>
        <v>1.4399999999999997</v>
      </c>
      <c r="S22" s="129"/>
      <c r="T22" s="125">
        <f t="shared" si="1"/>
        <v>137.59271680000001</v>
      </c>
      <c r="U22" s="147">
        <f t="shared" si="2"/>
        <v>1.4247977301439372</v>
      </c>
      <c r="V22" s="130">
        <v>53.67</v>
      </c>
      <c r="W22" s="130">
        <v>44.27</v>
      </c>
      <c r="X22" s="129">
        <v>0.83</v>
      </c>
      <c r="Y22" s="131">
        <v>497</v>
      </c>
      <c r="Z22" s="150">
        <v>1172</v>
      </c>
      <c r="AA22" s="148" t="s">
        <v>267</v>
      </c>
      <c r="AB22" s="149">
        <v>74.930000000000007</v>
      </c>
      <c r="AC22" s="150">
        <v>88</v>
      </c>
      <c r="AD22" s="151">
        <v>4</v>
      </c>
      <c r="AE22" s="149">
        <v>1.25</v>
      </c>
      <c r="AF22" s="134">
        <f t="shared" si="3"/>
        <v>12.943978461219842</v>
      </c>
      <c r="AG22" s="152"/>
      <c r="AH22" s="129">
        <v>77.599999999999994</v>
      </c>
      <c r="AI22" s="134">
        <f t="shared" si="4"/>
        <v>803.56218287252773</v>
      </c>
      <c r="AJ22" s="153">
        <v>12.2</v>
      </c>
      <c r="AK22" s="154"/>
      <c r="AL22" s="155">
        <v>5.67</v>
      </c>
      <c r="AM22" s="156">
        <v>28.26</v>
      </c>
      <c r="AN22" s="126">
        <f t="shared" si="25"/>
        <v>0.21881533101045297</v>
      </c>
      <c r="AO22" s="157" t="s">
        <v>268</v>
      </c>
      <c r="AP22" s="156">
        <v>8.74</v>
      </c>
      <c r="AQ22" s="156">
        <v>6.91</v>
      </c>
      <c r="AR22" s="151"/>
      <c r="AS22" s="149">
        <v>9.99</v>
      </c>
      <c r="AT22" s="149">
        <v>129.15</v>
      </c>
      <c r="AU22" s="149">
        <v>1.35</v>
      </c>
      <c r="AV22" s="149"/>
      <c r="AW22" s="149"/>
      <c r="AX22" s="158">
        <f t="shared" si="5"/>
        <v>0</v>
      </c>
      <c r="AY22" s="125">
        <f t="shared" si="6"/>
        <v>96.57</v>
      </c>
      <c r="AZ22" s="125">
        <f t="shared" si="35"/>
        <v>104.6234449464332</v>
      </c>
      <c r="BA22" s="159">
        <f t="shared" si="7"/>
        <v>6.0052563380281683</v>
      </c>
      <c r="BB22" s="160">
        <f t="shared" si="8"/>
        <v>3.8628</v>
      </c>
      <c r="BC22" s="161">
        <f t="shared" si="9"/>
        <v>0.81741632690740407</v>
      </c>
      <c r="BD22" s="160">
        <f t="shared" si="26"/>
        <v>9.8680563380281683</v>
      </c>
      <c r="BE22" s="162">
        <v>0.84499999999999997</v>
      </c>
      <c r="BF22" s="25">
        <f t="shared" si="27"/>
        <v>1967.57</v>
      </c>
      <c r="BG22" s="25">
        <f t="shared" si="10"/>
        <v>114.51612903225806</v>
      </c>
      <c r="BH22" s="25">
        <f t="shared" si="28"/>
        <v>1832.258064516129</v>
      </c>
      <c r="BI22" s="26">
        <f t="shared" si="11"/>
        <v>1</v>
      </c>
      <c r="BJ22" s="37">
        <f t="shared" si="29"/>
        <v>1832.258064516129</v>
      </c>
      <c r="BK22" s="38"/>
      <c r="BL22" s="28">
        <f t="shared" si="30"/>
        <v>124.62899999999999</v>
      </c>
      <c r="BM22" s="31">
        <v>88.043000000000006</v>
      </c>
      <c r="BN22" s="234"/>
      <c r="BO22" s="42"/>
      <c r="BP22" s="40">
        <v>26.469000000000001</v>
      </c>
      <c r="BQ22" s="411"/>
      <c r="BR22" s="33"/>
      <c r="BS22" s="34">
        <v>0.78</v>
      </c>
      <c r="BT22" s="35">
        <v>0.43</v>
      </c>
      <c r="BU22" s="35"/>
      <c r="BV22" s="235"/>
      <c r="BW22" s="235">
        <v>0.84</v>
      </c>
      <c r="BX22" s="36"/>
      <c r="BY22" s="33"/>
      <c r="BZ22" s="34">
        <v>37.340000000000003</v>
      </c>
      <c r="CA22" s="35">
        <v>37.94</v>
      </c>
      <c r="CB22" s="405"/>
      <c r="CC22" s="404"/>
      <c r="CD22" s="235">
        <v>34.64</v>
      </c>
      <c r="CE22" s="413">
        <v>43.03</v>
      </c>
      <c r="CF22" s="28">
        <f t="shared" si="31"/>
        <v>95.584999999999994</v>
      </c>
      <c r="CG22" s="30">
        <v>44.018000000000001</v>
      </c>
      <c r="CH22" s="31"/>
      <c r="CI22" s="32"/>
      <c r="CJ22" s="33">
        <v>1.44</v>
      </c>
      <c r="CK22" s="33">
        <v>1.44</v>
      </c>
      <c r="CL22" s="35"/>
      <c r="CM22" s="36"/>
      <c r="CN22" s="286"/>
      <c r="CO22" s="249">
        <f t="shared" si="12"/>
        <v>0</v>
      </c>
      <c r="CP22" s="12">
        <f t="shared" si="12"/>
        <v>123.65689379999999</v>
      </c>
      <c r="CQ22" s="12">
        <f t="shared" si="12"/>
        <v>87.664415099999999</v>
      </c>
      <c r="CR22" s="12">
        <f t="shared" si="12"/>
        <v>0</v>
      </c>
      <c r="CS22" s="11">
        <f t="shared" si="12"/>
        <v>0</v>
      </c>
      <c r="CT22" s="11">
        <f t="shared" si="12"/>
        <v>26.2466604</v>
      </c>
      <c r="CU22" s="272">
        <f t="shared" si="12"/>
        <v>0</v>
      </c>
      <c r="CV22" s="249">
        <f t="shared" si="13"/>
        <v>94.208575999999994</v>
      </c>
      <c r="CW22" s="12">
        <f t="shared" si="13"/>
        <v>43.384140800000004</v>
      </c>
      <c r="CX22" s="249">
        <f t="shared" si="13"/>
        <v>0</v>
      </c>
      <c r="CY22" s="272">
        <f t="shared" si="13"/>
        <v>0</v>
      </c>
      <c r="CZ22" s="13"/>
      <c r="DA22" s="240">
        <f>(D22+'[2]май 20'!D22)/(AY22+'[2]май 20'!AX22)</f>
        <v>2.4158746908369415</v>
      </c>
      <c r="DB22" s="241">
        <f>(T22+'[2]май 20'!R22)/(AY22+'[2]май 20'!AX22)</f>
        <v>1.3709693968253971</v>
      </c>
      <c r="DD22" s="292">
        <f t="shared" si="14"/>
        <v>6.3689999999999998</v>
      </c>
      <c r="DE22" s="291">
        <v>0.22</v>
      </c>
      <c r="DF22" s="291">
        <v>17.53</v>
      </c>
      <c r="DG22" s="145">
        <f t="shared" si="15"/>
        <v>6.3549882000000002</v>
      </c>
      <c r="DH22" s="293">
        <f t="shared" si="32"/>
        <v>1.4867602181502735</v>
      </c>
      <c r="DJ22" s="31">
        <v>70.427999999999997</v>
      </c>
      <c r="DK22" s="411">
        <v>35.201000000000001</v>
      </c>
      <c r="DL22" s="460">
        <f t="shared" si="33"/>
        <v>124.62899999999999</v>
      </c>
      <c r="DM22" s="30">
        <v>80.584999999999994</v>
      </c>
      <c r="DN22" s="460">
        <f t="shared" si="34"/>
        <v>95.584999999999994</v>
      </c>
    </row>
    <row r="23" spans="1:118" s="76" customFormat="1" ht="16.5" customHeight="1" thickBot="1">
      <c r="A23" s="144">
        <v>17</v>
      </c>
      <c r="B23" s="122">
        <f t="shared" si="16"/>
        <v>253.98999999999998</v>
      </c>
      <c r="C23" s="123">
        <f t="shared" si="17"/>
        <v>0.35549072798141657</v>
      </c>
      <c r="D23" s="145">
        <f t="shared" si="18"/>
        <v>253.08708909999996</v>
      </c>
      <c r="E23" s="125">
        <f t="shared" si="19"/>
        <v>37.604554667506598</v>
      </c>
      <c r="F23" s="146">
        <f t="shared" si="20"/>
        <v>2.7164010851132327</v>
      </c>
      <c r="G23" s="127"/>
      <c r="H23" s="126">
        <f t="shared" si="21"/>
        <v>2.7164010851132336</v>
      </c>
      <c r="I23" s="230">
        <f>'[1]июль 20'!AI22</f>
        <v>0</v>
      </c>
      <c r="J23" s="277">
        <f>'[1]май 20'!AA22</f>
        <v>4.633</v>
      </c>
      <c r="K23" s="437">
        <f>'[1]сентябрь 20'!AM22</f>
        <v>0</v>
      </c>
      <c r="L23" s="438"/>
      <c r="M23" s="443">
        <f t="shared" si="22"/>
        <v>0</v>
      </c>
      <c r="N23" s="403">
        <f>'[1]май 20'!W22</f>
        <v>9.4030000000000005</v>
      </c>
      <c r="O23" s="453">
        <f>'[1]май 20'!AU22</f>
        <v>0</v>
      </c>
      <c r="P23" s="401">
        <f t="shared" si="0"/>
        <v>149.93299999999999</v>
      </c>
      <c r="Q23" s="122">
        <f t="shared" si="23"/>
        <v>149.93299999999999</v>
      </c>
      <c r="R23" s="123">
        <f t="shared" si="24"/>
        <v>1.4100000000000001</v>
      </c>
      <c r="S23" s="129">
        <v>22.01</v>
      </c>
      <c r="T23" s="125">
        <f t="shared" si="1"/>
        <v>147.8189447</v>
      </c>
      <c r="U23" s="147">
        <f t="shared" si="2"/>
        <v>1.5865508715251688</v>
      </c>
      <c r="V23" s="130">
        <v>45.32</v>
      </c>
      <c r="W23" s="130">
        <v>49.02</v>
      </c>
      <c r="X23" s="129">
        <v>0.82</v>
      </c>
      <c r="Y23" s="131">
        <v>483</v>
      </c>
      <c r="Z23" s="150">
        <v>1167</v>
      </c>
      <c r="AA23" s="148" t="s">
        <v>269</v>
      </c>
      <c r="AB23" s="149">
        <v>75.02</v>
      </c>
      <c r="AC23" s="150">
        <v>94</v>
      </c>
      <c r="AD23" s="151">
        <v>4</v>
      </c>
      <c r="AE23" s="149">
        <v>1.55</v>
      </c>
      <c r="AF23" s="134">
        <f t="shared" si="3"/>
        <v>16.63625630567779</v>
      </c>
      <c r="AG23" s="152"/>
      <c r="AH23" s="129">
        <v>71.05</v>
      </c>
      <c r="AI23" s="134">
        <f t="shared" si="4"/>
        <v>762.58452291510127</v>
      </c>
      <c r="AJ23" s="136">
        <v>10.76</v>
      </c>
      <c r="AK23" s="154"/>
      <c r="AL23" s="155">
        <v>4.82</v>
      </c>
      <c r="AM23" s="156">
        <v>24.69</v>
      </c>
      <c r="AN23" s="126">
        <f t="shared" si="25"/>
        <v>0.20295930949445129</v>
      </c>
      <c r="AO23" s="157" t="s">
        <v>270</v>
      </c>
      <c r="AP23" s="156">
        <v>8.89</v>
      </c>
      <c r="AQ23" s="156">
        <v>6.9</v>
      </c>
      <c r="AR23" s="151"/>
      <c r="AS23" s="149">
        <v>9.93</v>
      </c>
      <c r="AT23" s="149">
        <v>121.65</v>
      </c>
      <c r="AU23" s="149">
        <v>1.03</v>
      </c>
      <c r="AV23" s="149"/>
      <c r="AW23" s="149"/>
      <c r="AX23" s="158">
        <f t="shared" si="5"/>
        <v>0</v>
      </c>
      <c r="AY23" s="125">
        <f t="shared" si="6"/>
        <v>93.170000000000016</v>
      </c>
      <c r="AZ23" s="125">
        <f t="shared" si="35"/>
        <v>111.91662754157592</v>
      </c>
      <c r="BA23" s="159">
        <f t="shared" si="7"/>
        <v>5.4653461267605623</v>
      </c>
      <c r="BB23" s="160">
        <f t="shared" si="8"/>
        <v>3.7268000000000008</v>
      </c>
      <c r="BC23" s="161">
        <f>IF((D23*E23)=0,0,(AY23*AB23)/(D23*E23))</f>
        <v>0.734416988903556</v>
      </c>
      <c r="BD23" s="160">
        <f t="shared" si="26"/>
        <v>9.1921461267605622</v>
      </c>
      <c r="BE23" s="162">
        <v>0.83899999999999997</v>
      </c>
      <c r="BF23" s="25">
        <f t="shared" si="27"/>
        <v>2060.7399999999998</v>
      </c>
      <c r="BG23" s="25">
        <f t="shared" si="10"/>
        <v>114.51612903225806</v>
      </c>
      <c r="BH23" s="25">
        <f t="shared" si="28"/>
        <v>1946.7741935483871</v>
      </c>
      <c r="BI23" s="26">
        <f t="shared" si="11"/>
        <v>1</v>
      </c>
      <c r="BJ23" s="37">
        <f t="shared" si="29"/>
        <v>1946.7741935483871</v>
      </c>
      <c r="BK23" s="38"/>
      <c r="BL23" s="28">
        <f t="shared" si="30"/>
        <v>131.773</v>
      </c>
      <c r="BM23" s="31">
        <v>94.028999999999996</v>
      </c>
      <c r="BN23" s="234"/>
      <c r="BO23" s="42"/>
      <c r="BP23" s="40">
        <v>28.187999999999999</v>
      </c>
      <c r="BQ23" s="411"/>
      <c r="BR23" s="33"/>
      <c r="BS23" s="34">
        <v>0.21</v>
      </c>
      <c r="BT23" s="35">
        <v>0.6</v>
      </c>
      <c r="BU23" s="35"/>
      <c r="BV23" s="235"/>
      <c r="BW23" s="235">
        <v>0.22</v>
      </c>
      <c r="BX23" s="36"/>
      <c r="BY23" s="33"/>
      <c r="BZ23" s="34">
        <v>37.49</v>
      </c>
      <c r="CA23" s="35">
        <v>38.39</v>
      </c>
      <c r="CB23" s="405"/>
      <c r="CC23" s="404"/>
      <c r="CD23" s="235">
        <v>35.520000000000003</v>
      </c>
      <c r="CE23" s="413">
        <v>43.18</v>
      </c>
      <c r="CF23" s="28">
        <f t="shared" si="31"/>
        <v>102.93</v>
      </c>
      <c r="CG23" s="30">
        <v>47.003</v>
      </c>
      <c r="CH23" s="31"/>
      <c r="CI23" s="32"/>
      <c r="CJ23" s="33">
        <v>1.41</v>
      </c>
      <c r="CK23" s="33">
        <v>1.41</v>
      </c>
      <c r="CL23" s="35"/>
      <c r="CM23" s="36"/>
      <c r="CN23" s="286"/>
      <c r="CO23" s="249">
        <f t="shared" ref="CO23:CU37" si="36">BK23*((100-BR23)/100)</f>
        <v>0</v>
      </c>
      <c r="CP23" s="12">
        <f t="shared" si="36"/>
        <v>131.49627670000001</v>
      </c>
      <c r="CQ23" s="12">
        <f t="shared" si="36"/>
        <v>93.464826000000002</v>
      </c>
      <c r="CR23" s="12">
        <f t="shared" si="36"/>
        <v>0</v>
      </c>
      <c r="CS23" s="11">
        <f t="shared" si="36"/>
        <v>0</v>
      </c>
      <c r="CT23" s="11">
        <f t="shared" si="36"/>
        <v>28.125986399999999</v>
      </c>
      <c r="CU23" s="272">
        <f t="shared" si="36"/>
        <v>0</v>
      </c>
      <c r="CV23" s="249">
        <f t="shared" si="13"/>
        <v>101.47868700000001</v>
      </c>
      <c r="CW23" s="11">
        <f t="shared" si="13"/>
        <v>46.340257700000002</v>
      </c>
      <c r="CX23" s="249">
        <f t="shared" si="13"/>
        <v>0</v>
      </c>
      <c r="CY23" s="272">
        <f t="shared" si="13"/>
        <v>0</v>
      </c>
      <c r="CZ23" s="13"/>
      <c r="DA23" s="240">
        <f>(D23+'[2]май 20'!D23)/(AY23+'[2]май 20'!AX23)</f>
        <v>2.4778729388440373</v>
      </c>
      <c r="DB23" s="241">
        <f>(T23+'[2]май 20'!R23)/(AY23+'[2]май 20'!AX23)</f>
        <v>1.4108699889261984</v>
      </c>
      <c r="DD23" s="292">
        <f t="shared" si="14"/>
        <v>4.633</v>
      </c>
      <c r="DE23" s="291">
        <v>0.24</v>
      </c>
      <c r="DF23" s="291">
        <v>18.920000000000002</v>
      </c>
      <c r="DG23" s="145">
        <f t="shared" si="15"/>
        <v>4.6218808000000005</v>
      </c>
      <c r="DH23" s="293">
        <f t="shared" si="32"/>
        <v>1.1656356269794723</v>
      </c>
      <c r="DJ23" s="31">
        <v>73.05</v>
      </c>
      <c r="DK23" s="411">
        <v>39.722999999999999</v>
      </c>
      <c r="DL23" s="460">
        <f t="shared" si="33"/>
        <v>131.773</v>
      </c>
      <c r="DM23" s="30">
        <v>87.93</v>
      </c>
      <c r="DN23" s="460">
        <f t="shared" si="34"/>
        <v>102.93</v>
      </c>
    </row>
    <row r="24" spans="1:118" s="76" customFormat="1" ht="16.5" customHeight="1" thickBot="1">
      <c r="A24" s="144">
        <v>18</v>
      </c>
      <c r="B24" s="122">
        <f t="shared" si="16"/>
        <v>219.07600000000002</v>
      </c>
      <c r="C24" s="123">
        <f t="shared" si="17"/>
        <v>0.54173579031934105</v>
      </c>
      <c r="D24" s="145">
        <f t="shared" si="18"/>
        <v>217.88918690000006</v>
      </c>
      <c r="E24" s="125">
        <f t="shared" si="19"/>
        <v>38.094278150048375</v>
      </c>
      <c r="F24" s="146">
        <f t="shared" si="20"/>
        <v>2.6976499554289965</v>
      </c>
      <c r="G24" s="127">
        <v>12.99</v>
      </c>
      <c r="H24" s="126">
        <f t="shared" si="21"/>
        <v>2.6976499554289961</v>
      </c>
      <c r="I24" s="230">
        <f>'[1]июль 20'!AI23</f>
        <v>0</v>
      </c>
      <c r="J24" s="439">
        <f>'[1]май 20'!AA23</f>
        <v>4.0259999999999998</v>
      </c>
      <c r="K24" s="440">
        <f>'[1]сентябрь 20'!AM23</f>
        <v>0</v>
      </c>
      <c r="L24" s="441"/>
      <c r="M24" s="442">
        <f t="shared" si="22"/>
        <v>0</v>
      </c>
      <c r="N24" s="403">
        <f>'[1]май 20'!W23</f>
        <v>8.8450000000000006</v>
      </c>
      <c r="O24" s="452">
        <f>'[1]май 20'!AU23</f>
        <v>0</v>
      </c>
      <c r="P24" s="401">
        <f t="shared" si="0"/>
        <v>129.08799999999999</v>
      </c>
      <c r="Q24" s="122">
        <f t="shared" si="23"/>
        <v>129.08799999999999</v>
      </c>
      <c r="R24" s="123">
        <f t="shared" si="24"/>
        <v>1.37</v>
      </c>
      <c r="S24" s="129">
        <v>3.43</v>
      </c>
      <c r="T24" s="125">
        <f t="shared" si="1"/>
        <v>127.31949439999998</v>
      </c>
      <c r="U24" s="147">
        <f t="shared" si="2"/>
        <v>1.5763215847468117</v>
      </c>
      <c r="V24" s="130">
        <v>60.19</v>
      </c>
      <c r="W24" s="130">
        <v>60.54</v>
      </c>
      <c r="X24" s="129">
        <v>1.07</v>
      </c>
      <c r="Y24" s="150">
        <v>506</v>
      </c>
      <c r="Z24" s="150">
        <v>1166</v>
      </c>
      <c r="AA24" s="148" t="s">
        <v>271</v>
      </c>
      <c r="AB24" s="149">
        <v>75.400000000000006</v>
      </c>
      <c r="AC24" s="150">
        <v>80</v>
      </c>
      <c r="AD24" s="151">
        <v>4</v>
      </c>
      <c r="AE24" s="149">
        <v>2.9</v>
      </c>
      <c r="AF24" s="134">
        <f t="shared" si="3"/>
        <v>35.904419957905162</v>
      </c>
      <c r="AG24" s="152"/>
      <c r="AH24" s="129">
        <v>75.5</v>
      </c>
      <c r="AI24" s="134">
        <f t="shared" si="4"/>
        <v>934.75300235235864</v>
      </c>
      <c r="AJ24" s="153">
        <v>11.63</v>
      </c>
      <c r="AK24" s="154"/>
      <c r="AL24" s="155">
        <v>6.25</v>
      </c>
      <c r="AM24" s="156">
        <v>30.98</v>
      </c>
      <c r="AN24" s="126">
        <f t="shared" si="25"/>
        <v>0.2660369257191928</v>
      </c>
      <c r="AO24" s="157" t="s">
        <v>272</v>
      </c>
      <c r="AP24" s="156">
        <v>9.1</v>
      </c>
      <c r="AQ24" s="156">
        <v>6.85</v>
      </c>
      <c r="AR24" s="151"/>
      <c r="AS24" s="149">
        <v>8.91</v>
      </c>
      <c r="AT24" s="149">
        <v>116.45</v>
      </c>
      <c r="AU24" s="149">
        <v>1.55</v>
      </c>
      <c r="AV24" s="164"/>
      <c r="AW24" s="149"/>
      <c r="AX24" s="158">
        <f t="shared" si="5"/>
        <v>0</v>
      </c>
      <c r="AY24" s="125">
        <f t="shared" si="6"/>
        <v>80.77</v>
      </c>
      <c r="AZ24" s="125">
        <f t="shared" si="35"/>
        <v>97.130706300478863</v>
      </c>
      <c r="BA24" s="159">
        <f t="shared" si="7"/>
        <v>5.2110950704225347</v>
      </c>
      <c r="BB24" s="160">
        <f t="shared" si="8"/>
        <v>3.2307999999999999</v>
      </c>
      <c r="BC24" s="161">
        <f t="shared" si="9"/>
        <v>0.73371264182210971</v>
      </c>
      <c r="BD24" s="160">
        <f t="shared" si="26"/>
        <v>8.4418950704225342</v>
      </c>
      <c r="BE24" s="162">
        <v>0.83399999999999996</v>
      </c>
      <c r="BF24" s="25">
        <f t="shared" si="27"/>
        <v>2141.5099999999998</v>
      </c>
      <c r="BG24" s="25">
        <f t="shared" si="10"/>
        <v>114.51612903225806</v>
      </c>
      <c r="BH24" s="25">
        <f t="shared" si="28"/>
        <v>2061.2903225806454</v>
      </c>
      <c r="BI24" s="26">
        <f t="shared" si="11"/>
        <v>1</v>
      </c>
      <c r="BJ24" s="37">
        <f t="shared" si="29"/>
        <v>2061.2903225806454</v>
      </c>
      <c r="BK24" s="38"/>
      <c r="BL24" s="28">
        <f t="shared" si="30"/>
        <v>115.03999999999999</v>
      </c>
      <c r="BM24" s="31">
        <v>80.027000000000001</v>
      </c>
      <c r="BN24" s="234"/>
      <c r="BO24" s="42"/>
      <c r="BP24" s="40">
        <v>24.009</v>
      </c>
      <c r="BQ24" s="411"/>
      <c r="BR24" s="33"/>
      <c r="BS24" s="34">
        <v>0.72</v>
      </c>
      <c r="BT24" s="35">
        <v>0.31</v>
      </c>
      <c r="BU24" s="35"/>
      <c r="BV24" s="235"/>
      <c r="BW24" s="235">
        <v>0.46</v>
      </c>
      <c r="BX24" s="36"/>
      <c r="BY24" s="33"/>
      <c r="BZ24" s="34">
        <v>38.03</v>
      </c>
      <c r="CA24" s="35">
        <v>39.19</v>
      </c>
      <c r="CB24" s="405"/>
      <c r="CC24" s="404"/>
      <c r="CD24" s="235">
        <v>34.75</v>
      </c>
      <c r="CE24" s="413">
        <v>43</v>
      </c>
      <c r="CF24" s="28">
        <f t="shared" si="31"/>
        <v>89.09</v>
      </c>
      <c r="CG24" s="30">
        <v>39.997999999999998</v>
      </c>
      <c r="CH24" s="31"/>
      <c r="CI24" s="32"/>
      <c r="CJ24" s="33">
        <v>1.37</v>
      </c>
      <c r="CK24" s="33">
        <v>1.37</v>
      </c>
      <c r="CL24" s="35"/>
      <c r="CM24" s="36"/>
      <c r="CN24" s="286"/>
      <c r="CO24" s="249">
        <f t="shared" si="36"/>
        <v>0</v>
      </c>
      <c r="CP24" s="12">
        <f t="shared" si="36"/>
        <v>114.21171199999999</v>
      </c>
      <c r="CQ24" s="12">
        <f t="shared" si="36"/>
        <v>79.778916300000006</v>
      </c>
      <c r="CR24" s="12">
        <f t="shared" si="36"/>
        <v>0</v>
      </c>
      <c r="CS24" s="11">
        <f t="shared" si="36"/>
        <v>0</v>
      </c>
      <c r="CT24" s="11">
        <f t="shared" si="36"/>
        <v>23.898558600000001</v>
      </c>
      <c r="CU24" s="272">
        <f t="shared" si="36"/>
        <v>0</v>
      </c>
      <c r="CV24" s="249">
        <f t="shared" si="13"/>
        <v>87.869467</v>
      </c>
      <c r="CW24" s="12">
        <f t="shared" si="13"/>
        <v>39.450027399999996</v>
      </c>
      <c r="CX24" s="249">
        <f t="shared" si="13"/>
        <v>0</v>
      </c>
      <c r="CY24" s="272">
        <f t="shared" si="13"/>
        <v>0</v>
      </c>
      <c r="CZ24" s="13"/>
      <c r="DA24" s="240">
        <f>(D24+'[2]май 20'!D24)/(AY24+'[2]май 20'!AX24)</f>
        <v>2.5184194367340629</v>
      </c>
      <c r="DB24" s="241">
        <f>(T24+'[2]май 20'!R24)/(AY24+'[2]май 20'!AX24)</f>
        <v>1.4380851834383575</v>
      </c>
      <c r="DD24" s="292">
        <f t="shared" si="14"/>
        <v>4.0259999999999998</v>
      </c>
      <c r="DE24" s="291">
        <v>0.2</v>
      </c>
      <c r="DF24" s="291">
        <v>19.28</v>
      </c>
      <c r="DG24" s="145">
        <f t="shared" si="15"/>
        <v>4.0179479999999996</v>
      </c>
      <c r="DH24" s="293">
        <f t="shared" si="32"/>
        <v>1.0274010270557028</v>
      </c>
      <c r="DJ24" s="31">
        <v>55.734999999999999</v>
      </c>
      <c r="DK24" s="411">
        <v>40.305</v>
      </c>
      <c r="DL24" s="460">
        <f t="shared" si="33"/>
        <v>115.03999999999999</v>
      </c>
      <c r="DM24" s="30">
        <v>74.09</v>
      </c>
      <c r="DN24" s="460">
        <f t="shared" si="34"/>
        <v>89.09</v>
      </c>
    </row>
    <row r="25" spans="1:118" s="76" customFormat="1" ht="16.5" customHeight="1" thickBot="1">
      <c r="A25" s="144">
        <v>19</v>
      </c>
      <c r="B25" s="122">
        <f t="shared" si="16"/>
        <v>229.10900000000001</v>
      </c>
      <c r="C25" s="123">
        <f t="shared" si="17"/>
        <v>0.3632083418809387</v>
      </c>
      <c r="D25" s="145">
        <f t="shared" si="18"/>
        <v>228.27685700000001</v>
      </c>
      <c r="E25" s="125">
        <f t="shared" si="19"/>
        <v>37.959316307958218</v>
      </c>
      <c r="F25" s="146">
        <f t="shared" si="20"/>
        <v>2.3925883764804525</v>
      </c>
      <c r="G25" s="127"/>
      <c r="H25" s="126">
        <f t="shared" si="21"/>
        <v>2.3925883764804521</v>
      </c>
      <c r="I25" s="230">
        <f>'[1]июль 20'!AI24</f>
        <v>0</v>
      </c>
      <c r="J25" s="277">
        <f>'[1]май 20'!AA24</f>
        <v>7.0389999999999997</v>
      </c>
      <c r="K25" s="437">
        <f>'[1]сентябрь 20'!AM24</f>
        <v>0</v>
      </c>
      <c r="L25" s="438"/>
      <c r="M25" s="443">
        <f t="shared" si="22"/>
        <v>0</v>
      </c>
      <c r="N25" s="403">
        <f>'[1]май 20'!W24</f>
        <v>9.6440000000000001</v>
      </c>
      <c r="O25" s="453">
        <f>'[1]май 20'!AU24</f>
        <v>0</v>
      </c>
      <c r="P25" s="401">
        <f t="shared" si="0"/>
        <v>133.69900000000001</v>
      </c>
      <c r="Q25" s="122">
        <f t="shared" si="23"/>
        <v>133.69900000000001</v>
      </c>
      <c r="R25" s="123">
        <f>IF(Q25=0,0,(CI25*CM25+CG25*CK25+CH25*CL25+CF25*CJ25)/Q25)</f>
        <v>1.38</v>
      </c>
      <c r="S25" s="129">
        <v>16.78</v>
      </c>
      <c r="T25" s="125">
        <f t="shared" si="1"/>
        <v>131.85395380000003</v>
      </c>
      <c r="U25" s="147">
        <f t="shared" si="2"/>
        <v>1.3819720553401111</v>
      </c>
      <c r="V25" s="130">
        <v>22.68</v>
      </c>
      <c r="W25" s="130">
        <v>71.61</v>
      </c>
      <c r="X25" s="129">
        <v>0.8</v>
      </c>
      <c r="Y25" s="150">
        <v>511</v>
      </c>
      <c r="Z25" s="150">
        <v>1159</v>
      </c>
      <c r="AA25" s="148" t="s">
        <v>273</v>
      </c>
      <c r="AB25" s="149">
        <v>74.55</v>
      </c>
      <c r="AC25" s="150">
        <v>89</v>
      </c>
      <c r="AD25" s="151">
        <v>4</v>
      </c>
      <c r="AE25" s="149">
        <v>2.95</v>
      </c>
      <c r="AF25" s="134">
        <f t="shared" si="3"/>
        <v>30.919190860496801</v>
      </c>
      <c r="AG25" s="152"/>
      <c r="AH25" s="129">
        <v>71.3</v>
      </c>
      <c r="AI25" s="134">
        <f t="shared" si="4"/>
        <v>747.30112147573618</v>
      </c>
      <c r="AJ25" s="136">
        <v>11.91</v>
      </c>
      <c r="AK25" s="154"/>
      <c r="AL25" s="155">
        <v>4.47</v>
      </c>
      <c r="AM25" s="156">
        <v>24.58</v>
      </c>
      <c r="AN25" s="126">
        <f t="shared" si="25"/>
        <v>0.2004076640847941</v>
      </c>
      <c r="AO25" s="157" t="s">
        <v>274</v>
      </c>
      <c r="AP25" s="156">
        <v>9.4600000000000009</v>
      </c>
      <c r="AQ25" s="156">
        <v>6.8</v>
      </c>
      <c r="AR25" s="152"/>
      <c r="AS25" s="149">
        <v>8.36</v>
      </c>
      <c r="AT25" s="149">
        <v>122.65</v>
      </c>
      <c r="AU25" s="149">
        <v>1.81</v>
      </c>
      <c r="AV25" s="164"/>
      <c r="AW25" s="149"/>
      <c r="AX25" s="158">
        <f t="shared" si="5"/>
        <v>0</v>
      </c>
      <c r="AY25" s="125">
        <f t="shared" si="6"/>
        <v>95.410000000000011</v>
      </c>
      <c r="AZ25" s="125">
        <f t="shared" si="35"/>
        <v>103.5051955350108</v>
      </c>
      <c r="BA25" s="159">
        <f t="shared" si="7"/>
        <v>4.6174281690140839</v>
      </c>
      <c r="BB25" s="160">
        <f t="shared" si="8"/>
        <v>3.8164000000000007</v>
      </c>
      <c r="BC25" s="161">
        <f t="shared" si="9"/>
        <v>0.82084522767152679</v>
      </c>
      <c r="BD25" s="160">
        <f t="shared" si="26"/>
        <v>8.4338281690140846</v>
      </c>
      <c r="BE25" s="162">
        <v>0.83399999999999996</v>
      </c>
      <c r="BF25" s="25">
        <f t="shared" si="27"/>
        <v>2236.9199999999996</v>
      </c>
      <c r="BG25" s="25">
        <f t="shared" si="10"/>
        <v>114.51612903225806</v>
      </c>
      <c r="BH25" s="25">
        <f t="shared" si="28"/>
        <v>2175.8064516129034</v>
      </c>
      <c r="BI25" s="26">
        <f t="shared" si="11"/>
        <v>1</v>
      </c>
      <c r="BJ25" s="37">
        <f t="shared" si="29"/>
        <v>2175.8064516129034</v>
      </c>
      <c r="BK25" s="38"/>
      <c r="BL25" s="28">
        <f t="shared" si="30"/>
        <v>119.908</v>
      </c>
      <c r="BM25" s="31">
        <v>84.02</v>
      </c>
      <c r="BN25" s="234"/>
      <c r="BO25" s="42"/>
      <c r="BP25" s="40">
        <v>25.181000000000001</v>
      </c>
      <c r="BQ25" s="411"/>
      <c r="BR25" s="33"/>
      <c r="BS25" s="34">
        <v>0.39</v>
      </c>
      <c r="BT25" s="35">
        <v>0.26</v>
      </c>
      <c r="BU25" s="35"/>
      <c r="BV25" s="235"/>
      <c r="BW25" s="235">
        <v>0.57999999999999996</v>
      </c>
      <c r="BX25" s="36"/>
      <c r="BY25" s="33"/>
      <c r="BZ25" s="34">
        <v>37.94</v>
      </c>
      <c r="CA25" s="35">
        <v>38.67</v>
      </c>
      <c r="CB25" s="405"/>
      <c r="CC25" s="404"/>
      <c r="CD25" s="235">
        <v>35.68</v>
      </c>
      <c r="CE25" s="413">
        <v>43.18</v>
      </c>
      <c r="CF25" s="28">
        <f t="shared" si="31"/>
        <v>91.757000000000005</v>
      </c>
      <c r="CG25" s="30">
        <v>41.942</v>
      </c>
      <c r="CH25" s="31"/>
      <c r="CI25" s="32"/>
      <c r="CJ25" s="33">
        <v>1.38</v>
      </c>
      <c r="CK25" s="33">
        <v>1.38</v>
      </c>
      <c r="CL25" s="35"/>
      <c r="CM25" s="36"/>
      <c r="CN25" s="286"/>
      <c r="CO25" s="249">
        <f t="shared" si="36"/>
        <v>0</v>
      </c>
      <c r="CP25" s="12">
        <f t="shared" si="36"/>
        <v>119.4403588</v>
      </c>
      <c r="CQ25" s="12">
        <f t="shared" si="36"/>
        <v>83.801547999999997</v>
      </c>
      <c r="CR25" s="12">
        <f t="shared" si="36"/>
        <v>0</v>
      </c>
      <c r="CS25" s="11">
        <f t="shared" si="36"/>
        <v>0</v>
      </c>
      <c r="CT25" s="11">
        <f t="shared" si="36"/>
        <v>25.034950200000001</v>
      </c>
      <c r="CU25" s="272">
        <f t="shared" si="36"/>
        <v>0</v>
      </c>
      <c r="CV25" s="249">
        <f t="shared" si="13"/>
        <v>90.490753400000017</v>
      </c>
      <c r="CW25" s="251">
        <f t="shared" si="13"/>
        <v>41.363200400000004</v>
      </c>
      <c r="CX25" s="249">
        <f t="shared" si="13"/>
        <v>0</v>
      </c>
      <c r="CY25" s="272">
        <f t="shared" si="13"/>
        <v>0</v>
      </c>
      <c r="CZ25" s="13"/>
      <c r="DA25" s="240">
        <f>(D25+'[2]май 20'!D25)/(AY25+'[2]май 20'!AX25)</f>
        <v>2.2525337346596928</v>
      </c>
      <c r="DB25" s="241">
        <f>(T25+'[2]май 20'!R25)/(AY25+'[2]май 20'!AX25)</f>
        <v>1.2906503736368919</v>
      </c>
      <c r="DD25" s="292">
        <f t="shared" si="14"/>
        <v>7.0389999999999997</v>
      </c>
      <c r="DE25" s="291">
        <v>0.13</v>
      </c>
      <c r="DF25" s="291">
        <v>21.56</v>
      </c>
      <c r="DG25" s="145">
        <f t="shared" si="15"/>
        <v>7.0298492999999995</v>
      </c>
      <c r="DH25" s="293">
        <f t="shared" si="32"/>
        <v>2.0330456191549295</v>
      </c>
      <c r="DJ25" s="31">
        <v>54.694000000000003</v>
      </c>
      <c r="DK25" s="411">
        <v>46.213999999999999</v>
      </c>
      <c r="DL25" s="460">
        <f t="shared" si="33"/>
        <v>119.908</v>
      </c>
      <c r="DM25" s="30">
        <v>76.757000000000005</v>
      </c>
      <c r="DN25" s="460">
        <f t="shared" si="34"/>
        <v>91.757000000000005</v>
      </c>
    </row>
    <row r="26" spans="1:118" s="76" customFormat="1" ht="16.5" customHeight="1" thickBot="1">
      <c r="A26" s="144">
        <v>20</v>
      </c>
      <c r="B26" s="122">
        <f t="shared" si="16"/>
        <v>149.04300000000001</v>
      </c>
      <c r="C26" s="123">
        <f t="shared" si="17"/>
        <v>0.51166602926672167</v>
      </c>
      <c r="D26" s="145">
        <f t="shared" si="18"/>
        <v>148.28039760000001</v>
      </c>
      <c r="E26" s="125">
        <f t="shared" si="19"/>
        <v>38.191589541273324</v>
      </c>
      <c r="F26" s="146">
        <f t="shared" si="20"/>
        <v>2.2791330710113749</v>
      </c>
      <c r="G26" s="127"/>
      <c r="H26" s="126">
        <f t="shared" si="21"/>
        <v>2.2791330710113744</v>
      </c>
      <c r="I26" s="230">
        <f>'[1]июль 20'!AI25</f>
        <v>0</v>
      </c>
      <c r="J26" s="439">
        <f>'[1]май 20'!AA25</f>
        <v>5.2190000000000003</v>
      </c>
      <c r="K26" s="440">
        <f>'[1]сентябрь 20'!AM25</f>
        <v>0</v>
      </c>
      <c r="L26" s="441"/>
      <c r="M26" s="442">
        <f t="shared" si="22"/>
        <v>0</v>
      </c>
      <c r="N26" s="403">
        <f>'[1]май 20'!W25</f>
        <v>7.0709999999999997</v>
      </c>
      <c r="O26" s="452">
        <f>'[1]май 20'!AU25</f>
        <v>0</v>
      </c>
      <c r="P26" s="401">
        <f t="shared" si="0"/>
        <v>91.591999999999999</v>
      </c>
      <c r="Q26" s="122">
        <f t="shared" si="23"/>
        <v>91.591999999999999</v>
      </c>
      <c r="R26" s="123">
        <f t="shared" si="24"/>
        <v>1.4500000000000002</v>
      </c>
      <c r="S26" s="129">
        <v>10.74</v>
      </c>
      <c r="T26" s="125">
        <f t="shared" si="1"/>
        <v>90.263915999999995</v>
      </c>
      <c r="U26" s="147">
        <f t="shared" si="2"/>
        <v>1.3873949584998464</v>
      </c>
      <c r="V26" s="169"/>
      <c r="W26" s="169">
        <v>65.06</v>
      </c>
      <c r="X26" s="170">
        <v>0.66</v>
      </c>
      <c r="Y26" s="166">
        <v>494</v>
      </c>
      <c r="Z26" s="166">
        <v>1110</v>
      </c>
      <c r="AA26" s="148" t="s">
        <v>273</v>
      </c>
      <c r="AB26" s="164">
        <v>74.150000000000006</v>
      </c>
      <c r="AC26" s="166">
        <v>53</v>
      </c>
      <c r="AD26" s="171">
        <v>3</v>
      </c>
      <c r="AE26" s="164">
        <v>1.2</v>
      </c>
      <c r="AF26" s="172">
        <f t="shared" si="3"/>
        <v>18.44451275745466</v>
      </c>
      <c r="AG26" s="173"/>
      <c r="AH26" s="170">
        <v>54</v>
      </c>
      <c r="AI26" s="134">
        <f t="shared" si="4"/>
        <v>830.00307408545973</v>
      </c>
      <c r="AJ26" s="174">
        <v>9.5399999999999991</v>
      </c>
      <c r="AK26" s="175"/>
      <c r="AL26" s="176">
        <v>4.51</v>
      </c>
      <c r="AM26" s="177">
        <v>12.41</v>
      </c>
      <c r="AN26" s="126">
        <f t="shared" si="25"/>
        <v>0.15349412492269637</v>
      </c>
      <c r="AO26" s="178" t="s">
        <v>275</v>
      </c>
      <c r="AP26" s="177">
        <v>8.27</v>
      </c>
      <c r="AQ26" s="177">
        <v>6.5</v>
      </c>
      <c r="AR26" s="171"/>
      <c r="AS26" s="164">
        <v>14.6</v>
      </c>
      <c r="AT26" s="149">
        <v>80.849999999999994</v>
      </c>
      <c r="AU26" s="164">
        <v>1.1299999999999999</v>
      </c>
      <c r="AV26" s="164"/>
      <c r="AW26" s="164"/>
      <c r="AX26" s="179">
        <f t="shared" si="5"/>
        <v>0</v>
      </c>
      <c r="AY26" s="125">
        <f t="shared" si="6"/>
        <v>65.059999999999988</v>
      </c>
      <c r="AZ26" s="125">
        <f t="shared" si="35"/>
        <v>68.053711076900839</v>
      </c>
      <c r="BA26" s="159">
        <f t="shared" si="7"/>
        <v>6.1073239436619708</v>
      </c>
      <c r="BB26" s="159">
        <f t="shared" si="8"/>
        <v>2.6023999999999994</v>
      </c>
      <c r="BC26" s="180">
        <f t="shared" si="9"/>
        <v>0.8518708123400498</v>
      </c>
      <c r="BD26" s="159">
        <f t="shared" si="26"/>
        <v>8.7097239436619702</v>
      </c>
      <c r="BE26" s="167">
        <v>0.83399999999999996</v>
      </c>
      <c r="BF26" s="25">
        <f t="shared" si="27"/>
        <v>2301.9799999999996</v>
      </c>
      <c r="BG26" s="25">
        <f t="shared" si="10"/>
        <v>114.51612903225806</v>
      </c>
      <c r="BH26" s="25">
        <f t="shared" si="28"/>
        <v>2290.3225806451615</v>
      </c>
      <c r="BI26" s="26">
        <f t="shared" si="11"/>
        <v>1</v>
      </c>
      <c r="BJ26" s="37">
        <f t="shared" si="29"/>
        <v>2290.3225806451615</v>
      </c>
      <c r="BK26" s="38"/>
      <c r="BL26" s="28">
        <f t="shared" si="30"/>
        <v>81.408000000000001</v>
      </c>
      <c r="BM26" s="31">
        <v>52.026000000000003</v>
      </c>
      <c r="BN26" s="406"/>
      <c r="BO26" s="42"/>
      <c r="BP26" s="40">
        <v>15.609</v>
      </c>
      <c r="BQ26" s="412"/>
      <c r="BR26" s="33"/>
      <c r="BS26" s="34">
        <v>0.63</v>
      </c>
      <c r="BT26" s="35">
        <v>0.3</v>
      </c>
      <c r="BU26" s="35"/>
      <c r="BV26" s="235"/>
      <c r="BW26" s="235">
        <v>0.6</v>
      </c>
      <c r="BX26" s="36"/>
      <c r="BY26" s="33"/>
      <c r="BZ26" s="34">
        <v>38.200000000000003</v>
      </c>
      <c r="CA26" s="35">
        <v>39.4</v>
      </c>
      <c r="CB26" s="405"/>
      <c r="CC26" s="404"/>
      <c r="CD26" s="235">
        <v>34.119999999999997</v>
      </c>
      <c r="CE26" s="413">
        <v>42.88</v>
      </c>
      <c r="CF26" s="28">
        <f t="shared" si="31"/>
        <v>91.591999999999999</v>
      </c>
      <c r="CG26" s="30"/>
      <c r="CH26" s="43"/>
      <c r="CI26" s="32"/>
      <c r="CJ26" s="33">
        <v>1.45</v>
      </c>
      <c r="CK26" s="33"/>
      <c r="CL26" s="35"/>
      <c r="CM26" s="36"/>
      <c r="CN26" s="286"/>
      <c r="CO26" s="249">
        <f t="shared" si="36"/>
        <v>0</v>
      </c>
      <c r="CP26" s="12">
        <f t="shared" si="36"/>
        <v>80.895129600000004</v>
      </c>
      <c r="CQ26" s="12">
        <f t="shared" si="36"/>
        <v>51.869922000000003</v>
      </c>
      <c r="CR26" s="12">
        <f t="shared" si="36"/>
        <v>0</v>
      </c>
      <c r="CS26" s="11">
        <f t="shared" si="36"/>
        <v>0</v>
      </c>
      <c r="CT26" s="11">
        <f t="shared" si="36"/>
        <v>15.515346000000001</v>
      </c>
      <c r="CU26" s="272">
        <f t="shared" si="36"/>
        <v>0</v>
      </c>
      <c r="CV26" s="249">
        <f t="shared" si="13"/>
        <v>90.263915999999995</v>
      </c>
      <c r="CW26" s="12">
        <f t="shared" si="13"/>
        <v>0</v>
      </c>
      <c r="CX26" s="249">
        <f t="shared" si="13"/>
        <v>0</v>
      </c>
      <c r="CY26" s="274">
        <f t="shared" si="13"/>
        <v>0</v>
      </c>
      <c r="CZ26" s="13"/>
      <c r="DA26" s="240">
        <f>(D26+'[2]май 20'!D26)/(AY26+'[2]май 20'!AX26)</f>
        <v>2.1470163320758848</v>
      </c>
      <c r="DB26" s="241">
        <f>(T26+'[2]май 20'!R26)/(AY26+'[2]май 20'!AX26)</f>
        <v>1.2796671368432564</v>
      </c>
      <c r="DD26" s="292">
        <f t="shared" si="14"/>
        <v>5.2190000000000003</v>
      </c>
      <c r="DE26" s="291">
        <v>0.22</v>
      </c>
      <c r="DF26" s="291">
        <v>19.649999999999999</v>
      </c>
      <c r="DG26" s="145">
        <f t="shared" si="15"/>
        <v>5.2075182</v>
      </c>
      <c r="DH26" s="293">
        <f t="shared" si="32"/>
        <v>1.3800098803776126</v>
      </c>
      <c r="DJ26" s="43">
        <v>33.792000000000002</v>
      </c>
      <c r="DK26" s="412">
        <v>28.616</v>
      </c>
      <c r="DL26" s="460">
        <f t="shared" si="33"/>
        <v>81.408000000000001</v>
      </c>
      <c r="DM26" s="30">
        <v>76.591999999999999</v>
      </c>
      <c r="DN26" s="460">
        <f t="shared" si="34"/>
        <v>91.591999999999999</v>
      </c>
    </row>
    <row r="27" spans="1:118" s="76" customFormat="1" ht="16.5" customHeight="1" thickBot="1">
      <c r="A27" s="144">
        <v>21</v>
      </c>
      <c r="B27" s="122">
        <f t="shared" si="16"/>
        <v>251.55699999999999</v>
      </c>
      <c r="C27" s="123">
        <f t="shared" si="17"/>
        <v>0.48341278517393671</v>
      </c>
      <c r="D27" s="145">
        <f t="shared" si="18"/>
        <v>250.34094129999997</v>
      </c>
      <c r="E27" s="125">
        <f t="shared" si="19"/>
        <v>37.22914762856928</v>
      </c>
      <c r="F27" s="146">
        <f t="shared" si="20"/>
        <v>2.7516041030995821</v>
      </c>
      <c r="G27" s="127">
        <v>12.9</v>
      </c>
      <c r="H27" s="126">
        <f t="shared" si="21"/>
        <v>2.7516041030995826</v>
      </c>
      <c r="I27" s="230">
        <f>'[1]июль 20'!AI26</f>
        <v>0</v>
      </c>
      <c r="J27" s="277">
        <f>'[1]май 20'!AA26</f>
        <v>9.2230000000000008</v>
      </c>
      <c r="K27" s="437">
        <f>'[1]сентябрь 20'!AM26</f>
        <v>0</v>
      </c>
      <c r="L27" s="438"/>
      <c r="M27" s="443">
        <f t="shared" si="22"/>
        <v>0</v>
      </c>
      <c r="N27" s="403">
        <f>'[1]май 20'!W26</f>
        <v>12.987</v>
      </c>
      <c r="O27" s="453">
        <f>'[1]май 20'!AU26</f>
        <v>0</v>
      </c>
      <c r="P27" s="401">
        <f t="shared" si="0"/>
        <v>146.608</v>
      </c>
      <c r="Q27" s="122">
        <f t="shared" si="23"/>
        <v>146.608</v>
      </c>
      <c r="R27" s="123">
        <f t="shared" si="24"/>
        <v>1.42</v>
      </c>
      <c r="S27" s="129">
        <v>13.93</v>
      </c>
      <c r="T27" s="125">
        <f t="shared" si="1"/>
        <v>144.52616639999999</v>
      </c>
      <c r="U27" s="147">
        <f t="shared" si="2"/>
        <v>1.5885487623653551</v>
      </c>
      <c r="V27" s="130"/>
      <c r="W27" s="130">
        <v>65.58</v>
      </c>
      <c r="X27" s="129">
        <v>0.85</v>
      </c>
      <c r="Y27" s="150">
        <v>461</v>
      </c>
      <c r="Z27" s="150">
        <v>1129</v>
      </c>
      <c r="AA27" s="148" t="s">
        <v>276</v>
      </c>
      <c r="AB27" s="149">
        <v>74.47</v>
      </c>
      <c r="AC27" s="150">
        <v>93</v>
      </c>
      <c r="AD27" s="151">
        <v>4</v>
      </c>
      <c r="AE27" s="149">
        <v>1.7</v>
      </c>
      <c r="AF27" s="134">
        <f t="shared" si="3"/>
        <v>18.685425368212794</v>
      </c>
      <c r="AG27" s="152"/>
      <c r="AH27" s="129">
        <v>77.150000000000006</v>
      </c>
      <c r="AI27" s="134">
        <f t="shared" si="4"/>
        <v>847.98856891624553</v>
      </c>
      <c r="AJ27" s="136">
        <v>12.46</v>
      </c>
      <c r="AK27" s="154"/>
      <c r="AL27" s="155">
        <v>3.72</v>
      </c>
      <c r="AM27" s="156">
        <v>24.87</v>
      </c>
      <c r="AN27" s="126">
        <f t="shared" si="25"/>
        <v>0.20969645868465431</v>
      </c>
      <c r="AO27" s="157" t="s">
        <v>277</v>
      </c>
      <c r="AP27" s="156">
        <v>8.92</v>
      </c>
      <c r="AQ27" s="156">
        <v>6.28</v>
      </c>
      <c r="AR27" s="151"/>
      <c r="AS27" s="149">
        <v>10.39</v>
      </c>
      <c r="AT27" s="149">
        <v>118.6</v>
      </c>
      <c r="AU27" s="149">
        <v>0.97</v>
      </c>
      <c r="AV27" s="164"/>
      <c r="AW27" s="149"/>
      <c r="AX27" s="158">
        <f t="shared" si="5"/>
        <v>0</v>
      </c>
      <c r="AY27" s="125">
        <f t="shared" si="6"/>
        <v>90.97999999999999</v>
      </c>
      <c r="AZ27" s="125">
        <f t="shared" si="35"/>
        <v>111.76578179419688</v>
      </c>
      <c r="BA27" s="159">
        <f t="shared" si="7"/>
        <v>6.2094883802816909</v>
      </c>
      <c r="BB27" s="160">
        <f t="shared" si="8"/>
        <v>3.6391999999999998</v>
      </c>
      <c r="BC27" s="161">
        <f t="shared" si="9"/>
        <v>0.72696300860639107</v>
      </c>
      <c r="BD27" s="160">
        <f t="shared" si="26"/>
        <v>9.8486883802816898</v>
      </c>
      <c r="BE27" s="162">
        <v>0.83</v>
      </c>
      <c r="BF27" s="25">
        <f t="shared" si="27"/>
        <v>2392.9599999999996</v>
      </c>
      <c r="BG27" s="25">
        <f t="shared" si="10"/>
        <v>114.51612903225806</v>
      </c>
      <c r="BH27" s="25">
        <f t="shared" si="28"/>
        <v>2404.8387096774195</v>
      </c>
      <c r="BI27" s="26">
        <f t="shared" si="11"/>
        <v>1</v>
      </c>
      <c r="BJ27" s="37">
        <f t="shared" si="29"/>
        <v>2404.8387096774195</v>
      </c>
      <c r="BK27" s="38"/>
      <c r="BL27" s="28">
        <f t="shared" si="30"/>
        <v>130.608</v>
      </c>
      <c r="BM27" s="31">
        <v>93.022000000000006</v>
      </c>
      <c r="BN27" s="234"/>
      <c r="BO27" s="42"/>
      <c r="BP27" s="40">
        <v>27.927</v>
      </c>
      <c r="BQ27" s="411"/>
      <c r="BR27" s="33"/>
      <c r="BS27" s="34">
        <v>0.51</v>
      </c>
      <c r="BT27" s="35">
        <v>0.3</v>
      </c>
      <c r="BU27" s="35"/>
      <c r="BV27" s="235"/>
      <c r="BW27" s="235">
        <v>0.97</v>
      </c>
      <c r="BX27" s="36"/>
      <c r="BY27" s="33"/>
      <c r="BZ27" s="34">
        <v>37.33</v>
      </c>
      <c r="CA27" s="35">
        <v>38.06</v>
      </c>
      <c r="CB27" s="405"/>
      <c r="CC27" s="404"/>
      <c r="CD27" s="235">
        <v>33.99</v>
      </c>
      <c r="CE27" s="413">
        <v>43</v>
      </c>
      <c r="CF27" s="28">
        <f t="shared" si="31"/>
        <v>146.608</v>
      </c>
      <c r="CG27" s="30"/>
      <c r="CH27" s="31"/>
      <c r="CI27" s="32"/>
      <c r="CJ27" s="33">
        <v>1.42</v>
      </c>
      <c r="CK27" s="33"/>
      <c r="CL27" s="35"/>
      <c r="CM27" s="36"/>
      <c r="CN27" s="286"/>
      <c r="CO27" s="249">
        <f t="shared" si="36"/>
        <v>0</v>
      </c>
      <c r="CP27" s="12">
        <f t="shared" si="36"/>
        <v>129.94189919999999</v>
      </c>
      <c r="CQ27" s="12">
        <f t="shared" si="36"/>
        <v>92.742934000000005</v>
      </c>
      <c r="CR27" s="12">
        <f t="shared" si="36"/>
        <v>0</v>
      </c>
      <c r="CS27" s="11">
        <f t="shared" si="36"/>
        <v>0</v>
      </c>
      <c r="CT27" s="11">
        <f t="shared" si="36"/>
        <v>27.656108099999997</v>
      </c>
      <c r="CU27" s="272">
        <f t="shared" si="36"/>
        <v>0</v>
      </c>
      <c r="CV27" s="249">
        <f t="shared" si="13"/>
        <v>144.52616639999999</v>
      </c>
      <c r="CW27" s="11">
        <f t="shared" si="13"/>
        <v>0</v>
      </c>
      <c r="CX27" s="249">
        <f t="shared" si="13"/>
        <v>0</v>
      </c>
      <c r="CY27" s="272">
        <f t="shared" si="13"/>
        <v>0</v>
      </c>
      <c r="CZ27" s="13"/>
      <c r="DA27" s="240">
        <f>(D27+'[2]май 20'!D27)/(AY27+'[2]май 20'!AX27)</f>
        <v>2.4404283397041131</v>
      </c>
      <c r="DB27" s="241">
        <f>(T27+'[2]май 20'!R27)/(AY27+'[2]май 20'!AX27)</f>
        <v>1.4097337240744674</v>
      </c>
      <c r="DD27" s="292">
        <f t="shared" si="14"/>
        <v>9.2230000000000008</v>
      </c>
      <c r="DE27" s="291">
        <v>1.89</v>
      </c>
      <c r="DF27" s="291">
        <v>20.65</v>
      </c>
      <c r="DG27" s="145">
        <f t="shared" si="15"/>
        <v>9.0486853000000007</v>
      </c>
      <c r="DH27" s="293">
        <f t="shared" si="32"/>
        <v>2.5091359130522357</v>
      </c>
      <c r="DJ27" s="31">
        <v>60.463000000000001</v>
      </c>
      <c r="DK27" s="411">
        <v>51.145000000000003</v>
      </c>
      <c r="DL27" s="460">
        <f t="shared" si="33"/>
        <v>130.608</v>
      </c>
      <c r="DM27" s="30">
        <v>131.608</v>
      </c>
      <c r="DN27" s="460">
        <f t="shared" si="34"/>
        <v>146.608</v>
      </c>
    </row>
    <row r="28" spans="1:118" s="76" customFormat="1" ht="16.5" customHeight="1" thickBot="1">
      <c r="A28" s="144">
        <v>22</v>
      </c>
      <c r="B28" s="122">
        <f t="shared" si="16"/>
        <v>254.10300000000001</v>
      </c>
      <c r="C28" s="123">
        <f t="shared" si="17"/>
        <v>0.87126936714639336</v>
      </c>
      <c r="D28" s="145">
        <f t="shared" si="18"/>
        <v>251.88907839999999</v>
      </c>
      <c r="E28" s="125">
        <f t="shared" si="19"/>
        <v>36.786792560497119</v>
      </c>
      <c r="F28" s="146">
        <f t="shared" si="20"/>
        <v>2.5415102250025225</v>
      </c>
      <c r="G28" s="127"/>
      <c r="H28" s="126">
        <f t="shared" si="21"/>
        <v>2.5415102250025225</v>
      </c>
      <c r="I28" s="230">
        <f>'[1]июль 20'!AI27</f>
        <v>0</v>
      </c>
      <c r="J28" s="439">
        <f>'[1]май 20'!AA27</f>
        <v>5.4720000000000004</v>
      </c>
      <c r="K28" s="440">
        <f>'[1]сентябрь 20'!AM27</f>
        <v>0</v>
      </c>
      <c r="L28" s="441"/>
      <c r="M28" s="442">
        <f t="shared" si="22"/>
        <v>0</v>
      </c>
      <c r="N28" s="403">
        <f>'[1]май 20'!W27</f>
        <v>13.023</v>
      </c>
      <c r="O28" s="452">
        <f>'[1]май 20'!AU27</f>
        <v>0</v>
      </c>
      <c r="P28" s="401">
        <f t="shared" si="0"/>
        <v>148.38200000000001</v>
      </c>
      <c r="Q28" s="122">
        <f t="shared" si="23"/>
        <v>148.38200000000001</v>
      </c>
      <c r="R28" s="123">
        <f t="shared" si="24"/>
        <v>1.45</v>
      </c>
      <c r="S28" s="129">
        <v>11.53</v>
      </c>
      <c r="T28" s="125">
        <f t="shared" si="1"/>
        <v>146.23046099999999</v>
      </c>
      <c r="U28" s="147">
        <f t="shared" si="2"/>
        <v>1.4754359903137926</v>
      </c>
      <c r="V28" s="130">
        <v>24.24</v>
      </c>
      <c r="W28" s="130">
        <v>99.11</v>
      </c>
      <c r="X28" s="129">
        <v>0.45</v>
      </c>
      <c r="Y28" s="150">
        <v>450</v>
      </c>
      <c r="Z28" s="150">
        <v>1153</v>
      </c>
      <c r="AA28" s="148" t="s">
        <v>278</v>
      </c>
      <c r="AB28" s="149">
        <v>74.62</v>
      </c>
      <c r="AC28" s="150">
        <v>94</v>
      </c>
      <c r="AD28" s="151">
        <v>4</v>
      </c>
      <c r="AE28" s="149">
        <v>1.95</v>
      </c>
      <c r="AF28" s="134">
        <f t="shared" si="3"/>
        <v>19.675108465341541</v>
      </c>
      <c r="AG28" s="152"/>
      <c r="AH28" s="129">
        <v>88</v>
      </c>
      <c r="AI28" s="134">
        <f t="shared" si="4"/>
        <v>887.90233074361822</v>
      </c>
      <c r="AJ28" s="153">
        <v>11.51</v>
      </c>
      <c r="AK28" s="154"/>
      <c r="AL28" s="155">
        <v>7.22</v>
      </c>
      <c r="AM28" s="156">
        <v>22.8</v>
      </c>
      <c r="AN28" s="126">
        <f t="shared" si="25"/>
        <v>0.17833398513883458</v>
      </c>
      <c r="AO28" s="157" t="s">
        <v>279</v>
      </c>
      <c r="AP28" s="156">
        <v>8.14</v>
      </c>
      <c r="AQ28" s="156">
        <v>6.17</v>
      </c>
      <c r="AR28" s="151"/>
      <c r="AS28" s="149">
        <v>14.38</v>
      </c>
      <c r="AT28" s="149">
        <v>127.85</v>
      </c>
      <c r="AU28" s="149">
        <v>1.28</v>
      </c>
      <c r="AV28" s="164"/>
      <c r="AW28" s="149"/>
      <c r="AX28" s="158">
        <f t="shared" si="5"/>
        <v>0</v>
      </c>
      <c r="AY28" s="125">
        <f t="shared" si="6"/>
        <v>99.11</v>
      </c>
      <c r="AZ28" s="125">
        <f t="shared" si="35"/>
        <v>109.9434581085156</v>
      </c>
      <c r="BA28" s="159">
        <f t="shared" si="7"/>
        <v>9.8027042253521124</v>
      </c>
      <c r="BB28" s="160">
        <f t="shared" si="8"/>
        <v>3.9643999999999999</v>
      </c>
      <c r="BC28" s="161">
        <f t="shared" si="9"/>
        <v>0.79812600239208753</v>
      </c>
      <c r="BD28" s="160">
        <f t="shared" si="26"/>
        <v>13.767104225352112</v>
      </c>
      <c r="BE28" s="162">
        <v>0.82799999999999996</v>
      </c>
      <c r="BF28" s="25">
        <f t="shared" si="27"/>
        <v>2492.0699999999997</v>
      </c>
      <c r="BG28" s="25">
        <f t="shared" si="10"/>
        <v>114.51612903225806</v>
      </c>
      <c r="BH28" s="25">
        <f t="shared" si="28"/>
        <v>2519.3548387096776</v>
      </c>
      <c r="BI28" s="26">
        <f t="shared" si="11"/>
        <v>1</v>
      </c>
      <c r="BJ28" s="37">
        <f t="shared" si="29"/>
        <v>2519.3548387096776</v>
      </c>
      <c r="BK28" s="38"/>
      <c r="BL28" s="28">
        <f t="shared" si="30"/>
        <v>131.874</v>
      </c>
      <c r="BM28" s="31">
        <v>94</v>
      </c>
      <c r="BN28" s="234"/>
      <c r="BO28" s="42"/>
      <c r="BP28" s="40">
        <v>28.228999999999999</v>
      </c>
      <c r="BQ28" s="411"/>
      <c r="BR28" s="33"/>
      <c r="BS28" s="34">
        <v>1</v>
      </c>
      <c r="BT28" s="35">
        <v>0.64</v>
      </c>
      <c r="BU28" s="35"/>
      <c r="BV28" s="235"/>
      <c r="BW28" s="235">
        <v>1.04</v>
      </c>
      <c r="BX28" s="36"/>
      <c r="BY28" s="33"/>
      <c r="BZ28" s="34">
        <v>36.85</v>
      </c>
      <c r="CA28" s="35">
        <v>37.520000000000003</v>
      </c>
      <c r="CB28" s="405"/>
      <c r="CC28" s="404"/>
      <c r="CD28" s="235">
        <v>34.049999999999997</v>
      </c>
      <c r="CE28" s="36">
        <v>43.23</v>
      </c>
      <c r="CF28" s="28">
        <f t="shared" si="31"/>
        <v>148.38200000000001</v>
      </c>
      <c r="CG28" s="30"/>
      <c r="CH28" s="31"/>
      <c r="CI28" s="32"/>
      <c r="CJ28" s="33">
        <v>1.45</v>
      </c>
      <c r="CK28" s="33"/>
      <c r="CL28" s="35"/>
      <c r="CM28" s="36"/>
      <c r="CN28" s="286"/>
      <c r="CO28" s="249">
        <f t="shared" si="36"/>
        <v>0</v>
      </c>
      <c r="CP28" s="12">
        <f t="shared" si="36"/>
        <v>130.55526</v>
      </c>
      <c r="CQ28" s="12">
        <f t="shared" si="36"/>
        <v>93.398400000000009</v>
      </c>
      <c r="CR28" s="12">
        <f t="shared" si="36"/>
        <v>0</v>
      </c>
      <c r="CS28" s="11">
        <f t="shared" si="36"/>
        <v>0</v>
      </c>
      <c r="CT28" s="11">
        <f t="shared" si="36"/>
        <v>27.935418399999996</v>
      </c>
      <c r="CU28" s="272">
        <f t="shared" si="36"/>
        <v>0</v>
      </c>
      <c r="CV28" s="249">
        <f t="shared" si="13"/>
        <v>146.23046099999999</v>
      </c>
      <c r="CW28" s="12">
        <f t="shared" si="13"/>
        <v>0</v>
      </c>
      <c r="CX28" s="249">
        <f t="shared" si="13"/>
        <v>0</v>
      </c>
      <c r="CY28" s="272">
        <f t="shared" si="13"/>
        <v>0</v>
      </c>
      <c r="CZ28" s="13"/>
      <c r="DA28" s="240">
        <f>(D28+'[2]май 20'!D28)/(AY28+'[2]май 20'!AX28)</f>
        <v>2.4429231552016142</v>
      </c>
      <c r="DB28" s="241">
        <f>(T28+'[2]май 20'!R28)/(AY28+'[2]май 20'!AX28)</f>
        <v>1.4235539656228604</v>
      </c>
      <c r="DD28" s="292">
        <f t="shared" si="14"/>
        <v>5.4720000000000004</v>
      </c>
      <c r="DE28" s="305">
        <v>0.37</v>
      </c>
      <c r="DF28" s="291">
        <v>21.02</v>
      </c>
      <c r="DG28" s="145">
        <f t="shared" si="15"/>
        <v>5.4517536</v>
      </c>
      <c r="DH28" s="293">
        <f t="shared" si="32"/>
        <v>1.5357258197802197</v>
      </c>
      <c r="DJ28" s="31">
        <v>61.195999999999998</v>
      </c>
      <c r="DK28" s="411">
        <v>51.677999999999997</v>
      </c>
      <c r="DL28" s="460">
        <f t="shared" si="33"/>
        <v>131.874</v>
      </c>
      <c r="DM28" s="30">
        <v>133.38200000000001</v>
      </c>
      <c r="DN28" s="460">
        <f t="shared" si="34"/>
        <v>148.38200000000001</v>
      </c>
    </row>
    <row r="29" spans="1:118" s="76" customFormat="1" ht="16.5" customHeight="1" thickBot="1">
      <c r="A29" s="144">
        <v>23</v>
      </c>
      <c r="B29" s="122">
        <f t="shared" si="16"/>
        <v>239.166</v>
      </c>
      <c r="C29" s="123">
        <f t="shared" si="17"/>
        <v>0.84934781699739947</v>
      </c>
      <c r="D29" s="145">
        <f t="shared" si="18"/>
        <v>237.13464880000001</v>
      </c>
      <c r="E29" s="125">
        <f t="shared" si="19"/>
        <v>37.601130846357762</v>
      </c>
      <c r="F29" s="146">
        <f t="shared" si="20"/>
        <v>2.6368803380406987</v>
      </c>
      <c r="G29" s="127">
        <v>10.44</v>
      </c>
      <c r="H29" s="126">
        <f t="shared" si="21"/>
        <v>2.6368803380406987</v>
      </c>
      <c r="I29" s="230">
        <f>'[1]июль 20'!AI28</f>
        <v>0</v>
      </c>
      <c r="J29" s="277">
        <f>'[1]май 20'!AA28</f>
        <v>4.5890000000000004</v>
      </c>
      <c r="K29" s="437">
        <f>'[1]сентябрь 20'!AM28</f>
        <v>0</v>
      </c>
      <c r="L29" s="438"/>
      <c r="M29" s="443">
        <f t="shared" si="22"/>
        <v>0</v>
      </c>
      <c r="N29" s="403">
        <f>'[1]май 20'!W28</f>
        <v>12.943</v>
      </c>
      <c r="O29" s="453">
        <f>'[1]май 20'!AU28</f>
        <v>0</v>
      </c>
      <c r="P29" s="401">
        <f t="shared" si="0"/>
        <v>140.92400000000001</v>
      </c>
      <c r="Q29" s="122">
        <f t="shared" si="23"/>
        <v>140.92400000000001</v>
      </c>
      <c r="R29" s="123">
        <f t="shared" si="24"/>
        <v>1.39</v>
      </c>
      <c r="S29" s="129">
        <v>7.04</v>
      </c>
      <c r="T29" s="125">
        <f t="shared" si="1"/>
        <v>138.96515640000001</v>
      </c>
      <c r="U29" s="147">
        <f t="shared" si="2"/>
        <v>1.5452591615701103</v>
      </c>
      <c r="V29" s="130">
        <v>23.24</v>
      </c>
      <c r="W29" s="130">
        <v>66.69</v>
      </c>
      <c r="X29" s="129">
        <v>0.42</v>
      </c>
      <c r="Y29" s="150">
        <v>464</v>
      </c>
      <c r="Z29" s="150">
        <v>1158</v>
      </c>
      <c r="AA29" s="148" t="s">
        <v>280</v>
      </c>
      <c r="AB29" s="149">
        <v>74.06</v>
      </c>
      <c r="AC29" s="150">
        <v>88</v>
      </c>
      <c r="AD29" s="151">
        <v>4</v>
      </c>
      <c r="AE29" s="149">
        <v>0.9</v>
      </c>
      <c r="AF29" s="134">
        <f t="shared" si="3"/>
        <v>10.007783831869233</v>
      </c>
      <c r="AG29" s="152"/>
      <c r="AH29" s="129">
        <v>85.85</v>
      </c>
      <c r="AI29" s="134">
        <f t="shared" si="4"/>
        <v>954.6313799621928</v>
      </c>
      <c r="AJ29" s="136">
        <v>15.03</v>
      </c>
      <c r="AK29" s="154"/>
      <c r="AL29" s="155">
        <v>6.41</v>
      </c>
      <c r="AM29" s="156">
        <v>29.15</v>
      </c>
      <c r="AN29" s="126">
        <f t="shared" si="25"/>
        <v>0.23699186991869917</v>
      </c>
      <c r="AO29" s="157" t="s">
        <v>281</v>
      </c>
      <c r="AP29" s="156">
        <v>8.35</v>
      </c>
      <c r="AQ29" s="156">
        <v>6.29</v>
      </c>
      <c r="AR29" s="149"/>
      <c r="AS29" s="149">
        <v>13.67</v>
      </c>
      <c r="AT29" s="149">
        <v>123</v>
      </c>
      <c r="AU29" s="149">
        <v>2.4900000000000002</v>
      </c>
      <c r="AV29" s="164"/>
      <c r="AW29" s="149"/>
      <c r="AX29" s="158">
        <f t="shared" si="5"/>
        <v>0</v>
      </c>
      <c r="AY29" s="125">
        <f t="shared" si="6"/>
        <v>89.929999999999993</v>
      </c>
      <c r="AZ29" s="125">
        <f t="shared" si="35"/>
        <v>106.34736166929099</v>
      </c>
      <c r="BA29" s="159">
        <f t="shared" si="7"/>
        <v>9.0910313380281664</v>
      </c>
      <c r="BB29" s="160">
        <f t="shared" si="8"/>
        <v>3.5972</v>
      </c>
      <c r="BC29" s="161">
        <f t="shared" si="9"/>
        <v>0.74695145809179919</v>
      </c>
      <c r="BD29" s="160">
        <f t="shared" si="26"/>
        <v>12.688231338028167</v>
      </c>
      <c r="BE29" s="162">
        <v>0.82499999999999996</v>
      </c>
      <c r="BF29" s="25">
        <f t="shared" si="27"/>
        <v>2581.9999999999995</v>
      </c>
      <c r="BG29" s="25">
        <f t="shared" si="10"/>
        <v>114.51612903225806</v>
      </c>
      <c r="BH29" s="25">
        <f t="shared" si="28"/>
        <v>2633.8709677419356</v>
      </c>
      <c r="BI29" s="26">
        <f t="shared" si="11"/>
        <v>1</v>
      </c>
      <c r="BJ29" s="37">
        <f t="shared" si="29"/>
        <v>2633.8709677419356</v>
      </c>
      <c r="BK29" s="328"/>
      <c r="BL29" s="28">
        <f t="shared" si="30"/>
        <v>124.74600000000001</v>
      </c>
      <c r="BM29" s="31">
        <v>88.028000000000006</v>
      </c>
      <c r="BN29" s="31"/>
      <c r="BO29" s="40"/>
      <c r="BP29" s="40">
        <v>26.391999999999999</v>
      </c>
      <c r="BQ29" s="32"/>
      <c r="BR29" s="33"/>
      <c r="BS29" s="34">
        <v>1.04</v>
      </c>
      <c r="BT29" s="35">
        <v>0.54</v>
      </c>
      <c r="BU29" s="35"/>
      <c r="BV29" s="235"/>
      <c r="BW29" s="235">
        <v>0.98</v>
      </c>
      <c r="BX29" s="36"/>
      <c r="BY29" s="33"/>
      <c r="BZ29" s="34">
        <v>37.630000000000003</v>
      </c>
      <c r="CA29" s="35">
        <v>38.46</v>
      </c>
      <c r="CB29" s="35"/>
      <c r="CC29" s="235"/>
      <c r="CD29" s="235">
        <v>34.6</v>
      </c>
      <c r="CE29" s="36">
        <v>43.18</v>
      </c>
      <c r="CF29" s="28">
        <f t="shared" si="31"/>
        <v>140.92400000000001</v>
      </c>
      <c r="CG29" s="30"/>
      <c r="CH29" s="31"/>
      <c r="CI29" s="32"/>
      <c r="CJ29" s="33">
        <v>1.39</v>
      </c>
      <c r="CK29" s="33"/>
      <c r="CL29" s="35"/>
      <c r="CM29" s="36"/>
      <c r="CN29" s="286"/>
      <c r="CO29" s="249">
        <f t="shared" si="36"/>
        <v>0</v>
      </c>
      <c r="CP29" s="12">
        <f t="shared" si="36"/>
        <v>123.4486416</v>
      </c>
      <c r="CQ29" s="12">
        <f t="shared" si="36"/>
        <v>87.5526488</v>
      </c>
      <c r="CR29" s="12">
        <f t="shared" si="36"/>
        <v>0</v>
      </c>
      <c r="CS29" s="11">
        <f t="shared" si="36"/>
        <v>0</v>
      </c>
      <c r="CT29" s="11">
        <f t="shared" si="36"/>
        <v>26.133358399999999</v>
      </c>
      <c r="CU29" s="272">
        <f t="shared" si="36"/>
        <v>0</v>
      </c>
      <c r="CV29" s="249">
        <f t="shared" si="13"/>
        <v>138.96515640000001</v>
      </c>
      <c r="CW29" s="12">
        <f t="shared" si="13"/>
        <v>0</v>
      </c>
      <c r="CX29" s="249">
        <f t="shared" si="13"/>
        <v>0</v>
      </c>
      <c r="CY29" s="272">
        <f t="shared" si="13"/>
        <v>0</v>
      </c>
      <c r="CZ29" s="13"/>
      <c r="DA29" s="240">
        <f>(D29+'[2]май 20'!D29)/(AY29+'[2]май 20'!AX29)</f>
        <v>2.3525950400870665</v>
      </c>
      <c r="DB29" s="241">
        <f>(T29+'[2]май 20'!R29)/(AY29+'[2]май 20'!AX29)</f>
        <v>1.3813355936876472</v>
      </c>
      <c r="DD29" s="292">
        <f t="shared" si="14"/>
        <v>4.5890000000000004</v>
      </c>
      <c r="DE29" s="291">
        <v>0.11</v>
      </c>
      <c r="DF29" s="291">
        <v>20.059999999999999</v>
      </c>
      <c r="DG29" s="145">
        <f t="shared" si="15"/>
        <v>4.5839521000000003</v>
      </c>
      <c r="DH29" s="293">
        <f t="shared" si="32"/>
        <v>1.241615975236295</v>
      </c>
      <c r="DJ29" s="31">
        <v>57.344999999999999</v>
      </c>
      <c r="DK29" s="32">
        <v>48.401000000000003</v>
      </c>
      <c r="DL29" s="460">
        <f t="shared" si="33"/>
        <v>124.74600000000001</v>
      </c>
      <c r="DM29" s="30">
        <v>125.92400000000001</v>
      </c>
      <c r="DN29" s="460">
        <f t="shared" si="34"/>
        <v>140.92400000000001</v>
      </c>
    </row>
    <row r="30" spans="1:118" s="76" customFormat="1" ht="16.5" customHeight="1" thickBot="1">
      <c r="A30" s="144">
        <v>24</v>
      </c>
      <c r="B30" s="122">
        <f t="shared" si="16"/>
        <v>221.44600000000003</v>
      </c>
      <c r="C30" s="123">
        <f t="shared" si="17"/>
        <v>0.92124775340263532</v>
      </c>
      <c r="D30" s="145">
        <f t="shared" si="18"/>
        <v>219.40593370000002</v>
      </c>
      <c r="E30" s="125">
        <f t="shared" si="19"/>
        <v>37.482583519232683</v>
      </c>
      <c r="F30" s="146">
        <f t="shared" si="20"/>
        <v>2.2189111417880261</v>
      </c>
      <c r="G30" s="127"/>
      <c r="H30" s="126">
        <f t="shared" si="21"/>
        <v>2.2189111417880252</v>
      </c>
      <c r="I30" s="230">
        <f>'[1]июль 20'!AI29</f>
        <v>0</v>
      </c>
      <c r="J30" s="439">
        <f>'[1]май 20'!AA29</f>
        <v>4.2960000000000003</v>
      </c>
      <c r="K30" s="440">
        <f>'[1]сентябрь 20'!AM29</f>
        <v>0</v>
      </c>
      <c r="L30" s="441"/>
      <c r="M30" s="442">
        <f t="shared" si="22"/>
        <v>0</v>
      </c>
      <c r="N30" s="403">
        <f>'[1]май 20'!W29</f>
        <v>10.58</v>
      </c>
      <c r="O30" s="452">
        <f>'[1]май 20'!AU29</f>
        <v>0</v>
      </c>
      <c r="P30" s="401">
        <f t="shared" si="0"/>
        <v>131.589</v>
      </c>
      <c r="Q30" s="122">
        <f t="shared" si="23"/>
        <v>131.589</v>
      </c>
      <c r="R30" s="123">
        <f t="shared" si="24"/>
        <v>1.37</v>
      </c>
      <c r="S30" s="170">
        <v>7.55</v>
      </c>
      <c r="T30" s="125">
        <f t="shared" si="1"/>
        <v>129.7862307</v>
      </c>
      <c r="U30" s="147">
        <f t="shared" si="2"/>
        <v>1.3125630127427184</v>
      </c>
      <c r="V30" s="169"/>
      <c r="W30" s="169">
        <v>98.88</v>
      </c>
      <c r="X30" s="170">
        <v>0.28999999999999998</v>
      </c>
      <c r="Y30" s="166">
        <v>483</v>
      </c>
      <c r="Z30" s="166">
        <v>1151</v>
      </c>
      <c r="AA30" s="148" t="s">
        <v>282</v>
      </c>
      <c r="AB30" s="164">
        <v>73.28</v>
      </c>
      <c r="AC30" s="166">
        <v>81</v>
      </c>
      <c r="AD30" s="171">
        <v>4</v>
      </c>
      <c r="AE30" s="164">
        <v>1.4</v>
      </c>
      <c r="AF30" s="172">
        <f t="shared" si="3"/>
        <v>14.158576051779933</v>
      </c>
      <c r="AG30" s="173"/>
      <c r="AH30" s="170">
        <v>76.55</v>
      </c>
      <c r="AI30" s="134">
        <f t="shared" si="4"/>
        <v>774.17071197410996</v>
      </c>
      <c r="AJ30" s="174">
        <v>12.33</v>
      </c>
      <c r="AK30" s="175"/>
      <c r="AL30" s="176">
        <v>4.12</v>
      </c>
      <c r="AM30" s="177">
        <v>24.29</v>
      </c>
      <c r="AN30" s="126">
        <f t="shared" si="25"/>
        <v>0.19354581673306773</v>
      </c>
      <c r="AO30" s="178" t="s">
        <v>266</v>
      </c>
      <c r="AP30" s="177">
        <v>8.17</v>
      </c>
      <c r="AQ30" s="177">
        <v>6.23</v>
      </c>
      <c r="AR30" s="171"/>
      <c r="AS30" s="164">
        <v>11.88</v>
      </c>
      <c r="AT30" s="149">
        <v>125.5</v>
      </c>
      <c r="AU30" s="164">
        <v>1.79</v>
      </c>
      <c r="AV30" s="164"/>
      <c r="AW30" s="164"/>
      <c r="AX30" s="179">
        <f t="shared" si="5"/>
        <v>0</v>
      </c>
      <c r="AY30" s="125">
        <f t="shared" si="6"/>
        <v>98.88000000000001</v>
      </c>
      <c r="AZ30" s="125">
        <f t="shared" si="35"/>
        <v>98.952960496462111</v>
      </c>
      <c r="BA30" s="159">
        <f t="shared" si="7"/>
        <v>7.0447563380281686</v>
      </c>
      <c r="BB30" s="159">
        <f t="shared" si="8"/>
        <v>3.9552000000000005</v>
      </c>
      <c r="BC30" s="180">
        <f t="shared" si="9"/>
        <v>0.88108139839766597</v>
      </c>
      <c r="BD30" s="159">
        <f t="shared" si="26"/>
        <v>10.99995633802817</v>
      </c>
      <c r="BE30" s="167">
        <v>0.82699999999999996</v>
      </c>
      <c r="BF30" s="25">
        <f t="shared" si="27"/>
        <v>2680.8799999999997</v>
      </c>
      <c r="BG30" s="25">
        <f t="shared" si="10"/>
        <v>114.51612903225806</v>
      </c>
      <c r="BH30" s="25">
        <f t="shared" si="28"/>
        <v>2748.3870967741937</v>
      </c>
      <c r="BI30" s="26">
        <f t="shared" si="11"/>
        <v>1</v>
      </c>
      <c r="BJ30" s="37">
        <f t="shared" si="29"/>
        <v>2748.3870967741937</v>
      </c>
      <c r="BK30" s="38"/>
      <c r="BL30" s="28">
        <f t="shared" si="30"/>
        <v>116.307</v>
      </c>
      <c r="BM30" s="31">
        <v>81.040999999999997</v>
      </c>
      <c r="BN30" s="31"/>
      <c r="BO30" s="40"/>
      <c r="BP30" s="40">
        <v>24.097999999999999</v>
      </c>
      <c r="BQ30" s="44"/>
      <c r="BR30" s="45"/>
      <c r="BS30" s="46">
        <v>0.97</v>
      </c>
      <c r="BT30" s="47">
        <v>0.7</v>
      </c>
      <c r="BU30" s="47"/>
      <c r="BV30" s="283"/>
      <c r="BW30" s="283">
        <v>1.43</v>
      </c>
      <c r="BX30" s="48"/>
      <c r="BY30" s="45"/>
      <c r="BZ30" s="46">
        <v>37.54</v>
      </c>
      <c r="CA30" s="47">
        <v>38.07</v>
      </c>
      <c r="CB30" s="47"/>
      <c r="CC30" s="283"/>
      <c r="CD30" s="283">
        <v>35.229999999999997</v>
      </c>
      <c r="CE30" s="48">
        <v>43.26</v>
      </c>
      <c r="CF30" s="28">
        <f t="shared" si="31"/>
        <v>131.589</v>
      </c>
      <c r="CG30" s="49"/>
      <c r="CH30" s="43"/>
      <c r="CI30" s="32"/>
      <c r="CJ30" s="33">
        <v>1.37</v>
      </c>
      <c r="CK30" s="33"/>
      <c r="CL30" s="35"/>
      <c r="CM30" s="36"/>
      <c r="CN30" s="286"/>
      <c r="CO30" s="249">
        <f t="shared" si="36"/>
        <v>0</v>
      </c>
      <c r="CP30" s="12">
        <f t="shared" si="36"/>
        <v>115.17882209999999</v>
      </c>
      <c r="CQ30" s="12">
        <f t="shared" si="36"/>
        <v>80.473712999999989</v>
      </c>
      <c r="CR30" s="12">
        <f t="shared" si="36"/>
        <v>0</v>
      </c>
      <c r="CS30" s="11">
        <f t="shared" si="36"/>
        <v>0</v>
      </c>
      <c r="CT30" s="11">
        <f t="shared" si="36"/>
        <v>23.753398599999997</v>
      </c>
      <c r="CU30" s="272">
        <f t="shared" si="36"/>
        <v>0</v>
      </c>
      <c r="CV30" s="249">
        <f t="shared" si="13"/>
        <v>129.7862307</v>
      </c>
      <c r="CW30" s="11">
        <f t="shared" si="13"/>
        <v>0</v>
      </c>
      <c r="CX30" s="252">
        <f t="shared" si="13"/>
        <v>0</v>
      </c>
      <c r="CY30" s="272">
        <f t="shared" si="13"/>
        <v>0</v>
      </c>
      <c r="CZ30" s="13"/>
      <c r="DA30" s="240">
        <f>(D30+'[2]май 20'!D30)/(AY30+'[2]май 20'!AX30)</f>
        <v>2.2444403479634834</v>
      </c>
      <c r="DB30" s="241">
        <f>(T30+'[2]май 20'!R30)/(AY30+'[2]май 20'!AX30)</f>
        <v>1.3270583943117977</v>
      </c>
      <c r="DD30" s="292">
        <f t="shared" si="14"/>
        <v>4.2960000000000003</v>
      </c>
      <c r="DE30" s="291">
        <v>0.15</v>
      </c>
      <c r="DF30" s="291">
        <v>16.739999999999998</v>
      </c>
      <c r="DG30" s="145">
        <f t="shared" si="15"/>
        <v>4.2895560000000001</v>
      </c>
      <c r="DH30" s="293">
        <f t="shared" si="32"/>
        <v>0.97990130240174667</v>
      </c>
      <c r="DJ30" s="31">
        <v>52.698</v>
      </c>
      <c r="DK30" s="44">
        <v>44.609000000000002</v>
      </c>
      <c r="DL30" s="460">
        <f t="shared" si="33"/>
        <v>116.307</v>
      </c>
      <c r="DM30" s="49">
        <v>116.589</v>
      </c>
      <c r="DN30" s="460">
        <f t="shared" si="34"/>
        <v>131.589</v>
      </c>
    </row>
    <row r="31" spans="1:118" s="76" customFormat="1" ht="16.5" customHeight="1" thickBot="1">
      <c r="A31" s="144">
        <v>25</v>
      </c>
      <c r="B31" s="122">
        <f t="shared" si="16"/>
        <v>231.57900000000001</v>
      </c>
      <c r="C31" s="123">
        <f t="shared" si="17"/>
        <v>0.72284844480717148</v>
      </c>
      <c r="D31" s="145">
        <f t="shared" si="18"/>
        <v>229.90503480000001</v>
      </c>
      <c r="E31" s="125">
        <f t="shared" si="19"/>
        <v>37.441025395221502</v>
      </c>
      <c r="F31" s="146">
        <f t="shared" si="20"/>
        <v>2.8831832806621525</v>
      </c>
      <c r="G31" s="127"/>
      <c r="H31" s="126">
        <f t="shared" si="21"/>
        <v>2.883183280662152</v>
      </c>
      <c r="I31" s="230">
        <f>'[1]июль 20'!AI30</f>
        <v>0</v>
      </c>
      <c r="J31" s="277">
        <f>'[1]май 20'!AA30</f>
        <v>4.3099999999999996</v>
      </c>
      <c r="K31" s="437">
        <f>'[1]сентябрь 20'!AM30</f>
        <v>0</v>
      </c>
      <c r="L31" s="438"/>
      <c r="M31" s="443">
        <f t="shared" si="22"/>
        <v>0</v>
      </c>
      <c r="N31" s="403">
        <f>'[1]май 20'!W30</f>
        <v>10.988</v>
      </c>
      <c r="O31" s="453">
        <f>'[1]май 20'!AU30</f>
        <v>0</v>
      </c>
      <c r="P31" s="401">
        <f t="shared" si="0"/>
        <v>141.49599999999998</v>
      </c>
      <c r="Q31" s="122">
        <f t="shared" si="23"/>
        <v>141.49599999999998</v>
      </c>
      <c r="R31" s="123">
        <f t="shared" si="24"/>
        <v>1.41</v>
      </c>
      <c r="S31" s="129">
        <v>3.91</v>
      </c>
      <c r="T31" s="125">
        <f t="shared" si="1"/>
        <v>139.50090639999999</v>
      </c>
      <c r="U31" s="147">
        <f t="shared" si="2"/>
        <v>1.7494470328567846</v>
      </c>
      <c r="V31" s="130"/>
      <c r="W31" s="130">
        <v>56.29</v>
      </c>
      <c r="X31" s="129">
        <v>0.79</v>
      </c>
      <c r="Y31" s="150">
        <v>469</v>
      </c>
      <c r="Z31" s="150">
        <v>1144</v>
      </c>
      <c r="AA31" s="148" t="s">
        <v>269</v>
      </c>
      <c r="AB31" s="149">
        <v>74.42</v>
      </c>
      <c r="AC31" s="150">
        <v>86</v>
      </c>
      <c r="AD31" s="151">
        <v>4</v>
      </c>
      <c r="AE31" s="149">
        <v>2.5499999999999998</v>
      </c>
      <c r="AF31" s="134">
        <f t="shared" si="3"/>
        <v>31.978931527464262</v>
      </c>
      <c r="AG31" s="152"/>
      <c r="AH31" s="129">
        <v>69.25</v>
      </c>
      <c r="AI31" s="134">
        <f t="shared" si="4"/>
        <v>868.44745422623532</v>
      </c>
      <c r="AJ31" s="136">
        <v>11.03</v>
      </c>
      <c r="AK31" s="154"/>
      <c r="AL31" s="155">
        <v>3.26</v>
      </c>
      <c r="AM31" s="156">
        <v>25.75</v>
      </c>
      <c r="AN31" s="126">
        <f t="shared" si="25"/>
        <v>0.23853635942566001</v>
      </c>
      <c r="AO31" s="157" t="s">
        <v>283</v>
      </c>
      <c r="AP31" s="156">
        <v>8.2899999999999991</v>
      </c>
      <c r="AQ31" s="156">
        <v>6.16</v>
      </c>
      <c r="AR31" s="151"/>
      <c r="AS31" s="149">
        <v>12.22</v>
      </c>
      <c r="AT31" s="149">
        <v>107.95</v>
      </c>
      <c r="AU31" s="149">
        <v>0.8</v>
      </c>
      <c r="AV31" s="164"/>
      <c r="AW31" s="149"/>
      <c r="AX31" s="158">
        <f t="shared" si="5"/>
        <v>0</v>
      </c>
      <c r="AY31" s="125">
        <f t="shared" si="6"/>
        <v>79.739999999999995</v>
      </c>
      <c r="AZ31" s="125">
        <f t="shared" si="35"/>
        <v>102.05089691505914</v>
      </c>
      <c r="BA31" s="159">
        <f t="shared" si="7"/>
        <v>6.5553415492957745</v>
      </c>
      <c r="BB31" s="160">
        <f t="shared" si="8"/>
        <v>3.1896</v>
      </c>
      <c r="BC31" s="161">
        <f t="shared" si="9"/>
        <v>0.68939746257006251</v>
      </c>
      <c r="BD31" s="160">
        <f t="shared" si="26"/>
        <v>9.7449415492957741</v>
      </c>
      <c r="BE31" s="162">
        <v>0.82199999999999995</v>
      </c>
      <c r="BF31" s="25">
        <f t="shared" si="27"/>
        <v>2760.6199999999994</v>
      </c>
      <c r="BG31" s="25">
        <f t="shared" si="10"/>
        <v>114.51612903225806</v>
      </c>
      <c r="BH31" s="25">
        <f t="shared" si="28"/>
        <v>2862.9032258064517</v>
      </c>
      <c r="BI31" s="26">
        <f t="shared" si="11"/>
        <v>1</v>
      </c>
      <c r="BJ31" s="37">
        <f t="shared" si="29"/>
        <v>2862.9032258064517</v>
      </c>
      <c r="BK31" s="38"/>
      <c r="BL31" s="28">
        <f t="shared" si="30"/>
        <v>122.917</v>
      </c>
      <c r="BM31" s="31">
        <v>79.450999999999993</v>
      </c>
      <c r="BN31" s="31"/>
      <c r="BO31" s="40"/>
      <c r="BP31" s="40">
        <v>29.210999999999999</v>
      </c>
      <c r="BQ31" s="32"/>
      <c r="BR31" s="33"/>
      <c r="BS31" s="34">
        <v>0.64</v>
      </c>
      <c r="BT31" s="35">
        <v>0.57999999999999996</v>
      </c>
      <c r="BU31" s="35"/>
      <c r="BV31" s="235"/>
      <c r="BW31" s="235">
        <v>1.46</v>
      </c>
      <c r="BX31" s="36"/>
      <c r="BY31" s="33"/>
      <c r="BZ31" s="34">
        <v>37.520000000000003</v>
      </c>
      <c r="CA31" s="35">
        <v>38.47</v>
      </c>
      <c r="CB31" s="35"/>
      <c r="CC31" s="235"/>
      <c r="CD31" s="235">
        <v>34.31</v>
      </c>
      <c r="CE31" s="36">
        <v>43.23</v>
      </c>
      <c r="CF31" s="28">
        <f t="shared" si="31"/>
        <v>141.49599999999998</v>
      </c>
      <c r="CG31" s="30"/>
      <c r="CH31" s="31"/>
      <c r="CI31" s="32"/>
      <c r="CJ31" s="33">
        <v>1.41</v>
      </c>
      <c r="CK31" s="33"/>
      <c r="CL31" s="35"/>
      <c r="CM31" s="36"/>
      <c r="CN31" s="286"/>
      <c r="CO31" s="249">
        <f t="shared" si="36"/>
        <v>0</v>
      </c>
      <c r="CP31" s="12">
        <f t="shared" si="36"/>
        <v>122.1303312</v>
      </c>
      <c r="CQ31" s="12">
        <f t="shared" si="36"/>
        <v>78.990184199999987</v>
      </c>
      <c r="CR31" s="12">
        <f t="shared" si="36"/>
        <v>0</v>
      </c>
      <c r="CS31" s="11">
        <f t="shared" si="36"/>
        <v>0</v>
      </c>
      <c r="CT31" s="11">
        <f t="shared" si="36"/>
        <v>28.784519400000001</v>
      </c>
      <c r="CU31" s="272">
        <f t="shared" si="36"/>
        <v>0</v>
      </c>
      <c r="CV31" s="249">
        <f t="shared" si="13"/>
        <v>139.50090639999999</v>
      </c>
      <c r="CW31" s="12">
        <f t="shared" si="13"/>
        <v>0</v>
      </c>
      <c r="CX31" s="249">
        <f t="shared" si="13"/>
        <v>0</v>
      </c>
      <c r="CY31" s="272">
        <f t="shared" si="13"/>
        <v>0</v>
      </c>
      <c r="CZ31" s="13"/>
      <c r="DA31" s="240">
        <f>(D31+'[2]май 20'!D31)/(AY31+'[2]май 20'!AX31)</f>
        <v>2.4399398730111304</v>
      </c>
      <c r="DB31" s="241">
        <f>(T31+'[2]май 20'!R31)/(AY31+'[2]май 20'!AX31)</f>
        <v>1.459665744378875</v>
      </c>
      <c r="DD31" s="292">
        <f t="shared" si="14"/>
        <v>4.3099999999999996</v>
      </c>
      <c r="DE31" s="291">
        <v>1.28</v>
      </c>
      <c r="DF31" s="291">
        <v>18.79</v>
      </c>
      <c r="DG31" s="145">
        <f t="shared" si="15"/>
        <v>4.2548319999999995</v>
      </c>
      <c r="DH31" s="293">
        <f t="shared" si="32"/>
        <v>1.0742850481053479</v>
      </c>
      <c r="DJ31" s="31">
        <v>62.704000000000001</v>
      </c>
      <c r="DK31" s="32">
        <v>41.213000000000001</v>
      </c>
      <c r="DL31" s="460">
        <f t="shared" si="33"/>
        <v>122.917</v>
      </c>
      <c r="DM31" s="30">
        <v>126.496</v>
      </c>
      <c r="DN31" s="460">
        <f t="shared" si="34"/>
        <v>141.49599999999998</v>
      </c>
    </row>
    <row r="32" spans="1:118" s="76" customFormat="1" ht="16.5" customHeight="1" thickBot="1">
      <c r="A32" s="144">
        <v>26</v>
      </c>
      <c r="B32" s="122">
        <f t="shared" si="16"/>
        <v>226.58099999999999</v>
      </c>
      <c r="C32" s="123">
        <f t="shared" si="17"/>
        <v>0.9069602040771293</v>
      </c>
      <c r="D32" s="145">
        <f t="shared" si="18"/>
        <v>224.52600050000001</v>
      </c>
      <c r="E32" s="125">
        <f t="shared" si="19"/>
        <v>36.999212952542351</v>
      </c>
      <c r="F32" s="146">
        <f t="shared" si="20"/>
        <v>2.5468012760889294</v>
      </c>
      <c r="G32" s="127"/>
      <c r="H32" s="126">
        <f t="shared" si="21"/>
        <v>2.5468012760889294</v>
      </c>
      <c r="I32" s="230">
        <f>'[1]июль 20'!AI31</f>
        <v>0</v>
      </c>
      <c r="J32" s="439">
        <f>'[1]май 20'!AA31</f>
        <v>4.2370000000000001</v>
      </c>
      <c r="K32" s="440">
        <f>'[1]сентябрь 20'!AM31</f>
        <v>0</v>
      </c>
      <c r="L32" s="441"/>
      <c r="M32" s="442">
        <f t="shared" si="22"/>
        <v>0</v>
      </c>
      <c r="N32" s="403">
        <f>'[1]май 20'!W31</f>
        <v>10.97</v>
      </c>
      <c r="O32" s="452">
        <f>'[1]май 20'!AU31</f>
        <v>0</v>
      </c>
      <c r="P32" s="401">
        <f t="shared" si="0"/>
        <v>134.30599999999998</v>
      </c>
      <c r="Q32" s="122">
        <f t="shared" si="23"/>
        <v>134.30599999999998</v>
      </c>
      <c r="R32" s="123">
        <f t="shared" si="24"/>
        <v>1.3</v>
      </c>
      <c r="S32" s="129">
        <v>1.85</v>
      </c>
      <c r="T32" s="125">
        <f t="shared" si="1"/>
        <v>132.56002199999998</v>
      </c>
      <c r="U32" s="147">
        <f t="shared" si="2"/>
        <v>1.503630013611615</v>
      </c>
      <c r="V32" s="130">
        <v>42.46</v>
      </c>
      <c r="W32" s="130">
        <v>45.71</v>
      </c>
      <c r="X32" s="129">
        <v>0.89</v>
      </c>
      <c r="Y32" s="150">
        <v>487</v>
      </c>
      <c r="Z32" s="150">
        <v>1157</v>
      </c>
      <c r="AA32" s="148" t="s">
        <v>285</v>
      </c>
      <c r="AB32" s="149">
        <v>74.84</v>
      </c>
      <c r="AC32" s="150">
        <v>83</v>
      </c>
      <c r="AD32" s="151">
        <v>4</v>
      </c>
      <c r="AE32" s="149">
        <v>3.3</v>
      </c>
      <c r="AF32" s="134">
        <f t="shared" si="3"/>
        <v>37.431941923774957</v>
      </c>
      <c r="AG32" s="152"/>
      <c r="AH32" s="129">
        <v>76.5</v>
      </c>
      <c r="AI32" s="134">
        <f t="shared" si="4"/>
        <v>867.74047186932853</v>
      </c>
      <c r="AJ32" s="153">
        <v>10.28</v>
      </c>
      <c r="AK32" s="154"/>
      <c r="AL32" s="155">
        <v>7.6</v>
      </c>
      <c r="AM32" s="156">
        <v>24.07</v>
      </c>
      <c r="AN32" s="126">
        <f t="shared" si="25"/>
        <v>0.2021839563208736</v>
      </c>
      <c r="AO32" s="157" t="s">
        <v>286</v>
      </c>
      <c r="AP32" s="156">
        <v>8.26</v>
      </c>
      <c r="AQ32" s="156">
        <v>6.2</v>
      </c>
      <c r="AR32" s="151"/>
      <c r="AS32" s="149">
        <v>10.7</v>
      </c>
      <c r="AT32" s="149">
        <v>119.05</v>
      </c>
      <c r="AU32" s="149">
        <v>0.78</v>
      </c>
      <c r="AV32" s="149"/>
      <c r="AW32" s="149"/>
      <c r="AX32" s="158">
        <f t="shared" si="5"/>
        <v>0</v>
      </c>
      <c r="AY32" s="125">
        <f t="shared" si="6"/>
        <v>88.16</v>
      </c>
      <c r="AZ32" s="125">
        <f t="shared" si="35"/>
        <v>97.997998125803036</v>
      </c>
      <c r="BA32" s="159">
        <f t="shared" si="7"/>
        <v>6.34088028169014</v>
      </c>
      <c r="BB32" s="160">
        <f t="shared" si="8"/>
        <v>3.5263999999999998</v>
      </c>
      <c r="BC32" s="161">
        <f t="shared" si="9"/>
        <v>0.79422990267689919</v>
      </c>
      <c r="BD32" s="160">
        <f t="shared" si="26"/>
        <v>9.8672802816901388</v>
      </c>
      <c r="BE32" s="162">
        <v>0.82199999999999995</v>
      </c>
      <c r="BF32" s="25">
        <f t="shared" si="27"/>
        <v>2848.7799999999993</v>
      </c>
      <c r="BG32" s="25">
        <f t="shared" si="10"/>
        <v>114.51612903225806</v>
      </c>
      <c r="BH32" s="25">
        <f t="shared" si="28"/>
        <v>2977.4193548387098</v>
      </c>
      <c r="BI32" s="26">
        <f t="shared" si="11"/>
        <v>1</v>
      </c>
      <c r="BJ32" s="37">
        <f t="shared" si="29"/>
        <v>2977.4193548387098</v>
      </c>
      <c r="BK32" s="38"/>
      <c r="BL32" s="28">
        <f t="shared" si="30"/>
        <v>127.22199999999999</v>
      </c>
      <c r="BM32" s="31">
        <v>66.158000000000001</v>
      </c>
      <c r="BN32" s="31"/>
      <c r="BO32" s="40"/>
      <c r="BP32" s="40">
        <v>33.201000000000001</v>
      </c>
      <c r="BQ32" s="32"/>
      <c r="BR32" s="33"/>
      <c r="BS32" s="34">
        <v>1.05</v>
      </c>
      <c r="BT32" s="35">
        <v>0.53</v>
      </c>
      <c r="BU32" s="35"/>
      <c r="BV32" s="235"/>
      <c r="BW32" s="235">
        <v>1.1100000000000001</v>
      </c>
      <c r="BX32" s="36"/>
      <c r="BY32" s="33"/>
      <c r="BZ32" s="34">
        <v>37.29</v>
      </c>
      <c r="CA32" s="35">
        <v>37.9</v>
      </c>
      <c r="CB32" s="35"/>
      <c r="CC32" s="235"/>
      <c r="CD32" s="235">
        <v>34.090000000000003</v>
      </c>
      <c r="CE32" s="36">
        <v>43.16</v>
      </c>
      <c r="CF32" s="28">
        <f t="shared" si="31"/>
        <v>134.30599999999998</v>
      </c>
      <c r="CG32" s="30"/>
      <c r="CH32" s="31"/>
      <c r="CI32" s="50"/>
      <c r="CJ32" s="33">
        <v>1.3</v>
      </c>
      <c r="CK32" s="33"/>
      <c r="CL32" s="35"/>
      <c r="CM32" s="36"/>
      <c r="CN32" s="286"/>
      <c r="CO32" s="249">
        <f t="shared" si="36"/>
        <v>0</v>
      </c>
      <c r="CP32" s="12">
        <f t="shared" si="36"/>
        <v>125.886169</v>
      </c>
      <c r="CQ32" s="12">
        <f t="shared" si="36"/>
        <v>65.807362600000005</v>
      </c>
      <c r="CR32" s="12">
        <f t="shared" si="36"/>
        <v>0</v>
      </c>
      <c r="CS32" s="11">
        <f t="shared" si="36"/>
        <v>0</v>
      </c>
      <c r="CT32" s="11">
        <f t="shared" si="36"/>
        <v>32.832468900000002</v>
      </c>
      <c r="CU32" s="272">
        <f t="shared" si="36"/>
        <v>0</v>
      </c>
      <c r="CV32" s="249">
        <f t="shared" si="13"/>
        <v>132.56002199999998</v>
      </c>
      <c r="CW32" s="11">
        <f t="shared" si="13"/>
        <v>0</v>
      </c>
      <c r="CX32" s="249">
        <f t="shared" si="13"/>
        <v>0</v>
      </c>
      <c r="CY32" s="272">
        <f t="shared" si="13"/>
        <v>0</v>
      </c>
      <c r="CZ32" s="13"/>
      <c r="DA32" s="240">
        <f>(D32+'[2]май 20'!D32)/(AY32+'[2]май 20'!AX32)</f>
        <v>2.4371951035079795</v>
      </c>
      <c r="DB32" s="241">
        <f>(T32+'[2]май 20'!R32)/(AY32+'[2]май 20'!AX32)</f>
        <v>1.444030495332731</v>
      </c>
      <c r="DD32" s="292">
        <f t="shared" si="14"/>
        <v>4.2370000000000001</v>
      </c>
      <c r="DE32" s="291">
        <v>0.35</v>
      </c>
      <c r="DF32" s="291">
        <v>19.399999999999999</v>
      </c>
      <c r="DG32" s="145">
        <f t="shared" si="15"/>
        <v>4.2221705000000007</v>
      </c>
      <c r="DH32" s="293">
        <f t="shared" si="32"/>
        <v>1.0944696378941741</v>
      </c>
      <c r="DJ32" s="31">
        <v>75.034999999999997</v>
      </c>
      <c r="DK32" s="32">
        <v>33.186999999999998</v>
      </c>
      <c r="DL32" s="460">
        <f t="shared" si="33"/>
        <v>127.22199999999999</v>
      </c>
      <c r="DM32" s="30">
        <v>119.306</v>
      </c>
      <c r="DN32" s="460">
        <f t="shared" si="34"/>
        <v>134.30599999999998</v>
      </c>
    </row>
    <row r="33" spans="1:118" s="76" customFormat="1" ht="16.5" customHeight="1" thickBot="1">
      <c r="A33" s="144">
        <v>27</v>
      </c>
      <c r="B33" s="122">
        <f t="shared" si="16"/>
        <v>259.10199999999998</v>
      </c>
      <c r="C33" s="123">
        <f t="shared" si="17"/>
        <v>0.55387326226736966</v>
      </c>
      <c r="D33" s="145">
        <f t="shared" si="18"/>
        <v>257.6669033</v>
      </c>
      <c r="E33" s="125">
        <f t="shared" si="19"/>
        <v>36.938074696451594</v>
      </c>
      <c r="F33" s="146">
        <f t="shared" si="20"/>
        <v>2.5278809310310999</v>
      </c>
      <c r="G33" s="127">
        <v>15.58</v>
      </c>
      <c r="H33" s="126">
        <f t="shared" si="21"/>
        <v>2.5278809310310999</v>
      </c>
      <c r="I33" s="230">
        <f>'[1]июль 20'!AI32</f>
        <v>0</v>
      </c>
      <c r="J33" s="277">
        <f>'[1]май 20'!AA32</f>
        <v>4.7869999999999999</v>
      </c>
      <c r="K33" s="437">
        <f>'[1]сентябрь 20'!AM32</f>
        <v>0</v>
      </c>
      <c r="L33" s="438"/>
      <c r="M33" s="443">
        <f t="shared" si="22"/>
        <v>0</v>
      </c>
      <c r="N33" s="403">
        <f>'[1]май 20'!W32</f>
        <v>12.702999999999999</v>
      </c>
      <c r="O33" s="453">
        <f>'[1]май 20'!AU32</f>
        <v>0</v>
      </c>
      <c r="P33" s="401">
        <f t="shared" si="0"/>
        <v>152.125</v>
      </c>
      <c r="Q33" s="122">
        <f t="shared" si="23"/>
        <v>152.125</v>
      </c>
      <c r="R33" s="123">
        <f t="shared" si="24"/>
        <v>1.34</v>
      </c>
      <c r="S33" s="129">
        <v>12.01</v>
      </c>
      <c r="T33" s="125">
        <f t="shared" si="1"/>
        <v>150.08652499999999</v>
      </c>
      <c r="U33" s="147">
        <f t="shared" si="2"/>
        <v>1.4724470224663986</v>
      </c>
      <c r="V33" s="130">
        <v>76.28</v>
      </c>
      <c r="W33" s="130">
        <v>77.12</v>
      </c>
      <c r="X33" s="129">
        <v>0.68</v>
      </c>
      <c r="Y33" s="150">
        <v>458</v>
      </c>
      <c r="Z33" s="150">
        <v>1159</v>
      </c>
      <c r="AA33" s="148" t="s">
        <v>287</v>
      </c>
      <c r="AB33" s="149">
        <v>75.23</v>
      </c>
      <c r="AC33" s="150">
        <v>96</v>
      </c>
      <c r="AD33" s="151">
        <v>4</v>
      </c>
      <c r="AE33" s="149">
        <v>3.7</v>
      </c>
      <c r="AF33" s="134">
        <f t="shared" si="3"/>
        <v>36.299421171392133</v>
      </c>
      <c r="AG33" s="152"/>
      <c r="AH33" s="129">
        <v>82.45</v>
      </c>
      <c r="AI33" s="134">
        <f t="shared" si="4"/>
        <v>808.88845285980585</v>
      </c>
      <c r="AJ33" s="136">
        <v>11.84</v>
      </c>
      <c r="AK33" s="154"/>
      <c r="AL33" s="155">
        <v>4.51</v>
      </c>
      <c r="AM33" s="156">
        <v>25.2</v>
      </c>
      <c r="AN33" s="126">
        <f t="shared" si="25"/>
        <v>0.19633813790416829</v>
      </c>
      <c r="AO33" s="157" t="s">
        <v>288</v>
      </c>
      <c r="AP33" s="156">
        <v>8.5299999999999994</v>
      </c>
      <c r="AQ33" s="156">
        <v>6.11</v>
      </c>
      <c r="AR33" s="151"/>
      <c r="AS33" s="149">
        <v>9.3699999999999992</v>
      </c>
      <c r="AT33" s="149">
        <v>128.35</v>
      </c>
      <c r="AU33" s="149">
        <v>3.29</v>
      </c>
      <c r="AV33" s="149"/>
      <c r="AW33" s="149"/>
      <c r="AX33" s="158">
        <f t="shared" si="5"/>
        <v>0</v>
      </c>
      <c r="AY33" s="125">
        <f t="shared" si="6"/>
        <v>101.92999999999999</v>
      </c>
      <c r="AZ33" s="125">
        <f t="shared" si="35"/>
        <v>111.15166788776585</v>
      </c>
      <c r="BA33" s="159">
        <f t="shared" si="7"/>
        <v>5.9845926056338019</v>
      </c>
      <c r="BB33" s="160">
        <f t="shared" si="8"/>
        <v>4.0771999999999995</v>
      </c>
      <c r="BC33" s="161">
        <f t="shared" si="9"/>
        <v>0.8056755659060435</v>
      </c>
      <c r="BD33" s="160">
        <f t="shared" si="26"/>
        <v>10.061792605633801</v>
      </c>
      <c r="BE33" s="162">
        <v>0.82099999999999995</v>
      </c>
      <c r="BF33" s="25">
        <f t="shared" si="27"/>
        <v>2950.7099999999991</v>
      </c>
      <c r="BG33" s="25">
        <f t="shared" si="10"/>
        <v>114.51612903225806</v>
      </c>
      <c r="BH33" s="25">
        <f t="shared" si="28"/>
        <v>3091.9354838709678</v>
      </c>
      <c r="BI33" s="26">
        <f t="shared" si="11"/>
        <v>1</v>
      </c>
      <c r="BJ33" s="37">
        <f t="shared" si="29"/>
        <v>3091.9354838709678</v>
      </c>
      <c r="BK33" s="38"/>
      <c r="BL33" s="28">
        <f t="shared" si="30"/>
        <v>148.625</v>
      </c>
      <c r="BM33" s="31">
        <v>72.054000000000002</v>
      </c>
      <c r="BN33" s="31"/>
      <c r="BO33" s="40"/>
      <c r="BP33" s="40">
        <v>38.423000000000002</v>
      </c>
      <c r="BQ33" s="32"/>
      <c r="BR33" s="33"/>
      <c r="BS33" s="34">
        <v>0.56000000000000005</v>
      </c>
      <c r="BT33" s="35">
        <v>0.33</v>
      </c>
      <c r="BU33" s="35"/>
      <c r="BV33" s="235"/>
      <c r="BW33" s="235">
        <v>0.95</v>
      </c>
      <c r="BX33" s="36"/>
      <c r="BY33" s="33"/>
      <c r="BZ33" s="34">
        <v>37.229999999999997</v>
      </c>
      <c r="CA33" s="35">
        <v>37.86</v>
      </c>
      <c r="CB33" s="35"/>
      <c r="CC33" s="235"/>
      <c r="CD33" s="235">
        <v>34.08</v>
      </c>
      <c r="CE33" s="36">
        <v>43.14</v>
      </c>
      <c r="CF33" s="28">
        <f t="shared" si="31"/>
        <v>152.125</v>
      </c>
      <c r="CG33" s="30"/>
      <c r="CH33" s="31"/>
      <c r="CI33" s="32"/>
      <c r="CJ33" s="33">
        <v>1.34</v>
      </c>
      <c r="CK33" s="33"/>
      <c r="CL33" s="35"/>
      <c r="CM33" s="36"/>
      <c r="CN33" s="270"/>
      <c r="CO33" s="249">
        <f t="shared" si="36"/>
        <v>0</v>
      </c>
      <c r="CP33" s="12">
        <f t="shared" si="36"/>
        <v>147.7927</v>
      </c>
      <c r="CQ33" s="12">
        <f t="shared" si="36"/>
        <v>71.816221800000008</v>
      </c>
      <c r="CR33" s="12">
        <f t="shared" si="36"/>
        <v>0</v>
      </c>
      <c r="CS33" s="11">
        <f t="shared" si="36"/>
        <v>0</v>
      </c>
      <c r="CT33" s="11">
        <f t="shared" si="36"/>
        <v>38.057981499999997</v>
      </c>
      <c r="CU33" s="272">
        <f t="shared" si="36"/>
        <v>0</v>
      </c>
      <c r="CV33" s="249">
        <f t="shared" si="13"/>
        <v>150.08652499999999</v>
      </c>
      <c r="CW33" s="12">
        <f t="shared" si="13"/>
        <v>0</v>
      </c>
      <c r="CX33" s="254">
        <f t="shared" si="13"/>
        <v>0</v>
      </c>
      <c r="CY33" s="275">
        <f t="shared" si="13"/>
        <v>0</v>
      </c>
      <c r="CZ33" s="13"/>
      <c r="DA33" s="240">
        <f>(D33+'[2]май 20'!D33)/(AY33+'[2]май 20'!AX33)</f>
        <v>2.3676507184159807</v>
      </c>
      <c r="DB33" s="241">
        <f>(T33+'[2]май 20'!R33)/(AY33+'[2]май 20'!AX33)</f>
        <v>1.3880375854214124</v>
      </c>
      <c r="DD33" s="292">
        <f t="shared" si="14"/>
        <v>4.7869999999999999</v>
      </c>
      <c r="DE33" s="291">
        <v>0.13</v>
      </c>
      <c r="DF33" s="291">
        <v>11.08</v>
      </c>
      <c r="DG33" s="145">
        <f t="shared" si="15"/>
        <v>4.7807769000000002</v>
      </c>
      <c r="DH33" s="293">
        <f t="shared" si="32"/>
        <v>0.70412080356240858</v>
      </c>
      <c r="DJ33" s="31">
        <v>91.225999999999999</v>
      </c>
      <c r="DK33" s="32">
        <v>38.399000000000001</v>
      </c>
      <c r="DL33" s="460">
        <f t="shared" si="33"/>
        <v>148.625</v>
      </c>
      <c r="DM33" s="30">
        <v>137.125</v>
      </c>
      <c r="DN33" s="460">
        <f t="shared" si="34"/>
        <v>152.125</v>
      </c>
    </row>
    <row r="34" spans="1:118" s="76" customFormat="1" ht="16.5" customHeight="1" thickBot="1">
      <c r="A34" s="144">
        <v>28</v>
      </c>
      <c r="B34" s="122">
        <f t="shared" si="16"/>
        <v>231.571</v>
      </c>
      <c r="C34" s="123">
        <f t="shared" si="17"/>
        <v>0.66658921022062345</v>
      </c>
      <c r="D34" s="145">
        <f t="shared" si="18"/>
        <v>230.0273727</v>
      </c>
      <c r="E34" s="125">
        <f t="shared" si="19"/>
        <v>37.324903593282407</v>
      </c>
      <c r="F34" s="146">
        <f t="shared" si="20"/>
        <v>2.5869025269905537</v>
      </c>
      <c r="G34" s="127"/>
      <c r="H34" s="126">
        <f t="shared" si="21"/>
        <v>2.5869025269905537</v>
      </c>
      <c r="I34" s="230">
        <f>'[1]июль 20'!AI33</f>
        <v>0</v>
      </c>
      <c r="J34" s="439">
        <f>'[1]май 20'!AA33</f>
        <v>4.5570000000000004</v>
      </c>
      <c r="K34" s="440">
        <f>'[1]сентябрь 20'!AM33</f>
        <v>0</v>
      </c>
      <c r="L34" s="441"/>
      <c r="M34" s="442">
        <f t="shared" si="22"/>
        <v>0</v>
      </c>
      <c r="N34" s="403">
        <f>'[1]май 20'!W33</f>
        <v>10.662000000000001</v>
      </c>
      <c r="O34" s="452">
        <f>'[1]май 20'!AU33</f>
        <v>0</v>
      </c>
      <c r="P34" s="401">
        <f t="shared" si="0"/>
        <v>138.06799999999998</v>
      </c>
      <c r="Q34" s="122">
        <f t="shared" si="23"/>
        <v>138.06799999999998</v>
      </c>
      <c r="R34" s="123">
        <f t="shared" si="24"/>
        <v>1.49</v>
      </c>
      <c r="S34" s="170">
        <v>1.61</v>
      </c>
      <c r="T34" s="125">
        <f t="shared" si="1"/>
        <v>136.01078680000001</v>
      </c>
      <c r="U34" s="147">
        <f t="shared" si="2"/>
        <v>1.5295859964012599</v>
      </c>
      <c r="V34" s="169">
        <v>46.5</v>
      </c>
      <c r="W34" s="169">
        <v>88.92</v>
      </c>
      <c r="X34" s="170">
        <v>0.36</v>
      </c>
      <c r="Y34" s="166">
        <v>498</v>
      </c>
      <c r="Z34" s="166">
        <v>1164</v>
      </c>
      <c r="AA34" s="148" t="s">
        <v>289</v>
      </c>
      <c r="AB34" s="164">
        <v>74.95</v>
      </c>
      <c r="AC34" s="166">
        <v>85</v>
      </c>
      <c r="AD34" s="171">
        <v>4</v>
      </c>
      <c r="AE34" s="164">
        <v>3.35</v>
      </c>
      <c r="AF34" s="172">
        <f t="shared" si="3"/>
        <v>37.674313990103471</v>
      </c>
      <c r="AG34" s="173"/>
      <c r="AH34" s="170">
        <v>82.15</v>
      </c>
      <c r="AI34" s="134">
        <f t="shared" si="4"/>
        <v>923.86414754835823</v>
      </c>
      <c r="AJ34" s="174">
        <v>10.75</v>
      </c>
      <c r="AK34" s="175"/>
      <c r="AL34" s="176">
        <v>4.7699999999999996</v>
      </c>
      <c r="AM34" s="177">
        <v>25.57</v>
      </c>
      <c r="AN34" s="126">
        <f t="shared" si="25"/>
        <v>0.21651143099068587</v>
      </c>
      <c r="AO34" s="178" t="s">
        <v>246</v>
      </c>
      <c r="AP34" s="177">
        <v>8.31</v>
      </c>
      <c r="AQ34" s="177">
        <v>6.1</v>
      </c>
      <c r="AR34" s="171"/>
      <c r="AS34" s="164">
        <v>9.58</v>
      </c>
      <c r="AT34" s="149">
        <v>118.1</v>
      </c>
      <c r="AU34" s="164">
        <v>1.1599999999999999</v>
      </c>
      <c r="AV34" s="164"/>
      <c r="AW34" s="164"/>
      <c r="AX34" s="179">
        <f t="shared" si="5"/>
        <v>0</v>
      </c>
      <c r="AY34" s="125">
        <f t="shared" si="6"/>
        <v>88.919999999999987</v>
      </c>
      <c r="AZ34" s="125">
        <f t="shared" si="35"/>
        <v>100.87571133800414</v>
      </c>
      <c r="BA34" s="159">
        <f t="shared" si="7"/>
        <v>6.0964556338028171</v>
      </c>
      <c r="BB34" s="159">
        <f t="shared" si="8"/>
        <v>3.5567999999999995</v>
      </c>
      <c r="BC34" s="180">
        <f t="shared" si="9"/>
        <v>0.77623438610212236</v>
      </c>
      <c r="BD34" s="159">
        <f t="shared" si="26"/>
        <v>9.6532556338028161</v>
      </c>
      <c r="BE34" s="167">
        <v>0.82</v>
      </c>
      <c r="BF34" s="25">
        <f t="shared" si="27"/>
        <v>3039.6299999999992</v>
      </c>
      <c r="BG34" s="25">
        <f t="shared" si="10"/>
        <v>114.51612903225806</v>
      </c>
      <c r="BH34" s="25">
        <f t="shared" si="28"/>
        <v>3206.4516129032259</v>
      </c>
      <c r="BI34" s="26">
        <f t="shared" si="11"/>
        <v>1</v>
      </c>
      <c r="BJ34" s="37">
        <f t="shared" si="29"/>
        <v>3206.4516129032259</v>
      </c>
      <c r="BK34" s="38"/>
      <c r="BL34" s="28">
        <f t="shared" si="30"/>
        <v>136.708</v>
      </c>
      <c r="BM34" s="43">
        <v>61.429000000000002</v>
      </c>
      <c r="BN34" s="43"/>
      <c r="BO34" s="281"/>
      <c r="BP34" s="281">
        <v>33.433999999999997</v>
      </c>
      <c r="BQ34" s="44"/>
      <c r="BR34" s="45"/>
      <c r="BS34" s="46">
        <v>0.64</v>
      </c>
      <c r="BT34" s="47">
        <v>0.43</v>
      </c>
      <c r="BU34" s="47"/>
      <c r="BV34" s="283"/>
      <c r="BW34" s="283">
        <v>1.21</v>
      </c>
      <c r="BX34" s="48"/>
      <c r="BY34" s="45"/>
      <c r="BZ34" s="46">
        <v>37.49</v>
      </c>
      <c r="CA34" s="47">
        <v>37.450000000000003</v>
      </c>
      <c r="CB34" s="47"/>
      <c r="CC34" s="283"/>
      <c r="CD34" s="283">
        <v>36.42</v>
      </c>
      <c r="CE34" s="48">
        <v>43.16</v>
      </c>
      <c r="CF34" s="28">
        <f t="shared" si="31"/>
        <v>138.06799999999998</v>
      </c>
      <c r="CG34" s="49"/>
      <c r="CH34" s="43"/>
      <c r="CI34" s="32"/>
      <c r="CJ34" s="33">
        <v>1.49</v>
      </c>
      <c r="CK34" s="33"/>
      <c r="CL34" s="35"/>
      <c r="CM34" s="36"/>
      <c r="CN34" s="270"/>
      <c r="CO34" s="249">
        <f t="shared" si="36"/>
        <v>0</v>
      </c>
      <c r="CP34" s="12">
        <f t="shared" si="36"/>
        <v>135.83306880000001</v>
      </c>
      <c r="CQ34" s="12">
        <f t="shared" si="36"/>
        <v>61.164855299999999</v>
      </c>
      <c r="CR34" s="12">
        <f t="shared" si="36"/>
        <v>0</v>
      </c>
      <c r="CS34" s="11">
        <f t="shared" si="36"/>
        <v>0</v>
      </c>
      <c r="CT34" s="11">
        <f t="shared" si="36"/>
        <v>33.029448600000002</v>
      </c>
      <c r="CU34" s="272">
        <f t="shared" si="36"/>
        <v>0</v>
      </c>
      <c r="CV34" s="249">
        <f t="shared" si="13"/>
        <v>136.01078680000001</v>
      </c>
      <c r="CW34" s="12">
        <f t="shared" si="13"/>
        <v>0</v>
      </c>
      <c r="CX34" s="249">
        <f t="shared" si="13"/>
        <v>0</v>
      </c>
      <c r="CY34" s="272">
        <f t="shared" si="13"/>
        <v>0</v>
      </c>
      <c r="CZ34" s="13"/>
      <c r="DA34" s="240">
        <f>(D34+'[2]май 20'!D34)/(AY34+'[2]май 20'!AX34)</f>
        <v>2.4075838282718731</v>
      </c>
      <c r="DB34" s="241">
        <f>(T34+'[2]май 20'!R34)/(AY34+'[2]май 20'!AX34)</f>
        <v>1.4145364671005063</v>
      </c>
      <c r="DD34" s="292">
        <f t="shared" si="14"/>
        <v>4.5570000000000004</v>
      </c>
      <c r="DE34" s="291">
        <v>0.18</v>
      </c>
      <c r="DF34" s="291">
        <v>14.35</v>
      </c>
      <c r="DG34" s="145">
        <f t="shared" si="15"/>
        <v>4.5487974000000007</v>
      </c>
      <c r="DH34" s="293">
        <f t="shared" si="32"/>
        <v>0.87091718065376911</v>
      </c>
      <c r="DJ34" s="30">
        <v>83.590999999999994</v>
      </c>
      <c r="DK34" s="44">
        <v>34.116999999999997</v>
      </c>
      <c r="DL34" s="460">
        <f t="shared" si="33"/>
        <v>136.708</v>
      </c>
      <c r="DM34" s="49">
        <v>123.068</v>
      </c>
      <c r="DN34" s="460">
        <f t="shared" si="34"/>
        <v>138.06799999999998</v>
      </c>
    </row>
    <row r="35" spans="1:118" s="76" customFormat="1" ht="16.5" customHeight="1" thickBot="1">
      <c r="A35" s="144">
        <v>29</v>
      </c>
      <c r="B35" s="122">
        <f t="shared" si="16"/>
        <v>256.24899999999997</v>
      </c>
      <c r="C35" s="123">
        <f t="shared" si="17"/>
        <v>0.50348434530476227</v>
      </c>
      <c r="D35" s="145">
        <f t="shared" si="18"/>
        <v>254.95882639999996</v>
      </c>
      <c r="E35" s="125">
        <f t="shared" si="19"/>
        <v>37.24246576572007</v>
      </c>
      <c r="F35" s="146">
        <f t="shared" si="20"/>
        <v>2.5401895626183122</v>
      </c>
      <c r="G35" s="127"/>
      <c r="H35" s="126">
        <f t="shared" si="21"/>
        <v>2.5401895626183122</v>
      </c>
      <c r="I35" s="230">
        <f>'[1]июль 20'!AI34</f>
        <v>0</v>
      </c>
      <c r="J35" s="277">
        <f>'[1]май 20'!AA34</f>
        <v>6.6120000000000001</v>
      </c>
      <c r="K35" s="437">
        <f>'[1]сентябрь 20'!AM34</f>
        <v>0</v>
      </c>
      <c r="L35" s="438"/>
      <c r="M35" s="443">
        <f t="shared" si="22"/>
        <v>0</v>
      </c>
      <c r="N35" s="403">
        <f>'[1]май 20'!W34</f>
        <v>0</v>
      </c>
      <c r="O35" s="453">
        <f>'[1]май 20'!AU34</f>
        <v>0</v>
      </c>
      <c r="P35" s="401">
        <f t="shared" si="0"/>
        <v>149.31</v>
      </c>
      <c r="Q35" s="122">
        <f t="shared" si="23"/>
        <v>149.31</v>
      </c>
      <c r="R35" s="123">
        <f t="shared" si="24"/>
        <v>1.38</v>
      </c>
      <c r="S35" s="129">
        <v>14.49</v>
      </c>
      <c r="T35" s="125">
        <f t="shared" si="1"/>
        <v>147.24952200000001</v>
      </c>
      <c r="U35" s="147">
        <f t="shared" si="2"/>
        <v>1.4670670718342136</v>
      </c>
      <c r="V35" s="130">
        <v>74.02</v>
      </c>
      <c r="W35" s="130">
        <v>76.819999999999993</v>
      </c>
      <c r="X35" s="129">
        <v>0.56000000000000005</v>
      </c>
      <c r="Y35" s="150">
        <v>454</v>
      </c>
      <c r="Z35" s="150">
        <v>1155</v>
      </c>
      <c r="AA35" s="148" t="s">
        <v>290</v>
      </c>
      <c r="AB35" s="149">
        <v>75.430000000000007</v>
      </c>
      <c r="AC35" s="150">
        <v>95</v>
      </c>
      <c r="AD35" s="151">
        <v>4</v>
      </c>
      <c r="AE35" s="181">
        <v>2.5499999999999998</v>
      </c>
      <c r="AF35" s="134">
        <f t="shared" si="3"/>
        <v>25.405997808109994</v>
      </c>
      <c r="AG35" s="182"/>
      <c r="AH35" s="129">
        <v>75.650000000000006</v>
      </c>
      <c r="AI35" s="134">
        <f t="shared" si="4"/>
        <v>753.71126830726325</v>
      </c>
      <c r="AJ35" s="136">
        <v>10.92</v>
      </c>
      <c r="AK35" s="154"/>
      <c r="AL35" s="155">
        <v>3.12</v>
      </c>
      <c r="AM35" s="183">
        <v>25.47</v>
      </c>
      <c r="AN35" s="126">
        <f t="shared" si="25"/>
        <v>0.19937377690802346</v>
      </c>
      <c r="AO35" s="184" t="s">
        <v>291</v>
      </c>
      <c r="AP35" s="183">
        <v>8.75</v>
      </c>
      <c r="AQ35" s="183">
        <v>6.82</v>
      </c>
      <c r="AR35" s="185"/>
      <c r="AS35" s="181">
        <v>8.57</v>
      </c>
      <c r="AT35" s="149">
        <v>127.75</v>
      </c>
      <c r="AU35" s="181">
        <v>1.21</v>
      </c>
      <c r="AV35" s="149"/>
      <c r="AW35" s="149"/>
      <c r="AX35" s="158">
        <f t="shared" si="5"/>
        <v>0</v>
      </c>
      <c r="AY35" s="125">
        <f t="shared" si="6"/>
        <v>100.36999999999999</v>
      </c>
      <c r="AZ35" s="125">
        <f t="shared" si="35"/>
        <v>111.06718255880489</v>
      </c>
      <c r="BA35" s="159">
        <f t="shared" si="7"/>
        <v>5.0222010563380284</v>
      </c>
      <c r="BB35" s="160">
        <f t="shared" si="8"/>
        <v>4.0147999999999993</v>
      </c>
      <c r="BC35" s="161">
        <f t="shared" si="9"/>
        <v>0.79733265895103134</v>
      </c>
      <c r="BD35" s="160">
        <f t="shared" si="26"/>
        <v>9.0370010563380276</v>
      </c>
      <c r="BE35" s="162">
        <v>0.81899999999999995</v>
      </c>
      <c r="BF35" s="25">
        <f t="shared" si="27"/>
        <v>3139.9999999999991</v>
      </c>
      <c r="BG35" s="25">
        <f t="shared" si="10"/>
        <v>114.51612903225806</v>
      </c>
      <c r="BH35" s="25">
        <f t="shared" si="28"/>
        <v>3320.9677419354839</v>
      </c>
      <c r="BI35" s="26">
        <f t="shared" si="11"/>
        <v>1</v>
      </c>
      <c r="BJ35" s="37">
        <f t="shared" si="29"/>
        <v>3320.9677419354839</v>
      </c>
      <c r="BK35" s="38"/>
      <c r="BL35" s="28">
        <f t="shared" si="30"/>
        <v>180.47899999999998</v>
      </c>
      <c r="BM35" s="31">
        <v>61.774000000000001</v>
      </c>
      <c r="BN35" s="31"/>
      <c r="BO35" s="40"/>
      <c r="BP35" s="40">
        <v>13.996</v>
      </c>
      <c r="BQ35" s="32"/>
      <c r="BR35" s="33"/>
      <c r="BS35" s="34">
        <v>0.52</v>
      </c>
      <c r="BT35" s="35">
        <v>0.2</v>
      </c>
      <c r="BU35" s="35"/>
      <c r="BV35" s="235"/>
      <c r="BW35" s="235">
        <v>1.63</v>
      </c>
      <c r="BX35" s="36"/>
      <c r="BY35" s="33"/>
      <c r="BZ35" s="34">
        <v>37.47</v>
      </c>
      <c r="CA35" s="35">
        <v>37.479999999999997</v>
      </c>
      <c r="CB35" s="35"/>
      <c r="CC35" s="235"/>
      <c r="CD35" s="235">
        <v>33.26</v>
      </c>
      <c r="CE35" s="36">
        <v>43.14</v>
      </c>
      <c r="CF35" s="28">
        <f t="shared" si="31"/>
        <v>149.31</v>
      </c>
      <c r="CG35" s="30"/>
      <c r="CH35" s="31"/>
      <c r="CI35" s="50"/>
      <c r="CJ35" s="33">
        <v>1.38</v>
      </c>
      <c r="CK35" s="33"/>
      <c r="CL35" s="35"/>
      <c r="CM35" s="36"/>
      <c r="CN35" s="270"/>
      <c r="CO35" s="249">
        <f t="shared" si="36"/>
        <v>0</v>
      </c>
      <c r="CP35" s="12">
        <f t="shared" si="36"/>
        <v>179.54050919999997</v>
      </c>
      <c r="CQ35" s="12">
        <f t="shared" si="36"/>
        <v>61.650452000000001</v>
      </c>
      <c r="CR35" s="12">
        <f t="shared" si="36"/>
        <v>0</v>
      </c>
      <c r="CS35" s="11">
        <f t="shared" si="36"/>
        <v>0</v>
      </c>
      <c r="CT35" s="11">
        <f t="shared" si="36"/>
        <v>13.767865200000001</v>
      </c>
      <c r="CU35" s="272">
        <f t="shared" si="36"/>
        <v>0</v>
      </c>
      <c r="CV35" s="249">
        <f t="shared" si="13"/>
        <v>147.24952200000001</v>
      </c>
      <c r="CW35" s="12">
        <f t="shared" si="13"/>
        <v>0</v>
      </c>
      <c r="CX35" s="249">
        <f t="shared" si="13"/>
        <v>0</v>
      </c>
      <c r="CY35" s="272">
        <f t="shared" si="13"/>
        <v>0</v>
      </c>
      <c r="CZ35" s="13"/>
      <c r="DA35" s="240">
        <f>(D35+'[2]май 20'!D35)/(AY35+'[2]май 20'!AX35)</f>
        <v>2.3363960167472029</v>
      </c>
      <c r="DB35" s="241">
        <f>(T35+'[2]май 20'!R35)/(AY35+'[2]май 20'!AX35)</f>
        <v>1.337391679353942</v>
      </c>
      <c r="DD35" s="292">
        <f t="shared" si="14"/>
        <v>6.6120000000000001</v>
      </c>
      <c r="DE35" s="291">
        <v>0.37</v>
      </c>
      <c r="DF35" s="291">
        <v>13.42</v>
      </c>
      <c r="DG35" s="145">
        <f t="shared" si="15"/>
        <v>6.5875355999999998</v>
      </c>
      <c r="DH35" s="293">
        <f t="shared" si="32"/>
        <v>1.1720101783375312</v>
      </c>
      <c r="DJ35" s="31">
        <v>118.702</v>
      </c>
      <c r="DK35" s="32">
        <v>42.777000000000001</v>
      </c>
      <c r="DL35" s="460">
        <f t="shared" si="33"/>
        <v>180.47899999999998</v>
      </c>
      <c r="DM35" s="30">
        <v>134.31</v>
      </c>
      <c r="DN35" s="460">
        <f t="shared" si="34"/>
        <v>149.31</v>
      </c>
    </row>
    <row r="36" spans="1:118" s="76" customFormat="1" ht="16.5" customHeight="1" thickBot="1">
      <c r="A36" s="144">
        <v>30</v>
      </c>
      <c r="B36" s="122">
        <f t="shared" si="16"/>
        <v>241.70699999999999</v>
      </c>
      <c r="C36" s="123">
        <f t="shared" si="17"/>
        <v>0.54685205641541212</v>
      </c>
      <c r="D36" s="145">
        <f t="shared" si="18"/>
        <v>240.38522029999999</v>
      </c>
      <c r="E36" s="125">
        <f t="shared" si="19"/>
        <v>37.231800361594821</v>
      </c>
      <c r="F36" s="146">
        <f t="shared" si="20"/>
        <v>2.3961844128787879</v>
      </c>
      <c r="G36" s="127"/>
      <c r="H36" s="126">
        <f t="shared" si="21"/>
        <v>2.3961844128787884</v>
      </c>
      <c r="I36" s="230">
        <f>'[1]июль 20'!AI35</f>
        <v>0</v>
      </c>
      <c r="J36" s="439">
        <f>'[1]май 20'!AA35</f>
        <v>9.2070000000000007</v>
      </c>
      <c r="K36" s="440">
        <f>'[1]сентябрь 20'!AM35</f>
        <v>0</v>
      </c>
      <c r="L36" s="441"/>
      <c r="M36" s="442">
        <f t="shared" si="22"/>
        <v>0</v>
      </c>
      <c r="N36" s="403">
        <f>'[1]май 20'!W35</f>
        <v>0</v>
      </c>
      <c r="O36" s="452">
        <f>'[1]май 20'!AU35</f>
        <v>0</v>
      </c>
      <c r="P36" s="401">
        <f t="shared" si="0"/>
        <v>139.26900000000001</v>
      </c>
      <c r="Q36" s="122">
        <f t="shared" si="23"/>
        <v>139.26900000000001</v>
      </c>
      <c r="R36" s="123">
        <f t="shared" si="24"/>
        <v>1.4</v>
      </c>
      <c r="S36" s="129">
        <v>0.91</v>
      </c>
      <c r="T36" s="125">
        <f t="shared" si="1"/>
        <v>137.31923399999999</v>
      </c>
      <c r="U36" s="147">
        <f t="shared" si="2"/>
        <v>1.3688121411483254</v>
      </c>
      <c r="V36" s="130">
        <v>100.32</v>
      </c>
      <c r="W36" s="130">
        <v>100.32</v>
      </c>
      <c r="X36" s="129">
        <v>0.3</v>
      </c>
      <c r="Y36" s="150">
        <v>490</v>
      </c>
      <c r="Z36" s="150">
        <v>1150</v>
      </c>
      <c r="AA36" s="148" t="s">
        <v>292</v>
      </c>
      <c r="AB36" s="149">
        <v>75.62</v>
      </c>
      <c r="AC36" s="150">
        <v>93</v>
      </c>
      <c r="AD36" s="151">
        <v>4</v>
      </c>
      <c r="AE36" s="149">
        <v>4.0999999999999996</v>
      </c>
      <c r="AF36" s="134">
        <f t="shared" si="3"/>
        <v>40.869218500797444</v>
      </c>
      <c r="AG36" s="152"/>
      <c r="AH36" s="129">
        <v>71.5</v>
      </c>
      <c r="AI36" s="134">
        <f t="shared" si="4"/>
        <v>712.71929824561414</v>
      </c>
      <c r="AJ36" s="153">
        <v>14.53</v>
      </c>
      <c r="AK36" s="154"/>
      <c r="AL36" s="155">
        <v>5.01</v>
      </c>
      <c r="AM36" s="156">
        <v>26.82</v>
      </c>
      <c r="AN36" s="126">
        <f t="shared" si="25"/>
        <v>0.20295119182746879</v>
      </c>
      <c r="AO36" s="157" t="s">
        <v>239</v>
      </c>
      <c r="AP36" s="156">
        <v>8.43</v>
      </c>
      <c r="AQ36" s="156">
        <v>7.09</v>
      </c>
      <c r="AR36" s="151"/>
      <c r="AS36" s="149">
        <v>9.23</v>
      </c>
      <c r="AT36" s="149">
        <v>132.15</v>
      </c>
      <c r="AU36" s="149"/>
      <c r="AV36" s="149"/>
      <c r="AW36" s="149"/>
      <c r="AX36" s="158">
        <f t="shared" si="5"/>
        <v>0</v>
      </c>
      <c r="AY36" s="125">
        <f t="shared" si="6"/>
        <v>100.32</v>
      </c>
      <c r="AZ36" s="125">
        <f t="shared" si="35"/>
        <v>105.14529891579561</v>
      </c>
      <c r="BA36" s="159">
        <f t="shared" si="7"/>
        <v>5.1122500000000004</v>
      </c>
      <c r="BB36" s="160">
        <f t="shared" si="8"/>
        <v>4.0127999999999995</v>
      </c>
      <c r="BC36" s="161">
        <f t="shared" si="9"/>
        <v>0.84762234493537858</v>
      </c>
      <c r="BD36" s="160">
        <f t="shared" si="26"/>
        <v>9.1250499999999999</v>
      </c>
      <c r="BE36" s="162">
        <v>0.82</v>
      </c>
      <c r="BF36" s="25">
        <f t="shared" si="27"/>
        <v>3240.3199999999993</v>
      </c>
      <c r="BG36" s="25">
        <f t="shared" si="10"/>
        <v>114.51612903225806</v>
      </c>
      <c r="BH36" s="25">
        <f t="shared" si="28"/>
        <v>3435.483870967742</v>
      </c>
      <c r="BI36" s="26">
        <f t="shared" si="11"/>
        <v>1</v>
      </c>
      <c r="BJ36" s="37">
        <f t="shared" si="29"/>
        <v>3435.483870967742</v>
      </c>
      <c r="BK36" s="38"/>
      <c r="BL36" s="28">
        <f t="shared" si="30"/>
        <v>167.13200000000001</v>
      </c>
      <c r="BM36" s="31">
        <v>60.494</v>
      </c>
      <c r="BN36" s="31"/>
      <c r="BO36" s="40"/>
      <c r="BP36" s="40">
        <v>14.081</v>
      </c>
      <c r="BQ36" s="32"/>
      <c r="BR36" s="33"/>
      <c r="BS36" s="34">
        <v>0.55000000000000004</v>
      </c>
      <c r="BT36" s="35">
        <v>0.3</v>
      </c>
      <c r="BU36" s="35"/>
      <c r="BV36" s="235"/>
      <c r="BW36" s="235">
        <v>1.57</v>
      </c>
      <c r="BX36" s="36"/>
      <c r="BY36" s="33"/>
      <c r="BZ36" s="34">
        <v>37.43</v>
      </c>
      <c r="CA36" s="35">
        <v>37.22</v>
      </c>
      <c r="CB36" s="35"/>
      <c r="CC36" s="235"/>
      <c r="CD36" s="235">
        <v>34.93</v>
      </c>
      <c r="CE36" s="36">
        <v>43.26</v>
      </c>
      <c r="CF36" s="28">
        <f t="shared" si="31"/>
        <v>139.26900000000001</v>
      </c>
      <c r="CG36" s="30"/>
      <c r="CH36" s="34"/>
      <c r="CI36" s="50"/>
      <c r="CJ36" s="33">
        <v>1.4</v>
      </c>
      <c r="CK36" s="33"/>
      <c r="CL36" s="35"/>
      <c r="CM36" s="36"/>
      <c r="CN36" s="270"/>
      <c r="CO36" s="249">
        <f t="shared" si="36"/>
        <v>0</v>
      </c>
      <c r="CP36" s="12">
        <f t="shared" si="36"/>
        <v>166.21277400000002</v>
      </c>
      <c r="CQ36" s="12">
        <f t="shared" si="36"/>
        <v>60.312517999999997</v>
      </c>
      <c r="CR36" s="12">
        <f t="shared" si="36"/>
        <v>0</v>
      </c>
      <c r="CS36" s="11">
        <f t="shared" si="36"/>
        <v>0</v>
      </c>
      <c r="CT36" s="11">
        <f t="shared" si="36"/>
        <v>13.8599283</v>
      </c>
      <c r="CU36" s="272">
        <f t="shared" si="36"/>
        <v>0</v>
      </c>
      <c r="CV36" s="249">
        <f t="shared" si="13"/>
        <v>137.31923399999999</v>
      </c>
      <c r="CW36" s="12">
        <f t="shared" si="13"/>
        <v>0</v>
      </c>
      <c r="CX36" s="249">
        <f t="shared" si="13"/>
        <v>0</v>
      </c>
      <c r="CY36" s="274">
        <f t="shared" si="13"/>
        <v>0</v>
      </c>
      <c r="CZ36" s="13"/>
      <c r="DA36" s="240">
        <f>(D36+'[2]май 20'!D36)/(AY36+'[2]май 20'!AX36)</f>
        <v>2.2508999578288664</v>
      </c>
      <c r="DB36" s="241">
        <f>(T36+'[2]май 20'!R36)/(AY36+'[2]май 20'!AX36)</f>
        <v>1.286999163379132</v>
      </c>
      <c r="DD36" s="292">
        <f t="shared" si="14"/>
        <v>9.2070000000000007</v>
      </c>
      <c r="DE36" s="291">
        <v>0.25</v>
      </c>
      <c r="DF36" s="291">
        <v>15</v>
      </c>
      <c r="DG36" s="145">
        <f t="shared" si="15"/>
        <v>9.1839825000000008</v>
      </c>
      <c r="DH36" s="293">
        <f t="shared" si="32"/>
        <v>1.8217368090452262</v>
      </c>
      <c r="DJ36" s="31">
        <v>116.229</v>
      </c>
      <c r="DK36" s="32">
        <v>41.835999999999999</v>
      </c>
      <c r="DL36" s="460">
        <f>DJ36+DK36+9.067</f>
        <v>167.13200000000001</v>
      </c>
      <c r="DM36" s="30">
        <v>132.048</v>
      </c>
      <c r="DN36" s="460">
        <f>DM36+7.221</f>
        <v>139.26900000000001</v>
      </c>
    </row>
    <row r="37" spans="1:118" s="76" customFormat="1" ht="16.5" customHeight="1" thickBot="1">
      <c r="A37" s="186">
        <v>31</v>
      </c>
      <c r="B37" s="122">
        <f t="shared" si="16"/>
        <v>232.34699999999998</v>
      </c>
      <c r="C37" s="123">
        <f t="shared" si="17"/>
        <v>0.41788617886178864</v>
      </c>
      <c r="D37" s="187">
        <f t="shared" si="18"/>
        <v>231.37605399999998</v>
      </c>
      <c r="E37" s="285">
        <f t="shared" si="19"/>
        <v>37.470475151389941</v>
      </c>
      <c r="F37" s="189">
        <f t="shared" si="20"/>
        <v>2.2256257599076563</v>
      </c>
      <c r="G37" s="127"/>
      <c r="H37" s="126">
        <f t="shared" si="21"/>
        <v>2.2256257599076568</v>
      </c>
      <c r="I37" s="230">
        <f>'[1]июль 20'!AI36</f>
        <v>0</v>
      </c>
      <c r="J37" s="277">
        <f>'[1]май 20'!AA36</f>
        <v>9.157</v>
      </c>
      <c r="K37" s="276">
        <f>'[1]сентябрь 20'!AM36</f>
        <v>0</v>
      </c>
      <c r="L37" s="122"/>
      <c r="M37" s="128">
        <f t="shared" si="22"/>
        <v>0</v>
      </c>
      <c r="N37" s="399">
        <f>'[1]май 20'!W36</f>
        <v>0</v>
      </c>
      <c r="O37" s="399">
        <f>'[1]май 20'!AU36</f>
        <v>0</v>
      </c>
      <c r="P37" s="125">
        <f t="shared" si="0"/>
        <v>134.42699999999999</v>
      </c>
      <c r="Q37" s="122">
        <f t="shared" si="23"/>
        <v>134.42699999999999</v>
      </c>
      <c r="R37" s="123">
        <f t="shared" si="24"/>
        <v>1.38</v>
      </c>
      <c r="S37" s="190">
        <v>15.28</v>
      </c>
      <c r="T37" s="125">
        <f t="shared" si="1"/>
        <v>132.57190740000001</v>
      </c>
      <c r="U37" s="191">
        <f t="shared" si="2"/>
        <v>1.2752203482108504</v>
      </c>
      <c r="V37" s="192">
        <v>103.96</v>
      </c>
      <c r="W37" s="192">
        <v>103.96</v>
      </c>
      <c r="X37" s="190">
        <v>0.14000000000000001</v>
      </c>
      <c r="Y37" s="193">
        <v>482</v>
      </c>
      <c r="Z37" s="194">
        <v>1161</v>
      </c>
      <c r="AA37" s="195" t="s">
        <v>293</v>
      </c>
      <c r="AB37" s="196">
        <v>75.28</v>
      </c>
      <c r="AC37" s="194">
        <v>93</v>
      </c>
      <c r="AD37" s="193">
        <v>4</v>
      </c>
      <c r="AE37" s="196">
        <v>2.9</v>
      </c>
      <c r="AF37" s="134">
        <f t="shared" si="3"/>
        <v>27.895344363216619</v>
      </c>
      <c r="AG37" s="197"/>
      <c r="AH37" s="190">
        <v>73.900000000000006</v>
      </c>
      <c r="AI37" s="134">
        <f t="shared" si="4"/>
        <v>710.85032704886498</v>
      </c>
      <c r="AJ37" s="196">
        <v>12.04</v>
      </c>
      <c r="AK37" s="198"/>
      <c r="AL37" s="199">
        <v>4.68</v>
      </c>
      <c r="AM37" s="200">
        <v>24.16</v>
      </c>
      <c r="AN37" s="126">
        <f t="shared" si="25"/>
        <v>0.18192771084337347</v>
      </c>
      <c r="AO37" s="201" t="s">
        <v>294</v>
      </c>
      <c r="AP37" s="200">
        <v>8.31</v>
      </c>
      <c r="AQ37" s="201">
        <v>7.21</v>
      </c>
      <c r="AR37" s="193"/>
      <c r="AS37" s="196">
        <v>9.06</v>
      </c>
      <c r="AT37" s="242">
        <v>132.80000000000001</v>
      </c>
      <c r="AU37" s="196"/>
      <c r="AV37" s="196"/>
      <c r="AW37" s="196"/>
      <c r="AX37" s="202">
        <f t="shared" si="5"/>
        <v>0</v>
      </c>
      <c r="AY37" s="188">
        <f t="shared" si="6"/>
        <v>103.96000000000001</v>
      </c>
      <c r="AZ37" s="125">
        <f t="shared" si="35"/>
        <v>102.5423858179514</v>
      </c>
      <c r="BA37" s="203">
        <f t="shared" si="7"/>
        <v>5.1865309859154936</v>
      </c>
      <c r="BB37" s="204">
        <f t="shared" si="8"/>
        <v>4.1584000000000003</v>
      </c>
      <c r="BC37" s="205">
        <f t="shared" si="9"/>
        <v>0.90268925061859195</v>
      </c>
      <c r="BD37" s="206">
        <f t="shared" si="26"/>
        <v>9.344930985915493</v>
      </c>
      <c r="BE37" s="207">
        <v>0.82199999999999995</v>
      </c>
      <c r="BF37" s="25">
        <f t="shared" si="27"/>
        <v>3344.2799999999993</v>
      </c>
      <c r="BG37" s="25">
        <f t="shared" si="10"/>
        <v>114.51612903225806</v>
      </c>
      <c r="BH37" s="25">
        <f t="shared" si="28"/>
        <v>3550</v>
      </c>
      <c r="BI37" s="26">
        <f t="shared" si="11"/>
        <v>1</v>
      </c>
      <c r="BJ37" s="37">
        <f t="shared" si="29"/>
        <v>3550</v>
      </c>
      <c r="BK37" s="51"/>
      <c r="BL37" s="28">
        <f t="shared" si="30"/>
        <v>158.065</v>
      </c>
      <c r="BM37" s="53">
        <v>60.493000000000002</v>
      </c>
      <c r="BN37" s="53"/>
      <c r="BO37" s="282"/>
      <c r="BP37" s="282">
        <v>13.789</v>
      </c>
      <c r="BQ37" s="54"/>
      <c r="BR37" s="55"/>
      <c r="BS37" s="52">
        <v>0.38</v>
      </c>
      <c r="BT37" s="56">
        <v>0.35</v>
      </c>
      <c r="BU37" s="56"/>
      <c r="BV37" s="284"/>
      <c r="BW37" s="284">
        <v>1.1499999999999999</v>
      </c>
      <c r="BX37" s="57"/>
      <c r="BY37" s="55"/>
      <c r="BZ37" s="52">
        <v>37.58</v>
      </c>
      <c r="CA37" s="56">
        <v>38.159999999999997</v>
      </c>
      <c r="CB37" s="56"/>
      <c r="CC37" s="284"/>
      <c r="CD37" s="284">
        <v>33.19</v>
      </c>
      <c r="CE37" s="57">
        <v>43.37</v>
      </c>
      <c r="CF37" s="28">
        <f t="shared" si="31"/>
        <v>134.42699999999999</v>
      </c>
      <c r="CG37" s="58"/>
      <c r="CH37" s="52"/>
      <c r="CI37" s="54"/>
      <c r="CJ37" s="33">
        <v>1.38</v>
      </c>
      <c r="CK37" s="265"/>
      <c r="CL37" s="59"/>
      <c r="CM37" s="60"/>
      <c r="CN37" s="270"/>
      <c r="CO37" s="269">
        <f t="shared" si="36"/>
        <v>0</v>
      </c>
      <c r="CP37" s="18">
        <f t="shared" si="36"/>
        <v>157.46435300000002</v>
      </c>
      <c r="CQ37" s="18">
        <f t="shared" si="36"/>
        <v>60.281274500000002</v>
      </c>
      <c r="CR37" s="18">
        <f t="shared" si="36"/>
        <v>0</v>
      </c>
      <c r="CS37" s="251">
        <f t="shared" si="36"/>
        <v>0</v>
      </c>
      <c r="CT37" s="11">
        <f t="shared" si="36"/>
        <v>13.630426499999999</v>
      </c>
      <c r="CU37" s="273">
        <f t="shared" si="36"/>
        <v>0</v>
      </c>
      <c r="CV37" s="269">
        <f t="shared" si="13"/>
        <v>132.57190740000001</v>
      </c>
      <c r="CW37" s="18">
        <f t="shared" si="13"/>
        <v>0</v>
      </c>
      <c r="CX37" s="261">
        <f t="shared" si="13"/>
        <v>0</v>
      </c>
      <c r="CY37" s="273">
        <f t="shared" si="13"/>
        <v>0</v>
      </c>
      <c r="CZ37" s="13"/>
      <c r="DA37" s="240">
        <f>(D37+'[2]май 20'!D37)/(AY37+'[2]май 20'!AX37)</f>
        <v>2.2794805241316212</v>
      </c>
      <c r="DB37" s="241">
        <f>(T37+'[2]май 20'!R37)/(AY37+'[2]май 20'!AX37)</f>
        <v>1.3068062196516683</v>
      </c>
      <c r="DD37" s="292">
        <f t="shared" si="14"/>
        <v>9.157</v>
      </c>
      <c r="DE37" s="294">
        <v>0.15</v>
      </c>
      <c r="DF37" s="294">
        <v>16.48</v>
      </c>
      <c r="DG37" s="323">
        <f t="shared" si="15"/>
        <v>9.143264499999999</v>
      </c>
      <c r="DH37" s="293">
        <f t="shared" si="32"/>
        <v>2.0016073188097763</v>
      </c>
      <c r="DJ37" s="53">
        <v>116.226</v>
      </c>
      <c r="DK37" s="54">
        <v>41.838999999999999</v>
      </c>
      <c r="DL37" s="460">
        <f>DJ37+DK37</f>
        <v>158.065</v>
      </c>
      <c r="DM37" s="58">
        <v>134.42699999999999</v>
      </c>
      <c r="DN37" s="460">
        <f>DM37</f>
        <v>134.42699999999999</v>
      </c>
    </row>
    <row r="38" spans="1:118" s="214" customFormat="1" ht="16.5" customHeight="1" thickBot="1">
      <c r="A38" s="91" t="s">
        <v>56</v>
      </c>
      <c r="B38" s="92">
        <f>SUM(B7:B37)</f>
        <v>8173.4680009999993</v>
      </c>
      <c r="C38" s="330"/>
      <c r="D38" s="331">
        <f>SUM(D7:D37)</f>
        <v>8099.8461058999992</v>
      </c>
      <c r="E38" s="332"/>
      <c r="F38" s="331"/>
      <c r="G38" s="333">
        <f>SUM(G7:G37)</f>
        <v>51.91</v>
      </c>
      <c r="H38" s="329"/>
      <c r="I38" s="334">
        <f>SUM(I7:I37)</f>
        <v>0</v>
      </c>
      <c r="J38" s="329">
        <f>SUM(J7:J37)</f>
        <v>191.80099999999999</v>
      </c>
      <c r="K38" s="329">
        <f>SUM(K7:K37)</f>
        <v>0</v>
      </c>
      <c r="L38" s="396">
        <f>SUM(L7:L37)</f>
        <v>0</v>
      </c>
      <c r="M38" s="335"/>
      <c r="N38" s="329">
        <f>SUM(N7:N37)</f>
        <v>150.88</v>
      </c>
      <c r="O38" s="396">
        <f>SUM(O7:O37)</f>
        <v>0</v>
      </c>
      <c r="P38" s="330">
        <f>SUM(P7:P37)</f>
        <v>4835.7200030000004</v>
      </c>
      <c r="Q38" s="396">
        <f>SUM(Q7:Q37)</f>
        <v>4835.7200010000006</v>
      </c>
      <c r="R38" s="336">
        <f>IF(Q38=0,0,(CA38*CH38+CE38*CI38+CF38*CJ38)/Q38)</f>
        <v>0</v>
      </c>
      <c r="S38" s="398">
        <f>SUM(S7:S37)</f>
        <v>277.64</v>
      </c>
      <c r="T38" s="331">
        <f>SUM(T7:T37)</f>
        <v>4765.5989814000004</v>
      </c>
      <c r="U38" s="337"/>
      <c r="V38" s="229">
        <f>SUM(V7:V37)</f>
        <v>1403.67</v>
      </c>
      <c r="W38" s="229">
        <f>SUM(W7:W37)</f>
        <v>2211.4099999999994</v>
      </c>
      <c r="X38" s="338"/>
      <c r="Y38" s="337"/>
      <c r="Z38" s="339"/>
      <c r="AA38" s="340"/>
      <c r="AB38" s="338"/>
      <c r="AC38" s="339"/>
      <c r="AD38" s="339">
        <f>SUM(AD7:AD37)</f>
        <v>123</v>
      </c>
      <c r="AE38" s="90">
        <f>SUM(AE7:AE37)</f>
        <v>97.40000000000002</v>
      </c>
      <c r="AF38" s="341"/>
      <c r="AG38" s="342">
        <f>SUM(AG7:AG37)</f>
        <v>0</v>
      </c>
      <c r="AH38" s="90">
        <f>SUM(AH7:AH37)</f>
        <v>2464.1</v>
      </c>
      <c r="AI38" s="341"/>
      <c r="AJ38" s="332">
        <f>SUM(AJ7:AJ37)</f>
        <v>413.05999999999989</v>
      </c>
      <c r="AK38" s="343"/>
      <c r="AL38" s="397">
        <f>SUM(AL7:AL37)</f>
        <v>166.11</v>
      </c>
      <c r="AM38" s="344">
        <f>SUM(AM7:AM37)</f>
        <v>857.30000000000007</v>
      </c>
      <c r="AN38" s="345"/>
      <c r="AO38" s="342"/>
      <c r="AP38" s="332"/>
      <c r="AQ38" s="342"/>
      <c r="AR38" s="342"/>
      <c r="AS38" s="346"/>
      <c r="AT38" s="332">
        <f>SUM(AT7:AT37)</f>
        <v>4320.7999999999993</v>
      </c>
      <c r="AU38" s="332">
        <f>SUM(AU7:AU37)</f>
        <v>46.889999999999993</v>
      </c>
      <c r="AV38" s="347">
        <f>SUM(AV7:AV37)</f>
        <v>0</v>
      </c>
      <c r="AW38" s="332">
        <f>SUM(AW7:AW37)</f>
        <v>0</v>
      </c>
      <c r="AX38" s="331"/>
      <c r="AY38" s="90">
        <f>SUM(AY7:AY37)</f>
        <v>3344.2799999999993</v>
      </c>
      <c r="AZ38" s="330">
        <f>SUM(AZ7:AZ37)</f>
        <v>3596.6103968536959</v>
      </c>
      <c r="BA38" s="342">
        <f>SUM(BA7:BA37)</f>
        <v>182.68501760563376</v>
      </c>
      <c r="BB38" s="342">
        <f>SUM(BB7:BB37)</f>
        <v>133.77119999999999</v>
      </c>
      <c r="BC38" s="332"/>
      <c r="BD38" s="89">
        <f>SUM(BD7:BD37)</f>
        <v>316.45621760563375</v>
      </c>
      <c r="BE38" s="348"/>
      <c r="BF38" s="19"/>
      <c r="BG38" s="19">
        <f t="shared" si="10"/>
        <v>0</v>
      </c>
      <c r="BH38" s="19"/>
      <c r="BI38" s="208">
        <f>SUM(BI7:BI37)</f>
        <v>31</v>
      </c>
      <c r="BJ38" s="209"/>
      <c r="BK38" s="278">
        <f t="shared" ref="BK38:BQ38" si="37">SUM(BK7:BK37)</f>
        <v>9.9999999999999995E-7</v>
      </c>
      <c r="BL38" s="61">
        <f>SUM(BL7:BL37)</f>
        <v>5836.1169999999993</v>
      </c>
      <c r="BM38" s="61">
        <f t="shared" si="37"/>
        <v>1451.3060010000002</v>
      </c>
      <c r="BN38" s="61">
        <f t="shared" si="37"/>
        <v>9.9999999999999995E-7</v>
      </c>
      <c r="BO38" s="61">
        <f t="shared" si="37"/>
        <v>9.9999999999999995E-7</v>
      </c>
      <c r="BP38" s="61">
        <f t="shared" si="37"/>
        <v>886.04500000000007</v>
      </c>
      <c r="BQ38" s="64">
        <f t="shared" si="37"/>
        <v>9.9999999999999995E-7</v>
      </c>
      <c r="BR38" s="63"/>
      <c r="BS38" s="24"/>
      <c r="BT38" s="24"/>
      <c r="BU38" s="24"/>
      <c r="BV38" s="62"/>
      <c r="BW38" s="62"/>
      <c r="BX38" s="65"/>
      <c r="BY38" s="63"/>
      <c r="BZ38" s="24"/>
      <c r="CA38" s="24"/>
      <c r="CB38" s="24"/>
      <c r="CC38" s="62"/>
      <c r="CD38" s="62"/>
      <c r="CE38" s="62"/>
      <c r="CF38" s="66">
        <f>SUM(CF7:CF37)</f>
        <v>4046.3610000000003</v>
      </c>
      <c r="CG38" s="66">
        <f>SUM(CG7:CG37)</f>
        <v>789.35900100000015</v>
      </c>
      <c r="CH38" s="61">
        <f>SUM(CH7:CH37)</f>
        <v>9.9999999999999995E-7</v>
      </c>
      <c r="CI38" s="67">
        <f>SUM(CI7:CI37)</f>
        <v>9.9999999999999995E-7</v>
      </c>
      <c r="CJ38" s="210"/>
      <c r="CK38" s="266"/>
      <c r="CL38" s="211"/>
      <c r="CM38" s="212"/>
      <c r="CN38" s="213"/>
      <c r="CO38" s="68">
        <f t="shared" ref="CO38:CY38" si="38">SUM(CO7:CO37)</f>
        <v>9.9999998999999992E-7</v>
      </c>
      <c r="CP38" s="69">
        <f t="shared" si="38"/>
        <v>5781.2263170999995</v>
      </c>
      <c r="CQ38" s="70">
        <f t="shared" si="38"/>
        <v>1444.8339512000002</v>
      </c>
      <c r="CR38" s="69">
        <f t="shared" si="38"/>
        <v>9.9999998999999992E-7</v>
      </c>
      <c r="CS38" s="72">
        <f t="shared" si="38"/>
        <v>9.9999998999999992E-7</v>
      </c>
      <c r="CT38" s="72">
        <f t="shared" si="38"/>
        <v>873.78583760000004</v>
      </c>
      <c r="CU38" s="71">
        <f t="shared" si="38"/>
        <v>9.9999998999999992E-7</v>
      </c>
      <c r="CV38" s="72">
        <f t="shared" si="38"/>
        <v>3987.5864489000005</v>
      </c>
      <c r="CW38" s="72">
        <f t="shared" si="38"/>
        <v>778.01253249999979</v>
      </c>
      <c r="CX38" s="72">
        <f t="shared" si="38"/>
        <v>9.9999998999999992E-7</v>
      </c>
      <c r="CY38" s="72">
        <f t="shared" si="38"/>
        <v>9.9999998999999992E-7</v>
      </c>
      <c r="CZ38" s="70"/>
      <c r="DA38" s="240">
        <f>(D38+'[2]май 20'!D38)/(AY38+'[2]май 20'!AX38)</f>
        <v>2.3382645704248466</v>
      </c>
      <c r="DB38" s="241">
        <f>(T38+'[2]май 20'!R38)/(AY38+'[2]май 20'!AX38)</f>
        <v>1.3660332738476646</v>
      </c>
      <c r="DD38" s="295">
        <f>SUM(DD7:DD37)</f>
        <v>191.80099999999999</v>
      </c>
      <c r="DE38" s="296">
        <f>(SUMPRODUCT(DD7:DD37,DE7:DE37))/DD38</f>
        <v>0.35821945662431376</v>
      </c>
      <c r="DF38" s="296">
        <f>(SUMPRODUCT(DD7:DD37,DF7:DF37))/DD38</f>
        <v>17.675267177960492</v>
      </c>
      <c r="DG38" s="296">
        <f>(SUMPRODUCT(DE7:DE37,DG7:DG37))/DE38</f>
        <v>190.22361174106854</v>
      </c>
      <c r="DH38" s="324">
        <f>IF(J38=0,0,(DG38*DF38%)/(AB39/100))</f>
        <v>44.991614153467431</v>
      </c>
    </row>
    <row r="39" spans="1:118" s="214" customFormat="1" ht="16.5" customHeight="1" thickBot="1">
      <c r="A39" s="93" t="s">
        <v>57</v>
      </c>
      <c r="B39" s="349">
        <f>B38/AU2</f>
        <v>263.66025809677416</v>
      </c>
      <c r="C39" s="349">
        <f>(BK38*BR39+BM38*BT39+BQ38*BX39+BL38*BS39+BN38*BU39+BO38*BV39+BP38*BW39)/B38</f>
        <v>0.90074243994094827</v>
      </c>
      <c r="D39" s="350">
        <f>D38/AU2</f>
        <v>261.28535825483868</v>
      </c>
      <c r="E39" s="349">
        <f>(BK38*BY39+BM38*CA39+BQ38*CE39+BL38*BZ39+BN38*CB39+BO38*CC39+BP38*CD39)/B38</f>
        <v>37.532149987729554</v>
      </c>
      <c r="F39" s="351">
        <f>IF($AY$38=0,0,$D$38/$AY$38)</f>
        <v>2.4219999838231252</v>
      </c>
      <c r="G39" s="352">
        <f>G38/AU2</f>
        <v>1.6745161290322579</v>
      </c>
      <c r="H39" s="353">
        <f>IF($AY$38=0,0,(CP38+CO38+CS38+CQ38+CT38)/AY38)</f>
        <v>2.4219999844211615</v>
      </c>
      <c r="I39" s="349">
        <f>I38/AU2</f>
        <v>0</v>
      </c>
      <c r="J39" s="349">
        <f>J38/AU2</f>
        <v>6.1871290322580643</v>
      </c>
      <c r="K39" s="349">
        <f>K38/AU2</f>
        <v>0</v>
      </c>
      <c r="L39" s="349">
        <f>L38/AU2</f>
        <v>0</v>
      </c>
      <c r="M39" s="354">
        <f>IF($AY$38=0,0,(CR38+CU38)/$AY$38)</f>
        <v>5.9803604363271025E-10</v>
      </c>
      <c r="N39" s="349">
        <f>N38/AU2</f>
        <v>4.8670967741935485</v>
      </c>
      <c r="O39" s="349">
        <f>O38/AU2</f>
        <v>0</v>
      </c>
      <c r="P39" s="349">
        <f>P38/AU2</f>
        <v>155.99096783870968</v>
      </c>
      <c r="Q39" s="349">
        <f>Q38/AU2</f>
        <v>155.99096777419356</v>
      </c>
      <c r="R39" s="349">
        <f>(SUMPRODUCT(R7:R37,Q7:Q37))/Q38</f>
        <v>1.450063684115279</v>
      </c>
      <c r="S39" s="355">
        <f>S38/AU2</f>
        <v>8.9561290322580636</v>
      </c>
      <c r="T39" s="356"/>
      <c r="U39" s="354">
        <f>IF($AY$38=0,0,$T$38/$AY$38)</f>
        <v>1.4249999944382652</v>
      </c>
      <c r="V39" s="349">
        <f>V38/AU2</f>
        <v>45.27967741935484</v>
      </c>
      <c r="W39" s="349">
        <f>W38/AU2</f>
        <v>71.335806451612882</v>
      </c>
      <c r="X39" s="349">
        <f>(SUMPRODUCT(X7:X37,AY7:AY37))/AY38</f>
        <v>0.78532302917219854</v>
      </c>
      <c r="Y39" s="357">
        <f>AVERAGE(Y7:Y37)</f>
        <v>489.45161290322579</v>
      </c>
      <c r="Z39" s="357">
        <f>AVERAGE(Z7:Z37)</f>
        <v>1165.0645161290322</v>
      </c>
      <c r="AA39" s="357"/>
      <c r="AB39" s="349">
        <f>(SUMPRODUCT(AB7:AB37,AY7:AY37))/AY38</f>
        <v>74.730663132273619</v>
      </c>
      <c r="AC39" s="358">
        <f>AVERAGE(AC7:AC37)</f>
        <v>98.483870967741936</v>
      </c>
      <c r="AD39" s="358">
        <f>AVERAGE(AD7:AD37)</f>
        <v>3.967741935483871</v>
      </c>
      <c r="AE39" s="349">
        <f>AE38/AU2</f>
        <v>3.1419354838709683</v>
      </c>
      <c r="AF39" s="355">
        <f>IF(AY38=0,0,AE38/AY38*1000)</f>
        <v>29.124355616156553</v>
      </c>
      <c r="AG39" s="356" t="e">
        <f>AG38/$AW$2</f>
        <v>#DIV/0!</v>
      </c>
      <c r="AH39" s="349">
        <f>AH38/AU2</f>
        <v>79.487096774193546</v>
      </c>
      <c r="AI39" s="355">
        <f>IF(AY38=0,0,AH38/AY38*1000)</f>
        <v>736.81031492578381</v>
      </c>
      <c r="AJ39" s="349">
        <f>AJ38/AU2</f>
        <v>13.324516129032254</v>
      </c>
      <c r="AK39" s="359"/>
      <c r="AL39" s="349">
        <f>AL38/AU2</f>
        <v>5.3583870967741936</v>
      </c>
      <c r="AM39" s="349">
        <f>AM38/AU2</f>
        <v>27.654838709677421</v>
      </c>
      <c r="AN39" s="360">
        <f>IF(AM39=0,0,AM39/AT39)</f>
        <v>0.19841233104980566</v>
      </c>
      <c r="AO39" s="356"/>
      <c r="AP39" s="349">
        <f>AVERAGE(AP7:AP37)</f>
        <v>9.0080645161290303</v>
      </c>
      <c r="AQ39" s="349">
        <f>AVERAGE(AQ7:AQ37)</f>
        <v>6.4709677419354827</v>
      </c>
      <c r="AR39" s="356"/>
      <c r="AS39" s="349">
        <f>AVERAGE(AS7:AS37)</f>
        <v>9.6067741935483877</v>
      </c>
      <c r="AT39" s="349">
        <f>AT38/AU2</f>
        <v>139.38064516129029</v>
      </c>
      <c r="AU39" s="349">
        <f>AU38/AU2</f>
        <v>1.5125806451612902</v>
      </c>
      <c r="AV39" s="349" t="e">
        <f>AV38/$AW$2</f>
        <v>#DIV/0!</v>
      </c>
      <c r="AW39" s="349" t="e">
        <f>AW38/$AW$2</f>
        <v>#DIV/0!</v>
      </c>
      <c r="AX39" s="349" t="e">
        <f>IF(AY39=0,0,AW39/AY39*100)</f>
        <v>#DIV/0!</v>
      </c>
      <c r="AY39" s="349">
        <f>AY38/AU2</f>
        <v>107.87999999999998</v>
      </c>
      <c r="AZ39" s="349">
        <f>AZ38/AU2</f>
        <v>116.01969022108696</v>
      </c>
      <c r="BA39" s="356"/>
      <c r="BB39" s="356"/>
      <c r="BC39" s="351">
        <f>(AY38*AB39)/(D38*E39)</f>
        <v>0.82209358049415382</v>
      </c>
      <c r="BD39" s="349">
        <f>BD38/AU2</f>
        <v>10.208265084052702</v>
      </c>
      <c r="BE39" s="361"/>
      <c r="BF39" s="19"/>
      <c r="BG39" s="19"/>
      <c r="BH39" s="19"/>
      <c r="BI39" s="19"/>
      <c r="BJ39" s="215"/>
      <c r="BK39" s="73"/>
      <c r="BL39" s="216"/>
      <c r="BM39" s="216"/>
      <c r="BN39" s="216"/>
      <c r="BO39" s="219"/>
      <c r="BP39" s="219"/>
      <c r="BQ39" s="217"/>
      <c r="BR39" s="73">
        <f t="shared" ref="BR39:BX39" si="39">(SUMPRODUCT(BK7:BK37,BR7:BR37))/BK38</f>
        <v>9.9999999999999995E-7</v>
      </c>
      <c r="BS39" s="29">
        <f>(SUMPRODUCT(BL7:BL37,BS7:BS37))/BL38</f>
        <v>0.94053431245466801</v>
      </c>
      <c r="BT39" s="29">
        <f t="shared" si="39"/>
        <v>0.44594660226999289</v>
      </c>
      <c r="BU39" s="29">
        <f t="shared" si="39"/>
        <v>9.9999999999999995E-7</v>
      </c>
      <c r="BV39" s="29">
        <f t="shared" si="39"/>
        <v>9.9999999999999995E-7</v>
      </c>
      <c r="BW39" s="29">
        <f t="shared" si="39"/>
        <v>1.3835823688413118</v>
      </c>
      <c r="BX39" s="74">
        <f t="shared" si="39"/>
        <v>9.9999999999999995E-7</v>
      </c>
      <c r="BY39" s="73">
        <f t="shared" ref="BY39:CE39" si="40">(SUMPRODUCT(BK7:BK37,BY7:BY37))/BK38</f>
        <v>9.9999999999999995E-7</v>
      </c>
      <c r="BZ39" s="29">
        <f t="shared" si="40"/>
        <v>37.617211759119982</v>
      </c>
      <c r="CA39" s="29">
        <f t="shared" si="40"/>
        <v>38.248738785446534</v>
      </c>
      <c r="CB39" s="29">
        <f t="shared" si="40"/>
        <v>9.9999999999999995E-7</v>
      </c>
      <c r="CC39" s="29">
        <f t="shared" si="40"/>
        <v>9.9999999999999995E-7</v>
      </c>
      <c r="CD39" s="29">
        <f t="shared" si="40"/>
        <v>35.798129575811615</v>
      </c>
      <c r="CE39" s="74">
        <f t="shared" si="40"/>
        <v>43.44</v>
      </c>
      <c r="CF39" s="218"/>
      <c r="CG39" s="218"/>
      <c r="CH39" s="216"/>
      <c r="CI39" s="219"/>
      <c r="CJ39" s="75">
        <f>(SUMPRODUCT(CF7:CF37,CJ7:CJ37))/CF38</f>
        <v>1.4525286078034061</v>
      </c>
      <c r="CK39" s="75">
        <f>(SUMPRODUCT(CG7:CG37,CK7:CK37))/CG38</f>
        <v>1.4374281519087926</v>
      </c>
      <c r="CL39" s="29">
        <f>(SUMPRODUCT(CH7:CH37,CL7:CL37))/CH38</f>
        <v>9.9999999999999995E-7</v>
      </c>
      <c r="CM39" s="74">
        <f>(SUMPRODUCT(CI7:CI37,CM7:CM37))/CI38</f>
        <v>9.9999999999999995E-7</v>
      </c>
      <c r="CN39" s="19"/>
      <c r="CO39" s="596">
        <f>CO38+CP38</f>
        <v>5781.2263180999998</v>
      </c>
      <c r="CP39" s="596"/>
      <c r="CQ39" s="597">
        <f>CQ38+CR38+CU38+CS38+CT38</f>
        <v>2318.6197917999998</v>
      </c>
      <c r="CR39" s="597"/>
      <c r="CS39" s="597"/>
      <c r="CT39" s="597"/>
      <c r="CU39" s="597"/>
      <c r="CV39" s="597">
        <f>CV38+CX38+CY38+CW38</f>
        <v>4765.5989834000002</v>
      </c>
      <c r="CW39" s="597"/>
      <c r="CX39" s="597"/>
      <c r="CY39" s="597"/>
      <c r="DA39" s="236"/>
      <c r="DB39" s="238"/>
      <c r="DD39" s="297"/>
      <c r="DE39" s="298"/>
      <c r="DF39" s="298"/>
      <c r="DG39" s="299"/>
      <c r="DH39" s="300"/>
    </row>
    <row r="40" spans="1:118" s="214" customFormat="1" ht="16.5" customHeight="1" thickBot="1">
      <c r="A40" s="94" t="s">
        <v>58</v>
      </c>
      <c r="B40" s="362"/>
      <c r="C40" s="362"/>
      <c r="D40" s="363"/>
      <c r="E40" s="364">
        <v>39.1</v>
      </c>
      <c r="F40" s="363">
        <v>2.0750000000000002</v>
      </c>
      <c r="G40" s="365"/>
      <c r="H40" s="363">
        <v>1.66</v>
      </c>
      <c r="I40" s="363"/>
      <c r="J40" s="363">
        <v>9.73386</v>
      </c>
      <c r="K40" s="363"/>
      <c r="L40" s="363"/>
      <c r="M40" s="363">
        <v>0.41499999999999998</v>
      </c>
      <c r="N40" s="363"/>
      <c r="O40" s="363"/>
      <c r="P40" s="366"/>
      <c r="Q40" s="362"/>
      <c r="R40" s="367"/>
      <c r="S40" s="368">
        <v>13.283856</v>
      </c>
      <c r="T40" s="362"/>
      <c r="U40" s="369">
        <v>1.2849999999999999</v>
      </c>
      <c r="V40" s="370">
        <v>3550</v>
      </c>
      <c r="W40" s="370">
        <v>3550</v>
      </c>
      <c r="X40" s="371"/>
      <c r="Y40" s="371"/>
      <c r="Z40" s="372">
        <v>1190</v>
      </c>
      <c r="AA40" s="372"/>
      <c r="AB40" s="362">
        <v>74</v>
      </c>
      <c r="AC40" s="362"/>
      <c r="AD40" s="362"/>
      <c r="AE40" s="362"/>
      <c r="AF40" s="362"/>
      <c r="AG40" s="362"/>
      <c r="AH40" s="362"/>
      <c r="AI40" s="362">
        <v>640</v>
      </c>
      <c r="AJ40" s="373"/>
      <c r="AK40" s="374"/>
      <c r="AL40" s="375"/>
      <c r="AM40" s="362"/>
      <c r="AN40" s="362"/>
      <c r="AO40" s="362"/>
      <c r="AP40" s="362"/>
      <c r="AQ40" s="362"/>
      <c r="AR40" s="362"/>
      <c r="AS40" s="362"/>
      <c r="AT40" s="376">
        <v>3550</v>
      </c>
      <c r="AU40" s="377">
        <v>24.9</v>
      </c>
      <c r="AV40" s="377"/>
      <c r="AW40" s="378"/>
      <c r="AX40" s="362"/>
      <c r="AY40" s="379">
        <v>114.52</v>
      </c>
      <c r="AZ40" s="362"/>
      <c r="BA40" s="362"/>
      <c r="BB40" s="362"/>
      <c r="BC40" s="363">
        <v>0.9</v>
      </c>
      <c r="BD40" s="362"/>
      <c r="BE40" s="380"/>
      <c r="BF40" s="19"/>
      <c r="BG40" s="19"/>
      <c r="BH40" s="19"/>
      <c r="BI40" s="19"/>
      <c r="BJ40" s="215"/>
      <c r="BK40" s="220"/>
      <c r="BL40" s="221"/>
      <c r="BM40" s="216"/>
      <c r="BN40" s="216"/>
      <c r="BO40" s="219"/>
      <c r="BP40" s="219"/>
      <c r="BQ40" s="217"/>
      <c r="BR40" s="218"/>
      <c r="BS40" s="216"/>
      <c r="BT40" s="216"/>
      <c r="BU40" s="216"/>
      <c r="BV40" s="219"/>
      <c r="BW40" s="219"/>
      <c r="BX40" s="217"/>
      <c r="BY40" s="218"/>
      <c r="BZ40" s="216"/>
      <c r="CA40" s="216"/>
      <c r="CB40" s="216"/>
      <c r="CC40" s="219"/>
      <c r="CD40" s="219"/>
      <c r="CE40" s="217"/>
      <c r="CF40" s="218"/>
      <c r="CG40" s="218"/>
      <c r="CH40" s="216"/>
      <c r="CI40" s="219"/>
      <c r="CJ40" s="220"/>
      <c r="CK40" s="218"/>
      <c r="CL40" s="216"/>
      <c r="CM40" s="217"/>
      <c r="CN40" s="213"/>
      <c r="CO40" s="604">
        <f>CO39+CQ39</f>
        <v>8099.8461098999996</v>
      </c>
      <c r="CP40" s="604"/>
      <c r="CQ40" s="604"/>
      <c r="CR40" s="604"/>
      <c r="CS40" s="604"/>
      <c r="CT40" s="604"/>
      <c r="CU40" s="604"/>
      <c r="DA40" s="237"/>
      <c r="DB40" s="239"/>
      <c r="DD40" s="301"/>
      <c r="DE40" s="302"/>
      <c r="DF40" s="302"/>
      <c r="DG40" s="303"/>
      <c r="DH40" s="304"/>
    </row>
    <row r="41" spans="1:118" s="214" customFormat="1" ht="16.5" customHeight="1" thickBot="1">
      <c r="A41" s="95" t="s">
        <v>59</v>
      </c>
      <c r="B41" s="381"/>
      <c r="C41" s="381"/>
      <c r="D41" s="382"/>
      <c r="E41" s="381"/>
      <c r="F41" s="383">
        <f>F39-F40</f>
        <v>0.34699998382312502</v>
      </c>
      <c r="G41" s="384">
        <f>G39-G40</f>
        <v>1.6745161290322579</v>
      </c>
      <c r="H41" s="383"/>
      <c r="I41" s="385">
        <f>I39-I40</f>
        <v>0</v>
      </c>
      <c r="J41" s="385"/>
      <c r="K41" s="385"/>
      <c r="L41" s="385"/>
      <c r="M41" s="385"/>
      <c r="N41" s="385"/>
      <c r="O41" s="385"/>
      <c r="P41" s="383"/>
      <c r="Q41" s="386"/>
      <c r="R41" s="385">
        <f>R39-R40</f>
        <v>1.450063684115279</v>
      </c>
      <c r="S41" s="386"/>
      <c r="T41" s="386"/>
      <c r="U41" s="383">
        <f>U39-U40</f>
        <v>0.13999999443826527</v>
      </c>
      <c r="V41" s="383"/>
      <c r="W41" s="383"/>
      <c r="X41" s="383"/>
      <c r="Y41" s="383"/>
      <c r="Z41" s="387">
        <f>Z39-Z40</f>
        <v>-24.935483870967801</v>
      </c>
      <c r="AA41" s="388"/>
      <c r="AB41" s="381"/>
      <c r="AC41" s="381"/>
      <c r="AD41" s="381"/>
      <c r="AE41" s="381"/>
      <c r="AF41" s="381"/>
      <c r="AG41" s="381"/>
      <c r="AH41" s="381"/>
      <c r="AI41" s="381"/>
      <c r="AJ41" s="381"/>
      <c r="AK41" s="389"/>
      <c r="AL41" s="390"/>
      <c r="AM41" s="381"/>
      <c r="AN41" s="381"/>
      <c r="AO41" s="381"/>
      <c r="AP41" s="381"/>
      <c r="AQ41" s="381"/>
      <c r="AR41" s="381"/>
      <c r="AS41" s="381"/>
      <c r="AT41" s="391">
        <f>AT38+AV38-AT40</f>
        <v>770.79999999999927</v>
      </c>
      <c r="AU41" s="392"/>
      <c r="AV41" s="393"/>
      <c r="AW41" s="390"/>
      <c r="AX41" s="381"/>
      <c r="AY41" s="385"/>
      <c r="AZ41" s="381"/>
      <c r="BA41" s="381"/>
      <c r="BB41" s="381"/>
      <c r="BC41" s="394"/>
      <c r="BD41" s="381"/>
      <c r="BE41" s="395"/>
      <c r="BF41" s="222"/>
      <c r="BG41" s="222"/>
      <c r="BH41" s="222"/>
      <c r="BI41" s="222"/>
      <c r="BJ41" s="222"/>
      <c r="BK41" s="223"/>
      <c r="BL41" s="224"/>
      <c r="BM41" s="225"/>
      <c r="BN41" s="225"/>
      <c r="BO41" s="224"/>
      <c r="BP41" s="224"/>
      <c r="BQ41" s="226"/>
      <c r="BR41" s="227"/>
      <c r="BS41" s="225"/>
      <c r="BT41" s="225"/>
      <c r="BU41" s="225"/>
      <c r="BV41" s="224"/>
      <c r="BW41" s="224"/>
      <c r="BX41" s="224"/>
      <c r="BY41" s="228"/>
      <c r="BZ41" s="225"/>
      <c r="CA41" s="225"/>
      <c r="CB41" s="225"/>
      <c r="CC41" s="224"/>
      <c r="CD41" s="224"/>
      <c r="CE41" s="226"/>
      <c r="CF41" s="227"/>
      <c r="CG41" s="227"/>
      <c r="CH41" s="225"/>
      <c r="CI41" s="224"/>
      <c r="CJ41" s="228"/>
      <c r="CK41" s="227"/>
      <c r="CL41" s="225"/>
      <c r="CM41" s="226"/>
      <c r="CN41" s="213"/>
      <c r="CO41" s="213"/>
      <c r="CP41" s="213"/>
      <c r="CQ41" s="213"/>
      <c r="DA41" s="21"/>
      <c r="DH41" s="309"/>
    </row>
    <row r="42" spans="1:118" ht="15" hidden="1" customHeight="1">
      <c r="A42" s="96"/>
      <c r="B42" s="96"/>
      <c r="C42" s="96"/>
      <c r="D42" s="97"/>
      <c r="E42" s="96"/>
      <c r="F42" s="98"/>
      <c r="G42" s="99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1"/>
      <c r="AF42" s="101"/>
      <c r="AG42" s="100"/>
      <c r="AH42" s="100"/>
      <c r="AI42" s="100"/>
      <c r="AJ42" s="100"/>
      <c r="AK42" s="100"/>
      <c r="AL42" s="100"/>
      <c r="AM42" s="100"/>
      <c r="AN42" s="100"/>
      <c r="AO42" s="100"/>
      <c r="AP42" s="100"/>
      <c r="AQ42" s="100"/>
      <c r="AR42" s="100"/>
      <c r="AS42" s="96"/>
      <c r="AT42" s="612"/>
      <c r="AU42" s="612"/>
      <c r="AV42" s="612"/>
      <c r="AW42" s="96"/>
      <c r="AX42" s="96"/>
      <c r="AY42" s="100"/>
      <c r="AZ42" s="100"/>
      <c r="BA42" s="100"/>
      <c r="BB42" s="100"/>
      <c r="BC42" s="100"/>
      <c r="BD42" s="100"/>
      <c r="BE42" s="100"/>
      <c r="BK42" s="20"/>
      <c r="BL42" s="20"/>
      <c r="BM42" s="20"/>
    </row>
    <row r="43" spans="1:118">
      <c r="A43" s="100"/>
      <c r="B43" s="100"/>
      <c r="C43" s="100"/>
      <c r="D43" s="102"/>
      <c r="E43" s="100"/>
      <c r="F43" s="100"/>
      <c r="G43" s="96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1"/>
      <c r="AF43" s="101"/>
      <c r="AG43" s="100"/>
      <c r="AH43" s="100"/>
      <c r="AI43" s="100"/>
      <c r="AJ43" s="100"/>
      <c r="AK43" s="100"/>
      <c r="AL43" s="100"/>
      <c r="AM43" s="100"/>
      <c r="AN43" s="100"/>
      <c r="AO43" s="100"/>
      <c r="AP43" s="100"/>
      <c r="AQ43" s="100"/>
      <c r="AR43" s="100"/>
      <c r="AS43" s="96" t="s">
        <v>60</v>
      </c>
      <c r="AT43" s="103">
        <f>AT40/BE43</f>
        <v>114.51612903225806</v>
      </c>
      <c r="AU43" s="104"/>
      <c r="AV43" s="96"/>
      <c r="AW43" s="96" t="s">
        <v>61</v>
      </c>
      <c r="AX43" s="96"/>
      <c r="AY43" s="100"/>
      <c r="AZ43" s="100"/>
      <c r="BA43" s="100"/>
      <c r="BB43" s="100"/>
      <c r="BC43" s="100"/>
      <c r="BD43" s="105" t="s">
        <v>62</v>
      </c>
      <c r="BE43" s="100">
        <v>31</v>
      </c>
    </row>
    <row r="44" spans="1:118" ht="12" customHeight="1">
      <c r="A44" s="100"/>
      <c r="B44" s="100"/>
      <c r="C44" s="100"/>
      <c r="D44" s="102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100"/>
      <c r="AG44" s="100"/>
      <c r="AH44" s="100"/>
      <c r="AI44" s="100"/>
      <c r="AJ44" s="100"/>
      <c r="AK44" s="100"/>
      <c r="AL44" s="100"/>
      <c r="AM44" s="100"/>
      <c r="AN44" s="100"/>
      <c r="AO44" s="100"/>
      <c r="AP44" s="100"/>
      <c r="AQ44" s="100"/>
      <c r="AR44" s="100"/>
      <c r="AS44" s="100"/>
      <c r="AT44" s="100"/>
      <c r="AU44" s="100"/>
      <c r="AV44" s="100"/>
      <c r="AW44" s="100"/>
      <c r="AX44" s="100"/>
      <c r="AY44" s="100"/>
      <c r="AZ44" s="100"/>
      <c r="BA44" s="100"/>
      <c r="BB44" s="100"/>
      <c r="BC44" s="100"/>
      <c r="BD44" s="96"/>
      <c r="BE44" s="96"/>
    </row>
    <row r="45" spans="1:118" ht="13.5" thickBot="1">
      <c r="A45" s="100"/>
      <c r="B45" s="100"/>
      <c r="C45" s="100"/>
      <c r="D45" s="102"/>
      <c r="E45" s="100"/>
      <c r="F45" s="100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101"/>
      <c r="AE45" s="101"/>
      <c r="AF45" s="101"/>
      <c r="AG45" s="100"/>
      <c r="AH45" s="100"/>
      <c r="AI45" s="100"/>
      <c r="AJ45" s="100"/>
      <c r="AK45" s="100"/>
      <c r="AL45" s="100"/>
      <c r="AM45" s="106" t="s">
        <v>63</v>
      </c>
      <c r="AN45" s="106"/>
      <c r="AO45" s="106"/>
      <c r="AP45" s="106"/>
      <c r="AQ45" s="106"/>
      <c r="AR45" s="106"/>
      <c r="AS45" s="107" t="s">
        <v>64</v>
      </c>
      <c r="AT45" s="108">
        <v>30</v>
      </c>
      <c r="AU45" s="108"/>
      <c r="AV45" s="100"/>
      <c r="AW45" s="100"/>
      <c r="AX45" s="100"/>
      <c r="AY45" s="100"/>
      <c r="AZ45" s="100"/>
      <c r="BA45" s="100"/>
      <c r="BB45" s="100"/>
      <c r="BC45" s="100"/>
      <c r="BD45" s="96"/>
      <c r="BE45" s="96"/>
      <c r="BS45" s="1"/>
    </row>
    <row r="46" spans="1:118" ht="12.75" customHeight="1" thickBot="1">
      <c r="A46" s="100"/>
      <c r="B46" s="100"/>
      <c r="C46" s="109" t="s">
        <v>65</v>
      </c>
      <c r="D46" s="102"/>
      <c r="E46" s="100"/>
      <c r="F46" s="100"/>
      <c r="G46" s="100"/>
      <c r="H46" s="100"/>
      <c r="I46" s="100"/>
      <c r="J46" s="100"/>
      <c r="K46" s="100"/>
      <c r="L46" s="110">
        <f>AT38/AD38</f>
        <v>35.128455284552842</v>
      </c>
      <c r="M46" s="109" t="s">
        <v>88</v>
      </c>
      <c r="N46" s="606"/>
      <c r="O46" s="606"/>
      <c r="P46" s="111"/>
      <c r="Q46" s="100"/>
      <c r="R46" s="100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101"/>
      <c r="AE46" s="101"/>
      <c r="AF46" s="101"/>
      <c r="AG46" s="100"/>
      <c r="AH46" s="100"/>
      <c r="AI46" s="100"/>
      <c r="AJ46" s="100"/>
      <c r="AK46" s="100"/>
      <c r="AL46" s="100"/>
      <c r="AM46" s="100"/>
      <c r="AN46" s="100"/>
      <c r="AO46" s="106"/>
      <c r="AP46" s="106"/>
      <c r="AQ46" s="106"/>
      <c r="AR46" s="106"/>
      <c r="AS46" s="107" t="s">
        <v>66</v>
      </c>
      <c r="AT46" s="112">
        <f>AT40/AT45</f>
        <v>118.33333333333333</v>
      </c>
      <c r="AU46" s="112"/>
      <c r="AV46" s="100"/>
      <c r="AW46" s="100"/>
      <c r="AX46" s="100">
        <v>0</v>
      </c>
      <c r="AY46" s="100"/>
      <c r="AZ46" s="607" t="s">
        <v>67</v>
      </c>
      <c r="BA46" s="607"/>
      <c r="BB46" s="607"/>
      <c r="BC46" s="607"/>
      <c r="BD46" s="607"/>
      <c r="BE46" s="607"/>
    </row>
    <row r="47" spans="1:118">
      <c r="A47" s="100"/>
      <c r="B47" s="100"/>
      <c r="C47" s="100"/>
      <c r="D47" s="102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100"/>
      <c r="AI47" s="100"/>
      <c r="AJ47" s="100"/>
      <c r="AK47" s="100"/>
      <c r="AL47" s="100"/>
      <c r="AM47" s="100"/>
      <c r="AN47" s="100"/>
      <c r="AO47" s="100"/>
      <c r="AP47" s="100"/>
      <c r="AQ47" s="100"/>
      <c r="AR47" s="100"/>
      <c r="AS47" s="100"/>
      <c r="AT47" s="100"/>
      <c r="AU47" s="100"/>
      <c r="AV47" s="100"/>
      <c r="AW47" s="100"/>
      <c r="AX47" s="100"/>
      <c r="AY47" s="100"/>
      <c r="AZ47" s="607"/>
      <c r="BA47" s="607"/>
      <c r="BB47" s="607"/>
      <c r="BC47" s="607"/>
      <c r="BD47" s="607"/>
      <c r="BE47" s="607"/>
    </row>
    <row r="48" spans="1:118">
      <c r="A48" s="100"/>
      <c r="B48" s="100"/>
      <c r="C48" s="100"/>
      <c r="D48" s="102"/>
      <c r="E48" s="100"/>
      <c r="F48" s="100"/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13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  <c r="AE48" s="100"/>
      <c r="AF48" s="100"/>
      <c r="AG48" s="100"/>
      <c r="AH48" s="100"/>
      <c r="AI48" s="100"/>
      <c r="AJ48" s="100"/>
      <c r="AK48" s="100"/>
      <c r="AL48" s="100"/>
      <c r="AM48" s="100"/>
      <c r="AN48" s="100"/>
      <c r="AO48" s="100"/>
      <c r="AP48" s="100"/>
      <c r="AQ48" s="100"/>
      <c r="AR48" s="100"/>
      <c r="AS48" s="100"/>
      <c r="AT48" s="100"/>
      <c r="AU48" s="100"/>
      <c r="AV48" s="100"/>
      <c r="AW48" s="100"/>
      <c r="AX48" s="100"/>
      <c r="AY48" s="100"/>
      <c r="AZ48" s="608">
        <f>BF37-BJ37</f>
        <v>-205.72000000000071</v>
      </c>
      <c r="BA48" s="608"/>
      <c r="BB48" s="608"/>
      <c r="BC48" s="608"/>
      <c r="BD48" s="609" t="s">
        <v>68</v>
      </c>
      <c r="BE48" s="114"/>
    </row>
    <row r="49" spans="1:57" ht="12" customHeight="1">
      <c r="A49" s="100"/>
      <c r="B49" s="100"/>
      <c r="C49" s="100"/>
      <c r="D49" s="102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15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100"/>
      <c r="AI49" s="100"/>
      <c r="AJ49" s="100"/>
      <c r="AK49" s="100"/>
      <c r="AL49" s="100"/>
      <c r="AM49" s="100"/>
      <c r="AN49" s="100"/>
      <c r="AO49" s="100"/>
      <c r="AP49" s="100"/>
      <c r="AQ49" s="100"/>
      <c r="AR49" s="100"/>
      <c r="AS49" s="100"/>
      <c r="AT49" s="100"/>
      <c r="AU49" s="100"/>
      <c r="AV49" s="100"/>
      <c r="AW49" s="100"/>
      <c r="AX49" s="100"/>
      <c r="AY49" s="100"/>
      <c r="AZ49" s="608"/>
      <c r="BA49" s="608"/>
      <c r="BB49" s="608"/>
      <c r="BC49" s="608"/>
      <c r="BD49" s="609"/>
      <c r="BE49" s="114"/>
    </row>
    <row r="50" spans="1:57" ht="13.5" customHeight="1">
      <c r="A50" s="100"/>
      <c r="B50" s="100"/>
      <c r="C50" s="100"/>
      <c r="D50" s="102"/>
      <c r="E50" s="100"/>
      <c r="F50" s="100"/>
      <c r="G50" s="100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100"/>
      <c r="AC50" s="100"/>
      <c r="AD50" s="100"/>
      <c r="AE50" s="100"/>
      <c r="AF50" s="100"/>
      <c r="AG50" s="100"/>
      <c r="AH50" s="100"/>
      <c r="AI50" s="100"/>
      <c r="AJ50" s="100"/>
      <c r="AK50" s="100"/>
      <c r="AL50" s="100"/>
      <c r="AM50" s="100"/>
      <c r="AN50" s="100"/>
      <c r="AO50" s="100"/>
      <c r="AP50" s="100"/>
      <c r="AQ50" s="100"/>
      <c r="AR50" s="100"/>
      <c r="AS50" s="100"/>
      <c r="AT50" s="100"/>
      <c r="AU50" s="100"/>
      <c r="AV50" s="100"/>
      <c r="AW50" s="100"/>
      <c r="AX50" s="100"/>
      <c r="AY50" s="100"/>
      <c r="AZ50" s="116"/>
      <c r="BA50" s="96"/>
      <c r="BB50" s="96"/>
      <c r="BC50" s="96"/>
      <c r="BD50" s="96"/>
      <c r="BE50" s="114"/>
    </row>
    <row r="51" spans="1:57" ht="13.5" customHeight="1" thickBot="1">
      <c r="A51" s="100"/>
      <c r="B51" s="100"/>
      <c r="C51" s="100"/>
      <c r="D51" s="102"/>
      <c r="E51" s="100"/>
      <c r="F51" s="100"/>
      <c r="G51" s="100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0"/>
      <c r="AC51" s="100"/>
      <c r="AD51" s="100"/>
      <c r="AE51" s="100"/>
      <c r="AF51" s="100"/>
      <c r="AG51" s="100"/>
      <c r="AH51" s="100"/>
      <c r="AI51" s="100"/>
      <c r="AJ51" s="100"/>
      <c r="AK51" s="100"/>
      <c r="AL51" s="100"/>
      <c r="AM51" s="100"/>
      <c r="AN51" s="100"/>
      <c r="AO51" s="100"/>
      <c r="AP51" s="100"/>
      <c r="AQ51" s="100"/>
      <c r="AR51" s="100"/>
      <c r="AS51" s="100"/>
      <c r="AT51" s="100"/>
      <c r="AU51" s="100"/>
      <c r="AV51" s="100"/>
      <c r="AW51" s="100"/>
      <c r="AX51" s="100"/>
      <c r="AY51" s="100"/>
      <c r="AZ51" s="610">
        <f>AZ48/AT40*100</f>
        <v>-5.7949295774648091</v>
      </c>
      <c r="BA51" s="610"/>
      <c r="BB51" s="610"/>
      <c r="BC51" s="610"/>
      <c r="BD51" s="611" t="s">
        <v>69</v>
      </c>
      <c r="BE51" s="114"/>
    </row>
    <row r="52" spans="1:57" ht="13.5" thickBot="1">
      <c r="A52" s="100"/>
      <c r="B52" s="100"/>
      <c r="C52" s="100"/>
      <c r="D52" s="102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  <c r="AF52" s="100"/>
      <c r="AG52" s="100"/>
      <c r="AH52" s="100"/>
      <c r="AI52" s="100"/>
      <c r="AJ52" s="100"/>
      <c r="AK52" s="100"/>
      <c r="AL52" s="100"/>
      <c r="AM52" s="100"/>
      <c r="AN52" s="100"/>
      <c r="AO52" s="100"/>
      <c r="AP52" s="100"/>
      <c r="AQ52" s="100"/>
      <c r="AR52" s="100"/>
      <c r="AS52" s="100"/>
      <c r="AT52" s="100"/>
      <c r="AU52" s="100"/>
      <c r="AV52" s="100"/>
      <c r="AW52" s="100"/>
      <c r="AX52" s="100"/>
      <c r="AY52" s="100"/>
      <c r="AZ52" s="610"/>
      <c r="BA52" s="610"/>
      <c r="BB52" s="610"/>
      <c r="BC52" s="610"/>
      <c r="BD52" s="611"/>
      <c r="BE52" s="117"/>
    </row>
    <row r="53" spans="1:57">
      <c r="A53" s="100"/>
      <c r="B53" s="100"/>
      <c r="C53" s="100"/>
      <c r="D53" s="102"/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100"/>
      <c r="AI53" s="100"/>
      <c r="AJ53" s="100"/>
      <c r="AK53" s="100"/>
      <c r="AL53" s="100"/>
      <c r="AM53" s="100"/>
      <c r="AN53" s="100"/>
      <c r="AO53" s="100"/>
      <c r="AP53" s="100"/>
      <c r="AQ53" s="100"/>
      <c r="AR53" s="100"/>
      <c r="AS53" s="100"/>
      <c r="AT53" s="100"/>
      <c r="AU53" s="100"/>
      <c r="AV53" s="100"/>
      <c r="AW53" s="100"/>
      <c r="AX53" s="100"/>
      <c r="AY53" s="100"/>
      <c r="AZ53" s="100"/>
      <c r="BA53" s="100"/>
      <c r="BB53" s="100"/>
      <c r="BC53" s="100"/>
      <c r="BD53" s="100"/>
      <c r="BE53" s="100"/>
    </row>
    <row r="54" spans="1:57">
      <c r="A54" s="100"/>
      <c r="B54" s="100"/>
      <c r="C54" s="100"/>
      <c r="D54" s="102"/>
      <c r="E54" s="100"/>
      <c r="F54" s="100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100"/>
      <c r="AI54" s="100"/>
      <c r="AJ54" s="100"/>
      <c r="AK54" s="100"/>
      <c r="AL54" s="100"/>
      <c r="AM54" s="100"/>
      <c r="AN54" s="100"/>
      <c r="AO54" s="100"/>
      <c r="AP54" s="100"/>
      <c r="AQ54" s="100"/>
      <c r="AR54" s="100"/>
      <c r="AS54" s="100"/>
      <c r="AT54" s="100"/>
      <c r="AU54" s="100"/>
      <c r="AV54" s="100"/>
      <c r="AW54" s="100"/>
      <c r="AX54" s="100"/>
      <c r="AY54" s="100"/>
      <c r="AZ54" s="100"/>
      <c r="BA54" s="100"/>
      <c r="BB54" s="100"/>
      <c r="BC54" s="100"/>
      <c r="BD54" s="100"/>
      <c r="BE54" s="100"/>
    </row>
    <row r="55" spans="1:57">
      <c r="A55" s="100"/>
      <c r="B55" s="100"/>
      <c r="C55" s="100"/>
      <c r="D55" s="102"/>
      <c r="E55" s="100"/>
      <c r="F55" s="100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  <c r="AH55" s="100"/>
      <c r="AI55" s="100"/>
      <c r="AJ55" s="100"/>
      <c r="AK55" s="100"/>
      <c r="AL55" s="100"/>
      <c r="AM55" s="100"/>
      <c r="AN55" s="100"/>
      <c r="AO55" s="100"/>
      <c r="AP55" s="100"/>
      <c r="AQ55" s="100"/>
      <c r="AR55" s="100"/>
      <c r="AS55" s="100"/>
      <c r="AT55" s="100"/>
      <c r="AU55" s="100"/>
      <c r="AV55" s="100"/>
      <c r="AW55" s="100"/>
      <c r="AX55" s="100"/>
      <c r="AY55" s="100"/>
      <c r="AZ55" s="100"/>
      <c r="BA55" s="100"/>
      <c r="BB55" s="100"/>
      <c r="BC55" s="100"/>
      <c r="BD55" s="100"/>
      <c r="BE55" s="100"/>
    </row>
    <row r="56" spans="1:57">
      <c r="A56" s="100"/>
      <c r="B56" s="100"/>
      <c r="C56" s="100"/>
      <c r="D56" s="102"/>
      <c r="E56" s="100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/>
      <c r="AE56" s="100"/>
      <c r="AF56" s="100"/>
      <c r="AG56" s="100"/>
      <c r="AH56" s="100"/>
      <c r="AI56" s="100"/>
      <c r="AJ56" s="100"/>
      <c r="AK56" s="100"/>
      <c r="AL56" s="100"/>
      <c r="AM56" s="100"/>
      <c r="AN56" s="100"/>
      <c r="AO56" s="100"/>
      <c r="AP56" s="100"/>
      <c r="AQ56" s="100"/>
      <c r="AR56" s="100"/>
      <c r="AS56" s="100"/>
      <c r="AT56" s="100"/>
      <c r="AU56" s="100"/>
      <c r="AV56" s="100"/>
      <c r="AW56" s="100"/>
      <c r="AX56" s="100"/>
      <c r="AY56" s="100"/>
      <c r="AZ56" s="100"/>
      <c r="BA56" s="100"/>
      <c r="BB56" s="100"/>
      <c r="BC56" s="100"/>
      <c r="BD56" s="100"/>
      <c r="BE56" s="100"/>
    </row>
    <row r="57" spans="1:57">
      <c r="A57" s="100"/>
      <c r="B57" s="100"/>
      <c r="C57" s="100"/>
      <c r="D57" s="102"/>
      <c r="E57" s="100"/>
      <c r="F57" s="100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100"/>
      <c r="AI57" s="100"/>
      <c r="AJ57" s="100"/>
      <c r="AK57" s="100"/>
      <c r="AL57" s="100"/>
      <c r="AM57" s="100"/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X57" s="100"/>
      <c r="AY57" s="100"/>
      <c r="AZ57" s="100"/>
      <c r="BA57" s="100"/>
      <c r="BB57" s="100"/>
      <c r="BC57" s="100"/>
      <c r="BD57" s="100"/>
      <c r="BE57" s="100"/>
    </row>
    <row r="58" spans="1:57">
      <c r="A58" s="100"/>
      <c r="B58" s="100"/>
      <c r="C58" s="100"/>
      <c r="D58" s="102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  <c r="AA58" s="100"/>
      <c r="AB58" s="100"/>
      <c r="AC58" s="100"/>
      <c r="AD58" s="100"/>
      <c r="AE58" s="100"/>
      <c r="AF58" s="100"/>
      <c r="AG58" s="100"/>
      <c r="AH58" s="100"/>
      <c r="AI58" s="100"/>
      <c r="AJ58" s="100"/>
      <c r="AK58" s="100"/>
      <c r="AL58" s="100"/>
      <c r="AM58" s="100"/>
      <c r="AN58" s="100"/>
      <c r="AO58" s="100"/>
      <c r="AP58" s="100"/>
      <c r="AQ58" s="100"/>
      <c r="AR58" s="100"/>
      <c r="AS58" s="100"/>
      <c r="AT58" s="100"/>
      <c r="AU58" s="100"/>
      <c r="AV58" s="100"/>
      <c r="AW58" s="100"/>
      <c r="AX58" s="100"/>
      <c r="AY58" s="100"/>
      <c r="AZ58" s="100"/>
      <c r="BA58" s="100"/>
      <c r="BB58" s="100"/>
      <c r="BC58" s="100"/>
      <c r="BD58" s="100"/>
      <c r="BE58" s="100"/>
    </row>
    <row r="59" spans="1:57">
      <c r="A59" s="100"/>
      <c r="B59" s="100"/>
      <c r="C59" s="100"/>
      <c r="D59" s="102"/>
      <c r="E59" s="100"/>
      <c r="F59" s="100"/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  <c r="AE59" s="100"/>
      <c r="AF59" s="100"/>
      <c r="AG59" s="100"/>
      <c r="AH59" s="100"/>
      <c r="AI59" s="100"/>
      <c r="AJ59" s="100"/>
      <c r="AK59" s="100"/>
      <c r="AL59" s="100"/>
      <c r="AM59" s="100"/>
      <c r="AN59" s="100"/>
      <c r="AO59" s="100"/>
      <c r="AP59" s="100"/>
      <c r="AQ59" s="100"/>
      <c r="AR59" s="100"/>
      <c r="AS59" s="100"/>
      <c r="AT59" s="100"/>
      <c r="AU59" s="100"/>
      <c r="AV59" s="100"/>
      <c r="AW59" s="100"/>
      <c r="AX59" s="100"/>
      <c r="AY59" s="100"/>
      <c r="AZ59" s="100"/>
      <c r="BA59" s="100"/>
      <c r="BB59" s="100"/>
      <c r="BC59" s="100"/>
      <c r="BD59" s="100"/>
      <c r="BE59" s="100"/>
    </row>
    <row r="60" spans="1:57">
      <c r="A60" s="100"/>
      <c r="B60" s="100"/>
      <c r="C60" s="100"/>
      <c r="D60" s="102"/>
      <c r="E60" s="100"/>
      <c r="F60" s="100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  <c r="AE60" s="100"/>
      <c r="AF60" s="100"/>
      <c r="AG60" s="100"/>
      <c r="AH60" s="100"/>
      <c r="AI60" s="100"/>
      <c r="AJ60" s="100"/>
      <c r="AK60" s="100"/>
      <c r="AL60" s="100"/>
      <c r="AM60" s="100"/>
      <c r="AN60" s="100"/>
      <c r="AO60" s="100"/>
      <c r="AP60" s="100"/>
      <c r="AQ60" s="100"/>
      <c r="AR60" s="100"/>
      <c r="AS60" s="100"/>
      <c r="AT60" s="100"/>
      <c r="AU60" s="100"/>
      <c r="AV60" s="100"/>
      <c r="AW60" s="100"/>
      <c r="AX60" s="100"/>
      <c r="AY60" s="100"/>
      <c r="AZ60" s="100"/>
      <c r="BA60" s="100"/>
      <c r="BB60" s="100"/>
      <c r="BC60" s="100"/>
      <c r="BD60" s="100"/>
      <c r="BE60" s="100"/>
    </row>
    <row r="61" spans="1:57">
      <c r="A61" s="100"/>
      <c r="B61" s="100"/>
      <c r="C61" s="100"/>
      <c r="D61" s="102"/>
      <c r="E61" s="100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/>
      <c r="AE61" s="100"/>
      <c r="AF61" s="100"/>
      <c r="AG61" s="100"/>
      <c r="AH61" s="100"/>
      <c r="AI61" s="100"/>
      <c r="AJ61" s="100"/>
      <c r="AK61" s="100"/>
      <c r="AL61" s="100"/>
      <c r="AM61" s="100"/>
      <c r="AN61" s="100"/>
      <c r="AO61" s="100"/>
      <c r="AP61" s="100"/>
      <c r="AQ61" s="100"/>
      <c r="AR61" s="100"/>
      <c r="AS61" s="100"/>
      <c r="AT61" s="100"/>
      <c r="AU61" s="100"/>
      <c r="AV61" s="100"/>
      <c r="AW61" s="100"/>
      <c r="AX61" s="100"/>
      <c r="AY61" s="100"/>
      <c r="AZ61" s="100"/>
      <c r="BA61" s="100"/>
      <c r="BB61" s="100"/>
      <c r="BC61" s="100"/>
      <c r="BD61" s="100"/>
      <c r="BE61" s="100"/>
    </row>
    <row r="62" spans="1:57">
      <c r="A62" s="100"/>
      <c r="B62" s="100"/>
      <c r="C62" s="100"/>
      <c r="D62" s="102"/>
      <c r="E62" s="100"/>
      <c r="F62" s="100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100"/>
      <c r="AC62" s="100"/>
      <c r="AD62" s="100"/>
      <c r="AE62" s="100"/>
      <c r="AF62" s="100"/>
      <c r="AG62" s="100"/>
      <c r="AH62" s="100"/>
      <c r="AI62" s="100"/>
      <c r="AJ62" s="100"/>
      <c r="AK62" s="100"/>
      <c r="AL62" s="100"/>
      <c r="AM62" s="100"/>
      <c r="AN62" s="100"/>
      <c r="AO62" s="100"/>
      <c r="AP62" s="100"/>
      <c r="AQ62" s="100"/>
      <c r="AR62" s="100"/>
      <c r="AS62" s="100"/>
      <c r="AT62" s="100"/>
      <c r="AU62" s="100"/>
      <c r="AV62" s="100"/>
      <c r="AW62" s="100"/>
      <c r="AX62" s="100"/>
      <c r="AY62" s="100"/>
      <c r="AZ62" s="100"/>
      <c r="BA62" s="100"/>
      <c r="BB62" s="100"/>
      <c r="BC62" s="100"/>
      <c r="BD62" s="100"/>
      <c r="BE62" s="100"/>
    </row>
    <row r="63" spans="1:57">
      <c r="A63" s="100"/>
      <c r="B63" s="100"/>
      <c r="C63" s="100"/>
      <c r="D63" s="102"/>
      <c r="E63" s="100"/>
      <c r="F63" s="100"/>
      <c r="G63" s="100"/>
      <c r="H63" s="100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  <c r="AA63" s="100"/>
      <c r="AB63" s="100"/>
      <c r="AC63" s="100"/>
      <c r="AD63" s="100"/>
      <c r="AE63" s="100"/>
      <c r="AF63" s="100"/>
      <c r="AG63" s="100"/>
      <c r="AH63" s="100"/>
      <c r="AI63" s="100"/>
      <c r="AJ63" s="100"/>
      <c r="AK63" s="100"/>
      <c r="AL63" s="100"/>
      <c r="AM63" s="100"/>
      <c r="AN63" s="100"/>
      <c r="AO63" s="100"/>
      <c r="AP63" s="100"/>
      <c r="AQ63" s="100"/>
      <c r="AR63" s="100"/>
      <c r="AS63" s="100"/>
      <c r="AT63" s="100"/>
      <c r="AU63" s="100"/>
      <c r="AV63" s="100"/>
      <c r="AW63" s="100"/>
      <c r="AX63" s="100"/>
      <c r="AY63" s="100"/>
      <c r="AZ63" s="100"/>
      <c r="BA63" s="100"/>
      <c r="BB63" s="100"/>
      <c r="BC63" s="100"/>
      <c r="BD63" s="100"/>
      <c r="BE63" s="100"/>
    </row>
    <row r="64" spans="1:57">
      <c r="A64" s="100"/>
      <c r="B64" s="100"/>
      <c r="C64" s="100"/>
      <c r="D64" s="102"/>
      <c r="E64" s="100"/>
      <c r="F64" s="100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  <c r="AE64" s="100"/>
      <c r="AF64" s="100"/>
      <c r="AG64" s="100"/>
      <c r="AH64" s="100"/>
      <c r="AI64" s="100"/>
      <c r="AJ64" s="100"/>
      <c r="AK64" s="100"/>
      <c r="AL64" s="100"/>
      <c r="AM64" s="100"/>
      <c r="AN64" s="100"/>
      <c r="AO64" s="100"/>
      <c r="AP64" s="100"/>
      <c r="AQ64" s="100"/>
      <c r="AR64" s="100"/>
      <c r="AS64" s="100"/>
      <c r="AT64" s="100"/>
      <c r="AU64" s="100"/>
      <c r="AV64" s="100"/>
      <c r="AW64" s="100"/>
      <c r="AX64" s="100"/>
      <c r="AY64" s="100"/>
      <c r="AZ64" s="100"/>
      <c r="BA64" s="100"/>
      <c r="BB64" s="100"/>
      <c r="BC64" s="100"/>
      <c r="BD64" s="100"/>
      <c r="BE64" s="100"/>
    </row>
    <row r="65" spans="1:57">
      <c r="A65" s="100"/>
      <c r="B65" s="100"/>
      <c r="C65" s="100"/>
      <c r="D65" s="102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/>
      <c r="AE65" s="100"/>
      <c r="AF65" s="100"/>
      <c r="AG65" s="100"/>
      <c r="AH65" s="100"/>
      <c r="AI65" s="100"/>
      <c r="AJ65" s="100"/>
      <c r="AK65" s="100"/>
      <c r="AL65" s="100"/>
      <c r="AM65" s="100"/>
      <c r="AN65" s="100"/>
      <c r="AO65" s="100"/>
      <c r="AP65" s="100"/>
      <c r="AQ65" s="100"/>
      <c r="AR65" s="100"/>
      <c r="AS65" s="100"/>
      <c r="AT65" s="100"/>
      <c r="AU65" s="100"/>
      <c r="AV65" s="100"/>
      <c r="AW65" s="100"/>
      <c r="AX65" s="100"/>
      <c r="AY65" s="100"/>
      <c r="AZ65" s="100"/>
      <c r="BA65" s="100"/>
      <c r="BB65" s="100"/>
      <c r="BC65" s="100"/>
      <c r="BD65" s="100"/>
      <c r="BE65" s="100"/>
    </row>
    <row r="66" spans="1:57">
      <c r="A66" s="100"/>
      <c r="B66" s="100"/>
      <c r="C66" s="100"/>
      <c r="D66" s="102"/>
      <c r="E66" s="100"/>
      <c r="F66" s="100"/>
      <c r="G66" s="100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/>
      <c r="AE66" s="100"/>
      <c r="AF66" s="100"/>
      <c r="AG66" s="100"/>
      <c r="AH66" s="100"/>
      <c r="AI66" s="100"/>
      <c r="AJ66" s="100"/>
      <c r="AK66" s="100"/>
      <c r="AL66" s="100"/>
      <c r="AM66" s="100"/>
      <c r="AN66" s="100"/>
      <c r="AO66" s="100"/>
      <c r="AP66" s="100"/>
      <c r="AQ66" s="100"/>
      <c r="AR66" s="100"/>
      <c r="AS66" s="100"/>
      <c r="AT66" s="100"/>
      <c r="AU66" s="100"/>
      <c r="AV66" s="100"/>
      <c r="AW66" s="100"/>
      <c r="AX66" s="100"/>
      <c r="AY66" s="100"/>
      <c r="AZ66" s="100"/>
      <c r="BA66" s="100"/>
      <c r="BB66" s="100"/>
      <c r="BC66" s="100"/>
      <c r="BD66" s="100"/>
      <c r="BE66" s="100"/>
    </row>
    <row r="67" spans="1:57">
      <c r="A67" s="100"/>
      <c r="B67" s="100"/>
      <c r="C67" s="100"/>
      <c r="D67" s="102"/>
      <c r="E67" s="100"/>
      <c r="F67" s="100"/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  <c r="AD67" s="100"/>
      <c r="AE67" s="100"/>
      <c r="AF67" s="100"/>
      <c r="AG67" s="100"/>
      <c r="AH67" s="100"/>
      <c r="AI67" s="100"/>
      <c r="AJ67" s="100"/>
      <c r="AK67" s="100"/>
      <c r="AL67" s="100"/>
      <c r="AM67" s="100"/>
      <c r="AN67" s="100"/>
      <c r="AO67" s="100"/>
      <c r="AP67" s="100"/>
      <c r="AQ67" s="100"/>
      <c r="AR67" s="100"/>
      <c r="AS67" s="100"/>
      <c r="AT67" s="100"/>
      <c r="AU67" s="100"/>
      <c r="AV67" s="100"/>
      <c r="AW67" s="100"/>
      <c r="AX67" s="100"/>
      <c r="AY67" s="100"/>
      <c r="AZ67" s="100"/>
      <c r="BA67" s="100"/>
      <c r="BB67" s="100"/>
      <c r="BC67" s="100"/>
      <c r="BD67" s="100"/>
      <c r="BE67" s="100"/>
    </row>
    <row r="68" spans="1:57">
      <c r="A68" s="100"/>
      <c r="B68" s="100"/>
      <c r="C68" s="100"/>
      <c r="D68" s="102"/>
      <c r="E68" s="100"/>
      <c r="F68" s="100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  <c r="AI68" s="100"/>
      <c r="AJ68" s="100"/>
      <c r="AK68" s="100"/>
      <c r="AL68" s="100"/>
      <c r="AM68" s="100"/>
      <c r="AN68" s="100"/>
      <c r="AO68" s="100"/>
      <c r="AP68" s="100"/>
      <c r="AQ68" s="100"/>
      <c r="AR68" s="100"/>
      <c r="AS68" s="100"/>
      <c r="AT68" s="100"/>
      <c r="AU68" s="100"/>
      <c r="AV68" s="100"/>
      <c r="AW68" s="100"/>
      <c r="AX68" s="100"/>
      <c r="AY68" s="100"/>
      <c r="AZ68" s="100"/>
      <c r="BA68" s="100"/>
      <c r="BB68" s="100"/>
      <c r="BC68" s="100"/>
      <c r="BD68" s="100"/>
      <c r="BE68" s="100"/>
    </row>
    <row r="69" spans="1:57">
      <c r="A69" s="100"/>
      <c r="B69" s="100"/>
      <c r="C69" s="100"/>
      <c r="D69" s="102"/>
      <c r="E69" s="100"/>
      <c r="F69" s="100"/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100"/>
      <c r="AC69" s="100"/>
      <c r="AD69" s="100"/>
      <c r="AE69" s="100"/>
      <c r="AF69" s="100"/>
      <c r="AG69" s="100"/>
      <c r="AH69" s="100"/>
      <c r="AI69" s="100"/>
      <c r="AJ69" s="100"/>
      <c r="AK69" s="100"/>
      <c r="AL69" s="100"/>
      <c r="AM69" s="100"/>
      <c r="AN69" s="100"/>
      <c r="AO69" s="100"/>
      <c r="AP69" s="100"/>
      <c r="AQ69" s="100"/>
      <c r="AR69" s="100"/>
      <c r="AS69" s="100"/>
      <c r="AT69" s="100"/>
      <c r="AU69" s="100"/>
      <c r="AV69" s="100"/>
      <c r="AW69" s="100"/>
      <c r="AX69" s="100"/>
      <c r="AY69" s="100"/>
      <c r="AZ69" s="100"/>
      <c r="BA69" s="100"/>
      <c r="BB69" s="100"/>
      <c r="BC69" s="100"/>
      <c r="BD69" s="100"/>
      <c r="BE69" s="100"/>
    </row>
    <row r="70" spans="1:57">
      <c r="A70" s="100"/>
      <c r="B70" s="100"/>
      <c r="C70" s="100"/>
      <c r="D70" s="102"/>
      <c r="E70" s="100"/>
      <c r="F70" s="100"/>
      <c r="G70" s="100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  <c r="AE70" s="100"/>
      <c r="AF70" s="100"/>
      <c r="AG70" s="100"/>
      <c r="AH70" s="100"/>
      <c r="AI70" s="100"/>
      <c r="AJ70" s="100"/>
      <c r="AK70" s="100"/>
      <c r="AL70" s="100"/>
      <c r="AM70" s="100"/>
      <c r="AN70" s="100"/>
      <c r="AO70" s="100"/>
      <c r="AP70" s="100"/>
      <c r="AQ70" s="100"/>
      <c r="AR70" s="100"/>
      <c r="AS70" s="100"/>
      <c r="AT70" s="100"/>
      <c r="AU70" s="100"/>
      <c r="AV70" s="100"/>
      <c r="AW70" s="100"/>
      <c r="AX70" s="100"/>
      <c r="AY70" s="100"/>
      <c r="AZ70" s="100"/>
      <c r="BA70" s="100"/>
      <c r="BB70" s="100"/>
      <c r="BC70" s="100"/>
      <c r="BD70" s="100"/>
      <c r="BE70" s="100"/>
    </row>
    <row r="71" spans="1:57" ht="18" customHeight="1">
      <c r="A71" s="318" t="s">
        <v>70</v>
      </c>
      <c r="B71" s="319"/>
      <c r="C71" s="318"/>
      <c r="D71" s="318"/>
      <c r="E71" s="318"/>
      <c r="F71" s="318"/>
      <c r="G71" s="318"/>
      <c r="H71" s="318"/>
      <c r="I71" s="318"/>
      <c r="J71" s="320"/>
      <c r="K71" s="320"/>
      <c r="L71" s="605" t="s">
        <v>194</v>
      </c>
      <c r="M71" s="605"/>
      <c r="N71" s="605"/>
      <c r="O71" s="605"/>
      <c r="P71" s="605"/>
      <c r="Q71" s="605"/>
      <c r="R71" s="109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/>
      <c r="AE71" s="100"/>
      <c r="AF71" s="100"/>
      <c r="AG71" s="100"/>
      <c r="AH71" s="100"/>
      <c r="AI71" s="100"/>
      <c r="AJ71" s="100"/>
      <c r="AK71" s="100"/>
      <c r="AL71" s="100"/>
      <c r="AM71" s="100"/>
      <c r="AN71" s="100"/>
      <c r="AO71" s="100"/>
      <c r="AP71" s="100"/>
      <c r="AQ71" s="100"/>
      <c r="AR71" s="100"/>
      <c r="AS71" s="100"/>
      <c r="AT71" s="100"/>
      <c r="AU71" s="100"/>
      <c r="AV71" s="100"/>
      <c r="AW71" s="100"/>
      <c r="AX71" s="100"/>
      <c r="AY71" s="100"/>
      <c r="AZ71" s="100"/>
      <c r="BA71" s="100"/>
      <c r="BB71" s="100"/>
      <c r="BC71" s="100"/>
      <c r="BD71" s="100"/>
      <c r="BE71" s="100"/>
    </row>
    <row r="72" spans="1:57" ht="15">
      <c r="A72" s="118"/>
      <c r="B72" s="118"/>
      <c r="C72" s="119"/>
      <c r="D72" s="120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  <c r="AE72" s="100"/>
      <c r="AF72" s="100"/>
      <c r="AG72" s="100"/>
      <c r="AH72" s="100"/>
      <c r="AI72" s="100"/>
      <c r="AJ72" s="100"/>
      <c r="AK72" s="100"/>
      <c r="AL72" s="100"/>
      <c r="AM72" s="100"/>
      <c r="AN72" s="100"/>
      <c r="AO72" s="100"/>
      <c r="AP72" s="100"/>
      <c r="AQ72" s="100"/>
      <c r="AR72" s="100"/>
      <c r="AS72" s="100"/>
      <c r="AT72" s="100"/>
      <c r="AU72" s="100"/>
      <c r="AV72" s="100"/>
      <c r="AW72" s="100"/>
      <c r="AX72" s="100"/>
      <c r="AY72" s="100"/>
      <c r="AZ72" s="100"/>
      <c r="BA72" s="100"/>
      <c r="BB72" s="100"/>
      <c r="BC72" s="100"/>
      <c r="BD72" s="100"/>
      <c r="BE72" s="100"/>
    </row>
    <row r="73" spans="1:57" ht="15.75">
      <c r="A73" s="100"/>
      <c r="B73" s="100"/>
      <c r="C73" s="100"/>
      <c r="D73" s="102"/>
      <c r="E73" s="100"/>
      <c r="F73" s="100"/>
      <c r="G73" s="100"/>
      <c r="H73" s="100"/>
      <c r="I73" s="100"/>
      <c r="J73" s="100"/>
      <c r="K73" s="100"/>
      <c r="L73" s="111"/>
      <c r="M73" s="111"/>
      <c r="N73" s="111"/>
      <c r="O73" s="111"/>
      <c r="P73" s="111"/>
      <c r="Q73" s="111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00"/>
      <c r="AK73" s="100"/>
      <c r="AL73" s="100"/>
      <c r="AM73" s="100"/>
      <c r="AN73" s="100"/>
      <c r="AO73" s="100"/>
      <c r="AP73" s="100"/>
      <c r="AQ73" s="100"/>
      <c r="AR73" s="100"/>
      <c r="AS73" s="100"/>
      <c r="AT73" s="100"/>
      <c r="AU73" s="100"/>
      <c r="AV73" s="100"/>
      <c r="AW73" s="100"/>
      <c r="AX73" s="100"/>
      <c r="AY73" s="100"/>
      <c r="AZ73" s="100"/>
      <c r="BA73" s="100"/>
      <c r="BB73" s="100"/>
      <c r="BC73" s="100"/>
      <c r="BD73" s="100"/>
      <c r="BE73" s="100"/>
    </row>
    <row r="74" spans="1:57">
      <c r="A74" s="100"/>
      <c r="B74" s="100"/>
      <c r="C74" s="100"/>
      <c r="D74" s="102"/>
      <c r="E74" s="100"/>
      <c r="F74" s="100"/>
      <c r="G74" s="100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00"/>
      <c r="AK74" s="100"/>
      <c r="AL74" s="100"/>
      <c r="AM74" s="100"/>
      <c r="AN74" s="100"/>
      <c r="AO74" s="100"/>
      <c r="AP74" s="100"/>
      <c r="AQ74" s="100"/>
      <c r="AR74" s="100"/>
      <c r="AS74" s="100"/>
      <c r="AT74" s="100"/>
      <c r="AU74" s="100"/>
      <c r="AV74" s="100"/>
      <c r="AW74" s="100"/>
      <c r="AX74" s="100"/>
      <c r="AY74" s="100"/>
      <c r="AZ74" s="100"/>
      <c r="BA74" s="100"/>
      <c r="BB74" s="100"/>
      <c r="BC74" s="100"/>
      <c r="BD74" s="100"/>
      <c r="BE74" s="100"/>
    </row>
    <row r="75" spans="1:57">
      <c r="A75" s="100"/>
      <c r="B75" s="100"/>
      <c r="C75" s="100"/>
      <c r="D75" s="102"/>
      <c r="E75" s="100"/>
      <c r="F75" s="100"/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  <c r="AD75" s="100"/>
      <c r="AE75" s="100"/>
      <c r="AF75" s="100"/>
      <c r="AG75" s="100"/>
      <c r="AH75" s="100"/>
      <c r="AI75" s="100"/>
      <c r="AJ75" s="100"/>
      <c r="AK75" s="100"/>
      <c r="AL75" s="100"/>
      <c r="AM75" s="100"/>
      <c r="AN75" s="100"/>
      <c r="AO75" s="100"/>
      <c r="AP75" s="100"/>
      <c r="AQ75" s="100"/>
      <c r="AR75" s="100"/>
      <c r="AS75" s="100"/>
      <c r="AT75" s="100"/>
      <c r="AU75" s="100"/>
      <c r="AV75" s="100"/>
      <c r="AW75" s="100"/>
      <c r="AX75" s="100"/>
      <c r="AY75" s="100"/>
      <c r="AZ75" s="100"/>
      <c r="BA75" s="100"/>
      <c r="BB75" s="100"/>
      <c r="BC75" s="100"/>
      <c r="BD75" s="100"/>
      <c r="BE75" s="100"/>
    </row>
  </sheetData>
  <sheetProtection selectLockedCells="1" selectUnlockedCells="1"/>
  <mergeCells count="78">
    <mergeCell ref="AE3:AF4"/>
    <mergeCell ref="AG3:AI4"/>
    <mergeCell ref="AI5:AI6"/>
    <mergeCell ref="AY2:BC2"/>
    <mergeCell ref="A3:A6"/>
    <mergeCell ref="B3:G3"/>
    <mergeCell ref="H3:P3"/>
    <mergeCell ref="Q3:U3"/>
    <mergeCell ref="V3:V6"/>
    <mergeCell ref="W3:W6"/>
    <mergeCell ref="X3:X6"/>
    <mergeCell ref="Y3:Y6"/>
    <mergeCell ref="Z3:Z6"/>
    <mergeCell ref="P4:P6"/>
    <mergeCell ref="L4:L6"/>
    <mergeCell ref="M4:M6"/>
    <mergeCell ref="CJ3:CM5"/>
    <mergeCell ref="B4:B6"/>
    <mergeCell ref="C4:C6"/>
    <mergeCell ref="D4:D6"/>
    <mergeCell ref="E4:E6"/>
    <mergeCell ref="F4:F6"/>
    <mergeCell ref="G4:G6"/>
    <mergeCell ref="H4:H6"/>
    <mergeCell ref="I4:I6"/>
    <mergeCell ref="J4:J6"/>
    <mergeCell ref="BD3:BD6"/>
    <mergeCell ref="BE3:BE6"/>
    <mergeCell ref="BK3:BQ5"/>
    <mergeCell ref="BR3:BX5"/>
    <mergeCell ref="BY3:CE5"/>
    <mergeCell ref="K4:K6"/>
    <mergeCell ref="AA3:AA6"/>
    <mergeCell ref="AB3:AB6"/>
    <mergeCell ref="N4:N6"/>
    <mergeCell ref="O4:O6"/>
    <mergeCell ref="DD4:DH4"/>
    <mergeCell ref="AE5:AE6"/>
    <mergeCell ref="AF5:AF6"/>
    <mergeCell ref="AG5:AG6"/>
    <mergeCell ref="AH5:AH6"/>
    <mergeCell ref="CF3:CI5"/>
    <mergeCell ref="AQ3:AQ6"/>
    <mergeCell ref="AS3:AS6"/>
    <mergeCell ref="AT3:AY4"/>
    <mergeCell ref="AZ3:AZ6"/>
    <mergeCell ref="BA3:BB4"/>
    <mergeCell ref="BC3:BC6"/>
    <mergeCell ref="Q4:Q6"/>
    <mergeCell ref="R4:R6"/>
    <mergeCell ref="S4:S6"/>
    <mergeCell ref="T4:T6"/>
    <mergeCell ref="U4:U6"/>
    <mergeCell ref="AC3:AC6"/>
    <mergeCell ref="AD3:AD6"/>
    <mergeCell ref="DA5:DB5"/>
    <mergeCell ref="CO39:CP39"/>
    <mergeCell ref="CQ39:CU39"/>
    <mergeCell ref="CV39:CY39"/>
    <mergeCell ref="AX5:AX6"/>
    <mergeCell ref="AY5:AY6"/>
    <mergeCell ref="AJ3:AK6"/>
    <mergeCell ref="AL3:AL6"/>
    <mergeCell ref="AM3:AM6"/>
    <mergeCell ref="AN3:AN6"/>
    <mergeCell ref="AO3:AO6"/>
    <mergeCell ref="AP3:AP6"/>
    <mergeCell ref="AT5:AT6"/>
    <mergeCell ref="AW5:AW6"/>
    <mergeCell ref="CO40:CU40"/>
    <mergeCell ref="L71:Q71"/>
    <mergeCell ref="N46:O46"/>
    <mergeCell ref="AZ46:BE47"/>
    <mergeCell ref="AZ48:BC49"/>
    <mergeCell ref="BD48:BD49"/>
    <mergeCell ref="AZ51:BC52"/>
    <mergeCell ref="BD51:BD52"/>
    <mergeCell ref="AT42:AV42"/>
  </mergeCells>
  <printOptions horizontalCentered="1" verticalCentered="1"/>
  <pageMargins left="0" right="0" top="0" bottom="0" header="0" footer="0"/>
  <pageSetup paperSize="9" scale="46" firstPageNumber="0" orientation="landscape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J77"/>
  <sheetViews>
    <sheetView showZeros="0" zoomScale="90" zoomScaleNormal="90" workbookViewId="0">
      <pane xSplit="1" ySplit="6" topLeftCell="CP28" activePane="bottomRight" state="frozen"/>
      <selection pane="topRight" activeCell="B1" sqref="B1"/>
      <selection pane="bottomLeft" activeCell="A7" sqref="A7"/>
      <selection pane="bottomRight" activeCell="CQ53" sqref="CQ53"/>
    </sheetView>
  </sheetViews>
  <sheetFormatPr defaultColWidth="8.7109375" defaultRowHeight="12.75"/>
  <cols>
    <col min="1" max="1" width="3.5703125" customWidth="1"/>
    <col min="2" max="2" width="9.7109375" customWidth="1"/>
    <col min="3" max="3" width="6" customWidth="1"/>
    <col min="4" max="4" width="12" style="1" hidden="1" customWidth="1"/>
    <col min="5" max="5" width="7.140625" customWidth="1"/>
    <col min="6" max="6" width="7.5703125" customWidth="1"/>
    <col min="7" max="7" width="8" customWidth="1"/>
    <col min="8" max="8" width="7.28515625" customWidth="1"/>
    <col min="9" max="9" width="7.42578125" hidden="1" customWidth="1"/>
    <col min="10" max="10" width="9.140625" customWidth="1"/>
    <col min="11" max="11" width="5.5703125" hidden="1" customWidth="1"/>
    <col min="12" max="12" width="8.42578125" customWidth="1"/>
    <col min="13" max="13" width="7.42578125" customWidth="1"/>
    <col min="14" max="14" width="8.42578125" customWidth="1"/>
    <col min="15" max="15" width="7.28515625" customWidth="1"/>
    <col min="16" max="16" width="9.85546875" hidden="1" customWidth="1"/>
    <col min="17" max="17" width="9.28515625" customWidth="1"/>
    <col min="18" max="18" width="6" customWidth="1"/>
    <col min="19" max="19" width="6.7109375" customWidth="1"/>
    <col min="20" max="20" width="9.140625" hidden="1" customWidth="1"/>
    <col min="21" max="21" width="7.140625" customWidth="1"/>
    <col min="22" max="22" width="7.85546875" customWidth="1"/>
    <col min="23" max="23" width="8.28515625" customWidth="1"/>
    <col min="24" max="24" width="6" customWidth="1"/>
    <col min="25" max="25" width="5.42578125" customWidth="1"/>
    <col min="26" max="26" width="6.85546875" customWidth="1"/>
    <col min="27" max="27" width="6.5703125" customWidth="1"/>
    <col min="28" max="28" width="7.5703125" customWidth="1"/>
    <col min="29" max="29" width="6.5703125" customWidth="1"/>
    <col min="30" max="30" width="4.28515625" customWidth="1"/>
    <col min="31" max="32" width="6.85546875" customWidth="1"/>
    <col min="33" max="33" width="0" hidden="1" customWidth="1"/>
    <col min="34" max="34" width="8.42578125" customWidth="1"/>
    <col min="35" max="35" width="7" customWidth="1"/>
    <col min="36" max="36" width="7.85546875" customWidth="1"/>
    <col min="37" max="37" width="0" hidden="1" customWidth="1"/>
    <col min="38" max="38" width="6.7109375" customWidth="1"/>
    <col min="39" max="39" width="7.7109375" customWidth="1"/>
    <col min="40" max="40" width="7" customWidth="1"/>
    <col min="41" max="41" width="9.42578125" customWidth="1"/>
    <col min="42" max="42" width="6.28515625" customWidth="1"/>
    <col min="43" max="43" width="6.85546875" customWidth="1"/>
    <col min="44" max="44" width="0" hidden="1" customWidth="1"/>
    <col min="45" max="45" width="6.7109375" customWidth="1"/>
    <col min="46" max="46" width="9.7109375" customWidth="1"/>
    <col min="47" max="47" width="7" customWidth="1"/>
    <col min="48" max="48" width="0" hidden="1" customWidth="1"/>
    <col min="49" max="49" width="6.140625" hidden="1" customWidth="1"/>
    <col min="50" max="50" width="5.140625" hidden="1" customWidth="1"/>
    <col min="51" max="51" width="8.42578125" customWidth="1"/>
    <col min="52" max="52" width="10" customWidth="1"/>
    <col min="53" max="53" width="8.7109375" hidden="1" customWidth="1"/>
    <col min="54" max="54" width="3.85546875" hidden="1" customWidth="1"/>
    <col min="55" max="55" width="6.5703125" customWidth="1"/>
    <col min="56" max="56" width="6.140625" customWidth="1"/>
    <col min="57" max="57" width="6.7109375" customWidth="1"/>
    <col min="58" max="58" width="8.85546875" customWidth="1"/>
    <col min="59" max="59" width="7.85546875" customWidth="1"/>
    <col min="60" max="60" width="9.85546875" customWidth="1"/>
    <col min="61" max="62" width="8.7109375" customWidth="1"/>
    <col min="63" max="63" width="10.28515625" customWidth="1"/>
    <col min="64" max="64" width="10.85546875" customWidth="1"/>
    <col min="65" max="65" width="10.7109375" customWidth="1"/>
    <col min="66" max="66" width="11.28515625" customWidth="1"/>
    <col min="67" max="68" width="8.85546875" customWidth="1"/>
    <col min="69" max="69" width="11.28515625" customWidth="1"/>
    <col min="70" max="70" width="7.7109375" customWidth="1"/>
    <col min="71" max="71" width="10" customWidth="1"/>
    <col min="72" max="72" width="8.85546875" customWidth="1"/>
    <col min="73" max="73" width="10.140625" customWidth="1"/>
    <col min="74" max="75" width="8.85546875" customWidth="1"/>
    <col min="76" max="76" width="10.85546875" customWidth="1"/>
    <col min="77" max="78" width="8.7109375" customWidth="1"/>
    <col min="79" max="79" width="10" customWidth="1"/>
    <col min="80" max="80" width="10.42578125" customWidth="1"/>
    <col min="81" max="82" width="8.42578125" customWidth="1"/>
    <col min="83" max="83" width="9.85546875" customWidth="1"/>
    <col min="84" max="85" width="11.42578125" customWidth="1"/>
    <col min="86" max="86" width="11.140625" customWidth="1"/>
    <col min="87" max="87" width="11.28515625" customWidth="1"/>
    <col min="88" max="89" width="10" customWidth="1"/>
    <col min="90" max="90" width="8.7109375" customWidth="1"/>
    <col min="91" max="91" width="11.85546875" customWidth="1"/>
    <col min="92" max="92" width="8.7109375" customWidth="1"/>
    <col min="93" max="93" width="12.140625" customWidth="1"/>
    <col min="94" max="94" width="12.5703125" customWidth="1"/>
    <col min="95" max="95" width="11.7109375" customWidth="1"/>
    <col min="96" max="98" width="12.28515625" customWidth="1"/>
    <col min="99" max="99" width="13.28515625" customWidth="1"/>
    <col min="100" max="100" width="12.85546875" customWidth="1"/>
    <col min="101" max="101" width="13.42578125" customWidth="1"/>
    <col min="102" max="103" width="12.5703125" customWidth="1"/>
    <col min="104" max="104" width="9.5703125" customWidth="1"/>
    <col min="105" max="105" width="19.140625" customWidth="1"/>
    <col min="106" max="106" width="19.42578125" customWidth="1"/>
    <col min="111" max="111" width="8.7109375" hidden="1" customWidth="1"/>
    <col min="112" max="112" width="9" bestFit="1" customWidth="1"/>
    <col min="114" max="114" width="9.5703125" bestFit="1" customWidth="1"/>
  </cols>
  <sheetData>
    <row r="1" spans="1:114" ht="17.25" customHeight="1">
      <c r="A1" s="310" t="s">
        <v>0</v>
      </c>
      <c r="B1" s="310"/>
      <c r="C1" s="310"/>
      <c r="D1" s="311"/>
      <c r="E1" s="310"/>
      <c r="F1" s="310"/>
      <c r="G1" s="310"/>
      <c r="H1" s="310"/>
      <c r="I1" s="310"/>
      <c r="J1" s="310"/>
      <c r="K1" s="310"/>
      <c r="L1" s="310"/>
      <c r="M1" s="310"/>
      <c r="N1" s="310"/>
      <c r="O1" s="310"/>
      <c r="P1" s="77"/>
      <c r="Q1" s="77"/>
      <c r="R1" s="77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</row>
    <row r="2" spans="1:114" ht="19.5" customHeight="1" thickBot="1">
      <c r="A2" s="22"/>
      <c r="B2" s="78"/>
      <c r="C2" s="78"/>
      <c r="D2" s="79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80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80"/>
      <c r="AT2" s="312" t="s">
        <v>1</v>
      </c>
      <c r="AU2" s="313">
        <v>30</v>
      </c>
      <c r="AV2" s="314"/>
      <c r="AW2" s="314"/>
      <c r="AX2" s="315" t="s">
        <v>81</v>
      </c>
      <c r="AY2" s="556" t="s">
        <v>284</v>
      </c>
      <c r="AZ2" s="556"/>
      <c r="BA2" s="556"/>
      <c r="BB2" s="556"/>
      <c r="BC2" s="556"/>
      <c r="BD2" s="316" t="s">
        <v>107</v>
      </c>
      <c r="BE2" s="317"/>
    </row>
    <row r="3" spans="1:114" ht="39.75" customHeight="1" thickBot="1">
      <c r="A3" s="557" t="s">
        <v>3</v>
      </c>
      <c r="B3" s="558" t="s">
        <v>71</v>
      </c>
      <c r="C3" s="558"/>
      <c r="D3" s="558"/>
      <c r="E3" s="558"/>
      <c r="F3" s="558"/>
      <c r="G3" s="558"/>
      <c r="H3" s="554" t="s">
        <v>4</v>
      </c>
      <c r="I3" s="554"/>
      <c r="J3" s="554"/>
      <c r="K3" s="554"/>
      <c r="L3" s="554"/>
      <c r="M3" s="554"/>
      <c r="N3" s="554"/>
      <c r="O3" s="554"/>
      <c r="P3" s="559"/>
      <c r="Q3" s="560" t="s">
        <v>5</v>
      </c>
      <c r="R3" s="561"/>
      <c r="S3" s="561"/>
      <c r="T3" s="561"/>
      <c r="U3" s="562"/>
      <c r="V3" s="563" t="s">
        <v>6</v>
      </c>
      <c r="W3" s="563" t="s">
        <v>7</v>
      </c>
      <c r="X3" s="564" t="s">
        <v>8</v>
      </c>
      <c r="Y3" s="564" t="s">
        <v>9</v>
      </c>
      <c r="Z3" s="564" t="s">
        <v>10</v>
      </c>
      <c r="AA3" s="564" t="s">
        <v>11</v>
      </c>
      <c r="AB3" s="564" t="s">
        <v>12</v>
      </c>
      <c r="AC3" s="564" t="s">
        <v>13</v>
      </c>
      <c r="AD3" s="564" t="s">
        <v>14</v>
      </c>
      <c r="AE3" s="554" t="s">
        <v>15</v>
      </c>
      <c r="AF3" s="554"/>
      <c r="AG3" s="554" t="s">
        <v>16</v>
      </c>
      <c r="AH3" s="554"/>
      <c r="AI3" s="554"/>
      <c r="AJ3" s="593" t="s">
        <v>17</v>
      </c>
      <c r="AK3" s="593"/>
      <c r="AL3" s="564" t="s">
        <v>18</v>
      </c>
      <c r="AM3" s="599" t="s">
        <v>19</v>
      </c>
      <c r="AN3" s="600" t="s">
        <v>95</v>
      </c>
      <c r="AO3" s="603" t="s">
        <v>20</v>
      </c>
      <c r="AP3" s="564" t="s">
        <v>105</v>
      </c>
      <c r="AQ3" s="564" t="s">
        <v>21</v>
      </c>
      <c r="AR3" s="81"/>
      <c r="AS3" s="593" t="s">
        <v>22</v>
      </c>
      <c r="AT3" s="554" t="s">
        <v>23</v>
      </c>
      <c r="AU3" s="554"/>
      <c r="AV3" s="554"/>
      <c r="AW3" s="554"/>
      <c r="AX3" s="554"/>
      <c r="AY3" s="554"/>
      <c r="AZ3" s="564" t="s">
        <v>24</v>
      </c>
      <c r="BA3" s="594" t="s">
        <v>25</v>
      </c>
      <c r="BB3" s="594"/>
      <c r="BC3" s="564" t="s">
        <v>26</v>
      </c>
      <c r="BD3" s="564" t="s">
        <v>27</v>
      </c>
      <c r="BE3" s="572" t="s">
        <v>28</v>
      </c>
      <c r="BF3" s="3"/>
      <c r="BG3" s="3"/>
      <c r="BH3" s="3"/>
      <c r="BI3" s="3"/>
      <c r="BJ3" s="3"/>
      <c r="BK3" s="573" t="s">
        <v>29</v>
      </c>
      <c r="BL3" s="574"/>
      <c r="BM3" s="574"/>
      <c r="BN3" s="574"/>
      <c r="BO3" s="575"/>
      <c r="BP3" s="575"/>
      <c r="BQ3" s="576"/>
      <c r="BR3" s="573" t="s">
        <v>30</v>
      </c>
      <c r="BS3" s="585"/>
      <c r="BT3" s="585"/>
      <c r="BU3" s="585"/>
      <c r="BV3" s="585"/>
      <c r="BW3" s="585"/>
      <c r="BX3" s="586"/>
      <c r="BY3" s="566" t="s">
        <v>31</v>
      </c>
      <c r="BZ3" s="566"/>
      <c r="CA3" s="566"/>
      <c r="CB3" s="566"/>
      <c r="CC3" s="566"/>
      <c r="CD3" s="566"/>
      <c r="CE3" s="566"/>
      <c r="CF3" s="566" t="s">
        <v>87</v>
      </c>
      <c r="CG3" s="566"/>
      <c r="CH3" s="566"/>
      <c r="CI3" s="566"/>
      <c r="CJ3" s="566" t="s">
        <v>32</v>
      </c>
      <c r="CK3" s="566"/>
      <c r="CL3" s="566"/>
      <c r="CM3" s="566"/>
      <c r="CN3" s="4"/>
      <c r="CO3" s="5"/>
      <c r="CP3" s="6"/>
      <c r="CQ3" s="6"/>
    </row>
    <row r="4" spans="1:114" s="7" customFormat="1" ht="30.75" customHeight="1" thickBot="1">
      <c r="A4" s="557"/>
      <c r="B4" s="565" t="s">
        <v>72</v>
      </c>
      <c r="C4" s="613" t="s">
        <v>73</v>
      </c>
      <c r="D4" s="615" t="s">
        <v>33</v>
      </c>
      <c r="E4" s="613" t="s">
        <v>74</v>
      </c>
      <c r="F4" s="569" t="s">
        <v>75</v>
      </c>
      <c r="G4" s="569" t="s">
        <v>34</v>
      </c>
      <c r="H4" s="555" t="s">
        <v>76</v>
      </c>
      <c r="I4" s="570" t="s">
        <v>101</v>
      </c>
      <c r="J4" s="555" t="s">
        <v>89</v>
      </c>
      <c r="K4" s="565" t="s">
        <v>35</v>
      </c>
      <c r="L4" s="565" t="s">
        <v>77</v>
      </c>
      <c r="M4" s="565" t="s">
        <v>78</v>
      </c>
      <c r="N4" s="565" t="s">
        <v>101</v>
      </c>
      <c r="O4" s="565" t="s">
        <v>96</v>
      </c>
      <c r="P4" s="555" t="s">
        <v>79</v>
      </c>
      <c r="Q4" s="555" t="s">
        <v>36</v>
      </c>
      <c r="R4" s="555" t="s">
        <v>32</v>
      </c>
      <c r="S4" s="555" t="s">
        <v>37</v>
      </c>
      <c r="T4" s="555" t="s">
        <v>38</v>
      </c>
      <c r="U4" s="555" t="s">
        <v>39</v>
      </c>
      <c r="V4" s="563"/>
      <c r="W4" s="563"/>
      <c r="X4" s="564"/>
      <c r="Y4" s="564"/>
      <c r="Z4" s="564"/>
      <c r="AA4" s="564"/>
      <c r="AB4" s="564"/>
      <c r="AC4" s="564"/>
      <c r="AD4" s="564"/>
      <c r="AE4" s="554"/>
      <c r="AF4" s="554"/>
      <c r="AG4" s="554"/>
      <c r="AH4" s="554"/>
      <c r="AI4" s="554"/>
      <c r="AJ4" s="593"/>
      <c r="AK4" s="593"/>
      <c r="AL4" s="564"/>
      <c r="AM4" s="599"/>
      <c r="AN4" s="601"/>
      <c r="AO4" s="603"/>
      <c r="AP4" s="564"/>
      <c r="AQ4" s="564"/>
      <c r="AR4" s="82"/>
      <c r="AS4" s="593"/>
      <c r="AT4" s="554"/>
      <c r="AU4" s="554"/>
      <c r="AV4" s="554"/>
      <c r="AW4" s="554"/>
      <c r="AX4" s="554"/>
      <c r="AY4" s="554"/>
      <c r="AZ4" s="564"/>
      <c r="BA4" s="594"/>
      <c r="BB4" s="594"/>
      <c r="BC4" s="564"/>
      <c r="BD4" s="564"/>
      <c r="BE4" s="572"/>
      <c r="BF4" s="3"/>
      <c r="BG4" s="3"/>
      <c r="BH4" s="3"/>
      <c r="BI4" s="3"/>
      <c r="BJ4" s="3"/>
      <c r="BK4" s="577"/>
      <c r="BL4" s="578"/>
      <c r="BM4" s="578"/>
      <c r="BN4" s="578"/>
      <c r="BO4" s="579"/>
      <c r="BP4" s="579"/>
      <c r="BQ4" s="580"/>
      <c r="BR4" s="577"/>
      <c r="BS4" s="566"/>
      <c r="BT4" s="566"/>
      <c r="BU4" s="566"/>
      <c r="BV4" s="566"/>
      <c r="BW4" s="566"/>
      <c r="BX4" s="587"/>
      <c r="BY4" s="566"/>
      <c r="BZ4" s="566"/>
      <c r="CA4" s="566"/>
      <c r="CB4" s="566"/>
      <c r="CC4" s="566"/>
      <c r="CD4" s="566"/>
      <c r="CE4" s="566"/>
      <c r="CF4" s="566"/>
      <c r="CG4" s="566"/>
      <c r="CH4" s="566"/>
      <c r="CI4" s="566"/>
      <c r="CJ4" s="566"/>
      <c r="CK4" s="566"/>
      <c r="CL4" s="566"/>
      <c r="CM4" s="566"/>
      <c r="CN4" s="4"/>
      <c r="CO4" s="6"/>
      <c r="CP4" s="6"/>
      <c r="CQ4" s="262"/>
      <c r="CR4" s="231"/>
      <c r="CS4" s="231"/>
      <c r="CT4" s="231"/>
      <c r="CU4" s="231"/>
      <c r="CV4" s="231"/>
      <c r="CW4" s="231"/>
      <c r="CX4" s="231"/>
      <c r="CY4" s="231"/>
      <c r="DD4" s="590" t="s">
        <v>90</v>
      </c>
      <c r="DE4" s="591"/>
      <c r="DF4" s="591"/>
      <c r="DG4" s="591"/>
      <c r="DH4" s="592"/>
    </row>
    <row r="5" spans="1:114" s="7" customFormat="1" ht="8.25" hidden="1" customHeight="1">
      <c r="A5" s="557"/>
      <c r="B5" s="565"/>
      <c r="C5" s="614"/>
      <c r="D5" s="616"/>
      <c r="E5" s="614"/>
      <c r="F5" s="569"/>
      <c r="G5" s="569"/>
      <c r="H5" s="555"/>
      <c r="I5" s="570"/>
      <c r="J5" s="565"/>
      <c r="K5" s="565"/>
      <c r="L5" s="565"/>
      <c r="M5" s="565"/>
      <c r="N5" s="565"/>
      <c r="O5" s="565"/>
      <c r="P5" s="555"/>
      <c r="Q5" s="555"/>
      <c r="R5" s="555"/>
      <c r="S5" s="555"/>
      <c r="T5" s="555"/>
      <c r="U5" s="555"/>
      <c r="V5" s="563"/>
      <c r="W5" s="563"/>
      <c r="X5" s="564"/>
      <c r="Y5" s="564"/>
      <c r="Z5" s="564"/>
      <c r="AA5" s="564"/>
      <c r="AB5" s="564"/>
      <c r="AC5" s="564"/>
      <c r="AD5" s="564"/>
      <c r="AE5" s="555" t="s">
        <v>40</v>
      </c>
      <c r="AF5" s="555" t="s">
        <v>41</v>
      </c>
      <c r="AG5" s="555" t="s">
        <v>42</v>
      </c>
      <c r="AH5" s="555" t="s">
        <v>40</v>
      </c>
      <c r="AI5" s="555" t="s">
        <v>41</v>
      </c>
      <c r="AJ5" s="593"/>
      <c r="AK5" s="593"/>
      <c r="AL5" s="564"/>
      <c r="AM5" s="599"/>
      <c r="AN5" s="601"/>
      <c r="AO5" s="603"/>
      <c r="AP5" s="564"/>
      <c r="AQ5" s="564"/>
      <c r="AR5" s="83"/>
      <c r="AS5" s="593"/>
      <c r="AT5" s="555" t="s">
        <v>43</v>
      </c>
      <c r="AU5" s="84"/>
      <c r="AV5" s="85"/>
      <c r="AW5" s="598" t="s">
        <v>44</v>
      </c>
      <c r="AX5" s="598" t="s">
        <v>45</v>
      </c>
      <c r="AY5" s="555" t="s">
        <v>46</v>
      </c>
      <c r="AZ5" s="564"/>
      <c r="BA5" s="86" t="s">
        <v>47</v>
      </c>
      <c r="BB5" s="86" t="s">
        <v>48</v>
      </c>
      <c r="BC5" s="564"/>
      <c r="BD5" s="564"/>
      <c r="BE5" s="572"/>
      <c r="BF5" s="3"/>
      <c r="BG5" s="3"/>
      <c r="BH5" s="3"/>
      <c r="BI5" s="3"/>
      <c r="BJ5" s="3"/>
      <c r="BK5" s="581"/>
      <c r="BL5" s="582"/>
      <c r="BM5" s="582"/>
      <c r="BN5" s="582"/>
      <c r="BO5" s="583"/>
      <c r="BP5" s="583"/>
      <c r="BQ5" s="584"/>
      <c r="BR5" s="581"/>
      <c r="BS5" s="588"/>
      <c r="BT5" s="588"/>
      <c r="BU5" s="588"/>
      <c r="BV5" s="588"/>
      <c r="BW5" s="588"/>
      <c r="BX5" s="589"/>
      <c r="BY5" s="567"/>
      <c r="BZ5" s="566"/>
      <c r="CA5" s="566"/>
      <c r="CB5" s="566"/>
      <c r="CC5" s="566"/>
      <c r="CD5" s="566"/>
      <c r="CE5" s="566"/>
      <c r="CF5" s="567"/>
      <c r="CG5" s="567"/>
      <c r="CH5" s="567"/>
      <c r="CI5" s="567"/>
      <c r="CJ5" s="567"/>
      <c r="CK5" s="567"/>
      <c r="CL5" s="567"/>
      <c r="CM5" s="567"/>
      <c r="CN5" s="4"/>
      <c r="CO5"/>
      <c r="CP5"/>
      <c r="CQ5" s="255"/>
      <c r="CR5" s="256"/>
      <c r="CS5" s="256"/>
      <c r="CT5" s="256"/>
      <c r="CU5" s="256"/>
      <c r="CV5" s="257"/>
      <c r="CW5" s="257"/>
      <c r="CX5" s="257"/>
      <c r="CY5" s="258"/>
      <c r="DA5" s="595" t="s">
        <v>49</v>
      </c>
      <c r="DB5" s="595"/>
    </row>
    <row r="6" spans="1:114" s="7" customFormat="1" ht="106.5" customHeight="1" thickBot="1">
      <c r="A6" s="557"/>
      <c r="B6" s="565"/>
      <c r="C6" s="565"/>
      <c r="D6" s="568"/>
      <c r="E6" s="565"/>
      <c r="F6" s="569"/>
      <c r="G6" s="569"/>
      <c r="H6" s="555"/>
      <c r="I6" s="570"/>
      <c r="J6" s="571"/>
      <c r="K6" s="565"/>
      <c r="L6" s="565"/>
      <c r="M6" s="565"/>
      <c r="N6" s="565"/>
      <c r="O6" s="565"/>
      <c r="P6" s="565"/>
      <c r="Q6" s="565"/>
      <c r="R6" s="565"/>
      <c r="S6" s="565"/>
      <c r="T6" s="555"/>
      <c r="U6" s="555"/>
      <c r="V6" s="563"/>
      <c r="W6" s="563"/>
      <c r="X6" s="564"/>
      <c r="Y6" s="564"/>
      <c r="Z6" s="564"/>
      <c r="AA6" s="564"/>
      <c r="AB6" s="564"/>
      <c r="AC6" s="564"/>
      <c r="AD6" s="564"/>
      <c r="AE6" s="555"/>
      <c r="AF6" s="555"/>
      <c r="AG6" s="555"/>
      <c r="AH6" s="555"/>
      <c r="AI6" s="555"/>
      <c r="AJ6" s="593"/>
      <c r="AK6" s="593"/>
      <c r="AL6" s="564"/>
      <c r="AM6" s="599"/>
      <c r="AN6" s="602"/>
      <c r="AO6" s="603"/>
      <c r="AP6" s="564"/>
      <c r="AQ6" s="564"/>
      <c r="AR6" s="463"/>
      <c r="AS6" s="593"/>
      <c r="AT6" s="555"/>
      <c r="AU6" s="462" t="s">
        <v>50</v>
      </c>
      <c r="AV6" s="462" t="s">
        <v>51</v>
      </c>
      <c r="AW6" s="598"/>
      <c r="AX6" s="598"/>
      <c r="AY6" s="555"/>
      <c r="AZ6" s="555"/>
      <c r="BA6" s="87"/>
      <c r="BB6" s="88">
        <v>0.04</v>
      </c>
      <c r="BC6" s="564"/>
      <c r="BD6" s="564"/>
      <c r="BE6" s="572"/>
      <c r="BF6" s="8" t="s">
        <v>52</v>
      </c>
      <c r="BG6" s="8" t="s">
        <v>53</v>
      </c>
      <c r="BH6" s="8" t="s">
        <v>54</v>
      </c>
      <c r="BI6" s="3"/>
      <c r="BJ6" s="3"/>
      <c r="BK6" s="308" t="s">
        <v>100</v>
      </c>
      <c r="BL6" s="280" t="s">
        <v>82</v>
      </c>
      <c r="BM6" s="279" t="s">
        <v>262</v>
      </c>
      <c r="BN6" s="307" t="s">
        <v>102</v>
      </c>
      <c r="BO6" s="308" t="s">
        <v>97</v>
      </c>
      <c r="BP6" s="326" t="s">
        <v>99</v>
      </c>
      <c r="BQ6" s="306" t="s">
        <v>86</v>
      </c>
      <c r="BR6" s="308" t="s">
        <v>100</v>
      </c>
      <c r="BS6" s="280" t="s">
        <v>82</v>
      </c>
      <c r="BT6" s="279" t="s">
        <v>262</v>
      </c>
      <c r="BU6" s="327"/>
      <c r="BV6" s="308" t="s">
        <v>97</v>
      </c>
      <c r="BW6" s="326" t="s">
        <v>99</v>
      </c>
      <c r="BX6" s="306"/>
      <c r="BY6" s="308" t="s">
        <v>100</v>
      </c>
      <c r="BZ6" s="280" t="s">
        <v>82</v>
      </c>
      <c r="CA6" s="279" t="s">
        <v>262</v>
      </c>
      <c r="CB6" s="307" t="s">
        <v>102</v>
      </c>
      <c r="CC6" s="308" t="s">
        <v>97</v>
      </c>
      <c r="CD6" s="326" t="s">
        <v>99</v>
      </c>
      <c r="CE6" s="306" t="s">
        <v>86</v>
      </c>
      <c r="CF6" s="267" t="s">
        <v>106</v>
      </c>
      <c r="CG6" s="268" t="s">
        <v>85</v>
      </c>
      <c r="CH6" s="244" t="s">
        <v>109</v>
      </c>
      <c r="CI6" s="245" t="s">
        <v>103</v>
      </c>
      <c r="CJ6" s="267" t="s">
        <v>106</v>
      </c>
      <c r="CK6" s="268" t="s">
        <v>85</v>
      </c>
      <c r="CL6" s="244" t="s">
        <v>109</v>
      </c>
      <c r="CM6" s="245" t="s">
        <v>103</v>
      </c>
      <c r="CN6" s="243"/>
      <c r="CO6" s="248" t="s">
        <v>100</v>
      </c>
      <c r="CP6" s="10" t="s">
        <v>82</v>
      </c>
      <c r="CQ6" s="264" t="s">
        <v>263</v>
      </c>
      <c r="CR6" s="23" t="s">
        <v>102</v>
      </c>
      <c r="CS6" s="248" t="s">
        <v>98</v>
      </c>
      <c r="CT6" s="248" t="s">
        <v>99</v>
      </c>
      <c r="CU6" s="9" t="s">
        <v>83</v>
      </c>
      <c r="CV6" s="259" t="s">
        <v>106</v>
      </c>
      <c r="CW6" s="248" t="s">
        <v>84</v>
      </c>
      <c r="CX6" s="232" t="s">
        <v>108</v>
      </c>
      <c r="CY6" s="263" t="s">
        <v>103</v>
      </c>
      <c r="CZ6" s="253"/>
      <c r="DA6" s="321" t="s">
        <v>80</v>
      </c>
      <c r="DB6" s="321" t="s">
        <v>55</v>
      </c>
      <c r="DD6" s="288" t="s">
        <v>91</v>
      </c>
      <c r="DE6" s="289" t="s">
        <v>92</v>
      </c>
      <c r="DF6" s="290" t="s">
        <v>93</v>
      </c>
      <c r="DG6" s="290"/>
      <c r="DH6" s="289" t="s">
        <v>94</v>
      </c>
    </row>
    <row r="7" spans="1:114" s="76" customFormat="1" ht="16.5" customHeight="1" thickBot="1">
      <c r="A7" s="121">
        <v>1</v>
      </c>
      <c r="B7" s="122">
        <f>'[1]июнь 20'!K6</f>
        <v>210.154</v>
      </c>
      <c r="C7" s="123">
        <f>IF(B7=0,0,(BK7*BR7+BL7*BS7+BM7*BT7+BN7*BU7+BQ7*BX7+BO7*BV7+BP7*BW7)/B7)</f>
        <v>0.41509797577492219</v>
      </c>
      <c r="D7" s="124">
        <f>B7*((100-C7)/100)</f>
        <v>209.28165499998997</v>
      </c>
      <c r="E7" s="125">
        <f>IF(B7=0,0,(BK7*BY7+BL7*BZ7+BM7*CA7+BQ7*CE7+BN7*CB7+BO7*CC7+BP7*CD7)/B7)</f>
        <v>38.521053037296475</v>
      </c>
      <c r="F7" s="126">
        <f t="shared" ref="F7:F37" si="0">IF(AY7=0,0,D7/AY7)</f>
        <v>2.1109708997376435</v>
      </c>
      <c r="G7" s="127">
        <v>14.92</v>
      </c>
      <c r="H7" s="126">
        <f>IF(AY7=0,0,(CP7+CO7+CS7+CQ7+CT7)/AY7)</f>
        <v>1.7074909965705061</v>
      </c>
      <c r="I7" s="230">
        <f>'[1]июль 20'!AI6</f>
        <v>0</v>
      </c>
      <c r="J7" s="246">
        <f>'[1]июнь 20'!AA6</f>
        <v>8.4429999999999996</v>
      </c>
      <c r="K7" s="437">
        <f>'[1]сентябрь 20'!AM6</f>
        <v>0</v>
      </c>
      <c r="L7" s="438">
        <f>'[1]июнь 20'!AE6</f>
        <v>40.000999999999998</v>
      </c>
      <c r="M7" s="399">
        <f>IF(AY7=0,0,(CR7+CU7)/AY7)</f>
        <v>0.40347993342737537</v>
      </c>
      <c r="N7" s="399">
        <f>'[1]июнь 20'!W6</f>
        <v>0</v>
      </c>
      <c r="O7" s="402">
        <f>'[1]июнь 20'!AU6</f>
        <v>0</v>
      </c>
      <c r="P7" s="125">
        <f t="shared" ref="P7:P37" si="1">CF7+CH7+CI7+CG7</f>
        <v>125.67000299999999</v>
      </c>
      <c r="Q7" s="122">
        <f>'[1]июнь 20'!S6</f>
        <v>125.67</v>
      </c>
      <c r="R7" s="123">
        <f>IF(Q7=0,0,(CI7*CM7+CG7*CK7+CH7*CL7+CF7*CJ7)/Q7)</f>
        <v>1.4000000000000239</v>
      </c>
      <c r="S7" s="129">
        <v>3.63</v>
      </c>
      <c r="T7" s="125">
        <f t="shared" ref="T7:T37" si="2">Q7*((100-R7)/100)</f>
        <v>123.91061999999997</v>
      </c>
      <c r="U7" s="128">
        <f t="shared" ref="U7:U37" si="3">IF(AY7=0,0,T7/AY7)</f>
        <v>1.2498549525922933</v>
      </c>
      <c r="V7" s="130">
        <v>75.599999999999994</v>
      </c>
      <c r="W7" s="130">
        <v>99.14</v>
      </c>
      <c r="X7" s="129">
        <v>0.15</v>
      </c>
      <c r="Y7" s="131">
        <v>535</v>
      </c>
      <c r="Z7" s="131">
        <v>1146</v>
      </c>
      <c r="AA7" s="132" t="s">
        <v>293</v>
      </c>
      <c r="AB7" s="129">
        <v>75.14</v>
      </c>
      <c r="AC7" s="131">
        <v>85</v>
      </c>
      <c r="AD7" s="133">
        <v>4</v>
      </c>
      <c r="AE7" s="129">
        <v>5</v>
      </c>
      <c r="AF7" s="134">
        <f t="shared" ref="AF7:AF37" si="4">IF(AY7=0,0,AE7/AY7*1000)</f>
        <v>50.433730078676618</v>
      </c>
      <c r="AG7" s="135"/>
      <c r="AH7" s="129">
        <v>76.900000000000006</v>
      </c>
      <c r="AI7" s="134">
        <f t="shared" ref="AI7:AI37" si="5">IF(AY7=0,0,AH7/AY7*1000)</f>
        <v>775.67076861004648</v>
      </c>
      <c r="AJ7" s="136">
        <v>10.64</v>
      </c>
      <c r="AK7" s="127"/>
      <c r="AL7" s="137">
        <v>4.53</v>
      </c>
      <c r="AM7" s="138">
        <v>24.51</v>
      </c>
      <c r="AN7" s="126">
        <f>IF(AM7=0,0,AM7/AT7)</f>
        <v>0.19686746987951809</v>
      </c>
      <c r="AO7" s="139" t="s">
        <v>272</v>
      </c>
      <c r="AP7" s="138">
        <v>8.33</v>
      </c>
      <c r="AQ7" s="138">
        <v>7.03</v>
      </c>
      <c r="AR7" s="129"/>
      <c r="AS7" s="129">
        <v>9.09</v>
      </c>
      <c r="AT7" s="129">
        <v>124.5</v>
      </c>
      <c r="AU7" s="129">
        <v>3.68</v>
      </c>
      <c r="AV7" s="129"/>
      <c r="AW7" s="129"/>
      <c r="AX7" s="140">
        <f t="shared" ref="AX7:AX37" si="6">IF(AY7=0,0,AW7/AY7*100)</f>
        <v>0</v>
      </c>
      <c r="AY7" s="125">
        <f t="shared" ref="AY7:AY37" si="7">AT7-AL7-AM7+AV7+AW7+AU7</f>
        <v>99.14</v>
      </c>
      <c r="AZ7" s="125">
        <f>IF(AB7=0,0,((D7*0.97)*(E7/100)*0.9)/(AB7/100))+DH7</f>
        <v>95.437608808269189</v>
      </c>
      <c r="BA7" s="141">
        <f t="shared" ref="BA7:BA37" si="8">(AH7*AS7)/100*(55/71)</f>
        <v>5.4149514084507047</v>
      </c>
      <c r="BB7" s="142">
        <f t="shared" ref="BB7:BB37" si="9">AY7*$BB$6</f>
        <v>3.9656000000000002</v>
      </c>
      <c r="BC7" s="122">
        <f t="shared" ref="BC7:BC37" si="10">IF((D7*E7)=0,0,(AY7*AB7)/(D7*E7))</f>
        <v>0.92404004684516505</v>
      </c>
      <c r="BD7" s="142">
        <f>BA7+BB7</f>
        <v>9.3805514084507049</v>
      </c>
      <c r="BE7" s="143">
        <v>0.92400000000000004</v>
      </c>
      <c r="BF7" s="25">
        <f>AY7</f>
        <v>99.14</v>
      </c>
      <c r="BG7" s="25">
        <f t="shared" ref="BG7:BG38" si="11">IF(A7&lt;=$BE$43,$AT$43,0)</f>
        <v>110</v>
      </c>
      <c r="BH7" s="25">
        <f>BG7</f>
        <v>110</v>
      </c>
      <c r="BI7" s="26">
        <f t="shared" ref="BI7:BI37" si="12">IF(AY7&lt;&gt;0,1,0)</f>
        <v>1</v>
      </c>
      <c r="BJ7" s="27">
        <f>BG7*BI7</f>
        <v>110</v>
      </c>
      <c r="BK7" s="28">
        <v>9.9999999999999995E-7</v>
      </c>
      <c r="BL7" s="28">
        <v>102.90300000000001</v>
      </c>
      <c r="BM7" s="28">
        <v>54.651000000000003</v>
      </c>
      <c r="BN7" s="28">
        <v>9.9999999999999995E-7</v>
      </c>
      <c r="BO7" s="28">
        <v>9.9999999999999995E-7</v>
      </c>
      <c r="BP7" s="28">
        <v>12.599</v>
      </c>
      <c r="BQ7" s="28">
        <v>40.000999999999998</v>
      </c>
      <c r="BR7" s="28">
        <v>9.9999999999999995E-7</v>
      </c>
      <c r="BS7" s="28">
        <v>0.51</v>
      </c>
      <c r="BT7" s="28">
        <v>0.41</v>
      </c>
      <c r="BU7" s="28">
        <v>9.9999999999999995E-7</v>
      </c>
      <c r="BV7" s="28">
        <v>9.9999999999999995E-7</v>
      </c>
      <c r="BW7" s="28">
        <v>0.98</v>
      </c>
      <c r="BX7" s="28">
        <v>9.9999999999999995E-7</v>
      </c>
      <c r="BY7" s="28">
        <v>9.9999999999999995E-7</v>
      </c>
      <c r="BZ7" s="28">
        <v>37.5</v>
      </c>
      <c r="CA7" s="28">
        <v>38.56</v>
      </c>
      <c r="CB7" s="28">
        <v>9.9999999999999995E-7</v>
      </c>
      <c r="CC7" s="28">
        <v>9.9999999999999995E-7</v>
      </c>
      <c r="CD7" s="28">
        <v>32.630000000000003</v>
      </c>
      <c r="CE7" s="28">
        <v>42.95</v>
      </c>
      <c r="CF7" s="28">
        <v>125.67</v>
      </c>
      <c r="CG7" s="28">
        <v>9.9999999999999995E-7</v>
      </c>
      <c r="CH7" s="28">
        <v>9.9999999999999995E-7</v>
      </c>
      <c r="CI7" s="28">
        <v>9.9999999999999995E-7</v>
      </c>
      <c r="CJ7" s="28">
        <v>1.4</v>
      </c>
      <c r="CK7" s="28">
        <v>9.9999999999999995E-7</v>
      </c>
      <c r="CL7" s="28">
        <v>9.9999999999999995E-7</v>
      </c>
      <c r="CM7" s="28">
        <v>9.9999999999999995E-7</v>
      </c>
      <c r="CN7" s="286"/>
      <c r="CO7" s="252">
        <f t="shared" ref="CO7:CU22" si="13">BK7*((100-BR7)/100)</f>
        <v>9.9999998999999992E-7</v>
      </c>
      <c r="CP7" s="11">
        <f t="shared" si="13"/>
        <v>102.37819469999999</v>
      </c>
      <c r="CQ7" s="11">
        <f t="shared" si="13"/>
        <v>54.426930900000002</v>
      </c>
      <c r="CR7" s="11">
        <f t="shared" si="13"/>
        <v>9.9999998999999992E-7</v>
      </c>
      <c r="CS7" s="11">
        <f t="shared" si="13"/>
        <v>9.9999998999999992E-7</v>
      </c>
      <c r="CT7" s="11">
        <f t="shared" si="13"/>
        <v>12.4755298</v>
      </c>
      <c r="CU7" s="271">
        <f t="shared" si="13"/>
        <v>40.000999599990003</v>
      </c>
      <c r="CV7" s="260">
        <f t="shared" ref="CV7:CY37" si="14">CF7*((100-CJ7)/100)</f>
        <v>123.91061999999999</v>
      </c>
      <c r="CW7" s="250">
        <f t="shared" si="14"/>
        <v>9.9999998999999992E-7</v>
      </c>
      <c r="CX7" s="260">
        <f t="shared" si="14"/>
        <v>9.9999998999999992E-7</v>
      </c>
      <c r="CY7" s="271">
        <f t="shared" si="14"/>
        <v>9.9999998999999992E-7</v>
      </c>
      <c r="CZ7" s="13"/>
      <c r="DA7" s="240">
        <f>(D7+'[2]июнь 20'!D7)/(AY7+'[2]июнь 20'!AX7)</f>
        <v>2.1424194553691329</v>
      </c>
      <c r="DB7" s="241">
        <f>(T7+'[2]июнь 20'!R7)/(AY7+'[2]июнь 20'!AX7)</f>
        <v>1.2702107812133596</v>
      </c>
      <c r="DD7" s="292">
        <f t="shared" ref="DD7:DD37" si="15">J7</f>
        <v>8.4429999999999996</v>
      </c>
      <c r="DE7" s="291">
        <v>0.22</v>
      </c>
      <c r="DF7" s="291">
        <v>15.82</v>
      </c>
      <c r="DG7" s="145">
        <f t="shared" ref="DG7:DG37" si="16">DD7*((100-DE7)/100)</f>
        <v>8.4244254000000005</v>
      </c>
      <c r="DH7" s="293">
        <f>IF(AB7=0,0,(DG7*DF7%)/(AB7/100))</f>
        <v>1.7736812593558693</v>
      </c>
      <c r="DJ7" s="322"/>
    </row>
    <row r="8" spans="1:114" s="76" customFormat="1" ht="16.5" customHeight="1" thickBot="1">
      <c r="A8" s="144">
        <v>2</v>
      </c>
      <c r="B8" s="122">
        <f>'[1]июнь 20'!K7</f>
        <v>243.179</v>
      </c>
      <c r="C8" s="123">
        <f t="shared" ref="C8:C37" si="17">IF(B8=0,0,(BK8*BR8+BL8*BS8+BM8*BT8+BN8*BU8+BQ8*BX8+BO8*BV8+BP8*BW8)/B8)</f>
        <v>0.47377799892260436</v>
      </c>
      <c r="D8" s="145">
        <f t="shared" ref="D8:D37" si="18">B8*((100-C8)/100)</f>
        <v>242.0268714</v>
      </c>
      <c r="E8" s="125">
        <f t="shared" ref="E8:E37" si="19">IF(B8=0,0,(BK8*BY8+BL8*BZ8+BM8*CA8+BQ8*CE8+BN8*CB8+BO8*CC8+BP8*CD8)/B8)</f>
        <v>38.080111646153647</v>
      </c>
      <c r="F8" s="146">
        <f t="shared" si="0"/>
        <v>2.3182650517241381</v>
      </c>
      <c r="G8" s="127"/>
      <c r="H8" s="126">
        <f t="shared" ref="H8:H37" si="20">IF(AY8=0,0,(CP8+CO8+CS8+CQ8+CT8)/AY8)</f>
        <v>1.8547018333333336</v>
      </c>
      <c r="I8" s="230">
        <f>'[1]июль 20'!AI7</f>
        <v>0</v>
      </c>
      <c r="J8" s="247">
        <f>'[1]июнь 20'!AA7</f>
        <v>9.8919999999999995</v>
      </c>
      <c r="K8" s="464">
        <f>'[1]сентябрь 20'!AM7</f>
        <v>0</v>
      </c>
      <c r="L8" s="247">
        <f>'[1]июнь 20'!AE7</f>
        <v>48.396000000000001</v>
      </c>
      <c r="M8" s="468">
        <f t="shared" ref="M8:M37" si="21">IF(AY8=0,0,(CR8+CU8)/AY8)</f>
        <v>0.46356321839080467</v>
      </c>
      <c r="N8" s="403">
        <f>'[1]июнь 20'!W7</f>
        <v>0</v>
      </c>
      <c r="O8" s="403">
        <f>'[1]июнь 20'!AU7</f>
        <v>0</v>
      </c>
      <c r="P8" s="401">
        <f t="shared" si="1"/>
        <v>144.42099999999999</v>
      </c>
      <c r="Q8" s="122">
        <f>'[1]июнь 20'!S7</f>
        <v>144.42099999999999</v>
      </c>
      <c r="R8" s="123">
        <f t="shared" ref="R8:R37" si="22">IF(Q8=0,0,(CI8*CM8+CG8*CK8+CH8*CL8+CF8*CJ8)/Q8)</f>
        <v>1.51</v>
      </c>
      <c r="S8" s="129">
        <v>11.12</v>
      </c>
      <c r="T8" s="125">
        <f t="shared" si="2"/>
        <v>142.2402429</v>
      </c>
      <c r="U8" s="147">
        <f t="shared" si="3"/>
        <v>1.362454433908046</v>
      </c>
      <c r="V8" s="130">
        <v>54.11</v>
      </c>
      <c r="W8" s="130">
        <v>104.4</v>
      </c>
      <c r="X8" s="129">
        <v>0.25</v>
      </c>
      <c r="Y8" s="131">
        <v>481</v>
      </c>
      <c r="Z8" s="131">
        <v>1153</v>
      </c>
      <c r="AA8" s="148" t="s">
        <v>295</v>
      </c>
      <c r="AB8" s="149">
        <v>74.930000000000007</v>
      </c>
      <c r="AC8" s="150">
        <v>97</v>
      </c>
      <c r="AD8" s="151">
        <v>4</v>
      </c>
      <c r="AE8" s="149">
        <v>3.65</v>
      </c>
      <c r="AF8" s="134">
        <f t="shared" si="4"/>
        <v>34.961685823754792</v>
      </c>
      <c r="AG8" s="152"/>
      <c r="AH8" s="129">
        <v>72.2</v>
      </c>
      <c r="AI8" s="134">
        <f t="shared" si="5"/>
        <v>691.57088122605376</v>
      </c>
      <c r="AJ8" s="153">
        <v>9.42</v>
      </c>
      <c r="AK8" s="154"/>
      <c r="AL8" s="155">
        <v>7.04</v>
      </c>
      <c r="AM8" s="156">
        <v>25.98</v>
      </c>
      <c r="AN8" s="126">
        <f t="shared" ref="AN8:AN37" si="23">IF(AM8=0,0,AM8/AT8)</f>
        <v>0.1923019985196151</v>
      </c>
      <c r="AO8" s="157" t="s">
        <v>296</v>
      </c>
      <c r="AP8" s="156">
        <v>8.69</v>
      </c>
      <c r="AQ8" s="156">
        <v>7.3</v>
      </c>
      <c r="AR8" s="149"/>
      <c r="AS8" s="149">
        <v>7.88</v>
      </c>
      <c r="AT8" s="149">
        <v>135.1</v>
      </c>
      <c r="AU8" s="149">
        <v>2.3199999999999998</v>
      </c>
      <c r="AV8" s="149"/>
      <c r="AW8" s="149"/>
      <c r="AX8" s="158">
        <f t="shared" si="6"/>
        <v>0</v>
      </c>
      <c r="AY8" s="125">
        <f t="shared" si="7"/>
        <v>104.39999999999999</v>
      </c>
      <c r="AZ8" s="125">
        <f t="shared" ref="AZ8:AZ37" si="24">IF(AB8=0,0,((D8*0.97)*(E8/100)*0.9)/(AB8/100))+DH8</f>
        <v>109.17076611271251</v>
      </c>
      <c r="BA8" s="159">
        <f t="shared" si="8"/>
        <v>4.4072507042253521</v>
      </c>
      <c r="BB8" s="160">
        <f t="shared" si="9"/>
        <v>4.1760000000000002</v>
      </c>
      <c r="BC8" s="161">
        <f t="shared" si="10"/>
        <v>0.84877861973459667</v>
      </c>
      <c r="BD8" s="160">
        <f t="shared" ref="BD8:BD37" si="25">BA8+BB8</f>
        <v>8.5832507042253532</v>
      </c>
      <c r="BE8" s="162">
        <v>0.88400000000000001</v>
      </c>
      <c r="BF8" s="25">
        <f t="shared" ref="BF8:BF37" si="26">BF7+AY8</f>
        <v>203.54</v>
      </c>
      <c r="BG8" s="25">
        <f t="shared" si="11"/>
        <v>110</v>
      </c>
      <c r="BH8" s="25">
        <f t="shared" ref="BH8:BH37" si="27">BG8+BH7</f>
        <v>220</v>
      </c>
      <c r="BI8" s="26">
        <f t="shared" si="12"/>
        <v>1</v>
      </c>
      <c r="BJ8" s="27">
        <f t="shared" ref="BJ8:BJ37" si="28">BG8*BI8+BJ7</f>
        <v>220</v>
      </c>
      <c r="BK8" s="30"/>
      <c r="BL8" s="31">
        <v>116.77500000000001</v>
      </c>
      <c r="BM8" s="31">
        <v>63.287999999999997</v>
      </c>
      <c r="BN8" s="31"/>
      <c r="BO8" s="40"/>
      <c r="BP8" s="40">
        <v>14.72</v>
      </c>
      <c r="BQ8" s="32">
        <v>48.396000000000001</v>
      </c>
      <c r="BR8" s="33"/>
      <c r="BS8" s="34">
        <v>0.57999999999999996</v>
      </c>
      <c r="BT8" s="35">
        <v>0.42</v>
      </c>
      <c r="BU8" s="28"/>
      <c r="BV8" s="287"/>
      <c r="BW8" s="28">
        <v>1.42</v>
      </c>
      <c r="BX8" s="36"/>
      <c r="BY8" s="33"/>
      <c r="BZ8" s="34">
        <v>36.89</v>
      </c>
      <c r="CA8" s="35">
        <v>37.69</v>
      </c>
      <c r="CB8" s="35"/>
      <c r="CC8" s="235"/>
      <c r="CD8" s="235">
        <v>32.53</v>
      </c>
      <c r="CE8" s="36">
        <v>43.15</v>
      </c>
      <c r="CF8" s="30">
        <v>144.42099999999999</v>
      </c>
      <c r="CG8" s="30"/>
      <c r="CH8" s="31"/>
      <c r="CI8" s="32"/>
      <c r="CJ8" s="33">
        <v>1.51</v>
      </c>
      <c r="CK8" s="33"/>
      <c r="CL8" s="35"/>
      <c r="CM8" s="28"/>
      <c r="CN8" s="286"/>
      <c r="CO8" s="249">
        <f t="shared" si="13"/>
        <v>0</v>
      </c>
      <c r="CP8" s="12">
        <f t="shared" si="13"/>
        <v>116.097705</v>
      </c>
      <c r="CQ8" s="12">
        <f t="shared" si="13"/>
        <v>63.022190399999999</v>
      </c>
      <c r="CR8" s="12">
        <f t="shared" si="13"/>
        <v>0</v>
      </c>
      <c r="CS8" s="11">
        <f t="shared" si="13"/>
        <v>0</v>
      </c>
      <c r="CT8" s="11">
        <f t="shared" si="13"/>
        <v>14.510976000000001</v>
      </c>
      <c r="CU8" s="272">
        <f t="shared" si="13"/>
        <v>48.396000000000001</v>
      </c>
      <c r="CV8" s="249">
        <f t="shared" si="14"/>
        <v>142.2402429</v>
      </c>
      <c r="CW8" s="12">
        <f t="shared" si="14"/>
        <v>0</v>
      </c>
      <c r="CX8" s="254">
        <f t="shared" si="14"/>
        <v>0</v>
      </c>
      <c r="CY8" s="272">
        <f t="shared" si="14"/>
        <v>0</v>
      </c>
      <c r="CZ8" s="13"/>
      <c r="DA8" s="240">
        <f>(D8+'[2]июнь 20'!D8)/(AY8+'[2]июнь 20'!AX8)</f>
        <v>2.3364491934392082</v>
      </c>
      <c r="DB8" s="241">
        <f>(T8+'[2]июнь 20'!R8)/(AY8+'[2]июнь 20'!AX8)</f>
        <v>1.4129666383754229</v>
      </c>
      <c r="DD8" s="292">
        <f t="shared" si="15"/>
        <v>9.8919999999999995</v>
      </c>
      <c r="DE8" s="291">
        <v>7.0000000000000007E-2</v>
      </c>
      <c r="DF8" s="291">
        <v>13.58</v>
      </c>
      <c r="DG8" s="145">
        <f t="shared" si="16"/>
        <v>9.8850756000000004</v>
      </c>
      <c r="DH8" s="293">
        <f t="shared" ref="DH8:DH37" si="29">IF(AB8=0,0,(DG8*DF8%)/(AB8/100))</f>
        <v>1.7915297831042305</v>
      </c>
      <c r="DJ8" s="322"/>
    </row>
    <row r="9" spans="1:114" s="76" customFormat="1" ht="16.5" customHeight="1" thickBot="1">
      <c r="A9" s="144">
        <v>3</v>
      </c>
      <c r="B9" s="122">
        <f>'[1]июнь 20'!K8</f>
        <v>225.11699999999999</v>
      </c>
      <c r="C9" s="123">
        <f t="shared" si="17"/>
        <v>0.44776849371660071</v>
      </c>
      <c r="D9" s="145">
        <f>B9*((100-C9)/100)</f>
        <v>224.10899700000002</v>
      </c>
      <c r="E9" s="125">
        <f t="shared" si="19"/>
        <v>38.207308244157481</v>
      </c>
      <c r="F9" s="146">
        <f t="shared" si="0"/>
        <v>2.1443784996651041</v>
      </c>
      <c r="G9" s="127"/>
      <c r="H9" s="126">
        <f t="shared" si="20"/>
        <v>1.7133479762702128</v>
      </c>
      <c r="I9" s="230">
        <f>'[1]июль 20'!AI8</f>
        <v>0</v>
      </c>
      <c r="J9" s="247">
        <f>'[1]июнь 20'!AA8</f>
        <v>8.9960000000000004</v>
      </c>
      <c r="K9" s="465">
        <f>'[1]сентябрь 20'!AM8</f>
        <v>0</v>
      </c>
      <c r="L9" s="247">
        <f>'[1]июнь 20'!AE8</f>
        <v>45.046999999999997</v>
      </c>
      <c r="M9" s="469">
        <f t="shared" si="21"/>
        <v>0.4310305233948904</v>
      </c>
      <c r="N9" s="403">
        <f>'[1]июнь 20'!W8</f>
        <v>0</v>
      </c>
      <c r="O9" s="403">
        <f>'[1]июнь 20'!AU8</f>
        <v>0</v>
      </c>
      <c r="P9" s="401">
        <f t="shared" si="1"/>
        <v>134.41200000000001</v>
      </c>
      <c r="Q9" s="122">
        <f>'[1]июнь 20'!S8</f>
        <v>134.41200000000001</v>
      </c>
      <c r="R9" s="123">
        <f t="shared" si="22"/>
        <v>1.36</v>
      </c>
      <c r="S9" s="129">
        <v>9.1</v>
      </c>
      <c r="T9" s="125">
        <f t="shared" si="2"/>
        <v>132.58399680000002</v>
      </c>
      <c r="U9" s="147">
        <f>IF(AY9=0,0,T9/AY9)</f>
        <v>1.2686249813414985</v>
      </c>
      <c r="V9" s="130">
        <v>84.83</v>
      </c>
      <c r="W9" s="130">
        <v>104.51</v>
      </c>
      <c r="X9" s="129">
        <v>0.4</v>
      </c>
      <c r="Y9" s="131">
        <v>510</v>
      </c>
      <c r="Z9" s="131">
        <v>1146</v>
      </c>
      <c r="AA9" s="148" t="s">
        <v>293</v>
      </c>
      <c r="AB9" s="149">
        <v>75.02</v>
      </c>
      <c r="AC9" s="150">
        <v>90</v>
      </c>
      <c r="AD9" s="151">
        <v>4</v>
      </c>
      <c r="AE9" s="149">
        <v>3.5</v>
      </c>
      <c r="AF9" s="134">
        <f t="shared" si="4"/>
        <v>33.489618218352305</v>
      </c>
      <c r="AG9" s="152"/>
      <c r="AH9" s="129">
        <v>68.05</v>
      </c>
      <c r="AI9" s="134">
        <f t="shared" si="5"/>
        <v>651.13386278824987</v>
      </c>
      <c r="AJ9" s="153">
        <v>15.2</v>
      </c>
      <c r="AK9" s="154"/>
      <c r="AL9" s="155">
        <v>5.31</v>
      </c>
      <c r="AM9" s="156">
        <v>24.29</v>
      </c>
      <c r="AN9" s="126">
        <f t="shared" si="23"/>
        <v>0.18311345646437993</v>
      </c>
      <c r="AO9" s="157" t="s">
        <v>296</v>
      </c>
      <c r="AP9" s="156">
        <v>9</v>
      </c>
      <c r="AQ9" s="156">
        <v>7.13</v>
      </c>
      <c r="AR9" s="149"/>
      <c r="AS9" s="149">
        <v>8.82</v>
      </c>
      <c r="AT9" s="149">
        <v>132.65</v>
      </c>
      <c r="AU9" s="149">
        <v>1.46</v>
      </c>
      <c r="AV9" s="149"/>
      <c r="AW9" s="149"/>
      <c r="AX9" s="158">
        <f t="shared" si="6"/>
        <v>0</v>
      </c>
      <c r="AY9" s="125">
        <f t="shared" si="7"/>
        <v>104.51</v>
      </c>
      <c r="AZ9" s="125">
        <f t="shared" si="24"/>
        <v>101.63449480766641</v>
      </c>
      <c r="BA9" s="159">
        <f t="shared" si="8"/>
        <v>4.6494443661971827</v>
      </c>
      <c r="BB9" s="160">
        <f t="shared" si="9"/>
        <v>4.1804000000000006</v>
      </c>
      <c r="BC9" s="161">
        <f t="shared" si="10"/>
        <v>0.9156493121570819</v>
      </c>
      <c r="BD9" s="160">
        <f t="shared" si="25"/>
        <v>8.8298443661971824</v>
      </c>
      <c r="BE9" s="162">
        <v>0.89400000000000002</v>
      </c>
      <c r="BF9" s="25">
        <f t="shared" si="26"/>
        <v>308.05</v>
      </c>
      <c r="BG9" s="25">
        <f t="shared" si="11"/>
        <v>110</v>
      </c>
      <c r="BH9" s="25">
        <f t="shared" si="27"/>
        <v>330</v>
      </c>
      <c r="BI9" s="26">
        <f t="shared" si="12"/>
        <v>1</v>
      </c>
      <c r="BJ9" s="37">
        <f t="shared" si="28"/>
        <v>330</v>
      </c>
      <c r="BK9" s="38"/>
      <c r="BL9" s="31">
        <v>107.99299999999999</v>
      </c>
      <c r="BM9" s="31">
        <v>58.552</v>
      </c>
      <c r="BN9" s="31"/>
      <c r="BO9" s="40"/>
      <c r="BP9" s="40">
        <v>13.525</v>
      </c>
      <c r="BQ9" s="32">
        <v>45.046999999999997</v>
      </c>
      <c r="BR9" s="33"/>
      <c r="BS9" s="34">
        <v>0.59</v>
      </c>
      <c r="BT9" s="35">
        <v>0.34</v>
      </c>
      <c r="BU9" s="28"/>
      <c r="BV9" s="287"/>
      <c r="BW9" s="287">
        <v>1.27</v>
      </c>
      <c r="BX9" s="36"/>
      <c r="BY9" s="33"/>
      <c r="BZ9" s="34">
        <v>37.119999999999997</v>
      </c>
      <c r="CA9" s="35">
        <v>38.729999999999997</v>
      </c>
      <c r="CB9" s="35"/>
      <c r="CC9" s="235"/>
      <c r="CD9" s="235">
        <v>28.93</v>
      </c>
      <c r="CE9" s="36">
        <v>42.92</v>
      </c>
      <c r="CF9" s="30">
        <v>134.41200000000001</v>
      </c>
      <c r="CG9" s="30"/>
      <c r="CH9" s="31"/>
      <c r="CI9" s="32"/>
      <c r="CJ9" s="33">
        <v>1.36</v>
      </c>
      <c r="CK9" s="33"/>
      <c r="CL9" s="35"/>
      <c r="CM9" s="36"/>
      <c r="CN9" s="286"/>
      <c r="CO9" s="249">
        <f t="shared" si="13"/>
        <v>0</v>
      </c>
      <c r="CP9" s="12">
        <f t="shared" si="13"/>
        <v>107.35584129999999</v>
      </c>
      <c r="CQ9" s="12">
        <f t="shared" si="13"/>
        <v>58.352923199999992</v>
      </c>
      <c r="CR9" s="12">
        <f t="shared" si="13"/>
        <v>0</v>
      </c>
      <c r="CS9" s="11">
        <f t="shared" si="13"/>
        <v>0</v>
      </c>
      <c r="CT9" s="11">
        <f t="shared" si="13"/>
        <v>13.353232500000001</v>
      </c>
      <c r="CU9" s="272">
        <f t="shared" si="13"/>
        <v>45.046999999999997</v>
      </c>
      <c r="CV9" s="249">
        <f t="shared" si="14"/>
        <v>132.58399680000002</v>
      </c>
      <c r="CW9" s="251">
        <f t="shared" si="14"/>
        <v>0</v>
      </c>
      <c r="CX9" s="249">
        <f t="shared" si="14"/>
        <v>0</v>
      </c>
      <c r="CY9" s="272">
        <f t="shared" si="14"/>
        <v>0</v>
      </c>
      <c r="CZ9" s="13"/>
      <c r="DA9" s="240">
        <f>(D9+'[2]июнь 20'!D9)/(AY9+'[2]июнь 20'!AX9)</f>
        <v>2.2160196085042947</v>
      </c>
      <c r="DB9" s="241">
        <f>(T9+'[2]июнь 20'!R9)/(AY9+'[2]июнь 20'!AX9)</f>
        <v>1.3284020614751189</v>
      </c>
      <c r="DD9" s="292">
        <f t="shared" si="15"/>
        <v>8.9960000000000004</v>
      </c>
      <c r="DE9" s="291">
        <v>0.03</v>
      </c>
      <c r="DF9" s="291">
        <v>16.62</v>
      </c>
      <c r="DG9" s="145">
        <f t="shared" si="16"/>
        <v>8.9933012000000012</v>
      </c>
      <c r="DH9" s="293">
        <f t="shared" si="29"/>
        <v>1.9923842434550791</v>
      </c>
      <c r="DJ9" s="322"/>
    </row>
    <row r="10" spans="1:114" s="76" customFormat="1" ht="16.5" customHeight="1" thickBot="1">
      <c r="A10" s="144">
        <v>4</v>
      </c>
      <c r="B10" s="122">
        <f>'[1]июнь 20'!K9</f>
        <v>227.25200000000001</v>
      </c>
      <c r="C10" s="123">
        <f t="shared" si="17"/>
        <v>0.23822650625737066</v>
      </c>
      <c r="D10" s="145">
        <f t="shared" si="18"/>
        <v>226.71062549999999</v>
      </c>
      <c r="E10" s="125">
        <f>IF(B10=0,0,(BK10*BY10+BL10*BZ10+BM10*CA10+BQ10*CE10+BN10*CB10+BO10*CC10+BP10*CD10)/B10)</f>
        <v>38.043625974688894</v>
      </c>
      <c r="F10" s="146">
        <f t="shared" si="0"/>
        <v>2.0085994994241161</v>
      </c>
      <c r="G10" s="127"/>
      <c r="H10" s="126">
        <f t="shared" si="20"/>
        <v>1.6054720076193849</v>
      </c>
      <c r="I10" s="230">
        <f>'[1]июль 20'!AI9</f>
        <v>0</v>
      </c>
      <c r="J10" s="247">
        <f>'[1]июнь 20'!AA9</f>
        <v>9.17</v>
      </c>
      <c r="K10" s="466">
        <f>'[1]сентябрь 20'!AM9</f>
        <v>0</v>
      </c>
      <c r="L10" s="247">
        <f>'[1]июнь 20'!AE9</f>
        <v>45.500999999999998</v>
      </c>
      <c r="M10" s="470">
        <f t="shared" si="21"/>
        <v>0.40312749180473106</v>
      </c>
      <c r="N10" s="403">
        <f>'[1]июнь 20'!W9</f>
        <v>0</v>
      </c>
      <c r="O10" s="403">
        <f>'[1]июнь 20'!AU9</f>
        <v>0</v>
      </c>
      <c r="P10" s="401">
        <f t="shared" si="1"/>
        <v>139.62899999999999</v>
      </c>
      <c r="Q10" s="122">
        <f>'[1]июнь 20'!S9</f>
        <v>139.62899999999999</v>
      </c>
      <c r="R10" s="123">
        <f t="shared" si="22"/>
        <v>1.39</v>
      </c>
      <c r="S10" s="129">
        <v>1.92</v>
      </c>
      <c r="T10" s="125">
        <f t="shared" si="2"/>
        <v>137.6881569</v>
      </c>
      <c r="U10" s="147">
        <f t="shared" si="3"/>
        <v>1.2198826694427216</v>
      </c>
      <c r="V10" s="130">
        <v>60.08</v>
      </c>
      <c r="W10" s="130">
        <v>112.87</v>
      </c>
      <c r="X10" s="129">
        <v>0.55000000000000004</v>
      </c>
      <c r="Y10" s="131">
        <v>529</v>
      </c>
      <c r="Z10" s="131">
        <v>1161</v>
      </c>
      <c r="AA10" s="148" t="s">
        <v>297</v>
      </c>
      <c r="AB10" s="149">
        <v>75.06</v>
      </c>
      <c r="AC10" s="150">
        <v>91</v>
      </c>
      <c r="AD10" s="151">
        <v>4</v>
      </c>
      <c r="AE10" s="149">
        <v>4.7</v>
      </c>
      <c r="AF10" s="134">
        <f t="shared" si="4"/>
        <v>41.640825728714447</v>
      </c>
      <c r="AG10" s="152"/>
      <c r="AH10" s="129">
        <v>67.95</v>
      </c>
      <c r="AI10" s="134">
        <f t="shared" si="5"/>
        <v>602.02002303535039</v>
      </c>
      <c r="AJ10" s="153">
        <v>12.29</v>
      </c>
      <c r="AK10" s="154"/>
      <c r="AL10" s="155">
        <v>3.94</v>
      </c>
      <c r="AM10" s="156">
        <v>23.17</v>
      </c>
      <c r="AN10" s="126">
        <f t="shared" si="23"/>
        <v>0.16802030456852793</v>
      </c>
      <c r="AO10" s="157" t="s">
        <v>153</v>
      </c>
      <c r="AP10" s="156">
        <v>9.31</v>
      </c>
      <c r="AQ10" s="156">
        <v>7.23</v>
      </c>
      <c r="AR10" s="149"/>
      <c r="AS10" s="149">
        <v>7.24</v>
      </c>
      <c r="AT10" s="149">
        <v>137.9</v>
      </c>
      <c r="AU10" s="149">
        <v>2.08</v>
      </c>
      <c r="AV10" s="149"/>
      <c r="AW10" s="149"/>
      <c r="AX10" s="158">
        <f t="shared" si="6"/>
        <v>0</v>
      </c>
      <c r="AY10" s="125">
        <f>AT10-AL10-AM10+AV10+AW10+AU10</f>
        <v>112.87</v>
      </c>
      <c r="AZ10" s="125">
        <f t="shared" si="24"/>
        <v>102.52678158088897</v>
      </c>
      <c r="BA10" s="159">
        <f t="shared" si="8"/>
        <v>3.8109422535211266</v>
      </c>
      <c r="BB10" s="160">
        <f t="shared" si="9"/>
        <v>4.5148000000000001</v>
      </c>
      <c r="BC10" s="161">
        <f t="shared" si="10"/>
        <v>0.98227548805376808</v>
      </c>
      <c r="BD10" s="160">
        <f t="shared" si="25"/>
        <v>8.3257422535211276</v>
      </c>
      <c r="BE10" s="162">
        <v>0.91600000000000004</v>
      </c>
      <c r="BF10" s="25">
        <f t="shared" si="26"/>
        <v>420.92</v>
      </c>
      <c r="BG10" s="25">
        <f t="shared" si="11"/>
        <v>110</v>
      </c>
      <c r="BH10" s="25">
        <f t="shared" si="27"/>
        <v>440</v>
      </c>
      <c r="BI10" s="26">
        <f t="shared" si="12"/>
        <v>1</v>
      </c>
      <c r="BJ10" s="37">
        <f t="shared" si="28"/>
        <v>440</v>
      </c>
      <c r="BK10" s="38"/>
      <c r="BL10" s="31">
        <v>109.098</v>
      </c>
      <c r="BM10" s="31">
        <v>59.216999999999999</v>
      </c>
      <c r="BN10" s="31"/>
      <c r="BO10" s="40"/>
      <c r="BP10" s="40">
        <v>13.436</v>
      </c>
      <c r="BQ10" s="32">
        <v>45.500999999999998</v>
      </c>
      <c r="BR10" s="33"/>
      <c r="BS10" s="34">
        <v>0.26</v>
      </c>
      <c r="BT10" s="35">
        <v>0.28999999999999998</v>
      </c>
      <c r="BU10" s="28"/>
      <c r="BV10" s="287"/>
      <c r="BW10" s="287">
        <v>0.64</v>
      </c>
      <c r="BX10" s="36"/>
      <c r="BY10" s="33"/>
      <c r="BZ10" s="34">
        <v>37</v>
      </c>
      <c r="CA10" s="35">
        <v>37.24</v>
      </c>
      <c r="CB10" s="35"/>
      <c r="CC10" s="235"/>
      <c r="CD10" s="235">
        <v>32.97</v>
      </c>
      <c r="CE10" s="36">
        <v>43.09</v>
      </c>
      <c r="CF10" s="30">
        <v>139.62899999999999</v>
      </c>
      <c r="CG10" s="30"/>
      <c r="CH10" s="31"/>
      <c r="CI10" s="32"/>
      <c r="CJ10" s="33">
        <v>1.39</v>
      </c>
      <c r="CK10" s="33"/>
      <c r="CL10" s="35"/>
      <c r="CM10" s="36"/>
      <c r="CN10" s="286"/>
      <c r="CO10" s="249">
        <f t="shared" si="13"/>
        <v>0</v>
      </c>
      <c r="CP10" s="12">
        <f t="shared" si="13"/>
        <v>108.81434519999999</v>
      </c>
      <c r="CQ10" s="12">
        <f t="shared" si="13"/>
        <v>59.045270699999996</v>
      </c>
      <c r="CR10" s="14">
        <f t="shared" si="13"/>
        <v>0</v>
      </c>
      <c r="CS10" s="11">
        <f t="shared" si="13"/>
        <v>0</v>
      </c>
      <c r="CT10" s="11">
        <f t="shared" si="13"/>
        <v>13.3500096</v>
      </c>
      <c r="CU10" s="272">
        <f t="shared" si="13"/>
        <v>45.500999999999998</v>
      </c>
      <c r="CV10" s="249">
        <f t="shared" si="14"/>
        <v>137.6881569</v>
      </c>
      <c r="CW10" s="12">
        <f t="shared" si="14"/>
        <v>0</v>
      </c>
      <c r="CX10" s="249">
        <f t="shared" si="14"/>
        <v>0</v>
      </c>
      <c r="CY10" s="272">
        <f t="shared" si="14"/>
        <v>0</v>
      </c>
      <c r="CZ10" s="13"/>
      <c r="DA10" s="240">
        <f>(D10+'[2]июнь 20'!D10)/(AY10+'[2]июнь 20'!AX10)</f>
        <v>2.0894634550561797</v>
      </c>
      <c r="DB10" s="241">
        <f>(T10+'[2]июнь 20'!R10)/(AY10+'[2]июнь 20'!AX10)</f>
        <v>1.2671092138097724</v>
      </c>
      <c r="DD10" s="292">
        <f t="shared" si="15"/>
        <v>9.17</v>
      </c>
      <c r="DE10" s="291">
        <v>0.13</v>
      </c>
      <c r="DF10" s="291">
        <v>18.14</v>
      </c>
      <c r="DG10" s="145">
        <f t="shared" si="16"/>
        <v>9.1580790000000007</v>
      </c>
      <c r="DH10" s="293">
        <f t="shared" si="29"/>
        <v>2.2132634300559553</v>
      </c>
      <c r="DJ10" s="322"/>
    </row>
    <row r="11" spans="1:114" s="76" customFormat="1" ht="16.5" customHeight="1" thickBot="1">
      <c r="A11" s="144">
        <v>5</v>
      </c>
      <c r="B11" s="122">
        <f>'[1]июнь 20'!K10</f>
        <v>235.114</v>
      </c>
      <c r="C11" s="123">
        <f t="shared" si="17"/>
        <v>0.25533379552047097</v>
      </c>
      <c r="D11" s="145">
        <f t="shared" si="18"/>
        <v>234.51367450000001</v>
      </c>
      <c r="E11" s="125">
        <f t="shared" si="19"/>
        <v>38.763679831911325</v>
      </c>
      <c r="F11" s="146">
        <f t="shared" si="0"/>
        <v>2.2294293611560034</v>
      </c>
      <c r="G11" s="127"/>
      <c r="H11" s="126">
        <f t="shared" si="20"/>
        <v>1.7358273077288717</v>
      </c>
      <c r="I11" s="230">
        <f>'[1]июль 20'!AI10</f>
        <v>0</v>
      </c>
      <c r="J11" s="247">
        <f>'[1]июнь 20'!AA10</f>
        <v>9.6319999999999997</v>
      </c>
      <c r="K11" s="464">
        <f>'[1]сентябрь 20'!AM10</f>
        <v>0</v>
      </c>
      <c r="L11" s="247">
        <f>'[1]июнь 20'!AE10</f>
        <v>51.921999999999997</v>
      </c>
      <c r="M11" s="468">
        <f t="shared" si="21"/>
        <v>0.49360205342713181</v>
      </c>
      <c r="N11" s="403">
        <f>'[1]июнь 20'!W10</f>
        <v>0</v>
      </c>
      <c r="O11" s="403">
        <f>'[1]июнь 20'!AU10</f>
        <v>0</v>
      </c>
      <c r="P11" s="401">
        <f t="shared" si="1"/>
        <v>140.721</v>
      </c>
      <c r="Q11" s="122">
        <f>'[1]июнь 20'!S10</f>
        <v>140.721</v>
      </c>
      <c r="R11" s="123">
        <f t="shared" si="22"/>
        <v>1.44</v>
      </c>
      <c r="S11" s="129">
        <v>21.08</v>
      </c>
      <c r="T11" s="125">
        <f t="shared" si="2"/>
        <v>138.69461760000002</v>
      </c>
      <c r="U11" s="147">
        <f t="shared" si="3"/>
        <v>1.3185152352885257</v>
      </c>
      <c r="V11" s="130">
        <v>30.1</v>
      </c>
      <c r="W11" s="130">
        <v>55.48</v>
      </c>
      <c r="X11" s="129">
        <v>1.07</v>
      </c>
      <c r="Y11" s="131">
        <v>541</v>
      </c>
      <c r="Z11" s="131">
        <v>1156</v>
      </c>
      <c r="AA11" s="148" t="s">
        <v>276</v>
      </c>
      <c r="AB11" s="149">
        <v>74.56</v>
      </c>
      <c r="AC11" s="150">
        <v>94</v>
      </c>
      <c r="AD11" s="151">
        <v>4</v>
      </c>
      <c r="AE11" s="149">
        <v>3.85</v>
      </c>
      <c r="AF11" s="134">
        <f t="shared" si="4"/>
        <v>36.600437303926228</v>
      </c>
      <c r="AG11" s="152"/>
      <c r="AH11" s="129">
        <v>60.35</v>
      </c>
      <c r="AI11" s="134">
        <f t="shared" si="5"/>
        <v>573.72373799790853</v>
      </c>
      <c r="AJ11" s="163">
        <v>12.98</v>
      </c>
      <c r="AK11" s="154"/>
      <c r="AL11" s="155">
        <v>5.21</v>
      </c>
      <c r="AM11" s="156">
        <v>24.77</v>
      </c>
      <c r="AN11" s="126">
        <f t="shared" si="23"/>
        <v>0.18485074626865672</v>
      </c>
      <c r="AO11" s="157" t="s">
        <v>298</v>
      </c>
      <c r="AP11" s="156">
        <v>10.26</v>
      </c>
      <c r="AQ11" s="156">
        <v>7.27</v>
      </c>
      <c r="AR11" s="149"/>
      <c r="AS11" s="149">
        <v>5.42</v>
      </c>
      <c r="AT11" s="149">
        <v>134</v>
      </c>
      <c r="AU11" s="149">
        <v>1.17</v>
      </c>
      <c r="AV11" s="149"/>
      <c r="AW11" s="149"/>
      <c r="AX11" s="158">
        <f t="shared" si="6"/>
        <v>0</v>
      </c>
      <c r="AY11" s="125">
        <f t="shared" si="7"/>
        <v>105.19</v>
      </c>
      <c r="AZ11" s="125">
        <f t="shared" si="24"/>
        <v>108.35216184585083</v>
      </c>
      <c r="BA11" s="159">
        <f t="shared" si="8"/>
        <v>2.5338499999999997</v>
      </c>
      <c r="BB11" s="160">
        <f t="shared" si="9"/>
        <v>4.2076000000000002</v>
      </c>
      <c r="BC11" s="161">
        <f t="shared" si="10"/>
        <v>0.86275440443072959</v>
      </c>
      <c r="BD11" s="160">
        <f t="shared" si="25"/>
        <v>6.7414500000000004</v>
      </c>
      <c r="BE11" s="162">
        <v>0.90500000000000003</v>
      </c>
      <c r="BF11" s="25">
        <f t="shared" si="26"/>
        <v>526.11</v>
      </c>
      <c r="BG11" s="25">
        <f t="shared" si="11"/>
        <v>110</v>
      </c>
      <c r="BH11" s="25">
        <f t="shared" si="27"/>
        <v>550</v>
      </c>
      <c r="BI11" s="26">
        <f t="shared" si="12"/>
        <v>1</v>
      </c>
      <c r="BJ11" s="37">
        <f t="shared" si="28"/>
        <v>550</v>
      </c>
      <c r="BK11" s="38"/>
      <c r="BL11" s="31">
        <v>107.898</v>
      </c>
      <c r="BM11" s="31">
        <v>61.167000000000002</v>
      </c>
      <c r="BN11" s="31"/>
      <c r="BO11" s="40"/>
      <c r="BP11" s="40">
        <v>14.127000000000001</v>
      </c>
      <c r="BQ11" s="32">
        <v>51.921999999999997</v>
      </c>
      <c r="BR11" s="33"/>
      <c r="BS11" s="34">
        <v>0.33</v>
      </c>
      <c r="BT11" s="35">
        <v>0.27</v>
      </c>
      <c r="BU11" s="28"/>
      <c r="BV11" s="287"/>
      <c r="BW11" s="287">
        <v>0.56000000000000005</v>
      </c>
      <c r="BX11" s="36"/>
      <c r="BY11" s="33"/>
      <c r="BZ11" s="34">
        <v>36.840000000000003</v>
      </c>
      <c r="CA11" s="35">
        <v>39.19</v>
      </c>
      <c r="CB11" s="35"/>
      <c r="CC11" s="235"/>
      <c r="CD11" s="235">
        <v>35.93</v>
      </c>
      <c r="CE11" s="36">
        <v>43.03</v>
      </c>
      <c r="CF11" s="30">
        <v>140.721</v>
      </c>
      <c r="CG11" s="30"/>
      <c r="CH11" s="31"/>
      <c r="CI11" s="32"/>
      <c r="CJ11" s="33">
        <v>1.44</v>
      </c>
      <c r="CK11" s="33"/>
      <c r="CL11" s="35"/>
      <c r="CM11" s="36"/>
      <c r="CN11" s="286"/>
      <c r="CO11" s="249">
        <f t="shared" si="13"/>
        <v>0</v>
      </c>
      <c r="CP11" s="12">
        <f t="shared" si="13"/>
        <v>107.5419366</v>
      </c>
      <c r="CQ11" s="15">
        <f t="shared" si="13"/>
        <v>61.001849100000008</v>
      </c>
      <c r="CR11" s="16">
        <f t="shared" si="13"/>
        <v>0</v>
      </c>
      <c r="CS11" s="11">
        <f t="shared" si="13"/>
        <v>0</v>
      </c>
      <c r="CT11" s="11">
        <f t="shared" si="13"/>
        <v>14.047888800000001</v>
      </c>
      <c r="CU11" s="272">
        <f t="shared" si="13"/>
        <v>51.921999999999997</v>
      </c>
      <c r="CV11" s="249">
        <f t="shared" si="14"/>
        <v>138.69461760000002</v>
      </c>
      <c r="CW11" s="12">
        <f t="shared" si="14"/>
        <v>0</v>
      </c>
      <c r="CX11" s="249">
        <f t="shared" si="14"/>
        <v>0</v>
      </c>
      <c r="CY11" s="272">
        <f t="shared" si="14"/>
        <v>0</v>
      </c>
      <c r="CZ11" s="13"/>
      <c r="DA11" s="240">
        <f>(D11+'[2]июнь 20'!D11)/(AY11+'[2]июнь 20'!AX11)</f>
        <v>2.1609488693484269</v>
      </c>
      <c r="DB11" s="241">
        <f>(T11+'[2]июнь 20'!R11)/(AY11+'[2]июнь 20'!AX11)</f>
        <v>1.2948070130045146</v>
      </c>
      <c r="DD11" s="292">
        <f t="shared" si="15"/>
        <v>9.6319999999999997</v>
      </c>
      <c r="DE11" s="291">
        <v>0.08</v>
      </c>
      <c r="DF11" s="407">
        <v>14.82</v>
      </c>
      <c r="DG11" s="145">
        <f t="shared" si="16"/>
        <v>9.6242944000000001</v>
      </c>
      <c r="DH11" s="293">
        <f t="shared" si="29"/>
        <v>1.9129834094420601</v>
      </c>
      <c r="DJ11" s="322"/>
    </row>
    <row r="12" spans="1:114" s="76" customFormat="1" ht="16.5" customHeight="1" thickBot="1">
      <c r="A12" s="144">
        <v>6</v>
      </c>
      <c r="B12" s="122">
        <f>'[1]июнь 20'!K11</f>
        <v>214.93199999999999</v>
      </c>
      <c r="C12" s="123">
        <f t="shared" si="17"/>
        <v>0.14757653583458957</v>
      </c>
      <c r="D12" s="145">
        <f t="shared" si="18"/>
        <v>214.61481079999999</v>
      </c>
      <c r="E12" s="125">
        <f t="shared" si="19"/>
        <v>38.460299676176653</v>
      </c>
      <c r="F12" s="146">
        <f t="shared" si="0"/>
        <v>1.9791111287347845</v>
      </c>
      <c r="G12" s="127"/>
      <c r="H12" s="126">
        <f t="shared" si="20"/>
        <v>1.5035024972334936</v>
      </c>
      <c r="I12" s="230">
        <f>'[1]июль 20'!AI11</f>
        <v>0</v>
      </c>
      <c r="J12" s="247">
        <f>'[1]июнь 20'!AA11</f>
        <v>8.59</v>
      </c>
      <c r="K12" s="465">
        <f>'[1]сентябрь 20'!AM11</f>
        <v>0</v>
      </c>
      <c r="L12" s="247">
        <f>'[1]июнь 20'!AE11</f>
        <v>51.575000000000003</v>
      </c>
      <c r="M12" s="469">
        <f t="shared" si="21"/>
        <v>0.47560863150129112</v>
      </c>
      <c r="N12" s="403">
        <f>'[1]июнь 20'!W11</f>
        <v>0</v>
      </c>
      <c r="O12" s="403">
        <f>'[1]июнь 20'!AU11</f>
        <v>0</v>
      </c>
      <c r="P12" s="401">
        <f t="shared" si="1"/>
        <v>128.69900000000001</v>
      </c>
      <c r="Q12" s="122">
        <f>'[1]июнь 20'!S11</f>
        <v>128.69900000000001</v>
      </c>
      <c r="R12" s="123">
        <f t="shared" si="22"/>
        <v>1.41</v>
      </c>
      <c r="S12" s="129">
        <v>7.24</v>
      </c>
      <c r="T12" s="125">
        <f t="shared" si="2"/>
        <v>126.88434410000001</v>
      </c>
      <c r="U12" s="147">
        <f t="shared" si="3"/>
        <v>1.1700880127259317</v>
      </c>
      <c r="V12" s="130"/>
      <c r="W12" s="130">
        <v>108.44</v>
      </c>
      <c r="X12" s="129">
        <v>0.37</v>
      </c>
      <c r="Y12" s="131">
        <v>577</v>
      </c>
      <c r="Z12" s="150">
        <v>1150</v>
      </c>
      <c r="AA12" s="148" t="s">
        <v>299</v>
      </c>
      <c r="AB12" s="149">
        <v>73.95</v>
      </c>
      <c r="AC12" s="150">
        <v>86</v>
      </c>
      <c r="AD12" s="151">
        <v>4</v>
      </c>
      <c r="AE12" s="149">
        <v>5.2</v>
      </c>
      <c r="AF12" s="134">
        <f t="shared" si="4"/>
        <v>47.95278495020289</v>
      </c>
      <c r="AG12" s="152"/>
      <c r="AH12" s="129">
        <v>68.25</v>
      </c>
      <c r="AI12" s="134">
        <f t="shared" si="5"/>
        <v>629.38030247141285</v>
      </c>
      <c r="AJ12" s="153">
        <v>10.08</v>
      </c>
      <c r="AK12" s="154"/>
      <c r="AL12" s="155">
        <v>3.8</v>
      </c>
      <c r="AM12" s="156">
        <v>24.48</v>
      </c>
      <c r="AN12" s="126">
        <f t="shared" si="23"/>
        <v>0.18086442556335428</v>
      </c>
      <c r="AO12" s="157" t="s">
        <v>300</v>
      </c>
      <c r="AP12" s="156">
        <v>9.43</v>
      </c>
      <c r="AQ12" s="156">
        <v>7.24</v>
      </c>
      <c r="AR12" s="149"/>
      <c r="AS12" s="149">
        <v>6.98</v>
      </c>
      <c r="AT12" s="149">
        <v>135.35</v>
      </c>
      <c r="AU12" s="149">
        <v>1.37</v>
      </c>
      <c r="AV12" s="164"/>
      <c r="AW12" s="164"/>
      <c r="AX12" s="158">
        <f t="shared" si="6"/>
        <v>0</v>
      </c>
      <c r="AY12" s="125">
        <f t="shared" si="7"/>
        <v>108.43999999999998</v>
      </c>
      <c r="AZ12" s="125">
        <f t="shared" si="24"/>
        <v>98.708914054335082</v>
      </c>
      <c r="BA12" s="159">
        <f t="shared" si="8"/>
        <v>3.6903063380281691</v>
      </c>
      <c r="BB12" s="160">
        <f t="shared" si="9"/>
        <v>4.3375999999999992</v>
      </c>
      <c r="BC12" s="161">
        <f t="shared" si="10"/>
        <v>0.97152802649936365</v>
      </c>
      <c r="BD12" s="160">
        <f t="shared" si="25"/>
        <v>8.0279063380281688</v>
      </c>
      <c r="BE12" s="162">
        <v>0.91600000000000004</v>
      </c>
      <c r="BF12" s="25">
        <f t="shared" si="26"/>
        <v>634.54999999999995</v>
      </c>
      <c r="BG12" s="25">
        <f t="shared" si="11"/>
        <v>110</v>
      </c>
      <c r="BH12" s="25">
        <f t="shared" si="27"/>
        <v>660</v>
      </c>
      <c r="BI12" s="26">
        <f t="shared" si="12"/>
        <v>1</v>
      </c>
      <c r="BJ12" s="37">
        <f t="shared" si="28"/>
        <v>660</v>
      </c>
      <c r="BK12" s="38"/>
      <c r="BL12" s="31">
        <v>94.540999999999997</v>
      </c>
      <c r="BM12" s="31">
        <v>55.938000000000002</v>
      </c>
      <c r="BN12" s="31"/>
      <c r="BO12" s="40"/>
      <c r="BP12" s="40">
        <v>12.878</v>
      </c>
      <c r="BQ12" s="32">
        <v>51.575000000000003</v>
      </c>
      <c r="BR12" s="33"/>
      <c r="BS12" s="34">
        <v>0.16</v>
      </c>
      <c r="BT12" s="33">
        <v>0.17</v>
      </c>
      <c r="BU12" s="28"/>
      <c r="BV12" s="287"/>
      <c r="BW12" s="287">
        <v>0.55000000000000004</v>
      </c>
      <c r="BX12" s="36"/>
      <c r="BY12" s="33"/>
      <c r="BZ12" s="34">
        <v>36.9</v>
      </c>
      <c r="CA12" s="33">
        <v>38.71</v>
      </c>
      <c r="CB12" s="35"/>
      <c r="CC12" s="235"/>
      <c r="CD12" s="235">
        <v>31.25</v>
      </c>
      <c r="CE12" s="36">
        <v>42.85</v>
      </c>
      <c r="CF12" s="30">
        <v>128.69900000000001</v>
      </c>
      <c r="CG12" s="30"/>
      <c r="CH12" s="31"/>
      <c r="CI12" s="32"/>
      <c r="CJ12" s="33">
        <v>1.41</v>
      </c>
      <c r="CK12" s="33"/>
      <c r="CL12" s="35"/>
      <c r="CM12" s="36"/>
      <c r="CN12" s="286"/>
      <c r="CO12" s="249">
        <f t="shared" si="13"/>
        <v>0</v>
      </c>
      <c r="CP12" s="12">
        <f t="shared" si="13"/>
        <v>94.389734400000009</v>
      </c>
      <c r="CQ12" s="12">
        <f t="shared" si="13"/>
        <v>55.842905399999999</v>
      </c>
      <c r="CR12" s="12">
        <f t="shared" si="13"/>
        <v>0</v>
      </c>
      <c r="CS12" s="11">
        <f t="shared" si="13"/>
        <v>0</v>
      </c>
      <c r="CT12" s="11">
        <f t="shared" si="13"/>
        <v>12.807171</v>
      </c>
      <c r="CU12" s="272">
        <f t="shared" si="13"/>
        <v>51.575000000000003</v>
      </c>
      <c r="CV12" s="249">
        <f t="shared" si="14"/>
        <v>126.88434410000001</v>
      </c>
      <c r="CW12" s="12">
        <f t="shared" si="14"/>
        <v>0</v>
      </c>
      <c r="CX12" s="252">
        <f t="shared" si="14"/>
        <v>0</v>
      </c>
      <c r="CY12" s="272">
        <f t="shared" si="14"/>
        <v>0</v>
      </c>
      <c r="CZ12" s="13"/>
      <c r="DA12" s="240">
        <f>(D12+'[2]июнь 20'!D12)/(AY12+'[2]июнь 20'!AX12)</f>
        <v>2.0718386821088908</v>
      </c>
      <c r="DB12" s="241">
        <f>(T12+'[2]июнь 20'!R12)/(AY12+'[2]июнь 20'!AX12)</f>
        <v>1.2361545021042517</v>
      </c>
      <c r="DD12" s="292">
        <f t="shared" si="15"/>
        <v>8.59</v>
      </c>
      <c r="DE12" s="291">
        <v>7.0000000000000007E-2</v>
      </c>
      <c r="DF12" s="291">
        <v>10.91</v>
      </c>
      <c r="DG12" s="145">
        <f t="shared" si="16"/>
        <v>8.5839870000000005</v>
      </c>
      <c r="DH12" s="293">
        <f t="shared" si="29"/>
        <v>1.266413768356998</v>
      </c>
      <c r="DJ12" s="322"/>
    </row>
    <row r="13" spans="1:114" s="76" customFormat="1" ht="16.5" customHeight="1" thickBot="1">
      <c r="A13" s="144">
        <v>7</v>
      </c>
      <c r="B13" s="122">
        <f>'[1]июнь 20'!K12</f>
        <v>238.10499999999999</v>
      </c>
      <c r="C13" s="123">
        <f t="shared" si="17"/>
        <v>0.29396333550324438</v>
      </c>
      <c r="D13" s="145">
        <f t="shared" si="18"/>
        <v>237.40505859999999</v>
      </c>
      <c r="E13" s="125">
        <f t="shared" si="19"/>
        <v>38.971888998551066</v>
      </c>
      <c r="F13" s="146">
        <f t="shared" si="0"/>
        <v>2.3224912795930348</v>
      </c>
      <c r="G13" s="127">
        <v>17.739999999999998</v>
      </c>
      <c r="H13" s="126">
        <f t="shared" si="20"/>
        <v>1.7901003580512624</v>
      </c>
      <c r="I13" s="230">
        <f>'[1]июль 20'!AI12</f>
        <v>0</v>
      </c>
      <c r="J13" s="247">
        <f>'[1]июнь 20'!AA12</f>
        <v>9.3239999999999998</v>
      </c>
      <c r="K13" s="464">
        <f>'[1]сентябрь 20'!AM12</f>
        <v>0</v>
      </c>
      <c r="L13" s="247">
        <f>'[1]июнь 20'!AE12</f>
        <v>54.420999999999999</v>
      </c>
      <c r="M13" s="468">
        <f t="shared" si="21"/>
        <v>0.5323909215417727</v>
      </c>
      <c r="N13" s="403">
        <f>'[1]июнь 20'!W12</f>
        <v>0</v>
      </c>
      <c r="O13" s="403">
        <f>'[1]июнь 20'!AU12</f>
        <v>0</v>
      </c>
      <c r="P13" s="401">
        <f t="shared" si="1"/>
        <v>141.97200000000001</v>
      </c>
      <c r="Q13" s="122">
        <f>'[1]июнь 20'!S12</f>
        <v>141.97200000000001</v>
      </c>
      <c r="R13" s="123">
        <f t="shared" si="22"/>
        <v>1.37</v>
      </c>
      <c r="S13" s="129">
        <v>16.09</v>
      </c>
      <c r="T13" s="125">
        <f t="shared" si="2"/>
        <v>140.02698359999999</v>
      </c>
      <c r="U13" s="147">
        <f t="shared" si="3"/>
        <v>1.3698589669340639</v>
      </c>
      <c r="V13" s="130"/>
      <c r="W13" s="130">
        <v>77.459999999999994</v>
      </c>
      <c r="X13" s="129">
        <v>0.8</v>
      </c>
      <c r="Y13" s="165">
        <v>547</v>
      </c>
      <c r="Z13" s="166">
        <v>1146</v>
      </c>
      <c r="AA13" s="148" t="s">
        <v>301</v>
      </c>
      <c r="AB13" s="149">
        <v>74.56</v>
      </c>
      <c r="AC13" s="150">
        <v>95</v>
      </c>
      <c r="AD13" s="151">
        <v>4</v>
      </c>
      <c r="AE13" s="149">
        <v>5.15</v>
      </c>
      <c r="AF13" s="134">
        <f t="shared" si="4"/>
        <v>50.381530033261605</v>
      </c>
      <c r="AG13" s="152"/>
      <c r="AH13" s="129">
        <v>62.95</v>
      </c>
      <c r="AI13" s="134">
        <f t="shared" si="5"/>
        <v>615.82860496967339</v>
      </c>
      <c r="AJ13" s="136">
        <v>11.03</v>
      </c>
      <c r="AK13" s="154"/>
      <c r="AL13" s="155">
        <v>6.6</v>
      </c>
      <c r="AM13" s="156">
        <v>26.51</v>
      </c>
      <c r="AN13" s="126">
        <f t="shared" si="23"/>
        <v>0.19754098360655742</v>
      </c>
      <c r="AO13" s="157" t="s">
        <v>229</v>
      </c>
      <c r="AP13" s="156">
        <v>9.67</v>
      </c>
      <c r="AQ13" s="156">
        <v>6.9</v>
      </c>
      <c r="AR13" s="149"/>
      <c r="AS13" s="149">
        <v>6.18</v>
      </c>
      <c r="AT13" s="149">
        <v>134.19999999999999</v>
      </c>
      <c r="AU13" s="149">
        <v>1.1299999999999999</v>
      </c>
      <c r="AV13" s="149"/>
      <c r="AW13" s="149"/>
      <c r="AX13" s="158">
        <f t="shared" si="6"/>
        <v>0</v>
      </c>
      <c r="AY13" s="125">
        <f t="shared" si="7"/>
        <v>102.21999999999998</v>
      </c>
      <c r="AZ13" s="125">
        <f t="shared" si="24"/>
        <v>109.87688186012726</v>
      </c>
      <c r="BA13" s="159">
        <f t="shared" si="8"/>
        <v>3.0136204225352112</v>
      </c>
      <c r="BB13" s="160">
        <f t="shared" si="9"/>
        <v>4.0887999999999991</v>
      </c>
      <c r="BC13" s="161">
        <f t="shared" si="10"/>
        <v>0.82375933748227104</v>
      </c>
      <c r="BD13" s="160">
        <f t="shared" si="25"/>
        <v>7.1024204225352108</v>
      </c>
      <c r="BE13" s="162">
        <v>0.90200000000000002</v>
      </c>
      <c r="BF13" s="25">
        <f t="shared" si="26"/>
        <v>736.77</v>
      </c>
      <c r="BG13" s="25">
        <f t="shared" si="11"/>
        <v>110</v>
      </c>
      <c r="BH13" s="25">
        <f t="shared" si="27"/>
        <v>770</v>
      </c>
      <c r="BI13" s="26">
        <f t="shared" si="12"/>
        <v>1</v>
      </c>
      <c r="BJ13" s="37">
        <f t="shared" si="28"/>
        <v>770</v>
      </c>
      <c r="BK13" s="39"/>
      <c r="BL13" s="40">
        <v>107.468</v>
      </c>
      <c r="BM13" s="325">
        <v>61.77</v>
      </c>
      <c r="BN13" s="31"/>
      <c r="BO13" s="40"/>
      <c r="BP13" s="40">
        <v>14.446</v>
      </c>
      <c r="BQ13" s="32">
        <v>54.420999999999999</v>
      </c>
      <c r="BR13" s="33"/>
      <c r="BS13" s="34">
        <v>0.38</v>
      </c>
      <c r="BT13" s="33">
        <v>0.32</v>
      </c>
      <c r="BU13" s="28"/>
      <c r="BV13" s="287"/>
      <c r="BW13" s="287">
        <v>0.65</v>
      </c>
      <c r="BX13" s="36"/>
      <c r="BY13" s="33"/>
      <c r="BZ13" s="34">
        <v>37.26</v>
      </c>
      <c r="CA13" s="33">
        <v>40.200000000000003</v>
      </c>
      <c r="CB13" s="35"/>
      <c r="CC13" s="235"/>
      <c r="CD13" s="235">
        <v>30.49</v>
      </c>
      <c r="CE13" s="36">
        <v>43.21</v>
      </c>
      <c r="CF13" s="30">
        <v>141.97200000000001</v>
      </c>
      <c r="CG13" s="30"/>
      <c r="CH13" s="30"/>
      <c r="CI13" s="32"/>
      <c r="CJ13" s="33">
        <v>1.37</v>
      </c>
      <c r="CK13" s="33"/>
      <c r="CL13" s="33"/>
      <c r="CM13" s="36"/>
      <c r="CN13" s="286"/>
      <c r="CO13" s="249">
        <f t="shared" si="13"/>
        <v>0</v>
      </c>
      <c r="CP13" s="12">
        <f t="shared" si="13"/>
        <v>107.05962160000001</v>
      </c>
      <c r="CQ13" s="12">
        <f t="shared" si="13"/>
        <v>61.572336000000007</v>
      </c>
      <c r="CR13" s="12">
        <f t="shared" si="13"/>
        <v>0</v>
      </c>
      <c r="CS13" s="11">
        <f t="shared" si="13"/>
        <v>0</v>
      </c>
      <c r="CT13" s="11">
        <f t="shared" si="13"/>
        <v>14.352100999999999</v>
      </c>
      <c r="CU13" s="272">
        <f t="shared" si="13"/>
        <v>54.420999999999999</v>
      </c>
      <c r="CV13" s="249">
        <f t="shared" si="14"/>
        <v>140.02698359999999</v>
      </c>
      <c r="CW13" s="251">
        <f t="shared" si="14"/>
        <v>0</v>
      </c>
      <c r="CX13" s="249">
        <f t="shared" si="14"/>
        <v>0</v>
      </c>
      <c r="CY13" s="272">
        <f t="shared" si="14"/>
        <v>0</v>
      </c>
      <c r="CZ13" s="13"/>
      <c r="DA13" s="240">
        <f>(D13+'[2]июнь 20'!D13)/(AY13+'[2]июнь 20'!AX13)</f>
        <v>2.2534971961942709</v>
      </c>
      <c r="DB13" s="241">
        <f>(T13+'[2]июнь 20'!R13)/(AY13+'[2]июнь 20'!AX13)</f>
        <v>1.3359791976368758</v>
      </c>
      <c r="DD13" s="292">
        <f t="shared" si="15"/>
        <v>9.3239999999999998</v>
      </c>
      <c r="DE13" s="291">
        <v>0.18</v>
      </c>
      <c r="DF13" s="291">
        <v>12.39</v>
      </c>
      <c r="DG13" s="145">
        <f t="shared" si="16"/>
        <v>9.3072167999999991</v>
      </c>
      <c r="DH13" s="293">
        <f t="shared" si="29"/>
        <v>1.5466257531115877</v>
      </c>
      <c r="DJ13" s="322"/>
    </row>
    <row r="14" spans="1:114" s="76" customFormat="1" ht="16.5" customHeight="1" thickBot="1">
      <c r="A14" s="144">
        <v>8</v>
      </c>
      <c r="B14" s="122">
        <f>'[1]июнь 20'!K13</f>
        <v>217.376</v>
      </c>
      <c r="C14" s="123">
        <f t="shared" si="17"/>
        <v>0.38698315361401442</v>
      </c>
      <c r="D14" s="145">
        <f t="shared" si="18"/>
        <v>216.53479150000001</v>
      </c>
      <c r="E14" s="125">
        <f t="shared" si="19"/>
        <v>38.921442477550421</v>
      </c>
      <c r="F14" s="146">
        <f t="shared" si="0"/>
        <v>2.0182196989467802</v>
      </c>
      <c r="G14" s="127"/>
      <c r="H14" s="126">
        <f t="shared" si="20"/>
        <v>1.6127112638642929</v>
      </c>
      <c r="I14" s="230">
        <f>'[1]июль 20'!AI13</f>
        <v>0</v>
      </c>
      <c r="J14" s="247">
        <f>'[1]июнь 20'!AA13</f>
        <v>8.7850000000000001</v>
      </c>
      <c r="K14" s="467">
        <f>'[1]сентябрь 20'!AM13</f>
        <v>0</v>
      </c>
      <c r="L14" s="247">
        <f>'[1]июнь 20'!AE13</f>
        <v>43.506999999999998</v>
      </c>
      <c r="M14" s="471">
        <f t="shared" si="21"/>
        <v>0.40550843508248674</v>
      </c>
      <c r="N14" s="403">
        <f>'[1]июнь 20'!W13</f>
        <v>0</v>
      </c>
      <c r="O14" s="403">
        <f>'[1]июнь 20'!AU13</f>
        <v>0</v>
      </c>
      <c r="P14" s="401">
        <f t="shared" si="1"/>
        <v>129.53299999999999</v>
      </c>
      <c r="Q14" s="122">
        <f>'[1]июнь 20'!S13</f>
        <v>129.53299999999999</v>
      </c>
      <c r="R14" s="123">
        <f t="shared" si="22"/>
        <v>1.4</v>
      </c>
      <c r="S14" s="129">
        <v>17.399999999999999</v>
      </c>
      <c r="T14" s="125">
        <f t="shared" si="2"/>
        <v>127.71953799999999</v>
      </c>
      <c r="U14" s="147">
        <f t="shared" si="3"/>
        <v>1.1904141858514306</v>
      </c>
      <c r="V14" s="130"/>
      <c r="W14" s="130">
        <v>107.29</v>
      </c>
      <c r="X14" s="129">
        <v>0.45</v>
      </c>
      <c r="Y14" s="131">
        <v>575</v>
      </c>
      <c r="Z14" s="150">
        <v>1149</v>
      </c>
      <c r="AA14" s="148" t="s">
        <v>301</v>
      </c>
      <c r="AB14" s="149">
        <v>74.58</v>
      </c>
      <c r="AC14" s="150">
        <v>87</v>
      </c>
      <c r="AD14" s="151">
        <v>4</v>
      </c>
      <c r="AE14" s="149">
        <v>5.35</v>
      </c>
      <c r="AF14" s="134">
        <f t="shared" si="4"/>
        <v>49.864852269549822</v>
      </c>
      <c r="AG14" s="152"/>
      <c r="AH14" s="129">
        <v>71.599999999999994</v>
      </c>
      <c r="AI14" s="134">
        <f t="shared" si="5"/>
        <v>667.35017242986294</v>
      </c>
      <c r="AJ14" s="153">
        <v>9.7799999999999994</v>
      </c>
      <c r="AK14" s="154"/>
      <c r="AL14" s="155">
        <v>4.5599999999999996</v>
      </c>
      <c r="AM14" s="156">
        <v>23.61</v>
      </c>
      <c r="AN14" s="126">
        <f t="shared" si="23"/>
        <v>0.17758555848063182</v>
      </c>
      <c r="AO14" s="157" t="s">
        <v>153</v>
      </c>
      <c r="AP14" s="156">
        <v>9.57</v>
      </c>
      <c r="AQ14" s="156">
        <v>7.45</v>
      </c>
      <c r="AR14" s="149"/>
      <c r="AS14" s="149">
        <v>7.09</v>
      </c>
      <c r="AT14" s="149">
        <v>132.94999999999999</v>
      </c>
      <c r="AU14" s="149">
        <v>2.5099999999999998</v>
      </c>
      <c r="AV14" s="149"/>
      <c r="AW14" s="149"/>
      <c r="AX14" s="158">
        <f t="shared" si="6"/>
        <v>0</v>
      </c>
      <c r="AY14" s="125">
        <f t="shared" si="7"/>
        <v>107.28999999999999</v>
      </c>
      <c r="AZ14" s="125">
        <f t="shared" si="24"/>
        <v>101.26811468265836</v>
      </c>
      <c r="BA14" s="159">
        <f t="shared" si="8"/>
        <v>3.9324535211267602</v>
      </c>
      <c r="BB14" s="160">
        <f t="shared" si="9"/>
        <v>4.2915999999999999</v>
      </c>
      <c r="BC14" s="161">
        <f t="shared" si="10"/>
        <v>0.94943450438894017</v>
      </c>
      <c r="BD14" s="159">
        <f t="shared" si="25"/>
        <v>8.2240535211267591</v>
      </c>
      <c r="BE14" s="167">
        <v>0.90800000000000003</v>
      </c>
      <c r="BF14" s="25">
        <f t="shared" si="26"/>
        <v>844.06</v>
      </c>
      <c r="BG14" s="25">
        <f t="shared" si="11"/>
        <v>110</v>
      </c>
      <c r="BH14" s="25">
        <f t="shared" si="27"/>
        <v>880</v>
      </c>
      <c r="BI14" s="26">
        <f t="shared" si="12"/>
        <v>1</v>
      </c>
      <c r="BJ14" s="37">
        <f t="shared" si="28"/>
        <v>880</v>
      </c>
      <c r="BK14" s="39"/>
      <c r="BL14" s="40">
        <v>104.42700000000001</v>
      </c>
      <c r="BM14" s="325">
        <v>56.582999999999998</v>
      </c>
      <c r="BN14" s="31"/>
      <c r="BO14" s="40"/>
      <c r="BP14" s="40">
        <v>12.859</v>
      </c>
      <c r="BQ14" s="32">
        <v>43.506999999999998</v>
      </c>
      <c r="BR14" s="33"/>
      <c r="BS14" s="34">
        <v>0.56000000000000005</v>
      </c>
      <c r="BT14" s="33">
        <v>0.26</v>
      </c>
      <c r="BU14" s="28"/>
      <c r="BV14" s="287"/>
      <c r="BW14" s="287">
        <v>0.85</v>
      </c>
      <c r="BX14" s="36"/>
      <c r="BY14" s="33"/>
      <c r="BZ14" s="34">
        <v>37.65</v>
      </c>
      <c r="CA14" s="33">
        <v>39.799999999999997</v>
      </c>
      <c r="CB14" s="35"/>
      <c r="CC14" s="235"/>
      <c r="CD14" s="235">
        <v>31.48</v>
      </c>
      <c r="CE14" s="36">
        <v>43.03</v>
      </c>
      <c r="CF14" s="30">
        <v>129.53299999999999</v>
      </c>
      <c r="CG14" s="30"/>
      <c r="CH14" s="30"/>
      <c r="CI14" s="32"/>
      <c r="CJ14" s="33">
        <v>1.4</v>
      </c>
      <c r="CK14" s="33"/>
      <c r="CL14" s="33"/>
      <c r="CM14" s="36"/>
      <c r="CN14" s="286"/>
      <c r="CO14" s="249">
        <f t="shared" si="13"/>
        <v>0</v>
      </c>
      <c r="CP14" s="12">
        <f t="shared" si="13"/>
        <v>103.84220879999999</v>
      </c>
      <c r="CQ14" s="12">
        <f t="shared" si="13"/>
        <v>56.435884199999997</v>
      </c>
      <c r="CR14" s="12">
        <f t="shared" si="13"/>
        <v>0</v>
      </c>
      <c r="CS14" s="11">
        <f t="shared" si="13"/>
        <v>0</v>
      </c>
      <c r="CT14" s="11">
        <f t="shared" si="13"/>
        <v>12.749698500000001</v>
      </c>
      <c r="CU14" s="272">
        <f t="shared" si="13"/>
        <v>43.506999999999998</v>
      </c>
      <c r="CV14" s="249">
        <f t="shared" si="14"/>
        <v>127.71953799999999</v>
      </c>
      <c r="CW14" s="12">
        <f t="shared" si="14"/>
        <v>0</v>
      </c>
      <c r="CX14" s="252">
        <f t="shared" si="14"/>
        <v>0</v>
      </c>
      <c r="CY14" s="272">
        <f t="shared" si="14"/>
        <v>0</v>
      </c>
      <c r="CZ14" s="13"/>
      <c r="DA14" s="240">
        <f>(D14+'[2]июнь 20'!D14)/(AY14+'[2]июнь 20'!AX14)</f>
        <v>2.1473183782070531</v>
      </c>
      <c r="DB14" s="241">
        <f>(T14+'[2]июнь 20'!R14)/(AY14+'[2]июнь 20'!AX14)</f>
        <v>1.2710090347979848</v>
      </c>
      <c r="DD14" s="292">
        <f t="shared" si="15"/>
        <v>8.7850000000000001</v>
      </c>
      <c r="DE14" s="291">
        <v>7.0000000000000007E-2</v>
      </c>
      <c r="DF14" s="291">
        <v>22.22</v>
      </c>
      <c r="DG14" s="145">
        <f t="shared" si="16"/>
        <v>8.7788505000000008</v>
      </c>
      <c r="DH14" s="293">
        <f t="shared" si="29"/>
        <v>2.6155277300884956</v>
      </c>
      <c r="DJ14" s="322"/>
    </row>
    <row r="15" spans="1:114" s="76" customFormat="1" ht="16.5" customHeight="1" thickBot="1">
      <c r="A15" s="144">
        <v>9</v>
      </c>
      <c r="B15" s="122">
        <f>'[1]июнь 20'!K14</f>
        <v>225.34899999999999</v>
      </c>
      <c r="C15" s="123">
        <f t="shared" si="17"/>
        <v>0.26178966846979579</v>
      </c>
      <c r="D15" s="145">
        <f t="shared" si="18"/>
        <v>224.75905959999997</v>
      </c>
      <c r="E15" s="125">
        <f t="shared" si="19"/>
        <v>37.949429018988333</v>
      </c>
      <c r="F15" s="146">
        <f t="shared" si="0"/>
        <v>1.978861239654869</v>
      </c>
      <c r="G15" s="127"/>
      <c r="H15" s="126">
        <f t="shared" si="20"/>
        <v>1.586776365557317</v>
      </c>
      <c r="I15" s="230">
        <f>'[1]июль 20'!AI14</f>
        <v>0</v>
      </c>
      <c r="J15" s="247">
        <f>'[1]июнь 20'!AA14</f>
        <v>9.0180000000000007</v>
      </c>
      <c r="K15" s="465">
        <f>'[1]сентябрь 20'!AM14</f>
        <v>0</v>
      </c>
      <c r="L15" s="247">
        <f>'[1]июнь 20'!AE14</f>
        <v>44.533000000000001</v>
      </c>
      <c r="M15" s="469">
        <f t="shared" si="21"/>
        <v>0.39208487409755249</v>
      </c>
      <c r="N15" s="403">
        <f>'[1]июнь 20'!W14</f>
        <v>0</v>
      </c>
      <c r="O15" s="403">
        <f>'[1]июнь 20'!AU14</f>
        <v>0</v>
      </c>
      <c r="P15" s="401">
        <f t="shared" si="1"/>
        <v>133.63999999999999</v>
      </c>
      <c r="Q15" s="122">
        <f>'[1]июнь 20'!S14</f>
        <v>133.63999999999999</v>
      </c>
      <c r="R15" s="123">
        <f t="shared" si="22"/>
        <v>1.43</v>
      </c>
      <c r="S15" s="129">
        <v>13.93</v>
      </c>
      <c r="T15" s="125">
        <f t="shared" si="2"/>
        <v>131.72894799999997</v>
      </c>
      <c r="U15" s="147">
        <f t="shared" si="3"/>
        <v>1.1597899982391267</v>
      </c>
      <c r="V15" s="130"/>
      <c r="W15" s="130">
        <v>113.58</v>
      </c>
      <c r="X15" s="129">
        <v>0.46</v>
      </c>
      <c r="Y15" s="131">
        <v>529</v>
      </c>
      <c r="Z15" s="150">
        <v>1150</v>
      </c>
      <c r="AA15" s="148" t="s">
        <v>303</v>
      </c>
      <c r="AB15" s="149">
        <v>74.150000000000006</v>
      </c>
      <c r="AC15" s="150">
        <v>90</v>
      </c>
      <c r="AD15" s="151">
        <v>4</v>
      </c>
      <c r="AE15" s="149">
        <v>2.9</v>
      </c>
      <c r="AF15" s="134">
        <f t="shared" si="4"/>
        <v>25.532664201443922</v>
      </c>
      <c r="AG15" s="152"/>
      <c r="AH15" s="129">
        <v>66.599999999999994</v>
      </c>
      <c r="AI15" s="134">
        <f t="shared" si="5"/>
        <v>586.3708399366086</v>
      </c>
      <c r="AJ15" s="136">
        <v>16.09</v>
      </c>
      <c r="AK15" s="154"/>
      <c r="AL15" s="155">
        <v>4.8600000000000003</v>
      </c>
      <c r="AM15" s="156">
        <v>23.83</v>
      </c>
      <c r="AN15" s="126">
        <f t="shared" si="23"/>
        <v>0.16906704505143669</v>
      </c>
      <c r="AO15" s="157" t="s">
        <v>304</v>
      </c>
      <c r="AP15" s="156">
        <v>8.86</v>
      </c>
      <c r="AQ15" s="156">
        <v>7.46</v>
      </c>
      <c r="AR15" s="149"/>
      <c r="AS15" s="149">
        <v>8.19</v>
      </c>
      <c r="AT15" s="149">
        <v>140.94999999999999</v>
      </c>
      <c r="AU15" s="149">
        <v>1.32</v>
      </c>
      <c r="AV15" s="149"/>
      <c r="AW15" s="149"/>
      <c r="AX15" s="158">
        <f t="shared" si="6"/>
        <v>0</v>
      </c>
      <c r="AY15" s="125">
        <f t="shared" si="7"/>
        <v>113.57999999999997</v>
      </c>
      <c r="AZ15" s="125">
        <f t="shared" si="24"/>
        <v>102.88986984200056</v>
      </c>
      <c r="BA15" s="159">
        <f t="shared" si="8"/>
        <v>4.2253478873239434</v>
      </c>
      <c r="BB15" s="160">
        <f t="shared" si="9"/>
        <v>4.5431999999999988</v>
      </c>
      <c r="BC15" s="161">
        <f t="shared" si="10"/>
        <v>0.98739419001564732</v>
      </c>
      <c r="BD15" s="159">
        <f t="shared" si="25"/>
        <v>8.7685478873239422</v>
      </c>
      <c r="BE15" s="167">
        <v>0.91600000000000004</v>
      </c>
      <c r="BF15" s="25">
        <f t="shared" si="26"/>
        <v>957.63999999999987</v>
      </c>
      <c r="BG15" s="25">
        <f t="shared" si="11"/>
        <v>110</v>
      </c>
      <c r="BH15" s="25">
        <f t="shared" si="27"/>
        <v>990</v>
      </c>
      <c r="BI15" s="26">
        <f t="shared" si="12"/>
        <v>1</v>
      </c>
      <c r="BJ15" s="37">
        <f t="shared" si="28"/>
        <v>990</v>
      </c>
      <c r="BK15" s="38"/>
      <c r="BL15" s="42">
        <v>108.17700000000001</v>
      </c>
      <c r="BM15" s="31">
        <v>58.822000000000003</v>
      </c>
      <c r="BN15" s="31"/>
      <c r="BO15" s="40"/>
      <c r="BP15" s="40">
        <v>13.817</v>
      </c>
      <c r="BQ15" s="32">
        <v>44.533000000000001</v>
      </c>
      <c r="BR15" s="33"/>
      <c r="BS15" s="35">
        <v>0.32</v>
      </c>
      <c r="BT15" s="35">
        <v>0.25</v>
      </c>
      <c r="BU15" s="28"/>
      <c r="BV15" s="287"/>
      <c r="BW15" s="287">
        <v>0.7</v>
      </c>
      <c r="BX15" s="36"/>
      <c r="BY15" s="33"/>
      <c r="BZ15" s="34">
        <v>36.96</v>
      </c>
      <c r="CA15" s="35">
        <v>37.81</v>
      </c>
      <c r="CB15" s="35"/>
      <c r="CC15" s="35"/>
      <c r="CD15" s="35">
        <v>29.56</v>
      </c>
      <c r="CE15" s="35">
        <v>43.14</v>
      </c>
      <c r="CF15" s="38">
        <v>133.63999999999999</v>
      </c>
      <c r="CG15" s="30"/>
      <c r="CH15" s="30"/>
      <c r="CI15" s="32"/>
      <c r="CJ15" s="33">
        <v>1.43</v>
      </c>
      <c r="CK15" s="33"/>
      <c r="CL15" s="33"/>
      <c r="CM15" s="36"/>
      <c r="CN15" s="286"/>
      <c r="CO15" s="249">
        <f t="shared" si="13"/>
        <v>0</v>
      </c>
      <c r="CP15" s="12">
        <f t="shared" si="13"/>
        <v>107.83083360000001</v>
      </c>
      <c r="CQ15" s="12">
        <f t="shared" si="13"/>
        <v>58.674945000000008</v>
      </c>
      <c r="CR15" s="17">
        <f t="shared" si="13"/>
        <v>0</v>
      </c>
      <c r="CS15" s="11">
        <f t="shared" si="13"/>
        <v>0</v>
      </c>
      <c r="CT15" s="11">
        <f t="shared" si="13"/>
        <v>13.720281</v>
      </c>
      <c r="CU15" s="272">
        <f t="shared" si="13"/>
        <v>44.533000000000001</v>
      </c>
      <c r="CV15" s="249">
        <f t="shared" si="14"/>
        <v>131.72894799999997</v>
      </c>
      <c r="CW15" s="12">
        <f t="shared" si="14"/>
        <v>0</v>
      </c>
      <c r="CX15" s="249">
        <f t="shared" si="14"/>
        <v>0</v>
      </c>
      <c r="CY15" s="274">
        <f t="shared" si="14"/>
        <v>0</v>
      </c>
      <c r="CZ15" s="13"/>
      <c r="DA15" s="240">
        <f>(D15+'[2]июнь 20'!D15)/(AY15+'[2]июнь 20'!AX15)</f>
        <v>2.134680051457976</v>
      </c>
      <c r="DB15" s="241">
        <f>(T15+'[2]июнь 20'!R15)/(AY15+'[2]июнь 20'!AX15)</f>
        <v>1.2616922207648069</v>
      </c>
      <c r="DD15" s="292">
        <f t="shared" si="15"/>
        <v>9.0180000000000007</v>
      </c>
      <c r="DE15" s="291">
        <v>0.45</v>
      </c>
      <c r="DF15" s="291">
        <v>20.39</v>
      </c>
      <c r="DG15" s="145">
        <f t="shared" si="16"/>
        <v>8.9774189999999994</v>
      </c>
      <c r="DH15" s="293">
        <f t="shared" si="29"/>
        <v>2.4686388861766684</v>
      </c>
      <c r="DJ15" s="322"/>
    </row>
    <row r="16" spans="1:114" s="76" customFormat="1" ht="16.5" customHeight="1" thickBot="1">
      <c r="A16" s="144">
        <v>10</v>
      </c>
      <c r="B16" s="122">
        <f>'[1]июнь 20'!K15</f>
        <v>227.547</v>
      </c>
      <c r="C16" s="123">
        <f t="shared" si="17"/>
        <v>0.25567957389022927</v>
      </c>
      <c r="D16" s="145">
        <f t="shared" si="18"/>
        <v>226.9652088</v>
      </c>
      <c r="E16" s="125">
        <f t="shared" si="19"/>
        <v>38.605035443227109</v>
      </c>
      <c r="F16" s="146">
        <f t="shared" si="0"/>
        <v>2.2354497074756225</v>
      </c>
      <c r="G16" s="127"/>
      <c r="H16" s="126">
        <f t="shared" si="20"/>
        <v>1.8770236265143305</v>
      </c>
      <c r="I16" s="230">
        <f>'[1]июль 20'!AI15</f>
        <v>0</v>
      </c>
      <c r="J16" s="247">
        <f>'[1]июнь 20'!AA15</f>
        <v>8.9670000000000005</v>
      </c>
      <c r="K16" s="464">
        <f>'[1]сентябрь 20'!AM15</f>
        <v>0</v>
      </c>
      <c r="L16" s="247">
        <f>'[1]июнь 20'!AE15</f>
        <v>36.390999999999998</v>
      </c>
      <c r="M16" s="468">
        <f t="shared" si="21"/>
        <v>0.35842608096129214</v>
      </c>
      <c r="N16" s="403">
        <f>'[1]июнь 20'!W15</f>
        <v>0</v>
      </c>
      <c r="O16" s="403">
        <f>'[1]июнь 20'!AU15</f>
        <v>0</v>
      </c>
      <c r="P16" s="401">
        <f t="shared" si="1"/>
        <v>136.464</v>
      </c>
      <c r="Q16" s="122">
        <f>'[1]июнь 20'!S15</f>
        <v>136.464</v>
      </c>
      <c r="R16" s="123">
        <f t="shared" si="22"/>
        <v>1.42</v>
      </c>
      <c r="S16" s="129">
        <v>17.18</v>
      </c>
      <c r="T16" s="125">
        <f t="shared" si="2"/>
        <v>134.52621120000001</v>
      </c>
      <c r="U16" s="147">
        <f t="shared" si="3"/>
        <v>1.3249897685413177</v>
      </c>
      <c r="V16" s="130">
        <v>51.3</v>
      </c>
      <c r="W16" s="130">
        <v>101.53</v>
      </c>
      <c r="X16" s="129">
        <v>0.54</v>
      </c>
      <c r="Y16" s="131">
        <v>524</v>
      </c>
      <c r="Z16" s="150">
        <v>1152</v>
      </c>
      <c r="AA16" s="148" t="s">
        <v>305</v>
      </c>
      <c r="AB16" s="149">
        <v>74.94</v>
      </c>
      <c r="AC16" s="150">
        <v>91</v>
      </c>
      <c r="AD16" s="151">
        <v>4</v>
      </c>
      <c r="AE16" s="149">
        <v>2.5499999999999998</v>
      </c>
      <c r="AF16" s="134">
        <f t="shared" si="4"/>
        <v>25.115729341081448</v>
      </c>
      <c r="AG16" s="152"/>
      <c r="AH16" s="129">
        <v>66.099999999999994</v>
      </c>
      <c r="AI16" s="134">
        <f t="shared" si="5"/>
        <v>651.03910174332691</v>
      </c>
      <c r="AJ16" s="153">
        <v>13.89</v>
      </c>
      <c r="AK16" s="154"/>
      <c r="AL16" s="155">
        <v>3.31</v>
      </c>
      <c r="AM16" s="156">
        <v>31.52</v>
      </c>
      <c r="AN16" s="126">
        <f t="shared" si="23"/>
        <v>0.23382789317507416</v>
      </c>
      <c r="AO16" s="157" t="s">
        <v>306</v>
      </c>
      <c r="AP16" s="156">
        <v>9.25</v>
      </c>
      <c r="AQ16" s="156">
        <v>7.5</v>
      </c>
      <c r="AR16" s="149"/>
      <c r="AS16" s="149">
        <v>7.03</v>
      </c>
      <c r="AT16" s="149">
        <v>134.80000000000001</v>
      </c>
      <c r="AU16" s="149">
        <v>1.56</v>
      </c>
      <c r="AV16" s="149"/>
      <c r="AW16" s="149"/>
      <c r="AX16" s="158">
        <f t="shared" si="6"/>
        <v>0</v>
      </c>
      <c r="AY16" s="125">
        <f t="shared" si="7"/>
        <v>101.53000000000002</v>
      </c>
      <c r="AZ16" s="125">
        <f t="shared" si="24"/>
        <v>103.69751498719381</v>
      </c>
      <c r="BA16" s="159">
        <f t="shared" si="8"/>
        <v>3.5996570422535208</v>
      </c>
      <c r="BB16" s="160">
        <f t="shared" si="9"/>
        <v>4.0612000000000004</v>
      </c>
      <c r="BC16" s="161">
        <f t="shared" si="10"/>
        <v>0.86837003660078493</v>
      </c>
      <c r="BD16" s="160">
        <f t="shared" si="25"/>
        <v>7.6608570422535216</v>
      </c>
      <c r="BE16" s="162">
        <v>0.91100000000000003</v>
      </c>
      <c r="BF16" s="25">
        <f t="shared" si="26"/>
        <v>1059.1699999999998</v>
      </c>
      <c r="BG16" s="25">
        <f t="shared" si="11"/>
        <v>110</v>
      </c>
      <c r="BH16" s="25">
        <f t="shared" si="27"/>
        <v>1100</v>
      </c>
      <c r="BI16" s="26">
        <f t="shared" si="12"/>
        <v>1</v>
      </c>
      <c r="BJ16" s="37">
        <f t="shared" si="28"/>
        <v>1100</v>
      </c>
      <c r="BK16" s="38"/>
      <c r="BL16" s="31">
        <v>113.82899999999999</v>
      </c>
      <c r="BM16" s="31">
        <v>63.774999999999999</v>
      </c>
      <c r="BN16" s="234"/>
      <c r="BO16" s="42"/>
      <c r="BP16" s="40">
        <v>13.552</v>
      </c>
      <c r="BQ16" s="32">
        <v>36.390999999999998</v>
      </c>
      <c r="BR16" s="33"/>
      <c r="BS16" s="34">
        <v>0.28000000000000003</v>
      </c>
      <c r="BT16" s="35">
        <v>0.2</v>
      </c>
      <c r="BU16" s="28"/>
      <c r="BV16" s="287"/>
      <c r="BW16" s="287">
        <v>1</v>
      </c>
      <c r="BX16" s="36"/>
      <c r="BY16" s="33"/>
      <c r="BZ16" s="34">
        <v>37.42</v>
      </c>
      <c r="CA16" s="35">
        <v>39.43</v>
      </c>
      <c r="CB16" s="405"/>
      <c r="CC16" s="404"/>
      <c r="CD16" s="235">
        <v>31.72</v>
      </c>
      <c r="CE16" s="36">
        <v>43.43</v>
      </c>
      <c r="CF16" s="38">
        <v>136.464</v>
      </c>
      <c r="CG16" s="30"/>
      <c r="CH16" s="30"/>
      <c r="CI16" s="32"/>
      <c r="CJ16" s="33">
        <v>1.42</v>
      </c>
      <c r="CK16" s="33"/>
      <c r="CL16" s="33"/>
      <c r="CM16" s="36"/>
      <c r="CN16" s="286"/>
      <c r="CO16" s="249">
        <f t="shared" si="13"/>
        <v>0</v>
      </c>
      <c r="CP16" s="12">
        <f t="shared" si="13"/>
        <v>113.51027879999999</v>
      </c>
      <c r="CQ16" s="12">
        <f t="shared" si="13"/>
        <v>63.647449999999999</v>
      </c>
      <c r="CR16" s="11">
        <f t="shared" si="13"/>
        <v>0</v>
      </c>
      <c r="CS16" s="11">
        <f t="shared" si="13"/>
        <v>0</v>
      </c>
      <c r="CT16" s="11">
        <f t="shared" si="13"/>
        <v>13.41648</v>
      </c>
      <c r="CU16" s="272">
        <f t="shared" si="13"/>
        <v>36.390999999999998</v>
      </c>
      <c r="CV16" s="249">
        <f t="shared" si="14"/>
        <v>134.52621120000001</v>
      </c>
      <c r="CW16" s="12">
        <f t="shared" si="14"/>
        <v>0</v>
      </c>
      <c r="CX16" s="249">
        <f t="shared" si="14"/>
        <v>0</v>
      </c>
      <c r="CY16" s="272">
        <f t="shared" si="14"/>
        <v>0</v>
      </c>
      <c r="CZ16" s="13"/>
      <c r="DA16" s="240">
        <f>(D16+'[2]июнь 20'!D16)/(AY16+'[2]июнь 20'!AX16)</f>
        <v>2.2050257086978897</v>
      </c>
      <c r="DB16" s="241">
        <f>(T16+'[2]июнь 20'!R16)/(AY16+'[2]июнь 20'!AX16)</f>
        <v>1.3014109150797735</v>
      </c>
      <c r="DD16" s="292">
        <f t="shared" si="15"/>
        <v>8.9670000000000005</v>
      </c>
      <c r="DE16" s="291">
        <v>7.0000000000000007E-2</v>
      </c>
      <c r="DF16" s="291">
        <v>13.6</v>
      </c>
      <c r="DG16" s="145">
        <f t="shared" si="16"/>
        <v>8.9607231000000009</v>
      </c>
      <c r="DH16" s="293">
        <f t="shared" si="29"/>
        <v>1.6261787317854288</v>
      </c>
      <c r="DJ16" s="322"/>
    </row>
    <row r="17" spans="1:114" s="76" customFormat="1" ht="16.5" customHeight="1" thickBot="1">
      <c r="A17" s="144">
        <v>11</v>
      </c>
      <c r="B17" s="122">
        <f>'[1]июнь 20'!K16</f>
        <v>222.39500000000001</v>
      </c>
      <c r="C17" s="123">
        <f t="shared" si="17"/>
        <v>0.36008754693226014</v>
      </c>
      <c r="D17" s="145">
        <f t="shared" si="18"/>
        <v>221.5941833</v>
      </c>
      <c r="E17" s="125">
        <f t="shared" si="19"/>
        <v>38.542357696890662</v>
      </c>
      <c r="F17" s="146">
        <f t="shared" si="0"/>
        <v>2.2844761164948455</v>
      </c>
      <c r="G17" s="127">
        <v>13.32</v>
      </c>
      <c r="H17" s="126">
        <f t="shared" si="20"/>
        <v>1.9174658072164952</v>
      </c>
      <c r="I17" s="230">
        <f>'[1]июль 20'!AI16</f>
        <v>0</v>
      </c>
      <c r="J17" s="247">
        <f>'[1]июнь 20'!AA16</f>
        <v>10.555999999999999</v>
      </c>
      <c r="K17" s="465">
        <f>'[1]сентябрь 20'!AM16</f>
        <v>0</v>
      </c>
      <c r="L17" s="247">
        <f>'[1]июнь 20'!AE16</f>
        <v>35.6</v>
      </c>
      <c r="M17" s="469">
        <f t="shared" si="21"/>
        <v>0.36701030927835054</v>
      </c>
      <c r="N17" s="403">
        <f>'[1]июнь 20'!W16</f>
        <v>0</v>
      </c>
      <c r="O17" s="403">
        <f>'[1]июнь 20'!AU16</f>
        <v>0</v>
      </c>
      <c r="P17" s="401">
        <f t="shared" si="1"/>
        <v>133.041</v>
      </c>
      <c r="Q17" s="122">
        <f>'[1]июнь 20'!S16</f>
        <v>133.041</v>
      </c>
      <c r="R17" s="123">
        <f t="shared" si="22"/>
        <v>1.43</v>
      </c>
      <c r="S17" s="129">
        <v>2.5099999999999998</v>
      </c>
      <c r="T17" s="125">
        <f t="shared" si="2"/>
        <v>131.13851369999998</v>
      </c>
      <c r="U17" s="147">
        <f t="shared" si="3"/>
        <v>1.3519434402061854</v>
      </c>
      <c r="V17" s="130">
        <v>78.19</v>
      </c>
      <c r="W17" s="130">
        <v>97</v>
      </c>
      <c r="X17" s="129">
        <v>0.5</v>
      </c>
      <c r="Y17" s="131">
        <v>502</v>
      </c>
      <c r="Z17" s="150">
        <v>1139</v>
      </c>
      <c r="AA17" s="148" t="s">
        <v>307</v>
      </c>
      <c r="AB17" s="149">
        <v>75.430000000000007</v>
      </c>
      <c r="AC17" s="150">
        <v>89</v>
      </c>
      <c r="AD17" s="151">
        <v>4</v>
      </c>
      <c r="AE17" s="149">
        <v>5</v>
      </c>
      <c r="AF17" s="134">
        <f t="shared" si="4"/>
        <v>51.546391752577314</v>
      </c>
      <c r="AG17" s="152"/>
      <c r="AH17" s="129">
        <v>63.7</v>
      </c>
      <c r="AI17" s="134">
        <f t="shared" si="5"/>
        <v>656.70103092783506</v>
      </c>
      <c r="AJ17" s="136">
        <v>16.77</v>
      </c>
      <c r="AK17" s="154"/>
      <c r="AL17" s="155">
        <v>4.58</v>
      </c>
      <c r="AM17" s="156">
        <v>30.03</v>
      </c>
      <c r="AN17" s="126">
        <f t="shared" si="23"/>
        <v>0.22967495219885278</v>
      </c>
      <c r="AO17" s="157" t="s">
        <v>308</v>
      </c>
      <c r="AP17" s="156">
        <v>8.9499999999999993</v>
      </c>
      <c r="AQ17" s="156">
        <v>7.43</v>
      </c>
      <c r="AR17" s="149"/>
      <c r="AS17" s="149">
        <v>7.31</v>
      </c>
      <c r="AT17" s="149">
        <v>130.75</v>
      </c>
      <c r="AU17" s="149">
        <v>0.86</v>
      </c>
      <c r="AV17" s="149"/>
      <c r="AW17" s="149"/>
      <c r="AX17" s="158">
        <f t="shared" si="6"/>
        <v>0</v>
      </c>
      <c r="AY17" s="125">
        <f t="shared" si="7"/>
        <v>97</v>
      </c>
      <c r="AZ17" s="125">
        <f t="shared" si="24"/>
        <v>100.55247292670008</v>
      </c>
      <c r="BA17" s="159">
        <f t="shared" si="8"/>
        <v>3.6071246478873236</v>
      </c>
      <c r="BB17" s="160">
        <f t="shared" si="9"/>
        <v>3.88</v>
      </c>
      <c r="BC17" s="161">
        <f t="shared" si="10"/>
        <v>0.85668114429367015</v>
      </c>
      <c r="BD17" s="160">
        <f t="shared" si="25"/>
        <v>7.4871246478873239</v>
      </c>
      <c r="BE17" s="162">
        <v>0.90700000000000003</v>
      </c>
      <c r="BF17" s="25">
        <f t="shared" si="26"/>
        <v>1156.1699999999998</v>
      </c>
      <c r="BG17" s="25">
        <f t="shared" si="11"/>
        <v>110</v>
      </c>
      <c r="BH17" s="25">
        <f t="shared" si="27"/>
        <v>1210</v>
      </c>
      <c r="BI17" s="26">
        <f t="shared" si="12"/>
        <v>1</v>
      </c>
      <c r="BJ17" s="37">
        <f t="shared" si="28"/>
        <v>1210</v>
      </c>
      <c r="BK17" s="39"/>
      <c r="BL17" s="31">
        <v>111.26</v>
      </c>
      <c r="BM17" s="31">
        <v>62.353000000000002</v>
      </c>
      <c r="BN17" s="234"/>
      <c r="BO17" s="42"/>
      <c r="BP17" s="40">
        <v>13.182</v>
      </c>
      <c r="BQ17" s="32">
        <v>35.6</v>
      </c>
      <c r="BR17" s="33"/>
      <c r="BS17" s="34">
        <v>0.46</v>
      </c>
      <c r="BT17" s="35">
        <v>0.25</v>
      </c>
      <c r="BU17" s="28"/>
      <c r="BV17" s="287"/>
      <c r="BW17" s="287">
        <v>1.01</v>
      </c>
      <c r="BX17" s="36"/>
      <c r="BY17" s="33"/>
      <c r="BZ17" s="34">
        <v>37.01</v>
      </c>
      <c r="CA17" s="35">
        <v>39.479999999999997</v>
      </c>
      <c r="CB17" s="405"/>
      <c r="CC17" s="404"/>
      <c r="CD17" s="235">
        <v>34.299999999999997</v>
      </c>
      <c r="CE17" s="36">
        <v>43.26</v>
      </c>
      <c r="CF17" s="38">
        <v>133.041</v>
      </c>
      <c r="CG17" s="42"/>
      <c r="CH17" s="234"/>
      <c r="CI17" s="233"/>
      <c r="CJ17" s="33">
        <v>1.43</v>
      </c>
      <c r="CK17" s="33"/>
      <c r="CL17" s="33"/>
      <c r="CM17" s="36"/>
      <c r="CN17" s="286"/>
      <c r="CO17" s="249">
        <f t="shared" si="13"/>
        <v>0</v>
      </c>
      <c r="CP17" s="12">
        <f t="shared" si="13"/>
        <v>110.74820400000002</v>
      </c>
      <c r="CQ17" s="12">
        <f t="shared" si="13"/>
        <v>62.197117500000004</v>
      </c>
      <c r="CR17" s="12">
        <f t="shared" si="13"/>
        <v>0</v>
      </c>
      <c r="CS17" s="11">
        <f t="shared" si="13"/>
        <v>0</v>
      </c>
      <c r="CT17" s="11">
        <f t="shared" si="13"/>
        <v>13.048861800000001</v>
      </c>
      <c r="CU17" s="272">
        <f t="shared" si="13"/>
        <v>35.6</v>
      </c>
      <c r="CV17" s="249">
        <f t="shared" si="14"/>
        <v>131.13851369999998</v>
      </c>
      <c r="CW17" s="12">
        <f t="shared" si="14"/>
        <v>0</v>
      </c>
      <c r="CX17" s="254">
        <f t="shared" si="14"/>
        <v>0</v>
      </c>
      <c r="CY17" s="272">
        <f t="shared" si="14"/>
        <v>0</v>
      </c>
      <c r="CZ17" s="13"/>
      <c r="DA17" s="240">
        <f>(D17+'[2]июнь 20'!D17)/(AY17+'[2]июнь 20'!AX17)</f>
        <v>2.3135575819213123</v>
      </c>
      <c r="DB17" s="241">
        <f>(T17+'[2]июнь 20'!R17)/(AY17+'[2]июнь 20'!AX17)</f>
        <v>1.3589310079843926</v>
      </c>
      <c r="DD17" s="292">
        <f t="shared" si="15"/>
        <v>10.555999999999999</v>
      </c>
      <c r="DE17" s="291">
        <v>7.0000000000000007E-2</v>
      </c>
      <c r="DF17" s="291">
        <v>12.19</v>
      </c>
      <c r="DG17" s="145">
        <f t="shared" si="16"/>
        <v>10.548610800000001</v>
      </c>
      <c r="DH17" s="293">
        <f t="shared" si="29"/>
        <v>1.7047271066154048</v>
      </c>
      <c r="DJ17" s="322"/>
    </row>
    <row r="18" spans="1:114" s="76" customFormat="1" ht="16.5" customHeight="1" thickBot="1">
      <c r="A18" s="144">
        <v>12</v>
      </c>
      <c r="B18" s="122">
        <f>'[1]июнь 20'!K17</f>
        <v>230.035</v>
      </c>
      <c r="C18" s="123">
        <f t="shared" si="17"/>
        <v>0.32797682961288499</v>
      </c>
      <c r="D18" s="145">
        <f t="shared" si="18"/>
        <v>229.28053850000001</v>
      </c>
      <c r="E18" s="125">
        <f t="shared" si="19"/>
        <v>38.112872693285809</v>
      </c>
      <c r="F18" s="146">
        <f t="shared" si="0"/>
        <v>2.1745119356980274</v>
      </c>
      <c r="G18" s="127"/>
      <c r="H18" s="126">
        <f t="shared" si="20"/>
        <v>1.8254603423748104</v>
      </c>
      <c r="I18" s="230">
        <f>'[1]июль 20'!AI17</f>
        <v>0</v>
      </c>
      <c r="J18" s="247">
        <f>'[1]июнь 20'!AA17</f>
        <v>9.2029999999999994</v>
      </c>
      <c r="K18" s="464">
        <f>'[1]сентябрь 20'!AM17</f>
        <v>0</v>
      </c>
      <c r="L18" s="247">
        <f>'[1]июнь 20'!AE17</f>
        <v>36.804000000000002</v>
      </c>
      <c r="M18" s="468">
        <f t="shared" si="21"/>
        <v>0.349051593323217</v>
      </c>
      <c r="N18" s="403">
        <f>'[1]июнь 20'!W17</f>
        <v>0</v>
      </c>
      <c r="O18" s="403">
        <f>'[1]июнь 20'!AU17</f>
        <v>0</v>
      </c>
      <c r="P18" s="401">
        <f t="shared" si="1"/>
        <v>138.53899999999999</v>
      </c>
      <c r="Q18" s="122">
        <f>'[1]июнь 20'!S17</f>
        <v>138.53899999999999</v>
      </c>
      <c r="R18" s="123">
        <f t="shared" si="22"/>
        <v>1.41</v>
      </c>
      <c r="S18" s="129">
        <v>17.32</v>
      </c>
      <c r="T18" s="125">
        <f t="shared" si="2"/>
        <v>136.58560009999999</v>
      </c>
      <c r="U18" s="147">
        <f t="shared" si="3"/>
        <v>1.2953869508725342</v>
      </c>
      <c r="V18" s="130">
        <v>54.47</v>
      </c>
      <c r="W18" s="130">
        <v>180.25</v>
      </c>
      <c r="X18" s="129">
        <v>0.56999999999999995</v>
      </c>
      <c r="Y18" s="131">
        <v>501</v>
      </c>
      <c r="Z18" s="150">
        <v>1137</v>
      </c>
      <c r="AA18" s="148" t="s">
        <v>276</v>
      </c>
      <c r="AB18" s="149">
        <v>75.06</v>
      </c>
      <c r="AC18" s="150">
        <v>92</v>
      </c>
      <c r="AD18" s="151">
        <v>4</v>
      </c>
      <c r="AE18" s="149">
        <v>2.7</v>
      </c>
      <c r="AF18" s="134">
        <f t="shared" si="4"/>
        <v>25.606980273141126</v>
      </c>
      <c r="AG18" s="152"/>
      <c r="AH18" s="129">
        <v>71.3</v>
      </c>
      <c r="AI18" s="134">
        <f t="shared" si="5"/>
        <v>676.21396054628224</v>
      </c>
      <c r="AJ18" s="153">
        <v>14.27</v>
      </c>
      <c r="AK18" s="154"/>
      <c r="AL18" s="155">
        <v>4.96</v>
      </c>
      <c r="AM18" s="156">
        <v>30.94</v>
      </c>
      <c r="AN18" s="126">
        <f t="shared" si="23"/>
        <v>0.22060606060606061</v>
      </c>
      <c r="AO18" s="157" t="s">
        <v>309</v>
      </c>
      <c r="AP18" s="156">
        <v>8.82</v>
      </c>
      <c r="AQ18" s="156">
        <v>7.56</v>
      </c>
      <c r="AR18" s="151"/>
      <c r="AS18" s="149">
        <v>7.94</v>
      </c>
      <c r="AT18" s="149">
        <v>140.25</v>
      </c>
      <c r="AU18" s="149">
        <v>1.0900000000000001</v>
      </c>
      <c r="AV18" s="149"/>
      <c r="AW18" s="149"/>
      <c r="AX18" s="158">
        <f t="shared" si="6"/>
        <v>0</v>
      </c>
      <c r="AY18" s="125">
        <f t="shared" si="7"/>
        <v>105.44</v>
      </c>
      <c r="AZ18" s="125">
        <f t="shared" si="24"/>
        <v>103.61569696676533</v>
      </c>
      <c r="BA18" s="159">
        <f t="shared" si="8"/>
        <v>4.3854521126760559</v>
      </c>
      <c r="BB18" s="160">
        <f t="shared" si="9"/>
        <v>4.2176</v>
      </c>
      <c r="BC18" s="161">
        <f t="shared" si="10"/>
        <v>0.90568063117339137</v>
      </c>
      <c r="BD18" s="160">
        <f t="shared" si="25"/>
        <v>8.6030521126760569</v>
      </c>
      <c r="BE18" s="162">
        <v>0.90600000000000003</v>
      </c>
      <c r="BF18" s="25">
        <f t="shared" si="26"/>
        <v>1261.6099999999999</v>
      </c>
      <c r="BG18" s="25">
        <f t="shared" si="11"/>
        <v>110</v>
      </c>
      <c r="BH18" s="25">
        <f t="shared" si="27"/>
        <v>1320</v>
      </c>
      <c r="BI18" s="26">
        <f t="shared" si="12"/>
        <v>1</v>
      </c>
      <c r="BJ18" s="37">
        <f t="shared" si="28"/>
        <v>1320</v>
      </c>
      <c r="BK18" s="38"/>
      <c r="BL18" s="31">
        <v>114.952</v>
      </c>
      <c r="BM18" s="31">
        <v>64.456999999999994</v>
      </c>
      <c r="BN18" s="234"/>
      <c r="BO18" s="42"/>
      <c r="BP18" s="40">
        <v>13.821999999999999</v>
      </c>
      <c r="BQ18" s="411">
        <v>36.804000000000002</v>
      </c>
      <c r="BR18" s="41"/>
      <c r="BS18" s="34">
        <v>0.44</v>
      </c>
      <c r="BT18" s="35">
        <v>0.27</v>
      </c>
      <c r="BU18" s="28"/>
      <c r="BV18" s="287"/>
      <c r="BW18" s="287">
        <v>0.54</v>
      </c>
      <c r="BX18" s="36"/>
      <c r="BY18" s="34"/>
      <c r="BZ18" s="34">
        <v>37.29</v>
      </c>
      <c r="CA18" s="35">
        <v>38.130000000000003</v>
      </c>
      <c r="CB18" s="405"/>
      <c r="CC18" s="404"/>
      <c r="CD18" s="235">
        <v>31.97</v>
      </c>
      <c r="CE18" s="405">
        <v>42.96</v>
      </c>
      <c r="CF18" s="38">
        <v>138.53899999999999</v>
      </c>
      <c r="CG18" s="42"/>
      <c r="CH18" s="234"/>
      <c r="CI18" s="233"/>
      <c r="CJ18" s="33">
        <v>1.41</v>
      </c>
      <c r="CK18" s="33"/>
      <c r="CL18" s="33"/>
      <c r="CM18" s="36"/>
      <c r="CN18" s="286"/>
      <c r="CO18" s="249">
        <f t="shared" si="13"/>
        <v>0</v>
      </c>
      <c r="CP18" s="12">
        <f t="shared" si="13"/>
        <v>114.44621120000001</v>
      </c>
      <c r="CQ18" s="12">
        <f t="shared" si="13"/>
        <v>64.282966099999996</v>
      </c>
      <c r="CR18" s="12">
        <f t="shared" si="13"/>
        <v>0</v>
      </c>
      <c r="CS18" s="11">
        <f t="shared" si="13"/>
        <v>0</v>
      </c>
      <c r="CT18" s="11">
        <f t="shared" si="13"/>
        <v>13.747361199999999</v>
      </c>
      <c r="CU18" s="272">
        <f t="shared" si="13"/>
        <v>36.804000000000002</v>
      </c>
      <c r="CV18" s="249">
        <f t="shared" si="14"/>
        <v>136.58560009999999</v>
      </c>
      <c r="CW18" s="11">
        <f t="shared" si="14"/>
        <v>0</v>
      </c>
      <c r="CX18" s="249">
        <f t="shared" si="14"/>
        <v>0</v>
      </c>
      <c r="CY18" s="272">
        <f t="shared" si="14"/>
        <v>0</v>
      </c>
      <c r="CZ18" s="13"/>
      <c r="DA18" s="240">
        <f>(D18+'[2]июнь 20'!D18)/(AY18+'[2]июнь 20'!AX18)</f>
        <v>2.2971139297840311</v>
      </c>
      <c r="DB18" s="241">
        <f>(T18+'[2]июнь 20'!R18)/(AY18+'[2]июнь 20'!AX18)</f>
        <v>1.3536546609961844</v>
      </c>
      <c r="DD18" s="292">
        <f t="shared" si="15"/>
        <v>9.2029999999999994</v>
      </c>
      <c r="DE18" s="291">
        <v>0.11</v>
      </c>
      <c r="DF18" s="291">
        <v>16.170000000000002</v>
      </c>
      <c r="DG18" s="145">
        <f t="shared" si="16"/>
        <v>9.1928766999999993</v>
      </c>
      <c r="DH18" s="293">
        <f t="shared" si="29"/>
        <v>1.9803998966027176</v>
      </c>
      <c r="DJ18" s="322"/>
    </row>
    <row r="19" spans="1:114" s="76" customFormat="1" ht="16.5" customHeight="1" thickBot="1">
      <c r="A19" s="144">
        <v>13</v>
      </c>
      <c r="B19" s="122">
        <f>'[1]июнь 20'!K18</f>
        <v>219.928</v>
      </c>
      <c r="C19" s="123">
        <f t="shared" si="17"/>
        <v>0.50759262122149074</v>
      </c>
      <c r="D19" s="145">
        <f t="shared" si="18"/>
        <v>218.8116617</v>
      </c>
      <c r="E19" s="125">
        <f t="shared" si="19"/>
        <v>37.996302017023758</v>
      </c>
      <c r="F19" s="146">
        <f t="shared" si="0"/>
        <v>2.1173956038320112</v>
      </c>
      <c r="G19" s="127"/>
      <c r="H19" s="126">
        <f t="shared" si="20"/>
        <v>1.7770820756725376</v>
      </c>
      <c r="I19" s="230">
        <f>'[1]июль 20'!AI18</f>
        <v>0</v>
      </c>
      <c r="J19" s="247">
        <f>'[1]июнь 20'!AA18</f>
        <v>8.7070000000000007</v>
      </c>
      <c r="K19" s="465">
        <f>'[1]сентябрь 20'!AM18</f>
        <v>0</v>
      </c>
      <c r="L19" s="247">
        <f>'[1]июнь 20'!AE18</f>
        <v>35.167999999999999</v>
      </c>
      <c r="M19" s="469">
        <f t="shared" si="21"/>
        <v>0.34031352815947363</v>
      </c>
      <c r="N19" s="403">
        <f>'[1]июнь 20'!W18</f>
        <v>0</v>
      </c>
      <c r="O19" s="403">
        <f>'[1]июнь 20'!AU18</f>
        <v>0</v>
      </c>
      <c r="P19" s="401">
        <f t="shared" si="1"/>
        <v>132.059</v>
      </c>
      <c r="Q19" s="122">
        <f>'[1]июнь 20'!S18</f>
        <v>132.059</v>
      </c>
      <c r="R19" s="123">
        <f t="shared" si="22"/>
        <v>1.42</v>
      </c>
      <c r="S19" s="129">
        <v>16.899999999999999</v>
      </c>
      <c r="T19" s="125">
        <f t="shared" si="2"/>
        <v>130.18376219999999</v>
      </c>
      <c r="U19" s="147">
        <f t="shared" si="3"/>
        <v>1.2597615850590287</v>
      </c>
      <c r="V19" s="130">
        <v>78.23</v>
      </c>
      <c r="W19" s="130">
        <v>103.34</v>
      </c>
      <c r="X19" s="129">
        <v>0.57999999999999996</v>
      </c>
      <c r="Y19" s="131">
        <v>509</v>
      </c>
      <c r="Z19" s="150">
        <v>1152</v>
      </c>
      <c r="AA19" s="148" t="s">
        <v>301</v>
      </c>
      <c r="AB19" s="149">
        <v>75.41</v>
      </c>
      <c r="AC19" s="150">
        <v>88</v>
      </c>
      <c r="AD19" s="151">
        <v>4</v>
      </c>
      <c r="AE19" s="149">
        <v>0.9</v>
      </c>
      <c r="AF19" s="134">
        <f t="shared" si="4"/>
        <v>8.7091155409328458</v>
      </c>
      <c r="AG19" s="152"/>
      <c r="AH19" s="129">
        <v>68.45</v>
      </c>
      <c r="AI19" s="134">
        <f t="shared" si="5"/>
        <v>662.37662086317027</v>
      </c>
      <c r="AJ19" s="136">
        <v>14.29</v>
      </c>
      <c r="AK19" s="154"/>
      <c r="AL19" s="155">
        <v>4.8600000000000003</v>
      </c>
      <c r="AM19" s="156">
        <v>29.33</v>
      </c>
      <c r="AN19" s="126">
        <f t="shared" si="23"/>
        <v>0.21534508076358297</v>
      </c>
      <c r="AO19" s="157" t="s">
        <v>153</v>
      </c>
      <c r="AP19" s="156">
        <v>8.94</v>
      </c>
      <c r="AQ19" s="156">
        <v>7.31</v>
      </c>
      <c r="AR19" s="151"/>
      <c r="AS19" s="149">
        <v>7.62</v>
      </c>
      <c r="AT19" s="149">
        <v>136.19999999999999</v>
      </c>
      <c r="AU19" s="149">
        <v>1.33</v>
      </c>
      <c r="AV19" s="164"/>
      <c r="AW19" s="149"/>
      <c r="AX19" s="158">
        <f t="shared" si="6"/>
        <v>0</v>
      </c>
      <c r="AY19" s="125">
        <f t="shared" si="7"/>
        <v>103.33999999999997</v>
      </c>
      <c r="AZ19" s="125">
        <f t="shared" si="24"/>
        <v>101.2014941645064</v>
      </c>
      <c r="BA19" s="159">
        <f t="shared" si="8"/>
        <v>4.0404781690140847</v>
      </c>
      <c r="BB19" s="160">
        <f t="shared" si="9"/>
        <v>4.1335999999999995</v>
      </c>
      <c r="BC19" s="161">
        <f t="shared" si="10"/>
        <v>0.93731507666696923</v>
      </c>
      <c r="BD19" s="160">
        <f t="shared" si="25"/>
        <v>8.1740781690140842</v>
      </c>
      <c r="BE19" s="162">
        <v>0.90900000000000003</v>
      </c>
      <c r="BF19" s="25">
        <f t="shared" si="26"/>
        <v>1364.9499999999998</v>
      </c>
      <c r="BG19" s="25">
        <f t="shared" si="11"/>
        <v>110</v>
      </c>
      <c r="BH19" s="25">
        <f t="shared" si="27"/>
        <v>1430</v>
      </c>
      <c r="BI19" s="26">
        <f t="shared" si="12"/>
        <v>1</v>
      </c>
      <c r="BJ19" s="37">
        <f t="shared" si="28"/>
        <v>1430</v>
      </c>
      <c r="BK19" s="38"/>
      <c r="BL19" s="31">
        <v>110.006</v>
      </c>
      <c r="BM19" s="31">
        <v>61.606999999999999</v>
      </c>
      <c r="BN19" s="234"/>
      <c r="BO19" s="42"/>
      <c r="BP19" s="40">
        <v>13.147</v>
      </c>
      <c r="BQ19" s="411">
        <v>35.167999999999999</v>
      </c>
      <c r="BR19" s="33"/>
      <c r="BS19" s="34">
        <v>0.53</v>
      </c>
      <c r="BT19" s="35">
        <v>0.68</v>
      </c>
      <c r="BU19" s="28"/>
      <c r="BV19" s="287"/>
      <c r="BW19" s="287">
        <v>0.87</v>
      </c>
      <c r="BX19" s="36"/>
      <c r="BY19" s="33"/>
      <c r="BZ19" s="34">
        <v>36.880000000000003</v>
      </c>
      <c r="CA19" s="35">
        <v>38.54</v>
      </c>
      <c r="CB19" s="405"/>
      <c r="CC19" s="404"/>
      <c r="CD19" s="235">
        <v>31.11</v>
      </c>
      <c r="CE19" s="413">
        <v>43.11</v>
      </c>
      <c r="CF19" s="41">
        <v>132.059</v>
      </c>
      <c r="CG19" s="41"/>
      <c r="CH19" s="30"/>
      <c r="CI19" s="32"/>
      <c r="CJ19" s="33">
        <v>1.42</v>
      </c>
      <c r="CK19" s="33"/>
      <c r="CL19" s="33"/>
      <c r="CM19" s="36"/>
      <c r="CN19" s="286"/>
      <c r="CO19" s="249">
        <f t="shared" si="13"/>
        <v>0</v>
      </c>
      <c r="CP19" s="12">
        <f t="shared" si="13"/>
        <v>109.4229682</v>
      </c>
      <c r="CQ19" s="12">
        <f t="shared" si="13"/>
        <v>61.188072399999996</v>
      </c>
      <c r="CR19" s="12">
        <f t="shared" si="13"/>
        <v>0</v>
      </c>
      <c r="CS19" s="11">
        <f t="shared" si="13"/>
        <v>0</v>
      </c>
      <c r="CT19" s="11">
        <f t="shared" si="13"/>
        <v>13.0326211</v>
      </c>
      <c r="CU19" s="272">
        <f t="shared" si="13"/>
        <v>35.167999999999999</v>
      </c>
      <c r="CV19" s="249">
        <f t="shared" si="14"/>
        <v>130.18376219999999</v>
      </c>
      <c r="CW19" s="251">
        <f t="shared" si="14"/>
        <v>0</v>
      </c>
      <c r="CX19" s="249">
        <f t="shared" si="14"/>
        <v>0</v>
      </c>
      <c r="CY19" s="272">
        <f t="shared" si="14"/>
        <v>0</v>
      </c>
      <c r="CZ19" s="13"/>
      <c r="DA19" s="240">
        <f>(D19+'[2]июнь 20'!D19)/(AY19+'[2]июнь 20'!AX19)</f>
        <v>2.2297890433761576</v>
      </c>
      <c r="DB19" s="241">
        <f>(T19+'[2]июнь 20'!R19)/(AY19+'[2]июнь 20'!AX19)</f>
        <v>1.30761763434176</v>
      </c>
      <c r="DD19" s="292">
        <f t="shared" si="15"/>
        <v>8.7070000000000007</v>
      </c>
      <c r="DE19" s="291">
        <v>0.23</v>
      </c>
      <c r="DF19" s="291">
        <v>42.99</v>
      </c>
      <c r="DG19" s="145">
        <f t="shared" si="16"/>
        <v>8.6869738999999999</v>
      </c>
      <c r="DH19" s="293">
        <f t="shared" si="29"/>
        <v>4.9523008614374753</v>
      </c>
      <c r="DJ19" s="322"/>
    </row>
    <row r="20" spans="1:114" s="76" customFormat="1" ht="16.5" customHeight="1" thickBot="1">
      <c r="A20" s="144">
        <v>14</v>
      </c>
      <c r="B20" s="122">
        <f>'[1]июнь 20'!K19</f>
        <v>227.589</v>
      </c>
      <c r="C20" s="123">
        <f t="shared" si="17"/>
        <v>0.24206024895755066</v>
      </c>
      <c r="D20" s="145">
        <f t="shared" si="18"/>
        <v>227.03809749999999</v>
      </c>
      <c r="E20" s="125">
        <f t="shared" si="19"/>
        <v>38.374697459016026</v>
      </c>
      <c r="F20" s="146">
        <f t="shared" si="0"/>
        <v>2.1794959921282517</v>
      </c>
      <c r="G20" s="127"/>
      <c r="H20" s="126">
        <f t="shared" si="20"/>
        <v>1.8304223624844007</v>
      </c>
      <c r="I20" s="230">
        <f>'[1]июль 20'!AI19</f>
        <v>0</v>
      </c>
      <c r="J20" s="247">
        <f>'[1]июнь 20'!AA19</f>
        <v>8.968</v>
      </c>
      <c r="K20" s="464">
        <f>'[1]сентябрь 20'!AM19</f>
        <v>0</v>
      </c>
      <c r="L20" s="247">
        <f>'[1]июнь 20'!AE19</f>
        <v>36.363</v>
      </c>
      <c r="M20" s="468">
        <f t="shared" si="21"/>
        <v>0.34907362964385141</v>
      </c>
      <c r="N20" s="403">
        <f>'[1]июнь 20'!W19</f>
        <v>0</v>
      </c>
      <c r="O20" s="403">
        <f>'[1]июнь 20'!AU19</f>
        <v>0</v>
      </c>
      <c r="P20" s="401">
        <f t="shared" si="1"/>
        <v>136.31899999999999</v>
      </c>
      <c r="Q20" s="122">
        <f>'[1]июнь 20'!S19</f>
        <v>136.31899999999999</v>
      </c>
      <c r="R20" s="123">
        <f t="shared" si="22"/>
        <v>1.4</v>
      </c>
      <c r="S20" s="129">
        <v>12.38</v>
      </c>
      <c r="T20" s="125">
        <f t="shared" si="2"/>
        <v>134.41053399999998</v>
      </c>
      <c r="U20" s="147">
        <f t="shared" si="3"/>
        <v>1.2902998368052221</v>
      </c>
      <c r="V20" s="130">
        <v>78.28</v>
      </c>
      <c r="W20" s="130">
        <v>104.17</v>
      </c>
      <c r="X20" s="129">
        <v>0.67</v>
      </c>
      <c r="Y20" s="131">
        <v>520</v>
      </c>
      <c r="Z20" s="150">
        <v>1186</v>
      </c>
      <c r="AA20" s="168" t="s">
        <v>310</v>
      </c>
      <c r="AB20" s="149">
        <v>75.44</v>
      </c>
      <c r="AC20" s="150">
        <v>91</v>
      </c>
      <c r="AD20" s="151">
        <v>4</v>
      </c>
      <c r="AE20" s="149">
        <v>3.6</v>
      </c>
      <c r="AF20" s="134">
        <f t="shared" si="4"/>
        <v>34.558894115388313</v>
      </c>
      <c r="AG20" s="152"/>
      <c r="AH20" s="129">
        <v>68.349999999999994</v>
      </c>
      <c r="AI20" s="134">
        <f t="shared" si="5"/>
        <v>656.13900355188628</v>
      </c>
      <c r="AJ20" s="153">
        <v>12.35</v>
      </c>
      <c r="AK20" s="154"/>
      <c r="AL20" s="155">
        <v>4.26</v>
      </c>
      <c r="AM20" s="156">
        <v>30.98</v>
      </c>
      <c r="AN20" s="126">
        <f t="shared" si="23"/>
        <v>0.22449275362318841</v>
      </c>
      <c r="AO20" s="157" t="s">
        <v>306</v>
      </c>
      <c r="AP20" s="156">
        <v>9.11</v>
      </c>
      <c r="AQ20" s="156">
        <v>7.46</v>
      </c>
      <c r="AR20" s="149"/>
      <c r="AS20" s="149">
        <v>7.33</v>
      </c>
      <c r="AT20" s="149">
        <v>138</v>
      </c>
      <c r="AU20" s="149">
        <v>1.41</v>
      </c>
      <c r="AV20" s="149"/>
      <c r="AW20" s="149"/>
      <c r="AX20" s="158">
        <f t="shared" si="6"/>
        <v>0</v>
      </c>
      <c r="AY20" s="125">
        <f t="shared" si="7"/>
        <v>104.17</v>
      </c>
      <c r="AZ20" s="125">
        <f t="shared" si="24"/>
        <v>102.30935863248254</v>
      </c>
      <c r="BA20" s="159">
        <f t="shared" si="8"/>
        <v>3.8810285211267601</v>
      </c>
      <c r="BB20" s="160">
        <f t="shared" si="9"/>
        <v>4.1668000000000003</v>
      </c>
      <c r="BC20" s="161">
        <f t="shared" si="10"/>
        <v>0.90198775216159932</v>
      </c>
      <c r="BD20" s="160">
        <f t="shared" si="25"/>
        <v>8.0478285211267604</v>
      </c>
      <c r="BE20" s="162">
        <v>0.90800000000000003</v>
      </c>
      <c r="BF20" s="25">
        <f t="shared" si="26"/>
        <v>1469.12</v>
      </c>
      <c r="BG20" s="25">
        <f t="shared" si="11"/>
        <v>110</v>
      </c>
      <c r="BH20" s="25">
        <f t="shared" si="27"/>
        <v>1540</v>
      </c>
      <c r="BI20" s="26">
        <f t="shared" si="12"/>
        <v>1</v>
      </c>
      <c r="BJ20" s="37">
        <f t="shared" si="28"/>
        <v>1540</v>
      </c>
      <c r="BK20" s="38"/>
      <c r="BL20" s="31">
        <v>113.71</v>
      </c>
      <c r="BM20" s="31">
        <v>63.738999999999997</v>
      </c>
      <c r="BN20" s="234"/>
      <c r="BO20" s="42"/>
      <c r="BP20" s="40">
        <v>13.776999999999999</v>
      </c>
      <c r="BQ20" s="411">
        <v>36.363</v>
      </c>
      <c r="BR20" s="33"/>
      <c r="BS20" s="34">
        <v>0.27</v>
      </c>
      <c r="BT20" s="35">
        <v>0.16</v>
      </c>
      <c r="BU20" s="28"/>
      <c r="BV20" s="287"/>
      <c r="BW20" s="287">
        <v>1.03</v>
      </c>
      <c r="BX20" s="36"/>
      <c r="BY20" s="33"/>
      <c r="BZ20" s="34">
        <v>37.4</v>
      </c>
      <c r="CA20" s="35">
        <v>39.32</v>
      </c>
      <c r="CB20" s="405"/>
      <c r="CC20" s="404"/>
      <c r="CD20" s="235">
        <v>29.97</v>
      </c>
      <c r="CE20" s="413">
        <v>42.95</v>
      </c>
      <c r="CF20" s="30">
        <v>136.31899999999999</v>
      </c>
      <c r="CG20" s="30"/>
      <c r="CH20" s="31"/>
      <c r="CI20" s="32"/>
      <c r="CJ20" s="33">
        <v>1.4</v>
      </c>
      <c r="CK20" s="33"/>
      <c r="CL20" s="35"/>
      <c r="CM20" s="36"/>
      <c r="CN20" s="286"/>
      <c r="CO20" s="249">
        <f t="shared" si="13"/>
        <v>0</v>
      </c>
      <c r="CP20" s="12">
        <f t="shared" si="13"/>
        <v>113.40298300000001</v>
      </c>
      <c r="CQ20" s="12">
        <f t="shared" si="13"/>
        <v>63.6370176</v>
      </c>
      <c r="CR20" s="12">
        <f t="shared" si="13"/>
        <v>0</v>
      </c>
      <c r="CS20" s="11">
        <f t="shared" si="13"/>
        <v>0</v>
      </c>
      <c r="CT20" s="11">
        <f t="shared" si="13"/>
        <v>13.635096899999999</v>
      </c>
      <c r="CU20" s="272">
        <f t="shared" si="13"/>
        <v>36.363</v>
      </c>
      <c r="CV20" s="249">
        <f t="shared" si="14"/>
        <v>134.41053399999998</v>
      </c>
      <c r="CW20" s="12">
        <f t="shared" si="14"/>
        <v>0</v>
      </c>
      <c r="CX20" s="249">
        <f t="shared" si="14"/>
        <v>0</v>
      </c>
      <c r="CY20" s="272">
        <f t="shared" si="14"/>
        <v>0</v>
      </c>
      <c r="CZ20" s="13"/>
      <c r="DA20" s="240">
        <f>(D20+'[2]июнь 20'!D20)/(AY20+'[2]июнь 20'!AX20)</f>
        <v>2.2077333443315297</v>
      </c>
      <c r="DB20" s="241">
        <f>(T20+'[2]июнь 20'!R20)/(AY20+'[2]июнь 20'!AX20)</f>
        <v>1.2876155932427082</v>
      </c>
      <c r="DD20" s="292">
        <f t="shared" si="15"/>
        <v>8.968</v>
      </c>
      <c r="DE20" s="291">
        <v>0.08</v>
      </c>
      <c r="DF20" s="407">
        <v>12.52</v>
      </c>
      <c r="DG20" s="145">
        <f t="shared" si="16"/>
        <v>8.9608255999999997</v>
      </c>
      <c r="DH20" s="293">
        <f t="shared" si="29"/>
        <v>1.4871359558854722</v>
      </c>
      <c r="DJ20" s="322"/>
    </row>
    <row r="21" spans="1:114" s="76" customFormat="1" ht="16.5" customHeight="1" thickBot="1">
      <c r="A21" s="144">
        <v>15</v>
      </c>
      <c r="B21" s="122">
        <f>'[1]июнь 20'!K20</f>
        <v>239.66</v>
      </c>
      <c r="C21" s="123">
        <f t="shared" si="17"/>
        <v>0.45126575148126513</v>
      </c>
      <c r="D21" s="145">
        <f t="shared" si="18"/>
        <v>238.57849650000003</v>
      </c>
      <c r="E21" s="125">
        <f t="shared" si="19"/>
        <v>37.975039347408831</v>
      </c>
      <c r="F21" s="146">
        <f t="shared" si="0"/>
        <v>2.2752097701697509</v>
      </c>
      <c r="G21" s="127"/>
      <c r="H21" s="126">
        <f t="shared" si="20"/>
        <v>1.9109145193591461</v>
      </c>
      <c r="I21" s="230">
        <f>'[1]июль 20'!AI20</f>
        <v>0</v>
      </c>
      <c r="J21" s="247">
        <f>'[1]июнь 20'!AA20</f>
        <v>9.7360000000000007</v>
      </c>
      <c r="K21" s="465">
        <f>'[1]сентябрь 20'!AM20</f>
        <v>0</v>
      </c>
      <c r="L21" s="247">
        <f>'[1]июнь 20'!AE20</f>
        <v>38.200000000000003</v>
      </c>
      <c r="M21" s="469">
        <f t="shared" si="21"/>
        <v>0.36429525081060471</v>
      </c>
      <c r="N21" s="403">
        <f>'[1]июнь 20'!W20</f>
        <v>0</v>
      </c>
      <c r="O21" s="403">
        <f>'[1]июнь 20'!AU20</f>
        <v>0</v>
      </c>
      <c r="P21" s="401">
        <f t="shared" si="1"/>
        <v>144.28299999999999</v>
      </c>
      <c r="Q21" s="122">
        <f>'[1]июнь 20'!S20</f>
        <v>144.28299999999999</v>
      </c>
      <c r="R21" s="123">
        <f t="shared" si="22"/>
        <v>1.4</v>
      </c>
      <c r="S21" s="129">
        <v>10.02</v>
      </c>
      <c r="T21" s="125">
        <f t="shared" si="2"/>
        <v>142.26303799999999</v>
      </c>
      <c r="U21" s="147">
        <f t="shared" si="3"/>
        <v>1.3566950028609577</v>
      </c>
      <c r="V21" s="130">
        <v>104.86</v>
      </c>
      <c r="W21" s="130">
        <v>104.86</v>
      </c>
      <c r="X21" s="129">
        <v>0.59</v>
      </c>
      <c r="Y21" s="131">
        <v>502</v>
      </c>
      <c r="Z21" s="150">
        <v>1130</v>
      </c>
      <c r="AA21" s="168" t="s">
        <v>295</v>
      </c>
      <c r="AB21" s="149">
        <v>75.58</v>
      </c>
      <c r="AC21" s="150">
        <v>96</v>
      </c>
      <c r="AD21" s="151">
        <v>4</v>
      </c>
      <c r="AE21" s="149">
        <v>3.05</v>
      </c>
      <c r="AF21" s="134">
        <f t="shared" si="4"/>
        <v>29.086400915506392</v>
      </c>
      <c r="AG21" s="152"/>
      <c r="AH21" s="129">
        <v>70.150000000000006</v>
      </c>
      <c r="AI21" s="134">
        <f t="shared" si="5"/>
        <v>668.98722105664706</v>
      </c>
      <c r="AJ21" s="136">
        <v>14.46</v>
      </c>
      <c r="AK21" s="154"/>
      <c r="AL21" s="155">
        <v>5.0199999999999996</v>
      </c>
      <c r="AM21" s="156">
        <v>30.95</v>
      </c>
      <c r="AN21" s="126">
        <f t="shared" si="23"/>
        <v>0.22146690518783541</v>
      </c>
      <c r="AO21" s="157" t="s">
        <v>308</v>
      </c>
      <c r="AP21" s="156">
        <v>8.83</v>
      </c>
      <c r="AQ21" s="156">
        <v>7.46</v>
      </c>
      <c r="AR21" s="149"/>
      <c r="AS21" s="149">
        <v>7.65</v>
      </c>
      <c r="AT21" s="149">
        <v>139.75</v>
      </c>
      <c r="AU21" s="149">
        <v>1.08</v>
      </c>
      <c r="AV21" s="149"/>
      <c r="AW21" s="149"/>
      <c r="AX21" s="158">
        <f t="shared" si="6"/>
        <v>0</v>
      </c>
      <c r="AY21" s="125">
        <f t="shared" si="7"/>
        <v>104.85999999999999</v>
      </c>
      <c r="AZ21" s="125">
        <f t="shared" si="24"/>
        <v>106.2102299860933</v>
      </c>
      <c r="BA21" s="159">
        <f t="shared" si="8"/>
        <v>4.1571285211267606</v>
      </c>
      <c r="BB21" s="160">
        <f t="shared" si="9"/>
        <v>4.1943999999999999</v>
      </c>
      <c r="BC21" s="161">
        <f t="shared" si="10"/>
        <v>0.87475656608570906</v>
      </c>
      <c r="BD21" s="160">
        <f t="shared" si="25"/>
        <v>8.3515285211267596</v>
      </c>
      <c r="BE21" s="162">
        <v>0.90600000000000003</v>
      </c>
      <c r="BF21" s="25">
        <f t="shared" si="26"/>
        <v>1573.9799999999998</v>
      </c>
      <c r="BG21" s="25">
        <f t="shared" si="11"/>
        <v>110</v>
      </c>
      <c r="BH21" s="25">
        <f t="shared" si="27"/>
        <v>1650</v>
      </c>
      <c r="BI21" s="26">
        <f t="shared" si="12"/>
        <v>1</v>
      </c>
      <c r="BJ21" s="37">
        <f t="shared" si="28"/>
        <v>1650</v>
      </c>
      <c r="BK21" s="38"/>
      <c r="BL21" s="31">
        <v>119.887</v>
      </c>
      <c r="BM21" s="31">
        <v>67.191999999999993</v>
      </c>
      <c r="BN21" s="234"/>
      <c r="BO21" s="42"/>
      <c r="BP21" s="40">
        <v>14.381</v>
      </c>
      <c r="BQ21" s="411">
        <v>38.200000000000003</v>
      </c>
      <c r="BR21" s="33"/>
      <c r="BS21" s="34">
        <v>0.55000000000000004</v>
      </c>
      <c r="BT21" s="35">
        <v>0.35</v>
      </c>
      <c r="BU21" s="35"/>
      <c r="BV21" s="235"/>
      <c r="BW21" s="235">
        <v>1.3</v>
      </c>
      <c r="BX21" s="36"/>
      <c r="BY21" s="33"/>
      <c r="BZ21" s="34">
        <v>37.020000000000003</v>
      </c>
      <c r="CA21" s="35">
        <v>38.46</v>
      </c>
      <c r="CB21" s="405"/>
      <c r="CC21" s="404"/>
      <c r="CD21" s="235">
        <v>30.27</v>
      </c>
      <c r="CE21" s="413">
        <v>43.02</v>
      </c>
      <c r="CF21" s="30">
        <v>144.28299999999999</v>
      </c>
      <c r="CG21" s="30"/>
      <c r="CH21" s="31"/>
      <c r="CI21" s="32"/>
      <c r="CJ21" s="33">
        <v>1.4</v>
      </c>
      <c r="CK21" s="33"/>
      <c r="CL21" s="35"/>
      <c r="CM21" s="36"/>
      <c r="CN21" s="286"/>
      <c r="CO21" s="249">
        <f t="shared" si="13"/>
        <v>0</v>
      </c>
      <c r="CP21" s="12">
        <f t="shared" si="13"/>
        <v>119.22762150000001</v>
      </c>
      <c r="CQ21" s="12">
        <f t="shared" si="13"/>
        <v>66.956828000000002</v>
      </c>
      <c r="CR21" s="12">
        <f t="shared" si="13"/>
        <v>0</v>
      </c>
      <c r="CS21" s="11">
        <f t="shared" si="13"/>
        <v>0</v>
      </c>
      <c r="CT21" s="11">
        <f t="shared" si="13"/>
        <v>14.194046999999999</v>
      </c>
      <c r="CU21" s="272">
        <f t="shared" si="13"/>
        <v>38.200000000000003</v>
      </c>
      <c r="CV21" s="249">
        <f t="shared" si="14"/>
        <v>142.26303799999999</v>
      </c>
      <c r="CW21" s="12">
        <f t="shared" si="14"/>
        <v>0</v>
      </c>
      <c r="CX21" s="249">
        <f t="shared" si="14"/>
        <v>0</v>
      </c>
      <c r="CY21" s="272">
        <f t="shared" si="14"/>
        <v>0</v>
      </c>
      <c r="CZ21" s="13"/>
      <c r="DA21" s="240">
        <f>(D21+'[2]июнь 20'!D21)/(AY21+'[2]июнь 20'!AX21)</f>
        <v>2.1879013788404764</v>
      </c>
      <c r="DB21" s="241">
        <f>(T21+'[2]июнь 20'!R21)/(AY21+'[2]июнь 20'!AX21)</f>
        <v>1.2762646011095613</v>
      </c>
      <c r="DD21" s="292">
        <f t="shared" si="15"/>
        <v>9.7360000000000007</v>
      </c>
      <c r="DE21" s="291">
        <v>0.03</v>
      </c>
      <c r="DF21" s="291">
        <v>12.12</v>
      </c>
      <c r="DG21" s="145">
        <f t="shared" si="16"/>
        <v>9.7330792000000006</v>
      </c>
      <c r="DH21" s="293">
        <f t="shared" si="29"/>
        <v>1.56079544726118</v>
      </c>
      <c r="DJ21" s="322"/>
    </row>
    <row r="22" spans="1:114" s="76" customFormat="1" ht="16.5" customHeight="1" thickBot="1">
      <c r="A22" s="144">
        <v>16</v>
      </c>
      <c r="B22" s="122">
        <f>'[1]июнь 20'!K21</f>
        <v>89.546000000000006</v>
      </c>
      <c r="C22" s="123">
        <f t="shared" si="17"/>
        <v>0.37976704710428161</v>
      </c>
      <c r="D22" s="145">
        <f t="shared" si="18"/>
        <v>89.205933799999997</v>
      </c>
      <c r="E22" s="125">
        <f t="shared" si="19"/>
        <v>38.550490809193036</v>
      </c>
      <c r="F22" s="146">
        <f t="shared" si="0"/>
        <v>2.1366690730538922</v>
      </c>
      <c r="G22" s="127"/>
      <c r="H22" s="126">
        <f t="shared" si="20"/>
        <v>1.8029445221556888</v>
      </c>
      <c r="I22" s="230">
        <f>'[1]июль 20'!AI21</f>
        <v>0</v>
      </c>
      <c r="J22" s="247">
        <f>'[1]июнь 20'!AA21</f>
        <v>3.5880000000000001</v>
      </c>
      <c r="K22" s="464">
        <f>'[1]сентябрь 20'!AM21</f>
        <v>0</v>
      </c>
      <c r="L22" s="247">
        <f>'[1]июнь 20'!AE21</f>
        <v>13.933</v>
      </c>
      <c r="M22" s="468">
        <f t="shared" si="21"/>
        <v>0.33372455089820358</v>
      </c>
      <c r="N22" s="403">
        <f>'[1]июнь 20'!W21</f>
        <v>0</v>
      </c>
      <c r="O22" s="403">
        <f>'[1]июнь 20'!AU21</f>
        <v>0</v>
      </c>
      <c r="P22" s="401">
        <f t="shared" si="1"/>
        <v>60.564999999999998</v>
      </c>
      <c r="Q22" s="122">
        <f>'[1]июнь 20'!S21</f>
        <v>60.564999999999998</v>
      </c>
      <c r="R22" s="123">
        <f t="shared" si="22"/>
        <v>1.41</v>
      </c>
      <c r="S22" s="129">
        <v>9.36</v>
      </c>
      <c r="T22" s="125">
        <f t="shared" si="2"/>
        <v>59.711033499999999</v>
      </c>
      <c r="U22" s="147">
        <f t="shared" si="3"/>
        <v>1.4302043952095809</v>
      </c>
      <c r="V22" s="130">
        <v>22.32</v>
      </c>
      <c r="W22" s="130">
        <v>19.43</v>
      </c>
      <c r="X22" s="129">
        <v>0.76</v>
      </c>
      <c r="Y22" s="131">
        <v>545</v>
      </c>
      <c r="Z22" s="150">
        <v>1036</v>
      </c>
      <c r="AA22" s="148" t="s">
        <v>312</v>
      </c>
      <c r="AB22" s="149">
        <v>75.930000000000007</v>
      </c>
      <c r="AC22" s="150">
        <v>38</v>
      </c>
      <c r="AD22" s="151">
        <v>2</v>
      </c>
      <c r="AE22" s="149">
        <v>1.2</v>
      </c>
      <c r="AF22" s="134">
        <f t="shared" si="4"/>
        <v>28.742514970059879</v>
      </c>
      <c r="AG22" s="152"/>
      <c r="AH22" s="129">
        <v>37.5</v>
      </c>
      <c r="AI22" s="134">
        <f t="shared" si="5"/>
        <v>898.20359281437118</v>
      </c>
      <c r="AJ22" s="153">
        <v>7.03</v>
      </c>
      <c r="AK22" s="154"/>
      <c r="AL22" s="155">
        <v>3.32</v>
      </c>
      <c r="AM22" s="156">
        <v>18.850000000000001</v>
      </c>
      <c r="AN22" s="126">
        <f t="shared" si="23"/>
        <v>0.29944400317712472</v>
      </c>
      <c r="AO22" s="157" t="s">
        <v>311</v>
      </c>
      <c r="AP22" s="156">
        <v>8.59</v>
      </c>
      <c r="AQ22" s="156">
        <v>7.33</v>
      </c>
      <c r="AR22" s="151"/>
      <c r="AS22" s="149">
        <v>7.97</v>
      </c>
      <c r="AT22" s="149">
        <v>62.95</v>
      </c>
      <c r="AU22" s="149">
        <v>0.97</v>
      </c>
      <c r="AV22" s="149"/>
      <c r="AW22" s="149"/>
      <c r="AX22" s="158">
        <f t="shared" si="6"/>
        <v>0</v>
      </c>
      <c r="AY22" s="125">
        <f t="shared" si="7"/>
        <v>41.75</v>
      </c>
      <c r="AZ22" s="125">
        <f t="shared" si="24"/>
        <v>40.266894052033713</v>
      </c>
      <c r="BA22" s="159">
        <f t="shared" si="8"/>
        <v>2.3152288732394366</v>
      </c>
      <c r="BB22" s="160">
        <f t="shared" si="9"/>
        <v>1.67</v>
      </c>
      <c r="BC22" s="161">
        <f t="shared" si="10"/>
        <v>0.92182020768003792</v>
      </c>
      <c r="BD22" s="160">
        <f t="shared" si="25"/>
        <v>3.9852288732394365</v>
      </c>
      <c r="BE22" s="162">
        <v>0.90600000000000003</v>
      </c>
      <c r="BF22" s="25">
        <f t="shared" si="26"/>
        <v>1615.7299999999998</v>
      </c>
      <c r="BG22" s="25">
        <f t="shared" si="11"/>
        <v>110</v>
      </c>
      <c r="BH22" s="25">
        <f t="shared" si="27"/>
        <v>1760</v>
      </c>
      <c r="BI22" s="26">
        <f t="shared" si="12"/>
        <v>1</v>
      </c>
      <c r="BJ22" s="37">
        <f t="shared" si="28"/>
        <v>1760</v>
      </c>
      <c r="BK22" s="38"/>
      <c r="BL22" s="31">
        <v>44.991</v>
      </c>
      <c r="BM22" s="31">
        <v>25.222000000000001</v>
      </c>
      <c r="BN22" s="234"/>
      <c r="BO22" s="42"/>
      <c r="BP22" s="40">
        <v>5.4</v>
      </c>
      <c r="BQ22" s="411">
        <v>13.933</v>
      </c>
      <c r="BR22" s="33"/>
      <c r="BS22" s="34">
        <v>0.44</v>
      </c>
      <c r="BT22" s="35">
        <v>0.39</v>
      </c>
      <c r="BU22" s="35"/>
      <c r="BV22" s="235"/>
      <c r="BW22" s="235">
        <v>0.81</v>
      </c>
      <c r="BX22" s="36"/>
      <c r="BY22" s="33"/>
      <c r="BZ22" s="34">
        <v>37.94</v>
      </c>
      <c r="CA22" s="35">
        <v>38.549999999999997</v>
      </c>
      <c r="CB22" s="405"/>
      <c r="CC22" s="404"/>
      <c r="CD22" s="235">
        <v>31.72</v>
      </c>
      <c r="CE22" s="413">
        <v>43.17</v>
      </c>
      <c r="CF22" s="30">
        <v>60.564999999999998</v>
      </c>
      <c r="CG22" s="30"/>
      <c r="CH22" s="31"/>
      <c r="CI22" s="32"/>
      <c r="CJ22" s="33">
        <v>1.41</v>
      </c>
      <c r="CK22" s="33"/>
      <c r="CL22" s="35"/>
      <c r="CM22" s="36"/>
      <c r="CN22" s="286"/>
      <c r="CO22" s="249">
        <f t="shared" si="13"/>
        <v>0</v>
      </c>
      <c r="CP22" s="12">
        <f t="shared" si="13"/>
        <v>44.7930396</v>
      </c>
      <c r="CQ22" s="12">
        <f t="shared" si="13"/>
        <v>25.123634200000001</v>
      </c>
      <c r="CR22" s="12">
        <f t="shared" si="13"/>
        <v>0</v>
      </c>
      <c r="CS22" s="11">
        <f t="shared" si="13"/>
        <v>0</v>
      </c>
      <c r="CT22" s="11">
        <f t="shared" si="13"/>
        <v>5.3562600000000007</v>
      </c>
      <c r="CU22" s="272">
        <f t="shared" si="13"/>
        <v>13.933</v>
      </c>
      <c r="CV22" s="249">
        <f t="shared" si="14"/>
        <v>59.711033499999999</v>
      </c>
      <c r="CW22" s="12">
        <f t="shared" si="14"/>
        <v>0</v>
      </c>
      <c r="CX22" s="249">
        <f t="shared" si="14"/>
        <v>0</v>
      </c>
      <c r="CY22" s="272">
        <f t="shared" si="14"/>
        <v>0</v>
      </c>
      <c r="CZ22" s="13"/>
      <c r="DA22" s="240">
        <f>(D22+'[2]июнь 20'!D22)/(AY22+'[2]июнь 20'!AX22)</f>
        <v>2.3614528144223432</v>
      </c>
      <c r="DB22" s="241">
        <f>(T22+'[2]июнь 20'!R22)/(AY22+'[2]июнь 20'!AX22)</f>
        <v>1.3956761416191459</v>
      </c>
      <c r="DD22" s="292">
        <f t="shared" si="15"/>
        <v>3.5880000000000001</v>
      </c>
      <c r="DE22" s="291">
        <v>0.09</v>
      </c>
      <c r="DF22" s="291">
        <v>15.42</v>
      </c>
      <c r="DG22" s="145">
        <f t="shared" si="16"/>
        <v>3.5847708000000003</v>
      </c>
      <c r="DH22" s="293">
        <f t="shared" si="29"/>
        <v>0.7280016559462662</v>
      </c>
      <c r="DJ22" s="322"/>
    </row>
    <row r="23" spans="1:114" s="76" customFormat="1" ht="16.5" customHeight="1" thickBot="1">
      <c r="A23" s="144">
        <v>17</v>
      </c>
      <c r="B23" s="122">
        <f>'[1]июнь 20'!K22</f>
        <v>207.58</v>
      </c>
      <c r="C23" s="123">
        <f t="shared" si="17"/>
        <v>0.53197172174583296</v>
      </c>
      <c r="D23" s="145">
        <f t="shared" si="18"/>
        <v>206.47573310000001</v>
      </c>
      <c r="E23" s="125">
        <f t="shared" si="19"/>
        <v>38.228454619905577</v>
      </c>
      <c r="F23" s="146">
        <f t="shared" si="0"/>
        <v>2.3608018877201005</v>
      </c>
      <c r="G23" s="127">
        <v>17.38</v>
      </c>
      <c r="H23" s="126">
        <f t="shared" si="20"/>
        <v>1.9809825417333635</v>
      </c>
      <c r="I23" s="230">
        <f>'[1]июль 20'!AI22</f>
        <v>0</v>
      </c>
      <c r="J23" s="247">
        <f>'[1]июнь 20'!AA22</f>
        <v>8.4149999999999991</v>
      </c>
      <c r="K23" s="465">
        <f>'[1]сентябрь 20'!AM22</f>
        <v>0</v>
      </c>
      <c r="L23" s="247">
        <f>'[1]июнь 20'!AE22</f>
        <v>33.219000000000001</v>
      </c>
      <c r="M23" s="469">
        <f t="shared" si="21"/>
        <v>0.37981934598673678</v>
      </c>
      <c r="N23" s="403">
        <f>'[1]июнь 20'!W22</f>
        <v>0</v>
      </c>
      <c r="O23" s="403">
        <f>'[1]июнь 20'!AU22</f>
        <v>0</v>
      </c>
      <c r="P23" s="401">
        <f t="shared" si="1"/>
        <v>130.595</v>
      </c>
      <c r="Q23" s="122">
        <f>'[1]июнь 20'!S22</f>
        <v>130.595</v>
      </c>
      <c r="R23" s="123">
        <f t="shared" si="22"/>
        <v>1.47</v>
      </c>
      <c r="S23" s="129">
        <v>8.52</v>
      </c>
      <c r="T23" s="125">
        <f t="shared" si="2"/>
        <v>128.6752535</v>
      </c>
      <c r="U23" s="147">
        <f t="shared" si="3"/>
        <v>1.4712468957237592</v>
      </c>
      <c r="V23" s="130">
        <v>65.11</v>
      </c>
      <c r="W23" s="130">
        <v>87.46</v>
      </c>
      <c r="X23" s="129">
        <v>0.71</v>
      </c>
      <c r="Y23" s="131">
        <v>520</v>
      </c>
      <c r="Z23" s="150">
        <v>1090</v>
      </c>
      <c r="AA23" s="148" t="s">
        <v>310</v>
      </c>
      <c r="AB23" s="149">
        <v>75.069999999999993</v>
      </c>
      <c r="AC23" s="150">
        <v>84</v>
      </c>
      <c r="AD23" s="151">
        <v>4</v>
      </c>
      <c r="AE23" s="149">
        <v>2.1</v>
      </c>
      <c r="AF23" s="134">
        <f t="shared" si="4"/>
        <v>24.010976446375484</v>
      </c>
      <c r="AG23" s="152"/>
      <c r="AH23" s="129">
        <v>60.75</v>
      </c>
      <c r="AI23" s="134">
        <f t="shared" si="5"/>
        <v>694.60324719871937</v>
      </c>
      <c r="AJ23" s="136">
        <v>16.14</v>
      </c>
      <c r="AK23" s="154"/>
      <c r="AL23" s="155">
        <v>5.85</v>
      </c>
      <c r="AM23" s="156">
        <v>23.16</v>
      </c>
      <c r="AN23" s="126">
        <f t="shared" si="23"/>
        <v>0.20139130434782609</v>
      </c>
      <c r="AO23" s="157" t="s">
        <v>296</v>
      </c>
      <c r="AP23" s="156">
        <v>9.16</v>
      </c>
      <c r="AQ23" s="156">
        <v>6.98</v>
      </c>
      <c r="AR23" s="151"/>
      <c r="AS23" s="149">
        <v>8.77</v>
      </c>
      <c r="AT23" s="149">
        <v>115</v>
      </c>
      <c r="AU23" s="149">
        <v>1.47</v>
      </c>
      <c r="AV23" s="149"/>
      <c r="AW23" s="149"/>
      <c r="AX23" s="158">
        <f t="shared" si="6"/>
        <v>0</v>
      </c>
      <c r="AY23" s="125">
        <f t="shared" si="7"/>
        <v>87.460000000000008</v>
      </c>
      <c r="AZ23" s="125">
        <f t="shared" si="24"/>
        <v>93.648791206388722</v>
      </c>
      <c r="BA23" s="159">
        <f t="shared" si="8"/>
        <v>4.1271496478873226</v>
      </c>
      <c r="BB23" s="160">
        <f t="shared" si="9"/>
        <v>3.4984000000000002</v>
      </c>
      <c r="BC23" s="161">
        <f t="shared" si="10"/>
        <v>0.83180232516759445</v>
      </c>
      <c r="BD23" s="160">
        <f t="shared" si="25"/>
        <v>7.6255496478873228</v>
      </c>
      <c r="BE23" s="162">
        <v>0.90200000000000002</v>
      </c>
      <c r="BF23" s="25">
        <f t="shared" si="26"/>
        <v>1703.1899999999998</v>
      </c>
      <c r="BG23" s="25">
        <f t="shared" si="11"/>
        <v>110</v>
      </c>
      <c r="BH23" s="25">
        <f t="shared" si="27"/>
        <v>1870</v>
      </c>
      <c r="BI23" s="26">
        <f t="shared" si="12"/>
        <v>1</v>
      </c>
      <c r="BJ23" s="37">
        <f t="shared" si="28"/>
        <v>1870</v>
      </c>
      <c r="BK23" s="38"/>
      <c r="BL23" s="31">
        <v>103.78100000000001</v>
      </c>
      <c r="BM23" s="31">
        <v>58.128999999999998</v>
      </c>
      <c r="BN23" s="234"/>
      <c r="BO23" s="42"/>
      <c r="BP23" s="40">
        <v>12.451000000000001</v>
      </c>
      <c r="BQ23" s="411">
        <v>33.219000000000001</v>
      </c>
      <c r="BR23" s="33"/>
      <c r="BS23" s="34">
        <v>0.68</v>
      </c>
      <c r="BT23" s="35">
        <v>0.51</v>
      </c>
      <c r="BU23" s="35"/>
      <c r="BV23" s="235"/>
      <c r="BW23" s="235">
        <v>0.82</v>
      </c>
      <c r="BX23" s="36"/>
      <c r="BY23" s="33"/>
      <c r="BZ23" s="34">
        <v>36.979999999999997</v>
      </c>
      <c r="CA23" s="35">
        <v>38.36</v>
      </c>
      <c r="CB23" s="405"/>
      <c r="CC23" s="404"/>
      <c r="CD23" s="235">
        <v>35.29</v>
      </c>
      <c r="CE23" s="413">
        <v>43</v>
      </c>
      <c r="CF23" s="30">
        <v>130.595</v>
      </c>
      <c r="CG23" s="30"/>
      <c r="CH23" s="31"/>
      <c r="CI23" s="32"/>
      <c r="CJ23" s="33">
        <v>1.47</v>
      </c>
      <c r="CK23" s="33"/>
      <c r="CL23" s="35"/>
      <c r="CM23" s="36"/>
      <c r="CN23" s="286"/>
      <c r="CO23" s="249">
        <f t="shared" ref="CO23:CU37" si="30">BK23*((100-BR23)/100)</f>
        <v>0</v>
      </c>
      <c r="CP23" s="12">
        <f t="shared" si="30"/>
        <v>103.0752892</v>
      </c>
      <c r="CQ23" s="12">
        <f t="shared" si="30"/>
        <v>57.832542099999991</v>
      </c>
      <c r="CR23" s="12">
        <f t="shared" si="30"/>
        <v>0</v>
      </c>
      <c r="CS23" s="11">
        <f t="shared" si="30"/>
        <v>0</v>
      </c>
      <c r="CT23" s="11">
        <f t="shared" si="30"/>
        <v>12.3489018</v>
      </c>
      <c r="CU23" s="272">
        <f t="shared" si="30"/>
        <v>33.219000000000001</v>
      </c>
      <c r="CV23" s="249">
        <f t="shared" si="14"/>
        <v>128.6752535</v>
      </c>
      <c r="CW23" s="11">
        <f t="shared" si="14"/>
        <v>0</v>
      </c>
      <c r="CX23" s="249">
        <f t="shared" si="14"/>
        <v>0</v>
      </c>
      <c r="CY23" s="272">
        <f t="shared" si="14"/>
        <v>0</v>
      </c>
      <c r="CZ23" s="13"/>
      <c r="DA23" s="240">
        <f>(D23+'[2]июнь 20'!D23)/(AY23+'[2]июнь 20'!AX23)</f>
        <v>2.3198519560114126</v>
      </c>
      <c r="DB23" s="241">
        <f>(T23+'[2]июнь 20'!R23)/(AY23+'[2]июнь 20'!AX23)</f>
        <v>1.3716466954386219</v>
      </c>
      <c r="DD23" s="292">
        <f t="shared" si="15"/>
        <v>8.4149999999999991</v>
      </c>
      <c r="DE23" s="291">
        <v>0.08</v>
      </c>
      <c r="DF23" s="291">
        <v>16.579999999999998</v>
      </c>
      <c r="DG23" s="145">
        <f t="shared" si="16"/>
        <v>8.4082679999999996</v>
      </c>
      <c r="DH23" s="293">
        <f t="shared" si="29"/>
        <v>1.8570545283069135</v>
      </c>
      <c r="DJ23" s="322"/>
    </row>
    <row r="24" spans="1:114" s="76" customFormat="1" ht="16.5" customHeight="1" thickBot="1">
      <c r="A24" s="144">
        <v>18</v>
      </c>
      <c r="B24" s="122">
        <f>'[1]июнь 20'!K23</f>
        <v>219.96100000000001</v>
      </c>
      <c r="C24" s="123">
        <f t="shared" si="17"/>
        <v>0.48983751665067893</v>
      </c>
      <c r="D24" s="145">
        <f t="shared" si="18"/>
        <v>218.88354850000002</v>
      </c>
      <c r="E24" s="125">
        <f t="shared" si="19"/>
        <v>37.702088051972844</v>
      </c>
      <c r="F24" s="146">
        <f t="shared" si="0"/>
        <v>2.2111682846752196</v>
      </c>
      <c r="G24" s="127"/>
      <c r="H24" s="126">
        <f t="shared" si="20"/>
        <v>1.8554656884533791</v>
      </c>
      <c r="I24" s="230">
        <f>'[1]июль 20'!AI23</f>
        <v>0</v>
      </c>
      <c r="J24" s="247">
        <f>'[1]июнь 20'!AA23</f>
        <v>8.7989999999999995</v>
      </c>
      <c r="K24" s="464">
        <f>'[1]сентябрь 20'!AM23</f>
        <v>0</v>
      </c>
      <c r="L24" s="247">
        <f>'[1]июнь 20'!AE23</f>
        <v>35.210999999999999</v>
      </c>
      <c r="M24" s="468">
        <f t="shared" si="21"/>
        <v>0.35570259622184053</v>
      </c>
      <c r="N24" s="403">
        <f>'[1]июнь 20'!W23</f>
        <v>0</v>
      </c>
      <c r="O24" s="403">
        <f>'[1]июнь 20'!AU23</f>
        <v>0</v>
      </c>
      <c r="P24" s="401">
        <f t="shared" si="1"/>
        <v>134.113</v>
      </c>
      <c r="Q24" s="122">
        <f>'[1]июнь 20'!S23</f>
        <v>134.113</v>
      </c>
      <c r="R24" s="123">
        <f t="shared" si="22"/>
        <v>1.49</v>
      </c>
      <c r="S24" s="129">
        <v>19.010000000000002</v>
      </c>
      <c r="T24" s="125">
        <f t="shared" si="2"/>
        <v>132.1147163</v>
      </c>
      <c r="U24" s="147">
        <f t="shared" si="3"/>
        <v>1.3346268946358217</v>
      </c>
      <c r="V24" s="130">
        <v>98.99</v>
      </c>
      <c r="W24" s="130">
        <v>98.99</v>
      </c>
      <c r="X24" s="129">
        <v>0.59</v>
      </c>
      <c r="Y24" s="150">
        <v>538</v>
      </c>
      <c r="Z24" s="150">
        <v>1124</v>
      </c>
      <c r="AA24" s="148" t="s">
        <v>295</v>
      </c>
      <c r="AB24" s="149">
        <v>75.2</v>
      </c>
      <c r="AC24" s="150">
        <v>88</v>
      </c>
      <c r="AD24" s="151">
        <v>4</v>
      </c>
      <c r="AE24" s="149">
        <v>3.05</v>
      </c>
      <c r="AF24" s="134">
        <f t="shared" si="4"/>
        <v>30.811193049803006</v>
      </c>
      <c r="AG24" s="152"/>
      <c r="AH24" s="129">
        <v>67.7</v>
      </c>
      <c r="AI24" s="134">
        <f t="shared" si="5"/>
        <v>683.90746540054545</v>
      </c>
      <c r="AJ24" s="153">
        <v>12.52</v>
      </c>
      <c r="AK24" s="154"/>
      <c r="AL24" s="155">
        <v>5.78</v>
      </c>
      <c r="AM24" s="156">
        <v>32.909999999999997</v>
      </c>
      <c r="AN24" s="126">
        <f t="shared" si="23"/>
        <v>0.24039444850255656</v>
      </c>
      <c r="AO24" s="157" t="s">
        <v>313</v>
      </c>
      <c r="AP24" s="156">
        <v>9.1300000000000008</v>
      </c>
      <c r="AQ24" s="156">
        <v>7.56</v>
      </c>
      <c r="AR24" s="151"/>
      <c r="AS24" s="149">
        <v>7.73</v>
      </c>
      <c r="AT24" s="149">
        <v>136.9</v>
      </c>
      <c r="AU24" s="149">
        <v>0.78</v>
      </c>
      <c r="AV24" s="164"/>
      <c r="AW24" s="149"/>
      <c r="AX24" s="158">
        <f t="shared" si="6"/>
        <v>0</v>
      </c>
      <c r="AY24" s="125">
        <f t="shared" si="7"/>
        <v>98.990000000000009</v>
      </c>
      <c r="AZ24" s="125">
        <f t="shared" si="24"/>
        <v>97.670930168796659</v>
      </c>
      <c r="BA24" s="159">
        <f t="shared" si="8"/>
        <v>4.0538950704225352</v>
      </c>
      <c r="BB24" s="160">
        <f t="shared" si="9"/>
        <v>3.9596000000000005</v>
      </c>
      <c r="BC24" s="161">
        <f t="shared" si="10"/>
        <v>0.90205006194755821</v>
      </c>
      <c r="BD24" s="160">
        <f t="shared" si="25"/>
        <v>8.0134950704225361</v>
      </c>
      <c r="BE24" s="162">
        <v>0.90200000000000002</v>
      </c>
      <c r="BF24" s="25">
        <f t="shared" si="26"/>
        <v>1802.1799999999998</v>
      </c>
      <c r="BG24" s="25">
        <f t="shared" si="11"/>
        <v>110</v>
      </c>
      <c r="BH24" s="25">
        <f t="shared" si="27"/>
        <v>1980</v>
      </c>
      <c r="BI24" s="26">
        <f t="shared" si="12"/>
        <v>1</v>
      </c>
      <c r="BJ24" s="37">
        <f t="shared" si="28"/>
        <v>1980</v>
      </c>
      <c r="BK24" s="38"/>
      <c r="BL24" s="31">
        <v>110.011</v>
      </c>
      <c r="BM24" s="31">
        <v>61.631</v>
      </c>
      <c r="BN24" s="234"/>
      <c r="BO24" s="42"/>
      <c r="BP24" s="40">
        <v>13.108000000000001</v>
      </c>
      <c r="BQ24" s="411">
        <v>35.210999999999999</v>
      </c>
      <c r="BR24" s="33"/>
      <c r="BS24" s="34">
        <v>0.65</v>
      </c>
      <c r="BT24" s="35">
        <v>0.32</v>
      </c>
      <c r="BU24" s="35"/>
      <c r="BV24" s="235"/>
      <c r="BW24" s="235">
        <v>1.26</v>
      </c>
      <c r="BX24" s="36"/>
      <c r="BY24" s="33"/>
      <c r="BZ24" s="34">
        <v>37.19</v>
      </c>
      <c r="CA24" s="35">
        <v>36.909999999999997</v>
      </c>
      <c r="CB24" s="405"/>
      <c r="CC24" s="404"/>
      <c r="CD24" s="235">
        <v>30.66</v>
      </c>
      <c r="CE24" s="413">
        <v>43.31</v>
      </c>
      <c r="CF24" s="30">
        <v>134.113</v>
      </c>
      <c r="CG24" s="30"/>
      <c r="CH24" s="31"/>
      <c r="CI24" s="32"/>
      <c r="CJ24" s="33">
        <v>1.49</v>
      </c>
      <c r="CK24" s="33"/>
      <c r="CL24" s="35"/>
      <c r="CM24" s="36"/>
      <c r="CN24" s="286"/>
      <c r="CO24" s="249">
        <f t="shared" si="30"/>
        <v>0</v>
      </c>
      <c r="CP24" s="12">
        <f t="shared" si="30"/>
        <v>109.29592849999999</v>
      </c>
      <c r="CQ24" s="12">
        <f t="shared" si="30"/>
        <v>61.433780800000001</v>
      </c>
      <c r="CR24" s="12">
        <f t="shared" si="30"/>
        <v>0</v>
      </c>
      <c r="CS24" s="11">
        <f t="shared" si="30"/>
        <v>0</v>
      </c>
      <c r="CT24" s="11">
        <f t="shared" si="30"/>
        <v>12.9428392</v>
      </c>
      <c r="CU24" s="272">
        <f t="shared" si="30"/>
        <v>35.210999999999999</v>
      </c>
      <c r="CV24" s="249">
        <f t="shared" si="14"/>
        <v>132.1147163</v>
      </c>
      <c r="CW24" s="12">
        <f t="shared" si="14"/>
        <v>0</v>
      </c>
      <c r="CX24" s="249">
        <f t="shared" si="14"/>
        <v>0</v>
      </c>
      <c r="CY24" s="272">
        <f t="shared" si="14"/>
        <v>0</v>
      </c>
      <c r="CZ24" s="13"/>
      <c r="DA24" s="240">
        <f>(D24+'[2]июнь 20'!D24)/(AY24+'[2]июнь 20'!AX24)</f>
        <v>2.2247140952083986</v>
      </c>
      <c r="DB24" s="241">
        <f>(T24+'[2]июнь 20'!R24)/(AY24+'[2]июнь 20'!AX24)</f>
        <v>1.3039348518864982</v>
      </c>
      <c r="DD24" s="292">
        <f t="shared" si="15"/>
        <v>8.7989999999999995</v>
      </c>
      <c r="DE24" s="291">
        <v>0.05</v>
      </c>
      <c r="DF24" s="291">
        <v>15.98</v>
      </c>
      <c r="DG24" s="145">
        <f t="shared" si="16"/>
        <v>8.7946004999999996</v>
      </c>
      <c r="DH24" s="293">
        <f t="shared" si="29"/>
        <v>1.8688526062499999</v>
      </c>
      <c r="DJ24" s="322"/>
    </row>
    <row r="25" spans="1:114" s="76" customFormat="1" ht="16.5" customHeight="1" thickBot="1">
      <c r="A25" s="144">
        <v>19</v>
      </c>
      <c r="B25" s="122">
        <f>'[1]июнь 20'!K24</f>
        <v>215.18100000000001</v>
      </c>
      <c r="C25" s="123">
        <f t="shared" si="17"/>
        <v>0.4963763064582839</v>
      </c>
      <c r="D25" s="145">
        <f t="shared" si="18"/>
        <v>214.11289249999999</v>
      </c>
      <c r="E25" s="125">
        <f t="shared" si="19"/>
        <v>37.733924184756091</v>
      </c>
      <c r="F25" s="146">
        <f t="shared" si="0"/>
        <v>1.9772175870348139</v>
      </c>
      <c r="G25" s="127"/>
      <c r="H25" s="126">
        <f t="shared" si="20"/>
        <v>1.6599029688798599</v>
      </c>
      <c r="I25" s="230">
        <f>'[1]июль 20'!AI24</f>
        <v>0</v>
      </c>
      <c r="J25" s="247">
        <f>'[1]июнь 20'!AA24</f>
        <v>8.5670000000000002</v>
      </c>
      <c r="K25" s="465">
        <f>'[1]сентябрь 20'!AM24</f>
        <v>0</v>
      </c>
      <c r="L25" s="247">
        <f>'[1]июнь 20'!AE24</f>
        <v>34.362000000000002</v>
      </c>
      <c r="M25" s="469">
        <f t="shared" si="21"/>
        <v>0.31731461815495432</v>
      </c>
      <c r="N25" s="403">
        <f>'[1]июнь 20'!W24</f>
        <v>0</v>
      </c>
      <c r="O25" s="403">
        <f>'[1]июнь 20'!AU24</f>
        <v>0</v>
      </c>
      <c r="P25" s="401">
        <f t="shared" si="1"/>
        <v>131.39599999999999</v>
      </c>
      <c r="Q25" s="122">
        <f>'[1]июнь 20'!S24</f>
        <v>131.39599999999999</v>
      </c>
      <c r="R25" s="123">
        <f>IF(Q25=0,0,(CI25*CM25+CG25*CK25+CH25*CL25+CF25*CJ25)/Q25)</f>
        <v>1.48</v>
      </c>
      <c r="S25" s="129">
        <v>9.8699999999999992</v>
      </c>
      <c r="T25" s="125">
        <f t="shared" si="2"/>
        <v>129.45133919999998</v>
      </c>
      <c r="U25" s="147">
        <f t="shared" si="3"/>
        <v>1.1954136042109149</v>
      </c>
      <c r="V25" s="130">
        <v>108.29</v>
      </c>
      <c r="W25" s="130">
        <v>82.25</v>
      </c>
      <c r="X25" s="129">
        <v>0.67</v>
      </c>
      <c r="Y25" s="150">
        <v>556</v>
      </c>
      <c r="Z25" s="150">
        <v>1156</v>
      </c>
      <c r="AA25" s="148" t="s">
        <v>314</v>
      </c>
      <c r="AB25" s="149">
        <v>75.28</v>
      </c>
      <c r="AC25" s="150">
        <v>86</v>
      </c>
      <c r="AD25" s="151">
        <v>4</v>
      </c>
      <c r="AE25" s="149">
        <v>2.9</v>
      </c>
      <c r="AF25" s="134">
        <f t="shared" si="4"/>
        <v>26.779942746329301</v>
      </c>
      <c r="AG25" s="152"/>
      <c r="AH25" s="129">
        <v>57.6</v>
      </c>
      <c r="AI25" s="134">
        <f t="shared" si="5"/>
        <v>531.9050697201958</v>
      </c>
      <c r="AJ25" s="136">
        <v>13.88</v>
      </c>
      <c r="AK25" s="154"/>
      <c r="AL25" s="155">
        <v>1.71</v>
      </c>
      <c r="AM25" s="156">
        <v>29.97</v>
      </c>
      <c r="AN25" s="126">
        <f t="shared" si="23"/>
        <v>0.21733139956490208</v>
      </c>
      <c r="AO25" s="157" t="s">
        <v>315</v>
      </c>
      <c r="AP25" s="156">
        <v>9.8000000000000007</v>
      </c>
      <c r="AQ25" s="156">
        <v>7.06</v>
      </c>
      <c r="AR25" s="152"/>
      <c r="AS25" s="149">
        <v>6.02</v>
      </c>
      <c r="AT25" s="149">
        <v>137.9</v>
      </c>
      <c r="AU25" s="149">
        <v>2.0699999999999998</v>
      </c>
      <c r="AV25" s="164"/>
      <c r="AW25" s="149"/>
      <c r="AX25" s="158">
        <f t="shared" si="6"/>
        <v>0</v>
      </c>
      <c r="AY25" s="125">
        <f t="shared" si="7"/>
        <v>108.28999999999999</v>
      </c>
      <c r="AZ25" s="125">
        <f t="shared" si="24"/>
        <v>95.325404505605121</v>
      </c>
      <c r="BA25" s="159">
        <f t="shared" si="8"/>
        <v>2.6861070422535209</v>
      </c>
      <c r="BB25" s="160">
        <f t="shared" si="9"/>
        <v>4.3315999999999999</v>
      </c>
      <c r="BC25" s="161">
        <f t="shared" si="10"/>
        <v>1.0090046625897506</v>
      </c>
      <c r="BD25" s="160">
        <f t="shared" si="25"/>
        <v>7.0177070422535213</v>
      </c>
      <c r="BE25" s="162">
        <v>0.90800000000000003</v>
      </c>
      <c r="BF25" s="25">
        <f t="shared" si="26"/>
        <v>1910.4699999999998</v>
      </c>
      <c r="BG25" s="25">
        <f t="shared" si="11"/>
        <v>110</v>
      </c>
      <c r="BH25" s="25">
        <f t="shared" si="27"/>
        <v>2090</v>
      </c>
      <c r="BI25" s="26">
        <f t="shared" si="12"/>
        <v>1</v>
      </c>
      <c r="BJ25" s="37">
        <f t="shared" si="28"/>
        <v>2090</v>
      </c>
      <c r="BK25" s="38"/>
      <c r="BL25" s="31">
        <v>107.456</v>
      </c>
      <c r="BM25" s="31">
        <v>60.222999999999999</v>
      </c>
      <c r="BN25" s="234"/>
      <c r="BO25" s="42"/>
      <c r="BP25" s="40">
        <v>13.14</v>
      </c>
      <c r="BQ25" s="411">
        <v>34.362000000000002</v>
      </c>
      <c r="BR25" s="33"/>
      <c r="BS25" s="34">
        <v>0.71</v>
      </c>
      <c r="BT25" s="35">
        <v>0.33</v>
      </c>
      <c r="BU25" s="35"/>
      <c r="BV25" s="235"/>
      <c r="BW25" s="235">
        <v>0.81</v>
      </c>
      <c r="BX25" s="36"/>
      <c r="BY25" s="33"/>
      <c r="BZ25" s="34">
        <v>37.17</v>
      </c>
      <c r="CA25" s="35">
        <v>36.479999999999997</v>
      </c>
      <c r="CB25" s="405"/>
      <c r="CC25" s="404"/>
      <c r="CD25" s="235">
        <v>33.04</v>
      </c>
      <c r="CE25" s="413">
        <v>43.49</v>
      </c>
      <c r="CF25" s="30">
        <v>131.39599999999999</v>
      </c>
      <c r="CG25" s="30"/>
      <c r="CH25" s="31"/>
      <c r="CI25" s="32"/>
      <c r="CJ25" s="33">
        <v>1.48</v>
      </c>
      <c r="CK25" s="33"/>
      <c r="CL25" s="35"/>
      <c r="CM25" s="36"/>
      <c r="CN25" s="286"/>
      <c r="CO25" s="249">
        <f t="shared" si="30"/>
        <v>0</v>
      </c>
      <c r="CP25" s="12">
        <f t="shared" si="30"/>
        <v>106.69306240000002</v>
      </c>
      <c r="CQ25" s="12">
        <f t="shared" si="30"/>
        <v>60.024264100000003</v>
      </c>
      <c r="CR25" s="12">
        <f t="shared" si="30"/>
        <v>0</v>
      </c>
      <c r="CS25" s="11">
        <f t="shared" si="30"/>
        <v>0</v>
      </c>
      <c r="CT25" s="11">
        <f t="shared" si="30"/>
        <v>13.033566</v>
      </c>
      <c r="CU25" s="272">
        <f t="shared" si="30"/>
        <v>34.362000000000002</v>
      </c>
      <c r="CV25" s="249">
        <f t="shared" si="14"/>
        <v>129.45133919999998</v>
      </c>
      <c r="CW25" s="251">
        <f t="shared" si="14"/>
        <v>0</v>
      </c>
      <c r="CX25" s="249">
        <f t="shared" si="14"/>
        <v>0</v>
      </c>
      <c r="CY25" s="272">
        <f t="shared" si="14"/>
        <v>0</v>
      </c>
      <c r="CZ25" s="13"/>
      <c r="DA25" s="240">
        <f>(D25+'[2]июнь 20'!D25)/(AY25+'[2]июнь 20'!AX25)</f>
        <v>2.1562854465861276</v>
      </c>
      <c r="DB25" s="241">
        <f>(T25+'[2]июнь 20'!R25)/(AY25+'[2]июнь 20'!AX25)</f>
        <v>1.2622890566037737</v>
      </c>
      <c r="DD25" s="292">
        <f t="shared" si="15"/>
        <v>8.5670000000000002</v>
      </c>
      <c r="DE25" s="291">
        <v>7.0000000000000007E-2</v>
      </c>
      <c r="DF25" s="291">
        <v>14.35</v>
      </c>
      <c r="DG25" s="145">
        <f t="shared" si="16"/>
        <v>8.5610031000000006</v>
      </c>
      <c r="DH25" s="293">
        <f t="shared" si="29"/>
        <v>1.6319127854011688</v>
      </c>
      <c r="DJ25" s="322"/>
    </row>
    <row r="26" spans="1:114" s="76" customFormat="1" ht="16.5" customHeight="1" thickBot="1">
      <c r="A26" s="144">
        <v>20</v>
      </c>
      <c r="B26" s="122">
        <f>'[1]июнь 20'!K25</f>
        <v>227.29599999999999</v>
      </c>
      <c r="C26" s="123">
        <f t="shared" si="17"/>
        <v>0.4348945867943122</v>
      </c>
      <c r="D26" s="145">
        <f t="shared" si="18"/>
        <v>226.307502</v>
      </c>
      <c r="E26" s="125">
        <f t="shared" si="19"/>
        <v>38.19402422391947</v>
      </c>
      <c r="F26" s="146">
        <f t="shared" si="0"/>
        <v>2.1569529355699579</v>
      </c>
      <c r="G26" s="127"/>
      <c r="H26" s="126">
        <f t="shared" si="20"/>
        <v>1.8099647540983608</v>
      </c>
      <c r="I26" s="230">
        <f>'[1]июль 20'!AI25</f>
        <v>0</v>
      </c>
      <c r="J26" s="247">
        <f>'[1]июнь 20'!AA25</f>
        <v>9.1829999999999998</v>
      </c>
      <c r="K26" s="464">
        <f>'[1]сентябрь 20'!AM25</f>
        <v>0</v>
      </c>
      <c r="L26" s="247">
        <f>'[1]июнь 20'!AE25</f>
        <v>36.405999999999999</v>
      </c>
      <c r="M26" s="468">
        <f t="shared" si="21"/>
        <v>0.34698818147159738</v>
      </c>
      <c r="N26" s="403">
        <f>'[1]июнь 20'!W25</f>
        <v>0</v>
      </c>
      <c r="O26" s="403">
        <f>'[1]июнь 20'!AU25</f>
        <v>0</v>
      </c>
      <c r="P26" s="401">
        <f t="shared" si="1"/>
        <v>138.83799999999999</v>
      </c>
      <c r="Q26" s="122">
        <f>'[1]июнь 20'!S25</f>
        <v>138.83799999999999</v>
      </c>
      <c r="R26" s="123">
        <f t="shared" si="22"/>
        <v>1.46</v>
      </c>
      <c r="S26" s="129">
        <v>8.35</v>
      </c>
      <c r="T26" s="125">
        <f t="shared" si="2"/>
        <v>136.8109652</v>
      </c>
      <c r="U26" s="147">
        <f t="shared" si="3"/>
        <v>1.3039550629050705</v>
      </c>
      <c r="V26" s="169">
        <v>55.38</v>
      </c>
      <c r="W26" s="169">
        <v>104.92</v>
      </c>
      <c r="X26" s="170">
        <v>0.54</v>
      </c>
      <c r="Y26" s="166">
        <v>551</v>
      </c>
      <c r="Z26" s="166">
        <v>1147</v>
      </c>
      <c r="AA26" s="148" t="s">
        <v>314</v>
      </c>
      <c r="AB26" s="164">
        <v>75.599999999999994</v>
      </c>
      <c r="AC26" s="166">
        <v>91</v>
      </c>
      <c r="AD26" s="171">
        <v>4</v>
      </c>
      <c r="AE26" s="164"/>
      <c r="AF26" s="172">
        <f t="shared" si="4"/>
        <v>0</v>
      </c>
      <c r="AG26" s="173"/>
      <c r="AH26" s="170">
        <v>65.099999999999994</v>
      </c>
      <c r="AI26" s="134">
        <f t="shared" si="5"/>
        <v>620.47274113610365</v>
      </c>
      <c r="AJ26" s="174">
        <v>13.67</v>
      </c>
      <c r="AK26" s="175"/>
      <c r="AL26" s="176">
        <v>5.04</v>
      </c>
      <c r="AM26" s="177">
        <v>29.97</v>
      </c>
      <c r="AN26" s="126">
        <f t="shared" si="23"/>
        <v>0.21685962373371925</v>
      </c>
      <c r="AO26" s="178" t="s">
        <v>316</v>
      </c>
      <c r="AP26" s="177">
        <v>9.0399999999999991</v>
      </c>
      <c r="AQ26" s="177">
        <v>7.28</v>
      </c>
      <c r="AR26" s="171"/>
      <c r="AS26" s="164">
        <v>7.74</v>
      </c>
      <c r="AT26" s="149">
        <v>138.19999999999999</v>
      </c>
      <c r="AU26" s="164">
        <v>1.73</v>
      </c>
      <c r="AV26" s="164"/>
      <c r="AW26" s="164"/>
      <c r="AX26" s="179">
        <f t="shared" si="6"/>
        <v>0</v>
      </c>
      <c r="AY26" s="125">
        <f t="shared" si="7"/>
        <v>104.92</v>
      </c>
      <c r="AZ26" s="125">
        <f t="shared" si="24"/>
        <v>101.79760905404075</v>
      </c>
      <c r="BA26" s="159">
        <f t="shared" si="8"/>
        <v>3.9032492957746476</v>
      </c>
      <c r="BB26" s="159">
        <f t="shared" si="9"/>
        <v>4.1968000000000005</v>
      </c>
      <c r="BC26" s="180">
        <f t="shared" si="10"/>
        <v>0.91766825282751663</v>
      </c>
      <c r="BD26" s="159">
        <f t="shared" si="25"/>
        <v>8.1000492957746477</v>
      </c>
      <c r="BE26" s="167">
        <v>0.90800000000000003</v>
      </c>
      <c r="BF26" s="25">
        <f t="shared" si="26"/>
        <v>2015.3899999999999</v>
      </c>
      <c r="BG26" s="25">
        <f t="shared" si="11"/>
        <v>110</v>
      </c>
      <c r="BH26" s="25">
        <f t="shared" si="27"/>
        <v>2200</v>
      </c>
      <c r="BI26" s="26">
        <f t="shared" si="12"/>
        <v>1</v>
      </c>
      <c r="BJ26" s="37">
        <f t="shared" si="28"/>
        <v>2200</v>
      </c>
      <c r="BK26" s="38"/>
      <c r="BL26" s="43">
        <v>113.666</v>
      </c>
      <c r="BM26" s="31">
        <v>63.719000000000001</v>
      </c>
      <c r="BN26" s="406"/>
      <c r="BO26" s="42"/>
      <c r="BP26" s="40">
        <v>13.505000000000001</v>
      </c>
      <c r="BQ26" s="412">
        <v>36.405999999999999</v>
      </c>
      <c r="BR26" s="33"/>
      <c r="BS26" s="34">
        <v>0.6</v>
      </c>
      <c r="BT26" s="35">
        <v>0.25</v>
      </c>
      <c r="BU26" s="35"/>
      <c r="BV26" s="235"/>
      <c r="BW26" s="235">
        <v>1.0900000000000001</v>
      </c>
      <c r="BX26" s="36"/>
      <c r="BY26" s="33"/>
      <c r="BZ26" s="34">
        <v>37.409999999999997</v>
      </c>
      <c r="CA26" s="35">
        <v>37.380000000000003</v>
      </c>
      <c r="CB26" s="405"/>
      <c r="CC26" s="404"/>
      <c r="CD26" s="235">
        <v>34.33</v>
      </c>
      <c r="CE26" s="413">
        <v>43.5</v>
      </c>
      <c r="CF26" s="30">
        <v>138.83799999999999</v>
      </c>
      <c r="CG26" s="30"/>
      <c r="CH26" s="43"/>
      <c r="CI26" s="32"/>
      <c r="CJ26" s="33">
        <v>1.46</v>
      </c>
      <c r="CK26" s="33"/>
      <c r="CL26" s="35"/>
      <c r="CM26" s="36"/>
      <c r="CN26" s="286"/>
      <c r="CO26" s="249">
        <f t="shared" si="30"/>
        <v>0</v>
      </c>
      <c r="CP26" s="12">
        <f t="shared" si="30"/>
        <v>112.98400400000001</v>
      </c>
      <c r="CQ26" s="12">
        <f t="shared" si="30"/>
        <v>63.559702500000007</v>
      </c>
      <c r="CR26" s="12">
        <f t="shared" si="30"/>
        <v>0</v>
      </c>
      <c r="CS26" s="11">
        <f t="shared" si="30"/>
        <v>0</v>
      </c>
      <c r="CT26" s="11">
        <f t="shared" si="30"/>
        <v>13.3577955</v>
      </c>
      <c r="CU26" s="272">
        <f t="shared" si="30"/>
        <v>36.405999999999999</v>
      </c>
      <c r="CV26" s="249">
        <f t="shared" si="14"/>
        <v>136.8109652</v>
      </c>
      <c r="CW26" s="12">
        <f t="shared" si="14"/>
        <v>0</v>
      </c>
      <c r="CX26" s="249">
        <f t="shared" si="14"/>
        <v>0</v>
      </c>
      <c r="CY26" s="274">
        <f t="shared" si="14"/>
        <v>0</v>
      </c>
      <c r="CZ26" s="13"/>
      <c r="DA26" s="240">
        <f>(D26+'[2]июнь 20'!D26)/(AY26+'[2]июнь 20'!AX26)</f>
        <v>2.2985579787887054</v>
      </c>
      <c r="DB26" s="241">
        <f>(T26+'[2]июнь 20'!R26)/(AY26+'[2]июнь 20'!AX26)</f>
        <v>1.3463748642749966</v>
      </c>
      <c r="DD26" s="292">
        <f t="shared" si="15"/>
        <v>9.1829999999999998</v>
      </c>
      <c r="DE26" s="291">
        <v>0.25</v>
      </c>
      <c r="DF26" s="291">
        <v>16.38</v>
      </c>
      <c r="DG26" s="145">
        <f t="shared" si="16"/>
        <v>9.1600425000000012</v>
      </c>
      <c r="DH26" s="293">
        <f t="shared" si="29"/>
        <v>1.9846758750000006</v>
      </c>
      <c r="DJ26" s="322"/>
    </row>
    <row r="27" spans="1:114" s="76" customFormat="1" ht="16.5" customHeight="1" thickBot="1">
      <c r="A27" s="144">
        <v>21</v>
      </c>
      <c r="B27" s="122">
        <f>'[1]июнь 20'!K26</f>
        <v>242.62899999999999</v>
      </c>
      <c r="C27" s="123">
        <f t="shared" si="17"/>
        <v>0.6139940814989141</v>
      </c>
      <c r="D27" s="145">
        <f t="shared" si="18"/>
        <v>241.13927229999999</v>
      </c>
      <c r="E27" s="125">
        <f t="shared" si="19"/>
        <v>37.471737673567468</v>
      </c>
      <c r="F27" s="146">
        <f t="shared" si="0"/>
        <v>2.3093207460256657</v>
      </c>
      <c r="G27" s="127"/>
      <c r="H27" s="126">
        <f t="shared" si="20"/>
        <v>1.9989970532465049</v>
      </c>
      <c r="I27" s="230">
        <f>'[1]июль 20'!AI26</f>
        <v>0</v>
      </c>
      <c r="J27" s="247">
        <f>'[1]июнь 20'!AA26</f>
        <v>9.6989999999999998</v>
      </c>
      <c r="K27" s="465">
        <f>'[1]сентябрь 20'!AM26</f>
        <v>0</v>
      </c>
      <c r="L27" s="247">
        <f>'[1]июнь 20'!AE26</f>
        <v>32.404000000000003</v>
      </c>
      <c r="M27" s="469">
        <f t="shared" si="21"/>
        <v>0.31032369277916116</v>
      </c>
      <c r="N27" s="403">
        <f>'[1]июнь 20'!W26</f>
        <v>0</v>
      </c>
      <c r="O27" s="403">
        <f>'[1]июнь 20'!AU26</f>
        <v>0</v>
      </c>
      <c r="P27" s="401">
        <f t="shared" si="1"/>
        <v>149.24100000000001</v>
      </c>
      <c r="Q27" s="122">
        <f>'[1]июнь 20'!S26</f>
        <v>149.24100000000001</v>
      </c>
      <c r="R27" s="123">
        <f t="shared" si="22"/>
        <v>1.53</v>
      </c>
      <c r="S27" s="129">
        <v>9.3800000000000008</v>
      </c>
      <c r="T27" s="125">
        <f t="shared" si="2"/>
        <v>146.95761270000003</v>
      </c>
      <c r="U27" s="147">
        <f t="shared" si="3"/>
        <v>1.4073703572112626</v>
      </c>
      <c r="V27" s="130">
        <v>78.98</v>
      </c>
      <c r="W27" s="130">
        <v>104.42</v>
      </c>
      <c r="X27" s="129">
        <v>0.53</v>
      </c>
      <c r="Y27" s="150">
        <v>535</v>
      </c>
      <c r="Z27" s="150">
        <v>1161</v>
      </c>
      <c r="AA27" s="148" t="s">
        <v>317</v>
      </c>
      <c r="AB27" s="149">
        <v>75.39</v>
      </c>
      <c r="AC27" s="150">
        <v>97</v>
      </c>
      <c r="AD27" s="151">
        <v>4</v>
      </c>
      <c r="AE27" s="149">
        <v>5</v>
      </c>
      <c r="AF27" s="134">
        <f t="shared" si="4"/>
        <v>47.883547213177557</v>
      </c>
      <c r="AG27" s="152"/>
      <c r="AH27" s="129">
        <v>64</v>
      </c>
      <c r="AI27" s="134">
        <f t="shared" si="5"/>
        <v>612.90940432867274</v>
      </c>
      <c r="AJ27" s="136">
        <v>13.38</v>
      </c>
      <c r="AK27" s="154"/>
      <c r="AL27" s="155">
        <v>3.97</v>
      </c>
      <c r="AM27" s="156">
        <v>32.15</v>
      </c>
      <c r="AN27" s="126">
        <f t="shared" si="23"/>
        <v>0.23137819359481829</v>
      </c>
      <c r="AO27" s="157" t="s">
        <v>157</v>
      </c>
      <c r="AP27" s="156">
        <v>9.4</v>
      </c>
      <c r="AQ27" s="156">
        <v>7.38</v>
      </c>
      <c r="AR27" s="151"/>
      <c r="AS27" s="149">
        <v>6.73</v>
      </c>
      <c r="AT27" s="149">
        <v>138.94999999999999</v>
      </c>
      <c r="AU27" s="149">
        <v>1.59</v>
      </c>
      <c r="AV27" s="164"/>
      <c r="AW27" s="149"/>
      <c r="AX27" s="158">
        <f t="shared" si="6"/>
        <v>0</v>
      </c>
      <c r="AY27" s="125">
        <f t="shared" si="7"/>
        <v>104.41999999999999</v>
      </c>
      <c r="AZ27" s="125">
        <f t="shared" si="24"/>
        <v>106.93000745978436</v>
      </c>
      <c r="BA27" s="159">
        <f t="shared" si="8"/>
        <v>3.3365633802816901</v>
      </c>
      <c r="BB27" s="160">
        <f t="shared" si="9"/>
        <v>4.1767999999999992</v>
      </c>
      <c r="BC27" s="161">
        <f t="shared" si="10"/>
        <v>0.871215619746878</v>
      </c>
      <c r="BD27" s="160">
        <f t="shared" si="25"/>
        <v>7.5133633802816888</v>
      </c>
      <c r="BE27" s="162">
        <v>0.90700000000000003</v>
      </c>
      <c r="BF27" s="25">
        <f t="shared" si="26"/>
        <v>2119.81</v>
      </c>
      <c r="BG27" s="25">
        <f t="shared" si="11"/>
        <v>110</v>
      </c>
      <c r="BH27" s="25">
        <f t="shared" si="27"/>
        <v>2310</v>
      </c>
      <c r="BI27" s="26">
        <f t="shared" si="12"/>
        <v>1</v>
      </c>
      <c r="BJ27" s="37">
        <f t="shared" si="28"/>
        <v>2310</v>
      </c>
      <c r="BK27" s="38"/>
      <c r="BL27" s="31">
        <v>127.694</v>
      </c>
      <c r="BM27" s="31">
        <v>67.927000000000007</v>
      </c>
      <c r="BN27" s="234"/>
      <c r="BO27" s="42"/>
      <c r="BP27" s="40">
        <v>14.603999999999999</v>
      </c>
      <c r="BQ27" s="411">
        <v>32.404000000000003</v>
      </c>
      <c r="BR27" s="33"/>
      <c r="BS27" s="34">
        <v>0.89</v>
      </c>
      <c r="BT27" s="35">
        <v>0.28999999999999998</v>
      </c>
      <c r="BU27" s="35"/>
      <c r="BV27" s="235"/>
      <c r="BW27" s="235">
        <v>1.07</v>
      </c>
      <c r="BX27" s="36"/>
      <c r="BY27" s="33"/>
      <c r="BZ27" s="34">
        <v>37.32</v>
      </c>
      <c r="CA27" s="35">
        <v>36.24</v>
      </c>
      <c r="CB27" s="405"/>
      <c r="CC27" s="404"/>
      <c r="CD27" s="235">
        <v>31.64</v>
      </c>
      <c r="CE27" s="413">
        <v>43.28</v>
      </c>
      <c r="CF27" s="30">
        <v>149.24100000000001</v>
      </c>
      <c r="CG27" s="30"/>
      <c r="CH27" s="31"/>
      <c r="CI27" s="32"/>
      <c r="CJ27" s="33">
        <v>1.53</v>
      </c>
      <c r="CK27" s="33"/>
      <c r="CL27" s="35"/>
      <c r="CM27" s="36"/>
      <c r="CN27" s="286"/>
      <c r="CO27" s="249">
        <f t="shared" si="30"/>
        <v>0</v>
      </c>
      <c r="CP27" s="12">
        <f t="shared" si="30"/>
        <v>126.55752339999999</v>
      </c>
      <c r="CQ27" s="12">
        <f t="shared" si="30"/>
        <v>67.730011700000006</v>
      </c>
      <c r="CR27" s="12">
        <f t="shared" si="30"/>
        <v>0</v>
      </c>
      <c r="CS27" s="11">
        <f t="shared" si="30"/>
        <v>0</v>
      </c>
      <c r="CT27" s="11">
        <f t="shared" si="30"/>
        <v>14.447737200000001</v>
      </c>
      <c r="CU27" s="272">
        <f t="shared" si="30"/>
        <v>32.404000000000003</v>
      </c>
      <c r="CV27" s="249">
        <f t="shared" si="14"/>
        <v>146.95761270000003</v>
      </c>
      <c r="CW27" s="11">
        <f t="shared" si="14"/>
        <v>0</v>
      </c>
      <c r="CX27" s="249">
        <f t="shared" si="14"/>
        <v>0</v>
      </c>
      <c r="CY27" s="272">
        <f t="shared" si="14"/>
        <v>0</v>
      </c>
      <c r="CZ27" s="13"/>
      <c r="DA27" s="240">
        <f>(D27+'[2]июнь 20'!D27)/(AY27+'[2]июнь 20'!AX27)</f>
        <v>2.2562101440329219</v>
      </c>
      <c r="DB27" s="241">
        <f>(T27+'[2]июнь 20'!R27)/(AY27+'[2]июнь 20'!AX27)</f>
        <v>1.3293787111246038</v>
      </c>
      <c r="DD27" s="292">
        <f t="shared" si="15"/>
        <v>9.6989999999999998</v>
      </c>
      <c r="DE27" s="291">
        <v>0.18</v>
      </c>
      <c r="DF27" s="291">
        <v>17.88</v>
      </c>
      <c r="DG27" s="145">
        <f t="shared" si="16"/>
        <v>9.6815417999999998</v>
      </c>
      <c r="DH27" s="293">
        <f t="shared" si="29"/>
        <v>2.2961396389972144</v>
      </c>
      <c r="DJ27" s="322"/>
    </row>
    <row r="28" spans="1:114" s="76" customFormat="1" ht="16.5" customHeight="1" thickBot="1">
      <c r="A28" s="144">
        <v>22</v>
      </c>
      <c r="B28" s="122">
        <f>'[1]июнь 20'!K27</f>
        <v>217.31100000000001</v>
      </c>
      <c r="C28" s="123">
        <f t="shared" si="17"/>
        <v>0.33768985463230122</v>
      </c>
      <c r="D28" s="145">
        <f t="shared" si="18"/>
        <v>216.5771628</v>
      </c>
      <c r="E28" s="125">
        <f t="shared" si="19"/>
        <v>37.760687171841283</v>
      </c>
      <c r="F28" s="146">
        <f t="shared" si="0"/>
        <v>2.1445406753143876</v>
      </c>
      <c r="G28" s="127">
        <v>15.9</v>
      </c>
      <c r="H28" s="126">
        <f t="shared" si="20"/>
        <v>1.9290242875532233</v>
      </c>
      <c r="I28" s="230">
        <f>'[1]июль 20'!AI27</f>
        <v>0</v>
      </c>
      <c r="J28" s="247">
        <f>'[1]июнь 20'!AA27</f>
        <v>8.8010000000000002</v>
      </c>
      <c r="K28" s="464">
        <f>'[1]сентябрь 20'!AM27</f>
        <v>0</v>
      </c>
      <c r="L28" s="247">
        <f>'[1]июнь 20'!AE27</f>
        <v>21.765000000000001</v>
      </c>
      <c r="M28" s="468">
        <f t="shared" si="21"/>
        <v>0.2155163877611645</v>
      </c>
      <c r="N28" s="403">
        <f>'[1]июнь 20'!W27</f>
        <v>0</v>
      </c>
      <c r="O28" s="403">
        <f>'[1]июнь 20'!AU27</f>
        <v>0</v>
      </c>
      <c r="P28" s="401">
        <f t="shared" si="1"/>
        <v>133.238</v>
      </c>
      <c r="Q28" s="122">
        <f>'[1]июнь 20'!S27</f>
        <v>133.238</v>
      </c>
      <c r="R28" s="123">
        <f t="shared" si="22"/>
        <v>1.46</v>
      </c>
      <c r="S28" s="129">
        <v>2.41</v>
      </c>
      <c r="T28" s="125">
        <f t="shared" si="2"/>
        <v>131.29272520000001</v>
      </c>
      <c r="U28" s="147">
        <f t="shared" si="3"/>
        <v>1.3000566907614617</v>
      </c>
      <c r="V28" s="130">
        <v>100.99</v>
      </c>
      <c r="W28" s="130">
        <v>77.290000000000006</v>
      </c>
      <c r="X28" s="129">
        <v>0.94</v>
      </c>
      <c r="Y28" s="150">
        <v>537</v>
      </c>
      <c r="Z28" s="150">
        <v>1166</v>
      </c>
      <c r="AA28" s="148" t="s">
        <v>318</v>
      </c>
      <c r="AB28" s="149">
        <v>75.86</v>
      </c>
      <c r="AC28" s="150">
        <v>87</v>
      </c>
      <c r="AD28" s="151">
        <v>4</v>
      </c>
      <c r="AE28" s="149"/>
      <c r="AF28" s="134">
        <f t="shared" si="4"/>
        <v>0</v>
      </c>
      <c r="AG28" s="152"/>
      <c r="AH28" s="129">
        <v>63.6</v>
      </c>
      <c r="AI28" s="134">
        <f t="shared" si="5"/>
        <v>629.76532329933661</v>
      </c>
      <c r="AJ28" s="153">
        <v>12.64</v>
      </c>
      <c r="AK28" s="154"/>
      <c r="AL28" s="155">
        <v>3.76</v>
      </c>
      <c r="AM28" s="156">
        <v>30.95</v>
      </c>
      <c r="AN28" s="126">
        <f t="shared" si="23"/>
        <v>0.23019709929341764</v>
      </c>
      <c r="AO28" s="157" t="s">
        <v>319</v>
      </c>
      <c r="AP28" s="156">
        <v>9.61</v>
      </c>
      <c r="AQ28" s="156">
        <v>8.11</v>
      </c>
      <c r="AR28" s="151"/>
      <c r="AS28" s="149">
        <v>6.23</v>
      </c>
      <c r="AT28" s="149">
        <v>134.44999999999999</v>
      </c>
      <c r="AU28" s="149">
        <v>1.25</v>
      </c>
      <c r="AV28" s="164"/>
      <c r="AW28" s="149"/>
      <c r="AX28" s="158">
        <f t="shared" si="6"/>
        <v>0</v>
      </c>
      <c r="AY28" s="125">
        <f t="shared" si="7"/>
        <v>100.99</v>
      </c>
      <c r="AZ28" s="125">
        <f t="shared" si="24"/>
        <v>95.850067610699469</v>
      </c>
      <c r="BA28" s="159">
        <f t="shared" si="8"/>
        <v>3.0693718309859155</v>
      </c>
      <c r="BB28" s="160">
        <f t="shared" si="9"/>
        <v>4.0396000000000001</v>
      </c>
      <c r="BC28" s="161">
        <f t="shared" si="10"/>
        <v>0.93678226783110852</v>
      </c>
      <c r="BD28" s="160">
        <f t="shared" si="25"/>
        <v>7.1089718309859151</v>
      </c>
      <c r="BE28" s="162">
        <v>0.90800000000000003</v>
      </c>
      <c r="BF28" s="25">
        <f t="shared" si="26"/>
        <v>2220.7999999999997</v>
      </c>
      <c r="BG28" s="25">
        <f t="shared" si="11"/>
        <v>110</v>
      </c>
      <c r="BH28" s="25">
        <f t="shared" si="27"/>
        <v>2420</v>
      </c>
      <c r="BI28" s="26">
        <f t="shared" si="12"/>
        <v>1</v>
      </c>
      <c r="BJ28" s="37">
        <f t="shared" si="28"/>
        <v>2420</v>
      </c>
      <c r="BK28" s="38">
        <v>121.78700000000001</v>
      </c>
      <c r="BL28" s="31"/>
      <c r="BM28" s="31">
        <v>60.926000000000002</v>
      </c>
      <c r="BN28" s="234"/>
      <c r="BO28" s="42"/>
      <c r="BP28" s="40">
        <v>12.833</v>
      </c>
      <c r="BQ28" s="411">
        <v>21.765000000000001</v>
      </c>
      <c r="BR28" s="33">
        <v>0.33</v>
      </c>
      <c r="BS28" s="34"/>
      <c r="BT28" s="35">
        <v>0.37</v>
      </c>
      <c r="BU28" s="35"/>
      <c r="BV28" s="235"/>
      <c r="BW28" s="235">
        <v>0.83</v>
      </c>
      <c r="BX28" s="36"/>
      <c r="BY28" s="33">
        <v>37.04</v>
      </c>
      <c r="BZ28" s="34"/>
      <c r="CA28" s="35">
        <v>38.57</v>
      </c>
      <c r="CB28" s="405"/>
      <c r="CC28" s="404"/>
      <c r="CD28" s="235">
        <v>31.38</v>
      </c>
      <c r="CE28" s="36">
        <v>43.29</v>
      </c>
      <c r="CF28" s="30">
        <v>133.238</v>
      </c>
      <c r="CG28" s="30"/>
      <c r="CH28" s="31"/>
      <c r="CI28" s="32"/>
      <c r="CJ28" s="33">
        <v>1.46</v>
      </c>
      <c r="CK28" s="33"/>
      <c r="CL28" s="35"/>
      <c r="CM28" s="36"/>
      <c r="CN28" s="286"/>
      <c r="CO28" s="249">
        <f t="shared" si="30"/>
        <v>121.38510290000001</v>
      </c>
      <c r="CP28" s="12">
        <f t="shared" si="30"/>
        <v>0</v>
      </c>
      <c r="CQ28" s="12">
        <f t="shared" si="30"/>
        <v>60.700573800000001</v>
      </c>
      <c r="CR28" s="12">
        <f t="shared" si="30"/>
        <v>0</v>
      </c>
      <c r="CS28" s="11">
        <f t="shared" si="30"/>
        <v>0</v>
      </c>
      <c r="CT28" s="11">
        <f t="shared" si="30"/>
        <v>12.726486100000001</v>
      </c>
      <c r="CU28" s="272">
        <f t="shared" si="30"/>
        <v>21.765000000000001</v>
      </c>
      <c r="CV28" s="249">
        <f t="shared" si="14"/>
        <v>131.29272520000001</v>
      </c>
      <c r="CW28" s="12">
        <f t="shared" si="14"/>
        <v>0</v>
      </c>
      <c r="CX28" s="249">
        <f t="shared" si="14"/>
        <v>0</v>
      </c>
      <c r="CY28" s="272">
        <f t="shared" si="14"/>
        <v>0</v>
      </c>
      <c r="CZ28" s="13"/>
      <c r="DA28" s="240">
        <f>(D28+'[2]июнь 20'!D28)/(AY28+'[2]июнь 20'!AX28)</f>
        <v>2.230766679195773</v>
      </c>
      <c r="DB28" s="241">
        <f>(T28+'[2]июнь 20'!R28)/(AY28+'[2]июнь 20'!AX28)</f>
        <v>1.3124099329811001</v>
      </c>
      <c r="DD28" s="292">
        <f t="shared" si="15"/>
        <v>8.8010000000000002</v>
      </c>
      <c r="DE28" s="305">
        <v>0.7</v>
      </c>
      <c r="DF28" s="291">
        <v>15.07</v>
      </c>
      <c r="DG28" s="145">
        <f t="shared" si="16"/>
        <v>8.7393929999999997</v>
      </c>
      <c r="DH28" s="293">
        <f t="shared" si="29"/>
        <v>1.7361277683891381</v>
      </c>
      <c r="DJ28" s="322"/>
    </row>
    <row r="29" spans="1:114" s="76" customFormat="1" ht="16.5" customHeight="1" thickBot="1">
      <c r="A29" s="144">
        <v>23</v>
      </c>
      <c r="B29" s="122">
        <f>'[1]июнь 20'!K28</f>
        <v>224.90899999999999</v>
      </c>
      <c r="C29" s="123">
        <f t="shared" si="17"/>
        <v>0.52125601910105868</v>
      </c>
      <c r="D29" s="145">
        <f t="shared" si="18"/>
        <v>223.73664829999998</v>
      </c>
      <c r="E29" s="125">
        <f t="shared" si="19"/>
        <v>38.424038077622512</v>
      </c>
      <c r="F29" s="146">
        <f t="shared" si="0"/>
        <v>2.2886318361292961</v>
      </c>
      <c r="G29" s="127"/>
      <c r="H29" s="126">
        <f t="shared" si="20"/>
        <v>2.0597243074877247</v>
      </c>
      <c r="I29" s="230">
        <f>'[1]июль 20'!AI28</f>
        <v>0</v>
      </c>
      <c r="J29" s="247">
        <f>'[1]июнь 20'!AA28</f>
        <v>9.2029999999999994</v>
      </c>
      <c r="K29" s="465">
        <f>'[1]сентябрь 20'!AM28</f>
        <v>0</v>
      </c>
      <c r="L29" s="247">
        <f>'[1]июнь 20'!AE28</f>
        <v>22.378</v>
      </c>
      <c r="M29" s="469">
        <f t="shared" si="21"/>
        <v>0.22890752864157118</v>
      </c>
      <c r="N29" s="403">
        <f>'[1]июнь 20'!W28</f>
        <v>0</v>
      </c>
      <c r="O29" s="403">
        <f>'[1]июнь 20'!AU28</f>
        <v>0</v>
      </c>
      <c r="P29" s="401">
        <f t="shared" si="1"/>
        <v>136.11799999999999</v>
      </c>
      <c r="Q29" s="122">
        <f>'[1]июнь 20'!S28</f>
        <v>136.11799999999999</v>
      </c>
      <c r="R29" s="123">
        <f t="shared" si="22"/>
        <v>1.65</v>
      </c>
      <c r="S29" s="129">
        <v>25.16</v>
      </c>
      <c r="T29" s="125">
        <f t="shared" si="2"/>
        <v>133.87205299999999</v>
      </c>
      <c r="U29" s="147">
        <f t="shared" si="3"/>
        <v>1.3693949774959082</v>
      </c>
      <c r="V29" s="130">
        <v>97.76</v>
      </c>
      <c r="W29" s="130">
        <v>22.98</v>
      </c>
      <c r="X29" s="129">
        <v>1.1399999999999999</v>
      </c>
      <c r="Y29" s="150">
        <v>542</v>
      </c>
      <c r="Z29" s="150">
        <v>1169</v>
      </c>
      <c r="AA29" s="148" t="s">
        <v>310</v>
      </c>
      <c r="AB29" s="149">
        <v>76.2</v>
      </c>
      <c r="AC29" s="150">
        <v>90</v>
      </c>
      <c r="AD29" s="151">
        <v>4</v>
      </c>
      <c r="AE29" s="149"/>
      <c r="AF29" s="134">
        <f t="shared" si="4"/>
        <v>0</v>
      </c>
      <c r="AG29" s="152"/>
      <c r="AH29" s="129">
        <v>59.4</v>
      </c>
      <c r="AI29" s="134">
        <f t="shared" si="5"/>
        <v>607.61047463175123</v>
      </c>
      <c r="AJ29" s="136">
        <v>12.65</v>
      </c>
      <c r="AK29" s="154"/>
      <c r="AL29" s="155">
        <v>4.8899999999999997</v>
      </c>
      <c r="AM29" s="156">
        <v>30.75</v>
      </c>
      <c r="AN29" s="126">
        <f t="shared" si="23"/>
        <v>0.23242630385487525</v>
      </c>
      <c r="AO29" s="157" t="s">
        <v>320</v>
      </c>
      <c r="AP29" s="156">
        <v>9.26</v>
      </c>
      <c r="AQ29" s="156">
        <v>8.3699999999999992</v>
      </c>
      <c r="AR29" s="149"/>
      <c r="AS29" s="149">
        <v>6.22</v>
      </c>
      <c r="AT29" s="149">
        <v>132.30000000000001</v>
      </c>
      <c r="AU29" s="149">
        <v>1.1000000000000001</v>
      </c>
      <c r="AV29" s="164"/>
      <c r="AW29" s="149"/>
      <c r="AX29" s="158">
        <f t="shared" si="6"/>
        <v>0</v>
      </c>
      <c r="AY29" s="125">
        <f t="shared" si="7"/>
        <v>97.76</v>
      </c>
      <c r="AZ29" s="125">
        <f t="shared" si="24"/>
        <v>100.37911926793575</v>
      </c>
      <c r="BA29" s="159">
        <f t="shared" si="8"/>
        <v>2.8620760563380276</v>
      </c>
      <c r="BB29" s="160">
        <f t="shared" si="9"/>
        <v>3.9104000000000001</v>
      </c>
      <c r="BC29" s="161">
        <f t="shared" si="10"/>
        <v>0.86651489493607226</v>
      </c>
      <c r="BD29" s="160">
        <f t="shared" si="25"/>
        <v>6.7724760563380277</v>
      </c>
      <c r="BE29" s="162">
        <v>0.90600000000000003</v>
      </c>
      <c r="BF29" s="25">
        <f t="shared" si="26"/>
        <v>2318.56</v>
      </c>
      <c r="BG29" s="25">
        <f t="shared" si="11"/>
        <v>110</v>
      </c>
      <c r="BH29" s="25">
        <f t="shared" si="27"/>
        <v>2530</v>
      </c>
      <c r="BI29" s="26">
        <f t="shared" si="12"/>
        <v>1</v>
      </c>
      <c r="BJ29" s="37">
        <f t="shared" si="28"/>
        <v>2530</v>
      </c>
      <c r="BK29" s="328">
        <v>126.042</v>
      </c>
      <c r="BL29" s="31"/>
      <c r="BM29" s="31">
        <v>63.01</v>
      </c>
      <c r="BN29" s="31"/>
      <c r="BO29" s="40"/>
      <c r="BP29" s="40">
        <v>13.478999999999999</v>
      </c>
      <c r="BQ29" s="32">
        <v>22.378</v>
      </c>
      <c r="BR29" s="33">
        <v>0.7</v>
      </c>
      <c r="BS29" s="34"/>
      <c r="BT29" s="35">
        <v>0.24</v>
      </c>
      <c r="BU29" s="35"/>
      <c r="BV29" s="235"/>
      <c r="BW29" s="235">
        <v>1.03</v>
      </c>
      <c r="BX29" s="36"/>
      <c r="BY29" s="33">
        <v>37.51</v>
      </c>
      <c r="BZ29" s="34"/>
      <c r="CA29" s="35">
        <v>39.700000000000003</v>
      </c>
      <c r="CB29" s="35"/>
      <c r="CC29" s="235"/>
      <c r="CD29" s="235">
        <v>33.26</v>
      </c>
      <c r="CE29" s="36">
        <v>43.09</v>
      </c>
      <c r="CF29" s="30">
        <v>136.11799999999999</v>
      </c>
      <c r="CG29" s="30"/>
      <c r="CH29" s="31"/>
      <c r="CI29" s="32"/>
      <c r="CJ29" s="33">
        <v>1.65</v>
      </c>
      <c r="CK29" s="33"/>
      <c r="CL29" s="35"/>
      <c r="CM29" s="36"/>
      <c r="CN29" s="286"/>
      <c r="CO29" s="249">
        <f t="shared" si="30"/>
        <v>125.159706</v>
      </c>
      <c r="CP29" s="12">
        <f t="shared" si="30"/>
        <v>0</v>
      </c>
      <c r="CQ29" s="12">
        <f t="shared" si="30"/>
        <v>62.858775999999999</v>
      </c>
      <c r="CR29" s="12">
        <f t="shared" si="30"/>
        <v>0</v>
      </c>
      <c r="CS29" s="11">
        <f t="shared" si="30"/>
        <v>0</v>
      </c>
      <c r="CT29" s="11">
        <f t="shared" si="30"/>
        <v>13.3401663</v>
      </c>
      <c r="CU29" s="272">
        <f t="shared" si="30"/>
        <v>22.378</v>
      </c>
      <c r="CV29" s="249">
        <f t="shared" si="14"/>
        <v>133.87205299999999</v>
      </c>
      <c r="CW29" s="12">
        <f t="shared" si="14"/>
        <v>0</v>
      </c>
      <c r="CX29" s="249">
        <f t="shared" si="14"/>
        <v>0</v>
      </c>
      <c r="CY29" s="272">
        <f t="shared" si="14"/>
        <v>0</v>
      </c>
      <c r="CZ29" s="13"/>
      <c r="DA29" s="240">
        <f>(D29+'[2]июнь 20'!D29)/(AY29+'[2]июнь 20'!AX29)</f>
        <v>2.4079664856278948</v>
      </c>
      <c r="DB29" s="241">
        <f>(T29+'[2]июнь 20'!R29)/(AY29+'[2]июнь 20'!AX29)</f>
        <v>1.4196503731771732</v>
      </c>
      <c r="DD29" s="292">
        <f t="shared" si="15"/>
        <v>9.2029999999999994</v>
      </c>
      <c r="DE29" s="291">
        <v>0.14000000000000001</v>
      </c>
      <c r="DF29" s="291">
        <v>15.65</v>
      </c>
      <c r="DG29" s="145">
        <f t="shared" si="16"/>
        <v>9.1901157999999992</v>
      </c>
      <c r="DH29" s="293">
        <f t="shared" si="29"/>
        <v>1.8874712896325458</v>
      </c>
      <c r="DJ29" s="322"/>
    </row>
    <row r="30" spans="1:114" s="76" customFormat="1" ht="16.5" customHeight="1" thickBot="1">
      <c r="A30" s="144">
        <v>24</v>
      </c>
      <c r="B30" s="122">
        <f>'[1]июнь 20'!K29</f>
        <v>219.971</v>
      </c>
      <c r="C30" s="123">
        <f t="shared" si="17"/>
        <v>1.2381382091275668</v>
      </c>
      <c r="D30" s="145">
        <f t="shared" si="18"/>
        <v>217.247455</v>
      </c>
      <c r="E30" s="125">
        <f t="shared" si="19"/>
        <v>38.06176345972878</v>
      </c>
      <c r="F30" s="146">
        <f t="shared" si="0"/>
        <v>2.2696140305056414</v>
      </c>
      <c r="G30" s="127"/>
      <c r="H30" s="126">
        <f t="shared" si="20"/>
        <v>2.0394322503134141</v>
      </c>
      <c r="I30" s="230">
        <f>'[1]июль 20'!AI29</f>
        <v>0</v>
      </c>
      <c r="J30" s="247">
        <f>'[1]июнь 20'!AA29</f>
        <v>8.7899999999999991</v>
      </c>
      <c r="K30" s="464">
        <f>'[1]сентябрь 20'!AM29</f>
        <v>0</v>
      </c>
      <c r="L30" s="247">
        <f>'[1]июнь 20'!AE29</f>
        <v>22.033000000000001</v>
      </c>
      <c r="M30" s="468">
        <f t="shared" si="21"/>
        <v>0.23018178019222732</v>
      </c>
      <c r="N30" s="403">
        <f>'[1]июнь 20'!W29</f>
        <v>0</v>
      </c>
      <c r="O30" s="403">
        <f>'[1]июнь 20'!AU29</f>
        <v>0</v>
      </c>
      <c r="P30" s="401">
        <f t="shared" si="1"/>
        <v>130.70499999999998</v>
      </c>
      <c r="Q30" s="122">
        <f>'[1]июнь 20'!S29</f>
        <v>130.70500000000001</v>
      </c>
      <c r="R30" s="123">
        <f t="shared" si="22"/>
        <v>1.5699999999999998</v>
      </c>
      <c r="S30" s="170"/>
      <c r="T30" s="125">
        <f t="shared" si="2"/>
        <v>128.65293150000002</v>
      </c>
      <c r="U30" s="147">
        <f t="shared" si="3"/>
        <v>1.3440548631424991</v>
      </c>
      <c r="V30" s="169">
        <v>95.72</v>
      </c>
      <c r="W30" s="169">
        <v>95.72</v>
      </c>
      <c r="X30" s="170">
        <v>0.56000000000000005</v>
      </c>
      <c r="Y30" s="166">
        <v>546</v>
      </c>
      <c r="Z30" s="166">
        <v>1157</v>
      </c>
      <c r="AA30" s="148" t="s">
        <v>321</v>
      </c>
      <c r="AB30" s="164">
        <v>75.510000000000005</v>
      </c>
      <c r="AC30" s="166">
        <v>88</v>
      </c>
      <c r="AD30" s="171">
        <v>4</v>
      </c>
      <c r="AE30" s="164"/>
      <c r="AF30" s="172">
        <f t="shared" si="4"/>
        <v>0</v>
      </c>
      <c r="AG30" s="173"/>
      <c r="AH30" s="170">
        <v>66.45</v>
      </c>
      <c r="AI30" s="134">
        <f t="shared" si="5"/>
        <v>694.21228583368156</v>
      </c>
      <c r="AJ30" s="174">
        <v>13.12</v>
      </c>
      <c r="AK30" s="175"/>
      <c r="AL30" s="176">
        <v>4.0999999999999996</v>
      </c>
      <c r="AM30" s="177">
        <v>30.38</v>
      </c>
      <c r="AN30" s="126">
        <f t="shared" si="23"/>
        <v>0.23568657874321178</v>
      </c>
      <c r="AO30" s="178" t="s">
        <v>322</v>
      </c>
      <c r="AP30" s="177">
        <v>8.81</v>
      </c>
      <c r="AQ30" s="177">
        <v>8.24</v>
      </c>
      <c r="AR30" s="171"/>
      <c r="AS30" s="164">
        <v>7.48</v>
      </c>
      <c r="AT30" s="149">
        <v>128.9</v>
      </c>
      <c r="AU30" s="164">
        <v>1.3</v>
      </c>
      <c r="AV30" s="164"/>
      <c r="AW30" s="164"/>
      <c r="AX30" s="179">
        <f t="shared" si="6"/>
        <v>0</v>
      </c>
      <c r="AY30" s="125">
        <f t="shared" si="7"/>
        <v>95.720000000000013</v>
      </c>
      <c r="AZ30" s="125">
        <f t="shared" si="24"/>
        <v>97.363509084286008</v>
      </c>
      <c r="BA30" s="159">
        <f t="shared" si="8"/>
        <v>3.8503563380281691</v>
      </c>
      <c r="BB30" s="159">
        <f t="shared" si="9"/>
        <v>3.8288000000000006</v>
      </c>
      <c r="BC30" s="180">
        <f t="shared" si="10"/>
        <v>0.87410490399241714</v>
      </c>
      <c r="BD30" s="159">
        <f t="shared" si="25"/>
        <v>7.6791563380281698</v>
      </c>
      <c r="BE30" s="167">
        <v>0.90400000000000003</v>
      </c>
      <c r="BF30" s="25">
        <f t="shared" si="26"/>
        <v>2414.2799999999997</v>
      </c>
      <c r="BG30" s="25">
        <f t="shared" si="11"/>
        <v>110</v>
      </c>
      <c r="BH30" s="25">
        <f t="shared" si="27"/>
        <v>2640</v>
      </c>
      <c r="BI30" s="26">
        <f t="shared" si="12"/>
        <v>1</v>
      </c>
      <c r="BJ30" s="37">
        <f t="shared" si="28"/>
        <v>2640</v>
      </c>
      <c r="BK30" s="38">
        <v>123.176</v>
      </c>
      <c r="BL30" s="31"/>
      <c r="BM30" s="31">
        <v>61.613</v>
      </c>
      <c r="BN30" s="31"/>
      <c r="BO30" s="40"/>
      <c r="BP30" s="40">
        <v>13.148999999999999</v>
      </c>
      <c r="BQ30" s="44">
        <v>22.033000000000001</v>
      </c>
      <c r="BR30" s="45">
        <v>1.6</v>
      </c>
      <c r="BS30" s="46"/>
      <c r="BT30" s="47">
        <v>0.94</v>
      </c>
      <c r="BU30" s="47"/>
      <c r="BV30" s="283"/>
      <c r="BW30" s="283">
        <v>1.32</v>
      </c>
      <c r="BX30" s="48"/>
      <c r="BY30" s="45">
        <v>37.869999999999997</v>
      </c>
      <c r="BZ30" s="46"/>
      <c r="CA30" s="47">
        <v>37.64</v>
      </c>
      <c r="CB30" s="47"/>
      <c r="CC30" s="283"/>
      <c r="CD30" s="283">
        <v>32.99</v>
      </c>
      <c r="CE30" s="48">
        <v>43.34</v>
      </c>
      <c r="CF30" s="49">
        <v>105.029</v>
      </c>
      <c r="CG30" s="49">
        <v>25.675999999999998</v>
      </c>
      <c r="CH30" s="43"/>
      <c r="CI30" s="32"/>
      <c r="CJ30" s="33">
        <v>1.57</v>
      </c>
      <c r="CK30" s="33">
        <v>1.57</v>
      </c>
      <c r="CL30" s="35"/>
      <c r="CM30" s="36"/>
      <c r="CN30" s="286"/>
      <c r="CO30" s="249">
        <f t="shared" si="30"/>
        <v>121.20518400000002</v>
      </c>
      <c r="CP30" s="12">
        <f t="shared" si="30"/>
        <v>0</v>
      </c>
      <c r="CQ30" s="12">
        <f t="shared" si="30"/>
        <v>61.033837800000001</v>
      </c>
      <c r="CR30" s="12">
        <f t="shared" si="30"/>
        <v>0</v>
      </c>
      <c r="CS30" s="11">
        <f t="shared" si="30"/>
        <v>0</v>
      </c>
      <c r="CT30" s="11">
        <f t="shared" si="30"/>
        <v>12.975433200000001</v>
      </c>
      <c r="CU30" s="272">
        <f t="shared" si="30"/>
        <v>22.033000000000001</v>
      </c>
      <c r="CV30" s="249">
        <f t="shared" si="14"/>
        <v>103.3800447</v>
      </c>
      <c r="CW30" s="11">
        <f t="shared" si="14"/>
        <v>25.272886799999998</v>
      </c>
      <c r="CX30" s="252">
        <f t="shared" si="14"/>
        <v>0</v>
      </c>
      <c r="CY30" s="272">
        <f t="shared" si="14"/>
        <v>0</v>
      </c>
      <c r="CZ30" s="13"/>
      <c r="DA30" s="240">
        <f>(D30+'[2]июнь 20'!D30)/(AY30+'[2]июнь 20'!AX30)</f>
        <v>2.2518866792011072</v>
      </c>
      <c r="DB30" s="241">
        <f>(T30+'[2]июнь 20'!R30)/(AY30+'[2]июнь 20'!AX30)</f>
        <v>1.3300327485898755</v>
      </c>
      <c r="DD30" s="292">
        <f t="shared" si="15"/>
        <v>8.7899999999999991</v>
      </c>
      <c r="DE30" s="291">
        <v>0.08</v>
      </c>
      <c r="DF30" s="291">
        <v>15.17</v>
      </c>
      <c r="DG30" s="145">
        <f t="shared" si="16"/>
        <v>8.7829679999999986</v>
      </c>
      <c r="DH30" s="293">
        <f t="shared" si="29"/>
        <v>1.7645030401271351</v>
      </c>
      <c r="DJ30" s="322"/>
    </row>
    <row r="31" spans="1:114" s="76" customFormat="1" ht="16.5" customHeight="1" thickBot="1">
      <c r="A31" s="144">
        <v>25</v>
      </c>
      <c r="B31" s="122">
        <f>'[1]июнь 20'!K30</f>
        <v>235.108</v>
      </c>
      <c r="C31" s="123">
        <f t="shared" si="17"/>
        <v>1.2341538782176702</v>
      </c>
      <c r="D31" s="145">
        <f t="shared" si="18"/>
        <v>232.20640550000002</v>
      </c>
      <c r="E31" s="125">
        <f t="shared" si="19"/>
        <v>38.536523172329311</v>
      </c>
      <c r="F31" s="146">
        <f t="shared" si="0"/>
        <v>2.338904164987913</v>
      </c>
      <c r="G31" s="127"/>
      <c r="H31" s="126">
        <f t="shared" si="20"/>
        <v>2.0889142375100724</v>
      </c>
      <c r="I31" s="230">
        <f>'[1]июль 20'!AI30</f>
        <v>0</v>
      </c>
      <c r="J31" s="247">
        <f>'[1]июнь 20'!AA30</f>
        <v>9.2609999999999992</v>
      </c>
      <c r="K31" s="465">
        <f>'[1]сентябрь 20'!AM30</f>
        <v>0</v>
      </c>
      <c r="L31" s="247">
        <f>'[1]июнь 20'!AE30</f>
        <v>24.818999999999999</v>
      </c>
      <c r="M31" s="469">
        <f t="shared" si="21"/>
        <v>0.24998992747784043</v>
      </c>
      <c r="N31" s="403">
        <f>'[1]июнь 20'!W30</f>
        <v>0</v>
      </c>
      <c r="O31" s="403">
        <f>'[1]июнь 20'!AU30</f>
        <v>0</v>
      </c>
      <c r="P31" s="401">
        <f t="shared" si="1"/>
        <v>137.23400000000001</v>
      </c>
      <c r="Q31" s="122">
        <f>'[1]июнь 20'!S30</f>
        <v>137.23400000000001</v>
      </c>
      <c r="R31" s="123">
        <f t="shared" si="22"/>
        <v>1.2899999999999998</v>
      </c>
      <c r="S31" s="129">
        <v>22.14</v>
      </c>
      <c r="T31" s="125">
        <f t="shared" si="2"/>
        <v>135.46368140000001</v>
      </c>
      <c r="U31" s="147">
        <f t="shared" si="3"/>
        <v>1.3644609327155521</v>
      </c>
      <c r="V31" s="130">
        <v>99.28</v>
      </c>
      <c r="W31" s="130">
        <v>76.16</v>
      </c>
      <c r="X31" s="129">
        <v>0.66</v>
      </c>
      <c r="Y31" s="150">
        <v>559</v>
      </c>
      <c r="Z31" s="150">
        <v>1167</v>
      </c>
      <c r="AA31" s="148" t="s">
        <v>318</v>
      </c>
      <c r="AB31" s="149">
        <v>75.59</v>
      </c>
      <c r="AC31" s="150">
        <v>94</v>
      </c>
      <c r="AD31" s="151">
        <v>4</v>
      </c>
      <c r="AE31" s="149"/>
      <c r="AF31" s="134">
        <f t="shared" si="4"/>
        <v>0</v>
      </c>
      <c r="AG31" s="152"/>
      <c r="AH31" s="129">
        <v>55.7</v>
      </c>
      <c r="AI31" s="134">
        <f t="shared" si="5"/>
        <v>561.03948428686545</v>
      </c>
      <c r="AJ31" s="136">
        <v>11.86</v>
      </c>
      <c r="AK31" s="154"/>
      <c r="AL31" s="155">
        <v>4.8499999999999996</v>
      </c>
      <c r="AM31" s="156">
        <v>29.1</v>
      </c>
      <c r="AN31" s="126">
        <f t="shared" si="23"/>
        <v>0.2202876608629826</v>
      </c>
      <c r="AO31" s="157" t="s">
        <v>323</v>
      </c>
      <c r="AP31" s="156">
        <v>8.5</v>
      </c>
      <c r="AQ31" s="156">
        <v>7.83</v>
      </c>
      <c r="AR31" s="151"/>
      <c r="AS31" s="149">
        <v>7.23</v>
      </c>
      <c r="AT31" s="149">
        <v>132.1</v>
      </c>
      <c r="AU31" s="149">
        <v>1.1299999999999999</v>
      </c>
      <c r="AV31" s="164"/>
      <c r="AW31" s="149"/>
      <c r="AX31" s="158">
        <f t="shared" si="6"/>
        <v>0</v>
      </c>
      <c r="AY31" s="125">
        <f t="shared" si="7"/>
        <v>99.28</v>
      </c>
      <c r="AZ31" s="125">
        <f t="shared" si="24"/>
        <v>105.36987003759974</v>
      </c>
      <c r="BA31" s="159">
        <f t="shared" si="8"/>
        <v>3.1195922535211271</v>
      </c>
      <c r="BB31" s="160">
        <f t="shared" si="9"/>
        <v>3.9712000000000001</v>
      </c>
      <c r="BC31" s="161">
        <f t="shared" si="10"/>
        <v>0.83864736881779445</v>
      </c>
      <c r="BD31" s="160">
        <f t="shared" si="25"/>
        <v>7.0907922535211272</v>
      </c>
      <c r="BE31" s="162">
        <v>0.90200000000000002</v>
      </c>
      <c r="BF31" s="25">
        <f t="shared" si="26"/>
        <v>2513.56</v>
      </c>
      <c r="BG31" s="25">
        <f t="shared" si="11"/>
        <v>110</v>
      </c>
      <c r="BH31" s="25">
        <f t="shared" si="27"/>
        <v>2750</v>
      </c>
      <c r="BI31" s="26">
        <f t="shared" si="12"/>
        <v>1</v>
      </c>
      <c r="BJ31" s="37">
        <f t="shared" si="28"/>
        <v>2750</v>
      </c>
      <c r="BK31" s="38">
        <v>132.77699999999999</v>
      </c>
      <c r="BL31" s="31"/>
      <c r="BM31" s="31">
        <v>61.776000000000003</v>
      </c>
      <c r="BN31" s="31"/>
      <c r="BO31" s="40"/>
      <c r="BP31" s="40">
        <v>15.736000000000001</v>
      </c>
      <c r="BQ31" s="32">
        <v>24.818999999999999</v>
      </c>
      <c r="BR31" s="33">
        <v>1.37</v>
      </c>
      <c r="BS31" s="34"/>
      <c r="BT31" s="35">
        <v>1.22</v>
      </c>
      <c r="BU31" s="35"/>
      <c r="BV31" s="235"/>
      <c r="BW31" s="235">
        <v>2.09</v>
      </c>
      <c r="BX31" s="36"/>
      <c r="BY31" s="33">
        <v>37.770000000000003</v>
      </c>
      <c r="BZ31" s="34"/>
      <c r="CA31" s="35">
        <v>39.950000000000003</v>
      </c>
      <c r="CB31" s="35"/>
      <c r="CC31" s="235"/>
      <c r="CD31" s="235">
        <v>32.1</v>
      </c>
      <c r="CE31" s="36">
        <v>43.2</v>
      </c>
      <c r="CF31" s="30">
        <v>46.999000000000002</v>
      </c>
      <c r="CG31" s="30">
        <v>90.234999999999999</v>
      </c>
      <c r="CH31" s="31"/>
      <c r="CI31" s="32"/>
      <c r="CJ31" s="33">
        <v>1.29</v>
      </c>
      <c r="CK31" s="33">
        <v>1.29</v>
      </c>
      <c r="CL31" s="35"/>
      <c r="CM31" s="36"/>
      <c r="CN31" s="286"/>
      <c r="CO31" s="249">
        <f t="shared" si="30"/>
        <v>130.95795509999999</v>
      </c>
      <c r="CP31" s="12">
        <f t="shared" si="30"/>
        <v>0</v>
      </c>
      <c r="CQ31" s="12">
        <f t="shared" si="30"/>
        <v>61.022332800000001</v>
      </c>
      <c r="CR31" s="12">
        <f t="shared" si="30"/>
        <v>0</v>
      </c>
      <c r="CS31" s="11">
        <f t="shared" si="30"/>
        <v>0</v>
      </c>
      <c r="CT31" s="11">
        <f t="shared" si="30"/>
        <v>15.407117599999999</v>
      </c>
      <c r="CU31" s="272">
        <f t="shared" si="30"/>
        <v>24.818999999999999</v>
      </c>
      <c r="CV31" s="249">
        <f t="shared" si="14"/>
        <v>46.392712899999999</v>
      </c>
      <c r="CW31" s="12">
        <f t="shared" si="14"/>
        <v>89.070968499999992</v>
      </c>
      <c r="CX31" s="249">
        <f t="shared" si="14"/>
        <v>0</v>
      </c>
      <c r="CY31" s="272">
        <f t="shared" si="14"/>
        <v>0</v>
      </c>
      <c r="CZ31" s="13"/>
      <c r="DA31" s="240">
        <f>(D31+'[2]июнь 20'!D31)/(AY31+'[2]июнь 20'!AX31)</f>
        <v>2.4071867354065581</v>
      </c>
      <c r="DB31" s="241">
        <f>(T31+'[2]июнь 20'!R31)/(AY31+'[2]июнь 20'!AX31)</f>
        <v>1.4114236193206882</v>
      </c>
      <c r="DD31" s="292">
        <f t="shared" si="15"/>
        <v>9.2609999999999992</v>
      </c>
      <c r="DE31" s="291">
        <v>0.1</v>
      </c>
      <c r="DF31" s="291">
        <v>16.53</v>
      </c>
      <c r="DG31" s="145">
        <f t="shared" si="16"/>
        <v>9.2517390000000006</v>
      </c>
      <c r="DH31" s="293">
        <f t="shared" si="29"/>
        <v>2.0231676897737798</v>
      </c>
      <c r="DJ31" s="322"/>
    </row>
    <row r="32" spans="1:114" s="76" customFormat="1" ht="16.5" customHeight="1" thickBot="1">
      <c r="A32" s="144">
        <v>26</v>
      </c>
      <c r="B32" s="122">
        <f>'[1]июнь 20'!K31</f>
        <v>225.02500000000001</v>
      </c>
      <c r="C32" s="123">
        <f t="shared" si="17"/>
        <v>0.51171252083101881</v>
      </c>
      <c r="D32" s="145">
        <f t="shared" si="18"/>
        <v>223.87351889999999</v>
      </c>
      <c r="E32" s="125">
        <f t="shared" si="19"/>
        <v>38.417880457726923</v>
      </c>
      <c r="F32" s="146">
        <f t="shared" si="0"/>
        <v>2.3044108996397323</v>
      </c>
      <c r="G32" s="127"/>
      <c r="H32" s="126">
        <f t="shared" si="20"/>
        <v>2.026448985074627</v>
      </c>
      <c r="I32" s="230">
        <f>'[1]июль 20'!AI31</f>
        <v>0</v>
      </c>
      <c r="J32" s="247">
        <f>'[1]июнь 20'!AA31</f>
        <v>8.9149999999999991</v>
      </c>
      <c r="K32" s="464">
        <f>'[1]сентябрь 20'!AM31</f>
        <v>0</v>
      </c>
      <c r="L32" s="247">
        <f>'[1]июнь 20'!AE31</f>
        <v>27.004000000000001</v>
      </c>
      <c r="M32" s="468">
        <f t="shared" si="21"/>
        <v>0.27796191456510555</v>
      </c>
      <c r="N32" s="403">
        <f>'[1]июнь 20'!W31</f>
        <v>0</v>
      </c>
      <c r="O32" s="403">
        <f>'[1]июнь 20'!AU31</f>
        <v>0</v>
      </c>
      <c r="P32" s="401">
        <f t="shared" si="1"/>
        <v>130.96100000000001</v>
      </c>
      <c r="Q32" s="122">
        <f>'[1]июнь 20'!S31</f>
        <v>130.96100000000001</v>
      </c>
      <c r="R32" s="123">
        <f t="shared" si="22"/>
        <v>1.7600000000000002</v>
      </c>
      <c r="S32" s="129">
        <v>0.92</v>
      </c>
      <c r="T32" s="125">
        <f t="shared" si="2"/>
        <v>128.65608639999999</v>
      </c>
      <c r="U32" s="147">
        <f t="shared" si="3"/>
        <v>1.3243035141533712</v>
      </c>
      <c r="V32" s="130">
        <v>97.15</v>
      </c>
      <c r="W32" s="130">
        <v>73.25</v>
      </c>
      <c r="X32" s="129">
        <v>0.77</v>
      </c>
      <c r="Y32" s="150">
        <v>574</v>
      </c>
      <c r="Z32" s="150">
        <v>1169</v>
      </c>
      <c r="AA32" s="148" t="s">
        <v>324</v>
      </c>
      <c r="AB32" s="149">
        <v>75.52</v>
      </c>
      <c r="AC32" s="150">
        <v>90</v>
      </c>
      <c r="AD32" s="151">
        <v>4</v>
      </c>
      <c r="AE32" s="149"/>
      <c r="AF32" s="134">
        <f t="shared" si="4"/>
        <v>0</v>
      </c>
      <c r="AG32" s="152"/>
      <c r="AH32" s="129">
        <v>70.849999999999994</v>
      </c>
      <c r="AI32" s="134">
        <f t="shared" si="5"/>
        <v>729.28461142563049</v>
      </c>
      <c r="AJ32" s="153">
        <v>14.18</v>
      </c>
      <c r="AK32" s="154"/>
      <c r="AL32" s="155">
        <v>4.59</v>
      </c>
      <c r="AM32" s="156">
        <v>32.090000000000003</v>
      </c>
      <c r="AN32" s="126">
        <f t="shared" si="23"/>
        <v>0.24246316584812999</v>
      </c>
      <c r="AO32" s="157" t="s">
        <v>164</v>
      </c>
      <c r="AP32" s="156">
        <v>8.4</v>
      </c>
      <c r="AQ32" s="156">
        <v>7.8</v>
      </c>
      <c r="AR32" s="151"/>
      <c r="AS32" s="149">
        <v>8.6300000000000008</v>
      </c>
      <c r="AT32" s="149">
        <v>132.35</v>
      </c>
      <c r="AU32" s="149">
        <v>1.48</v>
      </c>
      <c r="AV32" s="149"/>
      <c r="AW32" s="149"/>
      <c r="AX32" s="158">
        <f t="shared" si="6"/>
        <v>0</v>
      </c>
      <c r="AY32" s="125">
        <f t="shared" si="7"/>
        <v>97.149999999999991</v>
      </c>
      <c r="AZ32" s="125">
        <f>IF(AB32=0,0,((D32*0.97)*(E32/100)*0.9)/(AB32/100))+DH32</f>
        <v>100.95674811617464</v>
      </c>
      <c r="BA32" s="159">
        <f t="shared" si="8"/>
        <v>4.7364721830985914</v>
      </c>
      <c r="BB32" s="160">
        <f t="shared" si="9"/>
        <v>3.8859999999999997</v>
      </c>
      <c r="BC32" s="161">
        <f t="shared" si="10"/>
        <v>0.85303855339968926</v>
      </c>
      <c r="BD32" s="160">
        <f t="shared" si="25"/>
        <v>8.6224721830985906</v>
      </c>
      <c r="BE32" s="162">
        <v>0.9</v>
      </c>
      <c r="BF32" s="25">
        <f t="shared" si="26"/>
        <v>2610.71</v>
      </c>
      <c r="BG32" s="25">
        <f t="shared" si="11"/>
        <v>110</v>
      </c>
      <c r="BH32" s="25">
        <f t="shared" si="27"/>
        <v>2860</v>
      </c>
      <c r="BI32" s="26">
        <f t="shared" si="12"/>
        <v>1</v>
      </c>
      <c r="BJ32" s="37">
        <f t="shared" si="28"/>
        <v>2860</v>
      </c>
      <c r="BK32" s="38">
        <v>130.53800000000001</v>
      </c>
      <c r="BL32" s="31"/>
      <c r="BM32" s="31">
        <v>49.506</v>
      </c>
      <c r="BN32" s="31"/>
      <c r="BO32" s="40"/>
      <c r="BP32" s="40">
        <v>17.977</v>
      </c>
      <c r="BQ32" s="32">
        <v>27.004000000000001</v>
      </c>
      <c r="BR32" s="33">
        <v>0.56999999999999995</v>
      </c>
      <c r="BS32" s="34"/>
      <c r="BT32" s="35">
        <v>0.34</v>
      </c>
      <c r="BU32" s="35"/>
      <c r="BV32" s="235"/>
      <c r="BW32" s="235">
        <v>1.33</v>
      </c>
      <c r="BX32" s="36"/>
      <c r="BY32" s="33">
        <v>37.99</v>
      </c>
      <c r="BZ32" s="34"/>
      <c r="CA32" s="35">
        <v>38.5</v>
      </c>
      <c r="CB32" s="35"/>
      <c r="CC32" s="235"/>
      <c r="CD32" s="235">
        <v>33.89</v>
      </c>
      <c r="CE32" s="36">
        <v>43.35</v>
      </c>
      <c r="CF32" s="30">
        <v>45.008000000000003</v>
      </c>
      <c r="CG32" s="30">
        <v>85.953000000000003</v>
      </c>
      <c r="CH32" s="31"/>
      <c r="CI32" s="50"/>
      <c r="CJ32" s="33">
        <v>1.76</v>
      </c>
      <c r="CK32" s="33">
        <v>1.76</v>
      </c>
      <c r="CL32" s="35"/>
      <c r="CM32" s="36"/>
      <c r="CN32" s="286"/>
      <c r="CO32" s="249">
        <f t="shared" si="30"/>
        <v>129.79393340000001</v>
      </c>
      <c r="CP32" s="12">
        <f t="shared" si="30"/>
        <v>0</v>
      </c>
      <c r="CQ32" s="12">
        <f t="shared" si="30"/>
        <v>49.337679599999994</v>
      </c>
      <c r="CR32" s="12">
        <f t="shared" si="30"/>
        <v>0</v>
      </c>
      <c r="CS32" s="11">
        <f t="shared" si="30"/>
        <v>0</v>
      </c>
      <c r="CT32" s="11">
        <f t="shared" si="30"/>
        <v>17.737905900000001</v>
      </c>
      <c r="CU32" s="272">
        <f t="shared" si="30"/>
        <v>27.004000000000001</v>
      </c>
      <c r="CV32" s="249">
        <f t="shared" si="14"/>
        <v>44.215859199999997</v>
      </c>
      <c r="CW32" s="11">
        <f t="shared" si="14"/>
        <v>84.440227199999995</v>
      </c>
      <c r="CX32" s="249">
        <f t="shared" si="14"/>
        <v>0</v>
      </c>
      <c r="CY32" s="272">
        <f t="shared" si="14"/>
        <v>0</v>
      </c>
      <c r="CZ32" s="13"/>
      <c r="DA32" s="240">
        <f>(D32+'[2]июнь 20'!D32)/(AY32+'[2]июнь 20'!AX32)</f>
        <v>2.3717126238003141</v>
      </c>
      <c r="DB32" s="241">
        <f>(T32+'[2]июнь 20'!R32)/(AY32+'[2]июнь 20'!AX32)</f>
        <v>1.375929958033792</v>
      </c>
      <c r="DD32" s="292">
        <f t="shared" si="15"/>
        <v>8.9149999999999991</v>
      </c>
      <c r="DE32" s="291">
        <v>0.08</v>
      </c>
      <c r="DF32" s="291">
        <v>13</v>
      </c>
      <c r="DG32" s="145">
        <f t="shared" si="16"/>
        <v>8.9078679999999988</v>
      </c>
      <c r="DH32" s="293">
        <f t="shared" si="29"/>
        <v>1.5333988877118643</v>
      </c>
      <c r="DJ32" s="322">
        <f t="shared" ref="DJ32:DJ37" si="31">CO32+CP32+CQ32+CR32+CS32+CT32+CU32</f>
        <v>223.87351889999999</v>
      </c>
    </row>
    <row r="33" spans="1:114" s="76" customFormat="1" ht="16.5" customHeight="1" thickBot="1">
      <c r="A33" s="144">
        <v>27</v>
      </c>
      <c r="B33" s="122">
        <f>'[1]июнь 20'!K32</f>
        <v>217.33199999999999</v>
      </c>
      <c r="C33" s="123">
        <f t="shared" si="17"/>
        <v>0.63955574880827482</v>
      </c>
      <c r="D33" s="145">
        <f t="shared" si="18"/>
        <v>215.94204070000001</v>
      </c>
      <c r="E33" s="125">
        <f t="shared" si="19"/>
        <v>38.290488515266972</v>
      </c>
      <c r="F33" s="146">
        <f t="shared" si="0"/>
        <v>2.2250596671818648</v>
      </c>
      <c r="G33" s="127"/>
      <c r="H33" s="126">
        <f t="shared" si="20"/>
        <v>1.9556933611540441</v>
      </c>
      <c r="I33" s="230">
        <f>'[1]июль 20'!AI32</f>
        <v>0</v>
      </c>
      <c r="J33" s="247">
        <f>'[1]июнь 20'!AA32</f>
        <v>8.7379999999999995</v>
      </c>
      <c r="K33" s="465">
        <f>'[1]сентябрь 20'!AM32</f>
        <v>0</v>
      </c>
      <c r="L33" s="247">
        <f>'[1]июнь 20'!AE32</f>
        <v>26.141999999999999</v>
      </c>
      <c r="M33" s="469">
        <f t="shared" si="21"/>
        <v>0.26936630602782069</v>
      </c>
      <c r="N33" s="403">
        <f>'[1]июнь 20'!W32</f>
        <v>0</v>
      </c>
      <c r="O33" s="403">
        <f>'[1]июнь 20'!AU32</f>
        <v>0</v>
      </c>
      <c r="P33" s="401">
        <f t="shared" si="1"/>
        <v>127.46199999999999</v>
      </c>
      <c r="Q33" s="122">
        <f>'[1]июнь 20'!S32</f>
        <v>127.462</v>
      </c>
      <c r="R33" s="123">
        <f t="shared" si="22"/>
        <v>1.74</v>
      </c>
      <c r="S33" s="129">
        <v>16.53</v>
      </c>
      <c r="T33" s="125">
        <f t="shared" si="2"/>
        <v>125.24416120000001</v>
      </c>
      <c r="U33" s="147">
        <f t="shared" si="3"/>
        <v>1.2905117073673364</v>
      </c>
      <c r="V33" s="130">
        <v>97.05</v>
      </c>
      <c r="W33" s="130">
        <v>72.540000000000006</v>
      </c>
      <c r="X33" s="129">
        <v>0.64</v>
      </c>
      <c r="Y33" s="150">
        <v>571</v>
      </c>
      <c r="Z33" s="150">
        <v>1159</v>
      </c>
      <c r="AA33" s="148" t="s">
        <v>301</v>
      </c>
      <c r="AB33" s="149">
        <v>75.78</v>
      </c>
      <c r="AC33" s="150">
        <v>87</v>
      </c>
      <c r="AD33" s="151">
        <v>4</v>
      </c>
      <c r="AE33" s="149"/>
      <c r="AF33" s="134">
        <f t="shared" si="4"/>
        <v>0</v>
      </c>
      <c r="AG33" s="152"/>
      <c r="AH33" s="129">
        <v>58.85</v>
      </c>
      <c r="AI33" s="134">
        <f t="shared" si="5"/>
        <v>606.38845955692932</v>
      </c>
      <c r="AJ33" s="136">
        <v>12.87</v>
      </c>
      <c r="AK33" s="154"/>
      <c r="AL33" s="155">
        <v>4.2699999999999996</v>
      </c>
      <c r="AM33" s="156">
        <v>30.11</v>
      </c>
      <c r="AN33" s="126">
        <f t="shared" si="23"/>
        <v>0.23197226502311247</v>
      </c>
      <c r="AO33" s="157" t="s">
        <v>304</v>
      </c>
      <c r="AP33" s="156">
        <v>8.6199999999999992</v>
      </c>
      <c r="AQ33" s="156">
        <v>7.25</v>
      </c>
      <c r="AR33" s="151"/>
      <c r="AS33" s="149">
        <v>8.25</v>
      </c>
      <c r="AT33" s="149">
        <v>129.80000000000001</v>
      </c>
      <c r="AU33" s="149">
        <v>1.63</v>
      </c>
      <c r="AV33" s="149"/>
      <c r="AW33" s="149"/>
      <c r="AX33" s="158">
        <f t="shared" si="6"/>
        <v>0</v>
      </c>
      <c r="AY33" s="125">
        <f t="shared" si="7"/>
        <v>97.050000000000011</v>
      </c>
      <c r="AZ33" s="125">
        <f t="shared" si="24"/>
        <v>96.877607808136162</v>
      </c>
      <c r="BA33" s="159">
        <f t="shared" si="8"/>
        <v>3.7610123239436621</v>
      </c>
      <c r="BB33" s="160">
        <f t="shared" si="9"/>
        <v>3.8820000000000006</v>
      </c>
      <c r="BC33" s="161">
        <f>IF((D33*E33)=0,0,(AY33*AB33)/(D33*E33))</f>
        <v>0.88945100928167864</v>
      </c>
      <c r="BD33" s="160">
        <f t="shared" si="25"/>
        <v>7.6430123239436627</v>
      </c>
      <c r="BE33" s="162">
        <v>0.89900000000000002</v>
      </c>
      <c r="BF33" s="25">
        <f t="shared" si="26"/>
        <v>2707.76</v>
      </c>
      <c r="BG33" s="25">
        <f t="shared" si="11"/>
        <v>110</v>
      </c>
      <c r="BH33" s="25">
        <f t="shared" si="27"/>
        <v>2970</v>
      </c>
      <c r="BI33" s="26">
        <f t="shared" si="12"/>
        <v>1</v>
      </c>
      <c r="BJ33" s="37">
        <f t="shared" si="28"/>
        <v>2970</v>
      </c>
      <c r="BK33" s="38">
        <v>126.10599999999999</v>
      </c>
      <c r="BL33" s="31"/>
      <c r="BM33" s="31">
        <v>47.895000000000003</v>
      </c>
      <c r="BN33" s="31"/>
      <c r="BO33" s="40"/>
      <c r="BP33" s="40">
        <v>17.189</v>
      </c>
      <c r="BQ33" s="32">
        <v>26.141999999999999</v>
      </c>
      <c r="BR33" s="33">
        <v>0.74</v>
      </c>
      <c r="BS33" s="34"/>
      <c r="BT33" s="35">
        <v>0.34</v>
      </c>
      <c r="BU33" s="35"/>
      <c r="BV33" s="235"/>
      <c r="BW33" s="235">
        <v>1.71</v>
      </c>
      <c r="BX33" s="36"/>
      <c r="BY33" s="33">
        <v>37.71</v>
      </c>
      <c r="BZ33" s="34"/>
      <c r="CA33" s="35">
        <v>39.56</v>
      </c>
      <c r="CB33" s="35"/>
      <c r="CC33" s="235"/>
      <c r="CD33" s="235">
        <v>31.53</v>
      </c>
      <c r="CE33" s="36">
        <v>43.21</v>
      </c>
      <c r="CF33" s="30">
        <v>43.502000000000002</v>
      </c>
      <c r="CG33" s="30">
        <v>83.96</v>
      </c>
      <c r="CH33" s="31"/>
      <c r="CI33" s="32"/>
      <c r="CJ33" s="33">
        <v>1.74</v>
      </c>
      <c r="CK33" s="33">
        <v>1.74</v>
      </c>
      <c r="CL33" s="35"/>
      <c r="CM33" s="36"/>
      <c r="CN33" s="270"/>
      <c r="CO33" s="249">
        <f t="shared" si="30"/>
        <v>125.17281559999999</v>
      </c>
      <c r="CP33" s="12">
        <f t="shared" si="30"/>
        <v>0</v>
      </c>
      <c r="CQ33" s="12">
        <f t="shared" si="30"/>
        <v>47.732157000000001</v>
      </c>
      <c r="CR33" s="12">
        <f t="shared" si="30"/>
        <v>0</v>
      </c>
      <c r="CS33" s="11">
        <f t="shared" si="30"/>
        <v>0</v>
      </c>
      <c r="CT33" s="11">
        <f t="shared" si="30"/>
        <v>16.895068100000003</v>
      </c>
      <c r="CU33" s="272">
        <f t="shared" si="30"/>
        <v>26.141999999999999</v>
      </c>
      <c r="CV33" s="249">
        <f t="shared" si="14"/>
        <v>42.745065200000006</v>
      </c>
      <c r="CW33" s="12">
        <f t="shared" si="14"/>
        <v>82.499095999999994</v>
      </c>
      <c r="CX33" s="254">
        <f t="shared" si="14"/>
        <v>0</v>
      </c>
      <c r="CY33" s="275">
        <f t="shared" si="14"/>
        <v>0</v>
      </c>
      <c r="CZ33" s="13"/>
      <c r="DA33" s="240">
        <f>(D33+'[2]июнь 20'!D33)/(AY33+'[2]июнь 20'!AX33)</f>
        <v>2.3249464022415482</v>
      </c>
      <c r="DB33" s="241">
        <f>(T33+'[2]июнь 20'!R33)/(AY33+'[2]июнь 20'!AX33)</f>
        <v>1.3633934762199336</v>
      </c>
      <c r="DD33" s="292">
        <f t="shared" si="15"/>
        <v>8.7379999999999995</v>
      </c>
      <c r="DE33" s="291">
        <v>0.41</v>
      </c>
      <c r="DF33" s="291">
        <v>14.13</v>
      </c>
      <c r="DG33" s="145">
        <f t="shared" si="16"/>
        <v>8.7021742</v>
      </c>
      <c r="DH33" s="293">
        <f t="shared" si="29"/>
        <v>1.6226144292161522</v>
      </c>
      <c r="DJ33" s="322">
        <f t="shared" si="31"/>
        <v>215.94204070000001</v>
      </c>
    </row>
    <row r="34" spans="1:114" s="76" customFormat="1" ht="16.5" customHeight="1" thickBot="1">
      <c r="A34" s="144">
        <v>28</v>
      </c>
      <c r="B34" s="122">
        <f>'[1]июнь 20'!K33</f>
        <v>225.173</v>
      </c>
      <c r="C34" s="123">
        <f t="shared" si="17"/>
        <v>0.78721223237244253</v>
      </c>
      <c r="D34" s="145">
        <f t="shared" si="18"/>
        <v>223.40041060000001</v>
      </c>
      <c r="E34" s="125">
        <f t="shared" si="19"/>
        <v>38.540464309664124</v>
      </c>
      <c r="F34" s="146">
        <f t="shared" si="0"/>
        <v>2.4003482389599231</v>
      </c>
      <c r="G34" s="127"/>
      <c r="H34" s="126">
        <f t="shared" si="20"/>
        <v>2.1089976426345762</v>
      </c>
      <c r="I34" s="230">
        <f>'[1]июль 20'!AI33</f>
        <v>0</v>
      </c>
      <c r="J34" s="247">
        <f>'[1]июнь 20'!AA33</f>
        <v>8.9710000000000001</v>
      </c>
      <c r="K34" s="464">
        <f>'[1]сентябрь 20'!AM33</f>
        <v>0</v>
      </c>
      <c r="L34" s="247">
        <f>'[1]июнь 20'!AE33</f>
        <v>27.116</v>
      </c>
      <c r="M34" s="468">
        <f t="shared" si="21"/>
        <v>0.29135059632534654</v>
      </c>
      <c r="N34" s="403">
        <f>'[1]июнь 20'!W33</f>
        <v>0</v>
      </c>
      <c r="O34" s="403">
        <f>'[1]июнь 20'!AU33</f>
        <v>0</v>
      </c>
      <c r="P34" s="401">
        <f t="shared" si="1"/>
        <v>132.77600000000001</v>
      </c>
      <c r="Q34" s="122">
        <f>'[1]июнь 20'!S33</f>
        <v>132.77600000000001</v>
      </c>
      <c r="R34" s="123">
        <f t="shared" si="22"/>
        <v>1.89</v>
      </c>
      <c r="S34" s="170">
        <v>8.15</v>
      </c>
      <c r="T34" s="125">
        <f t="shared" si="2"/>
        <v>130.2665336</v>
      </c>
      <c r="U34" s="147">
        <f t="shared" si="3"/>
        <v>1.3996619060921889</v>
      </c>
      <c r="V34" s="169">
        <v>93.07</v>
      </c>
      <c r="W34" s="169">
        <v>93.07</v>
      </c>
      <c r="X34" s="170">
        <v>0.43</v>
      </c>
      <c r="Y34" s="166">
        <v>574</v>
      </c>
      <c r="Z34" s="166">
        <v>1159</v>
      </c>
      <c r="AA34" s="148" t="s">
        <v>295</v>
      </c>
      <c r="AB34" s="164">
        <v>75.61</v>
      </c>
      <c r="AC34" s="166">
        <v>90</v>
      </c>
      <c r="AD34" s="171">
        <v>4</v>
      </c>
      <c r="AE34" s="164"/>
      <c r="AF34" s="172">
        <f t="shared" si="4"/>
        <v>0</v>
      </c>
      <c r="AG34" s="173"/>
      <c r="AH34" s="170">
        <v>64.099999999999994</v>
      </c>
      <c r="AI34" s="134">
        <f t="shared" si="5"/>
        <v>688.72891372085519</v>
      </c>
      <c r="AJ34" s="174">
        <v>13</v>
      </c>
      <c r="AK34" s="175"/>
      <c r="AL34" s="176">
        <v>4.99</v>
      </c>
      <c r="AM34" s="177">
        <v>29.43</v>
      </c>
      <c r="AN34" s="126">
        <f t="shared" si="23"/>
        <v>0.23255630185697354</v>
      </c>
      <c r="AO34" s="178" t="s">
        <v>325</v>
      </c>
      <c r="AP34" s="177">
        <v>7.84</v>
      </c>
      <c r="AQ34" s="177">
        <v>7.56</v>
      </c>
      <c r="AR34" s="171"/>
      <c r="AS34" s="164">
        <v>10.27</v>
      </c>
      <c r="AT34" s="149">
        <v>126.55</v>
      </c>
      <c r="AU34" s="164">
        <v>0.94</v>
      </c>
      <c r="AV34" s="164"/>
      <c r="AW34" s="164"/>
      <c r="AX34" s="179">
        <f t="shared" si="6"/>
        <v>0</v>
      </c>
      <c r="AY34" s="125">
        <f t="shared" si="7"/>
        <v>93.07</v>
      </c>
      <c r="AZ34" s="125">
        <f t="shared" si="24"/>
        <v>101.29039625962072</v>
      </c>
      <c r="BA34" s="159">
        <f t="shared" si="8"/>
        <v>5.0995612676056332</v>
      </c>
      <c r="BB34" s="159">
        <f t="shared" si="9"/>
        <v>3.7227999999999999</v>
      </c>
      <c r="BC34" s="180">
        <f t="shared" si="10"/>
        <v>0.81731231455419684</v>
      </c>
      <c r="BD34" s="159">
        <f t="shared" si="25"/>
        <v>8.8223612676056327</v>
      </c>
      <c r="BE34" s="167">
        <v>0.89600000000000002</v>
      </c>
      <c r="BF34" s="25">
        <f t="shared" si="26"/>
        <v>2800.8300000000004</v>
      </c>
      <c r="BG34" s="25">
        <f t="shared" si="11"/>
        <v>110</v>
      </c>
      <c r="BH34" s="25">
        <f t="shared" si="27"/>
        <v>3080</v>
      </c>
      <c r="BI34" s="26">
        <f t="shared" si="12"/>
        <v>1</v>
      </c>
      <c r="BJ34" s="37">
        <f t="shared" si="28"/>
        <v>3080</v>
      </c>
      <c r="BK34" s="38">
        <v>130.50800000000001</v>
      </c>
      <c r="BL34" s="30"/>
      <c r="BM34" s="43">
        <v>49.526000000000003</v>
      </c>
      <c r="BN34" s="43"/>
      <c r="BO34" s="281"/>
      <c r="BP34" s="281">
        <v>18.023</v>
      </c>
      <c r="BQ34" s="44">
        <v>27.116</v>
      </c>
      <c r="BR34" s="45">
        <v>0.67</v>
      </c>
      <c r="BS34" s="46"/>
      <c r="BT34" s="47">
        <v>0.7</v>
      </c>
      <c r="BU34" s="47"/>
      <c r="BV34" s="283"/>
      <c r="BW34" s="283">
        <v>3.06</v>
      </c>
      <c r="BX34" s="48"/>
      <c r="BY34" s="45">
        <v>37.869999999999997</v>
      </c>
      <c r="BZ34" s="46"/>
      <c r="CA34" s="47">
        <v>38.619999999999997</v>
      </c>
      <c r="CB34" s="47"/>
      <c r="CC34" s="283"/>
      <c r="CD34" s="283">
        <v>35.67</v>
      </c>
      <c r="CE34" s="48">
        <v>43.53</v>
      </c>
      <c r="CF34" s="49">
        <v>44.996000000000002</v>
      </c>
      <c r="CG34" s="49">
        <v>87.78</v>
      </c>
      <c r="CH34" s="43"/>
      <c r="CI34" s="32"/>
      <c r="CJ34" s="33">
        <v>1.89</v>
      </c>
      <c r="CK34" s="33">
        <v>1.89</v>
      </c>
      <c r="CL34" s="35"/>
      <c r="CM34" s="36"/>
      <c r="CN34" s="270"/>
      <c r="CO34" s="249">
        <f t="shared" si="30"/>
        <v>129.63359640000002</v>
      </c>
      <c r="CP34" s="12">
        <f t="shared" si="30"/>
        <v>0</v>
      </c>
      <c r="CQ34" s="12">
        <f t="shared" si="30"/>
        <v>49.179318000000002</v>
      </c>
      <c r="CR34" s="12">
        <f t="shared" si="30"/>
        <v>0</v>
      </c>
      <c r="CS34" s="11">
        <f t="shared" si="30"/>
        <v>0</v>
      </c>
      <c r="CT34" s="11">
        <f t="shared" si="30"/>
        <v>17.471496199999997</v>
      </c>
      <c r="CU34" s="272">
        <f t="shared" si="30"/>
        <v>27.116</v>
      </c>
      <c r="CV34" s="249">
        <f t="shared" si="14"/>
        <v>44.145575600000001</v>
      </c>
      <c r="CW34" s="12">
        <f t="shared" si="14"/>
        <v>86.120958000000002</v>
      </c>
      <c r="CX34" s="249">
        <f t="shared" si="14"/>
        <v>0</v>
      </c>
      <c r="CY34" s="272">
        <f t="shared" si="14"/>
        <v>0</v>
      </c>
      <c r="CZ34" s="13"/>
      <c r="DA34" s="240">
        <f>(D34+'[2]июнь 20'!D34)/(AY34+'[2]июнь 20'!AX34)</f>
        <v>2.3304788866122719</v>
      </c>
      <c r="DB34" s="241">
        <f>(T34+'[2]июнь 20'!R34)/(AY34+'[2]июнь 20'!AX34)</f>
        <v>1.3797026585196297</v>
      </c>
      <c r="DD34" s="292">
        <f t="shared" si="15"/>
        <v>8.9710000000000001</v>
      </c>
      <c r="DE34" s="291">
        <v>0.52</v>
      </c>
      <c r="DF34" s="291">
        <v>15.92</v>
      </c>
      <c r="DG34" s="145">
        <f t="shared" si="16"/>
        <v>8.9243508000000009</v>
      </c>
      <c r="DH34" s="293">
        <f t="shared" si="29"/>
        <v>1.8790591818013493</v>
      </c>
      <c r="DJ34" s="322">
        <f t="shared" si="31"/>
        <v>223.40041059999999</v>
      </c>
    </row>
    <row r="35" spans="1:114" s="76" customFormat="1" ht="16.5" customHeight="1" thickBot="1">
      <c r="A35" s="144">
        <v>29</v>
      </c>
      <c r="B35" s="122">
        <f>'[1]июнь 20'!K34</f>
        <v>224.648</v>
      </c>
      <c r="C35" s="123">
        <f t="shared" si="17"/>
        <v>0.91259263380933719</v>
      </c>
      <c r="D35" s="145">
        <f t="shared" si="18"/>
        <v>222.59787889999998</v>
      </c>
      <c r="E35" s="125">
        <f t="shared" si="19"/>
        <v>37.982796997970155</v>
      </c>
      <c r="F35" s="146">
        <f t="shared" si="0"/>
        <v>2.4574727191432983</v>
      </c>
      <c r="G35" s="127"/>
      <c r="H35" s="126">
        <f t="shared" si="20"/>
        <v>2.1598021516891142</v>
      </c>
      <c r="I35" s="230">
        <f>'[1]июль 20'!AI34</f>
        <v>0</v>
      </c>
      <c r="J35" s="247">
        <f>'[1]июнь 20'!AA34</f>
        <v>8.9629999999999992</v>
      </c>
      <c r="K35" s="465">
        <f>'[1]сентябрь 20'!AM34</f>
        <v>0</v>
      </c>
      <c r="L35" s="247">
        <f>'[1]июнь 20'!AE34</f>
        <v>26.963000000000001</v>
      </c>
      <c r="M35" s="469">
        <f t="shared" si="21"/>
        <v>0.29767056745418413</v>
      </c>
      <c r="N35" s="403">
        <f>'[1]июнь 20'!W34</f>
        <v>0</v>
      </c>
      <c r="O35" s="403">
        <f>'[1]июнь 20'!AU34</f>
        <v>0</v>
      </c>
      <c r="P35" s="401">
        <f t="shared" si="1"/>
        <v>135.054</v>
      </c>
      <c r="Q35" s="122">
        <f>'[1]июнь 20'!S34</f>
        <v>135.054</v>
      </c>
      <c r="R35" s="123">
        <f t="shared" si="22"/>
        <v>2.11</v>
      </c>
      <c r="S35" s="129">
        <v>8.15</v>
      </c>
      <c r="T35" s="125">
        <f t="shared" si="2"/>
        <v>132.2043606</v>
      </c>
      <c r="U35" s="147">
        <f t="shared" si="3"/>
        <v>1.4595314705232942</v>
      </c>
      <c r="V35" s="130">
        <v>90.58</v>
      </c>
      <c r="W35" s="130">
        <v>47.13</v>
      </c>
      <c r="X35" s="129">
        <v>0.67</v>
      </c>
      <c r="Y35" s="150">
        <v>578</v>
      </c>
      <c r="Z35" s="150">
        <v>1168</v>
      </c>
      <c r="AA35" s="148" t="s">
        <v>276</v>
      </c>
      <c r="AB35" s="149">
        <v>75.39</v>
      </c>
      <c r="AC35" s="150">
        <v>90</v>
      </c>
      <c r="AD35" s="151">
        <v>4</v>
      </c>
      <c r="AE35" s="181"/>
      <c r="AF35" s="134">
        <f t="shared" si="4"/>
        <v>0</v>
      </c>
      <c r="AG35" s="182"/>
      <c r="AH35" s="129">
        <v>60.65</v>
      </c>
      <c r="AI35" s="134">
        <f t="shared" si="5"/>
        <v>669.57385736365643</v>
      </c>
      <c r="AJ35" s="136">
        <v>12.58</v>
      </c>
      <c r="AK35" s="154"/>
      <c r="AL35" s="155">
        <v>5.75</v>
      </c>
      <c r="AM35" s="183">
        <v>31.11</v>
      </c>
      <c r="AN35" s="126">
        <f t="shared" si="23"/>
        <v>0.24661117717003567</v>
      </c>
      <c r="AO35" s="184" t="s">
        <v>291</v>
      </c>
      <c r="AP35" s="183">
        <v>8.5</v>
      </c>
      <c r="AQ35" s="183">
        <v>6.95</v>
      </c>
      <c r="AR35" s="185"/>
      <c r="AS35" s="181">
        <v>9.52</v>
      </c>
      <c r="AT35" s="149">
        <v>126.15</v>
      </c>
      <c r="AU35" s="181">
        <v>1.29</v>
      </c>
      <c r="AV35" s="149"/>
      <c r="AW35" s="149"/>
      <c r="AX35" s="158">
        <f t="shared" si="6"/>
        <v>0</v>
      </c>
      <c r="AY35" s="125">
        <f t="shared" si="7"/>
        <v>90.580000000000013</v>
      </c>
      <c r="AZ35" s="125">
        <f t="shared" si="24"/>
        <v>99.519620727150652</v>
      </c>
      <c r="BA35" s="159">
        <f t="shared" si="8"/>
        <v>4.472723943661971</v>
      </c>
      <c r="BB35" s="160">
        <f t="shared" si="9"/>
        <v>3.6232000000000006</v>
      </c>
      <c r="BC35" s="161">
        <f t="shared" si="10"/>
        <v>0.80767770633249081</v>
      </c>
      <c r="BD35" s="160">
        <f t="shared" si="25"/>
        <v>8.0959239436619725</v>
      </c>
      <c r="BE35" s="162">
        <v>0.89300000000000002</v>
      </c>
      <c r="BF35" s="25">
        <f t="shared" si="26"/>
        <v>2891.4100000000003</v>
      </c>
      <c r="BG35" s="25">
        <f t="shared" si="11"/>
        <v>110</v>
      </c>
      <c r="BH35" s="25">
        <f t="shared" si="27"/>
        <v>3190</v>
      </c>
      <c r="BI35" s="26">
        <f t="shared" si="12"/>
        <v>1</v>
      </c>
      <c r="BJ35" s="37">
        <f t="shared" si="28"/>
        <v>3190</v>
      </c>
      <c r="BK35" s="38">
        <v>130.47499999999999</v>
      </c>
      <c r="BL35" s="31"/>
      <c r="BM35" s="31">
        <v>49.517000000000003</v>
      </c>
      <c r="BN35" s="31"/>
      <c r="BO35" s="40"/>
      <c r="BP35" s="40">
        <v>17.693000000000001</v>
      </c>
      <c r="BQ35" s="32">
        <v>26.963000000000001</v>
      </c>
      <c r="BR35" s="33">
        <v>0.84</v>
      </c>
      <c r="BS35" s="34"/>
      <c r="BT35" s="35">
        <v>0.98</v>
      </c>
      <c r="BU35" s="35"/>
      <c r="BV35" s="235"/>
      <c r="BW35" s="235">
        <v>2.65</v>
      </c>
      <c r="BX35" s="36"/>
      <c r="BY35" s="33">
        <v>37.67</v>
      </c>
      <c r="BZ35" s="34"/>
      <c r="CA35" s="35">
        <v>38.25</v>
      </c>
      <c r="CB35" s="35"/>
      <c r="CC35" s="235"/>
      <c r="CD35" s="235">
        <v>31.21</v>
      </c>
      <c r="CE35" s="36">
        <v>43.45</v>
      </c>
      <c r="CF35" s="30">
        <v>45.006</v>
      </c>
      <c r="CG35" s="30">
        <v>90.048000000000002</v>
      </c>
      <c r="CH35" s="31"/>
      <c r="CI35" s="50"/>
      <c r="CJ35" s="33">
        <v>2.11</v>
      </c>
      <c r="CK35" s="33">
        <v>2.11</v>
      </c>
      <c r="CL35" s="35"/>
      <c r="CM35" s="36"/>
      <c r="CN35" s="270"/>
      <c r="CO35" s="249">
        <f t="shared" si="30"/>
        <v>129.37900999999999</v>
      </c>
      <c r="CP35" s="12">
        <f t="shared" si="30"/>
        <v>0</v>
      </c>
      <c r="CQ35" s="12">
        <f t="shared" si="30"/>
        <v>49.0317334</v>
      </c>
      <c r="CR35" s="12">
        <f t="shared" si="30"/>
        <v>0</v>
      </c>
      <c r="CS35" s="11">
        <f t="shared" si="30"/>
        <v>0</v>
      </c>
      <c r="CT35" s="11">
        <f t="shared" si="30"/>
        <v>17.224135499999999</v>
      </c>
      <c r="CU35" s="272">
        <f t="shared" si="30"/>
        <v>26.963000000000001</v>
      </c>
      <c r="CV35" s="249">
        <f t="shared" si="14"/>
        <v>44.056373399999998</v>
      </c>
      <c r="CW35" s="12">
        <f t="shared" si="14"/>
        <v>88.147987200000003</v>
      </c>
      <c r="CX35" s="249">
        <f t="shared" si="14"/>
        <v>0</v>
      </c>
      <c r="CY35" s="272">
        <f t="shared" si="14"/>
        <v>0</v>
      </c>
      <c r="CZ35" s="13"/>
      <c r="DA35" s="240">
        <f>(D35+'[2]июнь 20'!D35)/(AY35+'[2]июнь 20'!AX35)</f>
        <v>2.3226588448427745</v>
      </c>
      <c r="DB35" s="241">
        <f>(T35+'[2]июнь 20'!R35)/(AY35+'[2]июнь 20'!AX35)</f>
        <v>1.3986531870236316</v>
      </c>
      <c r="DD35" s="292">
        <f t="shared" si="15"/>
        <v>8.9629999999999992</v>
      </c>
      <c r="DE35" s="291">
        <v>0.19</v>
      </c>
      <c r="DF35" s="291">
        <v>13.6</v>
      </c>
      <c r="DG35" s="145">
        <f t="shared" si="16"/>
        <v>8.945970299999999</v>
      </c>
      <c r="DH35" s="293">
        <f t="shared" si="29"/>
        <v>1.6138107982491046</v>
      </c>
      <c r="DJ35" s="322">
        <f t="shared" si="31"/>
        <v>222.59787889999998</v>
      </c>
    </row>
    <row r="36" spans="1:114" s="76" customFormat="1" ht="16.5" customHeight="1" thickBot="1">
      <c r="A36" s="144">
        <v>30</v>
      </c>
      <c r="B36" s="122">
        <f>'[1]июнь 20'!K35</f>
        <v>215.148</v>
      </c>
      <c r="C36" s="123">
        <f t="shared" si="17"/>
        <v>1.4420726197780132</v>
      </c>
      <c r="D36" s="145">
        <f t="shared" si="18"/>
        <v>212.0454096</v>
      </c>
      <c r="E36" s="125">
        <f t="shared" si="19"/>
        <v>38.096686792347597</v>
      </c>
      <c r="F36" s="146">
        <f t="shared" si="0"/>
        <v>2.486461181988743</v>
      </c>
      <c r="G36" s="127">
        <v>18.190000000000001</v>
      </c>
      <c r="H36" s="126">
        <f t="shared" si="20"/>
        <v>2.2087993621013129</v>
      </c>
      <c r="I36" s="230">
        <f>'[1]июль 20'!AI35</f>
        <v>0</v>
      </c>
      <c r="J36" s="247">
        <f>'[1]июнь 20'!AA35</f>
        <v>8.3650000000000002</v>
      </c>
      <c r="K36" s="464">
        <f>'[1]сентябрь 20'!AM35</f>
        <v>0</v>
      </c>
      <c r="L36" s="247">
        <f>'[1]июнь 20'!AE35</f>
        <v>23.678999999999998</v>
      </c>
      <c r="M36" s="468">
        <f t="shared" si="21"/>
        <v>0.27766181988742961</v>
      </c>
      <c r="N36" s="403">
        <f>'[1]июнь 20'!W35</f>
        <v>0</v>
      </c>
      <c r="O36" s="403">
        <f>'[1]июнь 20'!AU35</f>
        <v>0</v>
      </c>
      <c r="P36" s="401">
        <f t="shared" si="1"/>
        <v>128.45499999999998</v>
      </c>
      <c r="Q36" s="122">
        <f>'[1]июнь 20'!S35</f>
        <v>128.45500000000001</v>
      </c>
      <c r="R36" s="123">
        <f t="shared" si="22"/>
        <v>1.7599999999999998</v>
      </c>
      <c r="S36" s="129">
        <v>1.47</v>
      </c>
      <c r="T36" s="125">
        <f t="shared" si="2"/>
        <v>126.194192</v>
      </c>
      <c r="U36" s="147">
        <f t="shared" si="3"/>
        <v>1.4797630393996248</v>
      </c>
      <c r="V36" s="130"/>
      <c r="W36" s="130">
        <v>85.28</v>
      </c>
      <c r="X36" s="129">
        <v>0.56999999999999995</v>
      </c>
      <c r="Y36" s="150">
        <v>567</v>
      </c>
      <c r="Z36" s="150">
        <v>1149</v>
      </c>
      <c r="AA36" s="148" t="s">
        <v>321</v>
      </c>
      <c r="AB36" s="149">
        <v>74.13</v>
      </c>
      <c r="AC36" s="150">
        <v>86</v>
      </c>
      <c r="AD36" s="151">
        <v>4</v>
      </c>
      <c r="AE36" s="149">
        <v>1.95</v>
      </c>
      <c r="AF36" s="134">
        <f t="shared" si="4"/>
        <v>22.865853658536587</v>
      </c>
      <c r="AG36" s="152"/>
      <c r="AH36" s="129">
        <v>66.5</v>
      </c>
      <c r="AI36" s="134">
        <f t="shared" si="5"/>
        <v>779.78424015009386</v>
      </c>
      <c r="AJ36" s="153">
        <v>12.67</v>
      </c>
      <c r="AK36" s="154"/>
      <c r="AL36" s="155">
        <v>5.21</v>
      </c>
      <c r="AM36" s="156">
        <v>32.51</v>
      </c>
      <c r="AN36" s="126">
        <f t="shared" si="23"/>
        <v>0.26430894308943087</v>
      </c>
      <c r="AO36" s="157" t="s">
        <v>328</v>
      </c>
      <c r="AP36" s="156">
        <v>8.18</v>
      </c>
      <c r="AQ36" s="156">
        <v>7.16</v>
      </c>
      <c r="AR36" s="151"/>
      <c r="AS36" s="149">
        <v>9.51</v>
      </c>
      <c r="AT36" s="149">
        <v>123</v>
      </c>
      <c r="AU36" s="149"/>
      <c r="AV36" s="149"/>
      <c r="AW36" s="149"/>
      <c r="AX36" s="158">
        <f t="shared" si="6"/>
        <v>0</v>
      </c>
      <c r="AY36" s="125">
        <f t="shared" si="7"/>
        <v>85.28</v>
      </c>
      <c r="AZ36" s="125">
        <f t="shared" si="24"/>
        <v>96.783536033520846</v>
      </c>
      <c r="BA36" s="159">
        <f t="shared" si="8"/>
        <v>4.8989894366197175</v>
      </c>
      <c r="BB36" s="160">
        <f t="shared" si="9"/>
        <v>3.4112</v>
      </c>
      <c r="BC36" s="161">
        <f t="shared" si="10"/>
        <v>0.78257344903129344</v>
      </c>
      <c r="BD36" s="160">
        <f t="shared" si="25"/>
        <v>8.3101894366197175</v>
      </c>
      <c r="BE36" s="162">
        <v>0.89</v>
      </c>
      <c r="BF36" s="25">
        <f t="shared" si="26"/>
        <v>2976.6900000000005</v>
      </c>
      <c r="BG36" s="25">
        <f t="shared" si="11"/>
        <v>110</v>
      </c>
      <c r="BH36" s="25">
        <f t="shared" si="27"/>
        <v>3300</v>
      </c>
      <c r="BI36" s="26">
        <f t="shared" si="12"/>
        <v>1</v>
      </c>
      <c r="BJ36" s="37">
        <f t="shared" si="28"/>
        <v>3300</v>
      </c>
      <c r="BK36" s="38">
        <v>128.77199999999999</v>
      </c>
      <c r="BL36" s="31"/>
      <c r="BM36" s="31">
        <v>47.469000000000001</v>
      </c>
      <c r="BN36" s="31"/>
      <c r="BO36" s="40"/>
      <c r="BP36" s="40">
        <v>15.228</v>
      </c>
      <c r="BQ36" s="32">
        <v>23.678999999999998</v>
      </c>
      <c r="BR36" s="33">
        <v>1.39</v>
      </c>
      <c r="BS36" s="34"/>
      <c r="BT36" s="35">
        <v>1.28</v>
      </c>
      <c r="BU36" s="35"/>
      <c r="BV36" s="235"/>
      <c r="BW36" s="235">
        <v>4.63</v>
      </c>
      <c r="BX36" s="36"/>
      <c r="BY36" s="33">
        <v>37.75</v>
      </c>
      <c r="BZ36" s="34"/>
      <c r="CA36" s="35">
        <v>37.97</v>
      </c>
      <c r="CB36" s="35"/>
      <c r="CC36" s="235"/>
      <c r="CD36" s="235">
        <v>33.549999999999997</v>
      </c>
      <c r="CE36" s="36">
        <v>43.16</v>
      </c>
      <c r="CF36" s="30">
        <v>57.503999999999998</v>
      </c>
      <c r="CG36" s="30">
        <v>70.950999999999993</v>
      </c>
      <c r="CH36" s="34"/>
      <c r="CI36" s="50"/>
      <c r="CJ36" s="33">
        <v>1.76</v>
      </c>
      <c r="CK36" s="33">
        <v>1.76</v>
      </c>
      <c r="CL36" s="35"/>
      <c r="CM36" s="36"/>
      <c r="CN36" s="270"/>
      <c r="CO36" s="249">
        <f t="shared" si="30"/>
        <v>126.98206919999998</v>
      </c>
      <c r="CP36" s="12">
        <f t="shared" si="30"/>
        <v>0</v>
      </c>
      <c r="CQ36" s="12">
        <f t="shared" si="30"/>
        <v>46.861396800000001</v>
      </c>
      <c r="CR36" s="12">
        <f t="shared" si="30"/>
        <v>0</v>
      </c>
      <c r="CS36" s="11">
        <f t="shared" si="30"/>
        <v>0</v>
      </c>
      <c r="CT36" s="11">
        <f t="shared" si="30"/>
        <v>14.5229436</v>
      </c>
      <c r="CU36" s="272">
        <f t="shared" si="30"/>
        <v>23.678999999999998</v>
      </c>
      <c r="CV36" s="249">
        <f t="shared" si="14"/>
        <v>56.491929599999992</v>
      </c>
      <c r="CW36" s="12">
        <f t="shared" si="14"/>
        <v>69.702262399999995</v>
      </c>
      <c r="CX36" s="249">
        <f t="shared" si="14"/>
        <v>0</v>
      </c>
      <c r="CY36" s="274">
        <f t="shared" si="14"/>
        <v>0</v>
      </c>
      <c r="CZ36" s="13"/>
      <c r="DA36" s="240">
        <f>(D36+'[2]июнь 20'!D36)/(AY36+'[2]июнь 20'!AX36)</f>
        <v>2.6073176747793525</v>
      </c>
      <c r="DB36" s="241">
        <f>(T36+'[2]июнь 20'!R36)/(AY36+'[2]июнь 20'!AX36)</f>
        <v>1.5862219416956407</v>
      </c>
      <c r="DD36" s="292">
        <f t="shared" si="15"/>
        <v>8.3650000000000002</v>
      </c>
      <c r="DE36" s="291">
        <v>0.7</v>
      </c>
      <c r="DF36" s="291">
        <v>14.72</v>
      </c>
      <c r="DG36" s="145">
        <f t="shared" si="16"/>
        <v>8.3064450000000001</v>
      </c>
      <c r="DH36" s="293">
        <f t="shared" si="29"/>
        <v>1.6494114447592068</v>
      </c>
      <c r="DJ36" s="322">
        <f t="shared" si="31"/>
        <v>212.04540959999997</v>
      </c>
    </row>
    <row r="37" spans="1:114" s="76" customFormat="1" ht="16.5" customHeight="1" thickBot="1">
      <c r="A37" s="186">
        <v>31</v>
      </c>
      <c r="B37" s="122">
        <f>'[1]июнь 20'!K36</f>
        <v>0</v>
      </c>
      <c r="C37" s="123">
        <f t="shared" si="17"/>
        <v>0</v>
      </c>
      <c r="D37" s="187">
        <f t="shared" si="18"/>
        <v>0</v>
      </c>
      <c r="E37" s="285">
        <f t="shared" si="19"/>
        <v>0</v>
      </c>
      <c r="F37" s="189">
        <f t="shared" si="0"/>
        <v>0</v>
      </c>
      <c r="G37" s="127"/>
      <c r="H37" s="126">
        <f t="shared" si="20"/>
        <v>0</v>
      </c>
      <c r="I37" s="230">
        <f>'[1]июль 20'!AI36</f>
        <v>0</v>
      </c>
      <c r="J37" s="277">
        <f>'[1]июнь 20'!AA36</f>
        <v>0</v>
      </c>
      <c r="K37" s="276">
        <f>'[1]сентябрь 20'!AM36</f>
        <v>0</v>
      </c>
      <c r="L37" s="438">
        <f>'[1]июнь 20'!AE36</f>
        <v>0</v>
      </c>
      <c r="M37" s="128">
        <f t="shared" si="21"/>
        <v>0</v>
      </c>
      <c r="N37" s="399">
        <f>'[1]июнь 20'!W36</f>
        <v>0</v>
      </c>
      <c r="O37" s="399">
        <f>'[1]июнь 20'!AU36</f>
        <v>0</v>
      </c>
      <c r="P37" s="125">
        <f t="shared" si="1"/>
        <v>0</v>
      </c>
      <c r="Q37" s="122">
        <f>'[1]июнь 20'!S36</f>
        <v>0</v>
      </c>
      <c r="R37" s="123">
        <f t="shared" si="22"/>
        <v>0</v>
      </c>
      <c r="S37" s="190"/>
      <c r="T37" s="125">
        <f t="shared" si="2"/>
        <v>0</v>
      </c>
      <c r="U37" s="191">
        <f t="shared" si="3"/>
        <v>0</v>
      </c>
      <c r="V37" s="192"/>
      <c r="W37" s="192"/>
      <c r="X37" s="190"/>
      <c r="Y37" s="193"/>
      <c r="Z37" s="194"/>
      <c r="AA37" s="195"/>
      <c r="AB37" s="196"/>
      <c r="AC37" s="194"/>
      <c r="AD37" s="193"/>
      <c r="AE37" s="196"/>
      <c r="AF37" s="134">
        <f t="shared" si="4"/>
        <v>0</v>
      </c>
      <c r="AG37" s="197"/>
      <c r="AH37" s="190"/>
      <c r="AI37" s="134">
        <f t="shared" si="5"/>
        <v>0</v>
      </c>
      <c r="AJ37" s="196"/>
      <c r="AK37" s="198"/>
      <c r="AL37" s="199"/>
      <c r="AM37" s="200"/>
      <c r="AN37" s="126">
        <f t="shared" si="23"/>
        <v>0</v>
      </c>
      <c r="AO37" s="201"/>
      <c r="AP37" s="200"/>
      <c r="AQ37" s="201"/>
      <c r="AR37" s="193"/>
      <c r="AS37" s="196"/>
      <c r="AT37" s="242"/>
      <c r="AU37" s="196"/>
      <c r="AV37" s="196"/>
      <c r="AW37" s="196"/>
      <c r="AX37" s="202">
        <f t="shared" si="6"/>
        <v>0</v>
      </c>
      <c r="AY37" s="188">
        <f t="shared" si="7"/>
        <v>0</v>
      </c>
      <c r="AZ37" s="125">
        <f t="shared" si="24"/>
        <v>0</v>
      </c>
      <c r="BA37" s="203">
        <f t="shared" si="8"/>
        <v>0</v>
      </c>
      <c r="BB37" s="204">
        <f t="shared" si="9"/>
        <v>0</v>
      </c>
      <c r="BC37" s="205">
        <f t="shared" si="10"/>
        <v>0</v>
      </c>
      <c r="BD37" s="206">
        <f t="shared" si="25"/>
        <v>0</v>
      </c>
      <c r="BE37" s="207"/>
      <c r="BF37" s="25">
        <f t="shared" si="26"/>
        <v>2976.6900000000005</v>
      </c>
      <c r="BG37" s="25">
        <f t="shared" si="11"/>
        <v>0</v>
      </c>
      <c r="BH37" s="25">
        <f t="shared" si="27"/>
        <v>3300</v>
      </c>
      <c r="BI37" s="26">
        <f t="shared" si="12"/>
        <v>0</v>
      </c>
      <c r="BJ37" s="37">
        <f t="shared" si="28"/>
        <v>3300</v>
      </c>
      <c r="BK37" s="51"/>
      <c r="BL37" s="53"/>
      <c r="BM37" s="53"/>
      <c r="BN37" s="53"/>
      <c r="BO37" s="282"/>
      <c r="BP37" s="282"/>
      <c r="BQ37" s="54"/>
      <c r="BR37" s="55"/>
      <c r="BS37" s="52"/>
      <c r="BT37" s="56"/>
      <c r="BU37" s="56"/>
      <c r="BV37" s="284"/>
      <c r="BW37" s="284"/>
      <c r="BX37" s="57"/>
      <c r="BY37" s="55"/>
      <c r="BZ37" s="52"/>
      <c r="CA37" s="56"/>
      <c r="CB37" s="56"/>
      <c r="CC37" s="284"/>
      <c r="CD37" s="284"/>
      <c r="CE37" s="57"/>
      <c r="CF37" s="58"/>
      <c r="CG37" s="58"/>
      <c r="CH37" s="52"/>
      <c r="CI37" s="54"/>
      <c r="CJ37" s="33"/>
      <c r="CK37" s="265"/>
      <c r="CL37" s="59"/>
      <c r="CM37" s="60"/>
      <c r="CN37" s="270"/>
      <c r="CO37" s="269">
        <f t="shared" si="30"/>
        <v>0</v>
      </c>
      <c r="CP37" s="18">
        <f t="shared" si="30"/>
        <v>0</v>
      </c>
      <c r="CQ37" s="18">
        <f t="shared" si="30"/>
        <v>0</v>
      </c>
      <c r="CR37" s="18">
        <f t="shared" si="30"/>
        <v>0</v>
      </c>
      <c r="CS37" s="251">
        <f t="shared" si="30"/>
        <v>0</v>
      </c>
      <c r="CT37" s="11">
        <f t="shared" si="30"/>
        <v>0</v>
      </c>
      <c r="CU37" s="273">
        <f t="shared" si="30"/>
        <v>0</v>
      </c>
      <c r="CV37" s="269">
        <f t="shared" si="14"/>
        <v>0</v>
      </c>
      <c r="CW37" s="18">
        <f t="shared" si="14"/>
        <v>0</v>
      </c>
      <c r="CX37" s="261">
        <f t="shared" si="14"/>
        <v>0</v>
      </c>
      <c r="CY37" s="273">
        <f t="shared" si="14"/>
        <v>0</v>
      </c>
      <c r="CZ37" s="13"/>
      <c r="DA37" s="240" t="e">
        <f>(D37+'[2]июнь 20'!D37)/(AY37+'[2]июнь 20'!AX37)</f>
        <v>#DIV/0!</v>
      </c>
      <c r="DB37" s="241" t="e">
        <f>(T37+'[2]июнь 20'!R37)/(AY37+'[2]июнь 20'!AX37)</f>
        <v>#DIV/0!</v>
      </c>
      <c r="DD37" s="292">
        <f t="shared" si="15"/>
        <v>0</v>
      </c>
      <c r="DE37" s="294"/>
      <c r="DF37" s="294"/>
      <c r="DG37" s="323">
        <f t="shared" si="16"/>
        <v>0</v>
      </c>
      <c r="DH37" s="293">
        <f t="shared" si="29"/>
        <v>0</v>
      </c>
      <c r="DJ37" s="322">
        <f t="shared" si="31"/>
        <v>0</v>
      </c>
    </row>
    <row r="38" spans="1:114" s="214" customFormat="1" ht="16.5" customHeight="1" thickBot="1">
      <c r="A38" s="91" t="s">
        <v>56</v>
      </c>
      <c r="B38" s="92">
        <f>SUM(B7:B37)</f>
        <v>6610.5499999999984</v>
      </c>
      <c r="C38" s="330"/>
      <c r="D38" s="331">
        <f>SUM(D7:D37)</f>
        <v>6575.97554269999</v>
      </c>
      <c r="E38" s="332"/>
      <c r="F38" s="331"/>
      <c r="G38" s="333">
        <f>SUM(G7:G37)</f>
        <v>97.45</v>
      </c>
      <c r="H38" s="329"/>
      <c r="I38" s="334">
        <f>SUM(I7:I37)</f>
        <v>0</v>
      </c>
      <c r="J38" s="329">
        <f>SUM(J7:J37)</f>
        <v>266.24499999999995</v>
      </c>
      <c r="K38" s="329">
        <f>SUM(K7:K37)</f>
        <v>0</v>
      </c>
      <c r="L38" s="396">
        <f>SUM(L7:L37)</f>
        <v>1050.8630000000003</v>
      </c>
      <c r="M38" s="335"/>
      <c r="N38" s="329">
        <f>SUM(N7:N37)</f>
        <v>0</v>
      </c>
      <c r="O38" s="396">
        <f>SUM(O7:O37)</f>
        <v>0</v>
      </c>
      <c r="P38" s="330">
        <f>SUM(P7:P37)</f>
        <v>3976.153002999999</v>
      </c>
      <c r="Q38" s="396">
        <f>SUM(Q7:Q37)</f>
        <v>3976.1529999999989</v>
      </c>
      <c r="R38" s="336">
        <f>IF(Q38=0,0,(CA38*CH38+CE38*CI38+CF38*CJ38)/Q38)</f>
        <v>0</v>
      </c>
      <c r="S38" s="398">
        <f>SUM(S7:S37)</f>
        <v>327.24</v>
      </c>
      <c r="T38" s="331">
        <f>SUM(T7:T37)</f>
        <v>3916.1527524000007</v>
      </c>
      <c r="U38" s="337"/>
      <c r="V38" s="229">
        <f>SUM(V7:V37)</f>
        <v>1950.72</v>
      </c>
      <c r="W38" s="229">
        <f>SUM(W7:W37)</f>
        <v>2715.21</v>
      </c>
      <c r="X38" s="338"/>
      <c r="Y38" s="337"/>
      <c r="Z38" s="339"/>
      <c r="AA38" s="340"/>
      <c r="AB38" s="338"/>
      <c r="AC38" s="339"/>
      <c r="AD38" s="339">
        <f>SUM(AD7:AD37)</f>
        <v>118</v>
      </c>
      <c r="AE38" s="90">
        <f>SUM(AE7:AE37)</f>
        <v>73.300000000000011</v>
      </c>
      <c r="AF38" s="341"/>
      <c r="AG38" s="342">
        <f>SUM(AG7:AG37)</f>
        <v>0</v>
      </c>
      <c r="AH38" s="90">
        <f>SUM(AH7:AH37)</f>
        <v>1941.6499999999999</v>
      </c>
      <c r="AI38" s="341"/>
      <c r="AJ38" s="332">
        <f>SUM(AJ7:AJ37)</f>
        <v>385.73</v>
      </c>
      <c r="AK38" s="343"/>
      <c r="AL38" s="397">
        <f>SUM(AL7:AL37)</f>
        <v>140.91999999999999</v>
      </c>
      <c r="AM38" s="344">
        <f>SUM(AM7:AM37)</f>
        <v>848.34000000000015</v>
      </c>
      <c r="AN38" s="345"/>
      <c r="AO38" s="342"/>
      <c r="AP38" s="332"/>
      <c r="AQ38" s="342"/>
      <c r="AR38" s="342"/>
      <c r="AS38" s="346"/>
      <c r="AT38" s="332">
        <f>SUM(AT7:AT37)</f>
        <v>3922.8500000000004</v>
      </c>
      <c r="AU38" s="332">
        <f>SUM(AU7:AU37)</f>
        <v>43.099999999999994</v>
      </c>
      <c r="AV38" s="347">
        <f>SUM(AV7:AV37)</f>
        <v>0</v>
      </c>
      <c r="AW38" s="332">
        <f>SUM(AW7:AW37)</f>
        <v>0</v>
      </c>
      <c r="AX38" s="331"/>
      <c r="AY38" s="90">
        <f>SUM(AY7:AY37)</f>
        <v>2976.6900000000005</v>
      </c>
      <c r="AZ38" s="330">
        <f>SUM(AZ7:AZ37)</f>
        <v>2977.4824726500242</v>
      </c>
      <c r="BA38" s="342">
        <f>SUM(BA7:BA37)</f>
        <v>115.64138485915494</v>
      </c>
      <c r="BB38" s="342">
        <f>SUM(BB7:BB37)</f>
        <v>119.06759999999998</v>
      </c>
      <c r="BC38" s="332"/>
      <c r="BD38" s="89">
        <f>SUM(BD7:BD37)</f>
        <v>234.70898485915495</v>
      </c>
      <c r="BE38" s="348"/>
      <c r="BF38" s="19"/>
      <c r="BG38" s="19">
        <f t="shared" si="11"/>
        <v>0</v>
      </c>
      <c r="BH38" s="19"/>
      <c r="BI38" s="208">
        <f>SUM(BI7:BI37)</f>
        <v>30</v>
      </c>
      <c r="BJ38" s="209"/>
      <c r="BK38" s="278">
        <f t="shared" ref="BK38:BQ38" si="32">SUM(BK7:BK37)</f>
        <v>1150.1810010000002</v>
      </c>
      <c r="BL38" s="61">
        <f>SUM(BL7:BL37)</f>
        <v>2250.5230000000001</v>
      </c>
      <c r="BM38" s="61">
        <f t="shared" si="32"/>
        <v>1741.2</v>
      </c>
      <c r="BN38" s="61">
        <f t="shared" si="32"/>
        <v>9.9999999999999995E-7</v>
      </c>
      <c r="BO38" s="61">
        <f t="shared" si="32"/>
        <v>9.9999999999999995E-7</v>
      </c>
      <c r="BP38" s="61">
        <f t="shared" si="32"/>
        <v>417.78299999999996</v>
      </c>
      <c r="BQ38" s="64">
        <f t="shared" si="32"/>
        <v>1050.8630000000003</v>
      </c>
      <c r="BR38" s="63"/>
      <c r="BS38" s="24"/>
      <c r="BT38" s="24"/>
      <c r="BU38" s="24"/>
      <c r="BV38" s="62"/>
      <c r="BW38" s="62"/>
      <c r="BX38" s="65"/>
      <c r="BY38" s="63"/>
      <c r="BZ38" s="24"/>
      <c r="CA38" s="24"/>
      <c r="CB38" s="24"/>
      <c r="CC38" s="62"/>
      <c r="CD38" s="62"/>
      <c r="CE38" s="62"/>
      <c r="CF38" s="66">
        <f>SUM(CF7:CF37)</f>
        <v>3441.5499999999988</v>
      </c>
      <c r="CG38" s="66">
        <f>SUM(CG7:CG37)</f>
        <v>534.60300100000006</v>
      </c>
      <c r="CH38" s="61">
        <f>SUM(CH7:CH37)</f>
        <v>9.9999999999999995E-7</v>
      </c>
      <c r="CI38" s="67">
        <f>SUM(CI7:CI37)</f>
        <v>9.9999999999999995E-7</v>
      </c>
      <c r="CJ38" s="210"/>
      <c r="CK38" s="266"/>
      <c r="CL38" s="211"/>
      <c r="CM38" s="212"/>
      <c r="CN38" s="213"/>
      <c r="CO38" s="68">
        <f t="shared" ref="CO38:CY38" si="33">SUM(CO7:CO37)</f>
        <v>1139.6693736</v>
      </c>
      <c r="CP38" s="69">
        <f t="shared" si="33"/>
        <v>2239.4675349999998</v>
      </c>
      <c r="CQ38" s="70">
        <f t="shared" si="33"/>
        <v>1733.7464270999994</v>
      </c>
      <c r="CR38" s="69">
        <f t="shared" si="33"/>
        <v>9.9999998999999992E-7</v>
      </c>
      <c r="CS38" s="72">
        <f t="shared" si="33"/>
        <v>9.9999998999999992E-7</v>
      </c>
      <c r="CT38" s="72">
        <f t="shared" si="33"/>
        <v>412.2292084</v>
      </c>
      <c r="CU38" s="71">
        <f t="shared" si="33"/>
        <v>1050.8629995999904</v>
      </c>
      <c r="CV38" s="72">
        <f t="shared" si="33"/>
        <v>3390.8983663000004</v>
      </c>
      <c r="CW38" s="72">
        <f t="shared" si="33"/>
        <v>525.25438709999992</v>
      </c>
      <c r="CX38" s="72">
        <f t="shared" si="33"/>
        <v>9.9999998999999992E-7</v>
      </c>
      <c r="CY38" s="72">
        <f t="shared" si="33"/>
        <v>9.9999998999999992E-7</v>
      </c>
      <c r="CZ38" s="70"/>
      <c r="DA38" s="240">
        <f>(D38+'[2]июнь 20'!D38)/(AY38+'[2]июнь 20'!AX38)</f>
        <v>2.2533312447066458</v>
      </c>
      <c r="DB38" s="241">
        <f>(T38+'[2]июнь 20'!R38)/(AY38+'[2]июнь 20'!AX38)</f>
        <v>1.3322730641526495</v>
      </c>
      <c r="DD38" s="295">
        <f>SUM(DD7:DD37)</f>
        <v>266.24499999999995</v>
      </c>
      <c r="DE38" s="296">
        <f>(SUMPRODUCT(DD7:DD37,DE7:DE37))/DD38</f>
        <v>0.18329395857199199</v>
      </c>
      <c r="DF38" s="296">
        <f>(SUMPRODUCT(DD7:DD37,DF7:DF37))/DD38</f>
        <v>16.118185956543787</v>
      </c>
      <c r="DG38" s="296">
        <f>(SUMPRODUCT(DE7:DE37,DG7:DG37))/DE38</f>
        <v>265.28043551911145</v>
      </c>
      <c r="DH38" s="324">
        <f>IF(J38=0,0,(DG38*DF38%)/(AB39/100))</f>
        <v>56.880209889336932</v>
      </c>
    </row>
    <row r="39" spans="1:114" s="214" customFormat="1" ht="16.5" customHeight="1" thickBot="1">
      <c r="A39" s="93" t="s">
        <v>57</v>
      </c>
      <c r="B39" s="349">
        <f>B38/AU2</f>
        <v>220.3516666666666</v>
      </c>
      <c r="C39" s="349">
        <f>(BK38*BR39+BM38*BT39+BQ38*BX39+BL38*BS39+BN38*BU39+BO38*BV39+BP38*BW39)/B38</f>
        <v>0.52301937508997043</v>
      </c>
      <c r="D39" s="350">
        <f>D38/AU2</f>
        <v>219.19918475666634</v>
      </c>
      <c r="E39" s="349">
        <f>(BK38*BY39+BM38*CA39+BQ38*CE39+BL38*BZ39+BN38*CB39+BO38*CC39+BP38*CD39)/B38</f>
        <v>38.244436403930095</v>
      </c>
      <c r="F39" s="351">
        <f>IF($AY$38=0,0,$D$38/$AY$38)</f>
        <v>2.2091569974367467</v>
      </c>
      <c r="G39" s="352">
        <f>G38/AU2</f>
        <v>3.2483333333333335</v>
      </c>
      <c r="H39" s="353">
        <f>IF($AY$38=0,0,(CP38+CO38+CS38+CQ38+CT38)/AY38)</f>
        <v>1.8561262829182743</v>
      </c>
      <c r="I39" s="349">
        <f>I38/AU2</f>
        <v>0</v>
      </c>
      <c r="J39" s="349">
        <f>J38/AU2</f>
        <v>8.8748333333333314</v>
      </c>
      <c r="K39" s="349">
        <f>K38/AU2</f>
        <v>0</v>
      </c>
      <c r="L39" s="349">
        <f>L38/AU2</f>
        <v>35.028766666666677</v>
      </c>
      <c r="M39" s="354">
        <f>IF($AY$38=0,0,(CR38+CU38)/$AY$38)</f>
        <v>0.35303071552630272</v>
      </c>
      <c r="N39" s="349">
        <f>N38/AU2</f>
        <v>0</v>
      </c>
      <c r="O39" s="349">
        <f>O38/AU2</f>
        <v>0</v>
      </c>
      <c r="P39" s="349">
        <f>P38/AU2</f>
        <v>132.5384334333333</v>
      </c>
      <c r="Q39" s="349">
        <f>Q38/AU2</f>
        <v>132.5384333333333</v>
      </c>
      <c r="R39" s="349">
        <f>(SUMPRODUCT(R7:R37,Q7:Q37))/Q38</f>
        <v>1.5090024855683379</v>
      </c>
      <c r="S39" s="355">
        <f>S38/AU2</f>
        <v>10.907999999999999</v>
      </c>
      <c r="T39" s="356"/>
      <c r="U39" s="354">
        <f>IF($AY$38=0,0,$T$38/$AY$38)</f>
        <v>1.3156065134091894</v>
      </c>
      <c r="V39" s="349">
        <f>V38/AU2</f>
        <v>65.024000000000001</v>
      </c>
      <c r="W39" s="349">
        <f>W38/AU2</f>
        <v>90.507000000000005</v>
      </c>
      <c r="X39" s="349">
        <f>(SUMPRODUCT(X7:X37,AY7:AY37))/AY38</f>
        <v>0.59911633391451558</v>
      </c>
      <c r="Y39" s="357">
        <f>AVERAGE(Y7:Y37)</f>
        <v>539.16666666666663</v>
      </c>
      <c r="Z39" s="357">
        <f>AVERAGE(Z7:Z37)</f>
        <v>1147.6666666666667</v>
      </c>
      <c r="AA39" s="357"/>
      <c r="AB39" s="349">
        <f>(SUMPRODUCT(AB7:AB37,AY7:AY37))/AY38</f>
        <v>75.172707671944323</v>
      </c>
      <c r="AC39" s="358">
        <f>AVERAGE(AC7:AC37)</f>
        <v>88.266666666666666</v>
      </c>
      <c r="AD39" s="358">
        <f>AVERAGE(AD7:AD37)</f>
        <v>3.9333333333333331</v>
      </c>
      <c r="AE39" s="349">
        <f>AE38/AU2</f>
        <v>2.4433333333333338</v>
      </c>
      <c r="AF39" s="355">
        <f>IF(AY38=0,0,AE38/AY38*1000)</f>
        <v>24.62466699589141</v>
      </c>
      <c r="AG39" s="356" t="e">
        <f>AG38/$AW$2</f>
        <v>#DIV/0!</v>
      </c>
      <c r="AH39" s="349">
        <f>AH38/AU2</f>
        <v>64.721666666666664</v>
      </c>
      <c r="AI39" s="355">
        <f>IF(AY38=0,0,AH38/AY38*1000)</f>
        <v>652.28492049894328</v>
      </c>
      <c r="AJ39" s="349">
        <f>AJ38/AU2</f>
        <v>12.857666666666667</v>
      </c>
      <c r="AK39" s="359"/>
      <c r="AL39" s="349">
        <f>AL38/AU2</f>
        <v>4.6973333333333329</v>
      </c>
      <c r="AM39" s="349">
        <f>AM38/AU2</f>
        <v>28.278000000000006</v>
      </c>
      <c r="AN39" s="360">
        <f>IF(AM39=0,0,AM39/AT39)</f>
        <v>0.2162560383394726</v>
      </c>
      <c r="AO39" s="356"/>
      <c r="AP39" s="349">
        <f>AVERAGE(AP7:AP37)</f>
        <v>8.995333333333333</v>
      </c>
      <c r="AQ39" s="349">
        <f>AVERAGE(AQ7:AQ37)</f>
        <v>7.419666666666668</v>
      </c>
      <c r="AR39" s="356"/>
      <c r="AS39" s="349">
        <f>AVERAGE(AS7:AS37)</f>
        <v>7.6689999999999996</v>
      </c>
      <c r="AT39" s="349">
        <f>AT38/AU2</f>
        <v>130.76166666666668</v>
      </c>
      <c r="AU39" s="349">
        <f>AU38/AU2</f>
        <v>1.4366666666666665</v>
      </c>
      <c r="AV39" s="349" t="e">
        <f>AV38/$AW$2</f>
        <v>#DIV/0!</v>
      </c>
      <c r="AW39" s="349" t="e">
        <f>AW38/$AW$2</f>
        <v>#DIV/0!</v>
      </c>
      <c r="AX39" s="349" t="e">
        <f>IF(AY39=0,0,AW39/AY39*100)</f>
        <v>#DIV/0!</v>
      </c>
      <c r="AY39" s="349">
        <f>AY38/AU2</f>
        <v>99.223000000000013</v>
      </c>
      <c r="AZ39" s="349">
        <f>AZ38/AU2</f>
        <v>99.249415755000811</v>
      </c>
      <c r="BA39" s="356"/>
      <c r="BB39" s="356"/>
      <c r="BC39" s="351">
        <f>(AY38*AB39)/(D38*E39)</f>
        <v>0.88974457248936845</v>
      </c>
      <c r="BD39" s="349">
        <f>BD38/AU2</f>
        <v>7.8236328286384982</v>
      </c>
      <c r="BE39" s="361"/>
      <c r="BF39" s="19"/>
      <c r="BG39" s="19"/>
      <c r="BH39" s="19"/>
      <c r="BI39" s="19"/>
      <c r="BJ39" s="215"/>
      <c r="BK39" s="73"/>
      <c r="BL39" s="216"/>
      <c r="BM39" s="216"/>
      <c r="BN39" s="216"/>
      <c r="BO39" s="219"/>
      <c r="BP39" s="219"/>
      <c r="BQ39" s="217"/>
      <c r="BR39" s="73">
        <f t="shared" ref="BR39:BX39" si="34">(SUMPRODUCT(BK7:BK37,BR7:BR37))/BK38</f>
        <v>0.91391071412768099</v>
      </c>
      <c r="BS39" s="29">
        <f>(SUMPRODUCT(BL7:BL37,BS7:BS37))/BL38</f>
        <v>0.49123981403433781</v>
      </c>
      <c r="BT39" s="29">
        <f t="shared" si="34"/>
        <v>0.42807103721571332</v>
      </c>
      <c r="BU39" s="29">
        <f t="shared" si="34"/>
        <v>9.9999999999999995E-7</v>
      </c>
      <c r="BV39" s="29">
        <f t="shared" si="34"/>
        <v>9.9999999999999995E-7</v>
      </c>
      <c r="BW39" s="29">
        <f>(SUMPRODUCT(BP7:BP37,BW7:BW37))/BP38</f>
        <v>1.3293483937833757</v>
      </c>
      <c r="BX39" s="74">
        <f t="shared" si="34"/>
        <v>3.8064904749715221E-8</v>
      </c>
      <c r="BY39" s="73">
        <f t="shared" ref="BY39:CE39" si="35">(SUMPRODUCT(BK7:BK37,BY7:BY37))/BK38</f>
        <v>37.691075024112649</v>
      </c>
      <c r="BZ39" s="29">
        <f t="shared" si="35"/>
        <v>37.177793486225205</v>
      </c>
      <c r="CA39" s="29">
        <f t="shared" si="35"/>
        <v>38.451555972892258</v>
      </c>
      <c r="CB39" s="29">
        <f t="shared" si="35"/>
        <v>9.9999999999999995E-7</v>
      </c>
      <c r="CC39" s="29">
        <f t="shared" si="35"/>
        <v>9.9999999999999995E-7</v>
      </c>
      <c r="CD39" s="29">
        <f t="shared" si="35"/>
        <v>32.286051251487017</v>
      </c>
      <c r="CE39" s="74">
        <f t="shared" si="35"/>
        <v>43.160058666067783</v>
      </c>
      <c r="CF39" s="218"/>
      <c r="CG39" s="218"/>
      <c r="CH39" s="216"/>
      <c r="CI39" s="219"/>
      <c r="CJ39" s="75">
        <f>(SUMPRODUCT(CF7:CF37,CJ7:CJ37))/CF38</f>
        <v>1.4717680609027914</v>
      </c>
      <c r="CK39" s="75">
        <f>(SUMPRODUCT(CG7:CG37,CK7:CK37))/CG38</f>
        <v>1.748702099036666</v>
      </c>
      <c r="CL39" s="29">
        <f>(SUMPRODUCT(CH7:CH37,CL7:CL37))/CH38</f>
        <v>9.9999999999999995E-7</v>
      </c>
      <c r="CM39" s="74">
        <f>(SUMPRODUCT(CI7:CI37,CM7:CM37))/CI38</f>
        <v>9.9999999999999995E-7</v>
      </c>
      <c r="CN39" s="19"/>
      <c r="CO39" s="596">
        <f>CO38+CP38</f>
        <v>3379.1369085999995</v>
      </c>
      <c r="CP39" s="596"/>
      <c r="CQ39" s="597">
        <f>CQ38+CR38+CU38+CS38+CT38</f>
        <v>3196.8386370999897</v>
      </c>
      <c r="CR39" s="597"/>
      <c r="CS39" s="597"/>
      <c r="CT39" s="597"/>
      <c r="CU39" s="597"/>
      <c r="CV39" s="597">
        <f>CV38+CX38+CY38+CW38</f>
        <v>3916.1527553999999</v>
      </c>
      <c r="CW39" s="597"/>
      <c r="CX39" s="597"/>
      <c r="CY39" s="597"/>
      <c r="DA39" s="236"/>
      <c r="DB39" s="238"/>
      <c r="DD39" s="297"/>
      <c r="DE39" s="298"/>
      <c r="DF39" s="298"/>
      <c r="DG39" s="299"/>
      <c r="DH39" s="300"/>
    </row>
    <row r="40" spans="1:114" s="214" customFormat="1" ht="16.5" customHeight="1" thickBot="1">
      <c r="A40" s="94" t="s">
        <v>58</v>
      </c>
      <c r="B40" s="362"/>
      <c r="C40" s="362"/>
      <c r="D40" s="363"/>
      <c r="E40" s="364">
        <v>38.6</v>
      </c>
      <c r="F40" s="363">
        <v>2.2200000000000002</v>
      </c>
      <c r="G40" s="365"/>
      <c r="H40" s="410">
        <v>1.8426</v>
      </c>
      <c r="I40" s="363"/>
      <c r="J40" s="363">
        <v>9.35</v>
      </c>
      <c r="K40" s="363"/>
      <c r="L40" s="363"/>
      <c r="M40" s="410">
        <v>0.37740000000000001</v>
      </c>
      <c r="N40" s="363">
        <v>12.98</v>
      </c>
      <c r="O40" s="363"/>
      <c r="P40" s="366"/>
      <c r="Q40" s="362"/>
      <c r="R40" s="367"/>
      <c r="S40" s="368">
        <v>13.09</v>
      </c>
      <c r="T40" s="362"/>
      <c r="U40" s="369">
        <v>1.32</v>
      </c>
      <c r="V40" s="370">
        <v>3300</v>
      </c>
      <c r="W40" s="370">
        <v>3300</v>
      </c>
      <c r="X40" s="371"/>
      <c r="Y40" s="371"/>
      <c r="Z40" s="372">
        <v>1190</v>
      </c>
      <c r="AA40" s="372"/>
      <c r="AB40" s="362">
        <v>75.599999999999994</v>
      </c>
      <c r="AC40" s="362"/>
      <c r="AD40" s="362"/>
      <c r="AE40" s="362"/>
      <c r="AF40" s="362"/>
      <c r="AG40" s="362"/>
      <c r="AH40" s="362"/>
      <c r="AI40" s="362">
        <v>765</v>
      </c>
      <c r="AJ40" s="373"/>
      <c r="AK40" s="374"/>
      <c r="AL40" s="375"/>
      <c r="AM40" s="362"/>
      <c r="AN40" s="362"/>
      <c r="AO40" s="362"/>
      <c r="AP40" s="362"/>
      <c r="AQ40" s="362"/>
      <c r="AR40" s="362"/>
      <c r="AS40" s="362"/>
      <c r="AT40" s="376">
        <v>3300</v>
      </c>
      <c r="AU40" s="377">
        <v>23.1</v>
      </c>
      <c r="AV40" s="377"/>
      <c r="AW40" s="378"/>
      <c r="AX40" s="362"/>
      <c r="AY40" s="379">
        <v>110</v>
      </c>
      <c r="AZ40" s="362"/>
      <c r="BA40" s="362"/>
      <c r="BB40" s="362"/>
      <c r="BC40" s="363">
        <v>0.9</v>
      </c>
      <c r="BD40" s="362"/>
      <c r="BE40" s="380"/>
      <c r="BF40" s="19"/>
      <c r="BG40" s="19"/>
      <c r="BH40" s="19"/>
      <c r="BI40" s="19"/>
      <c r="BJ40" s="215"/>
      <c r="BK40" s="220"/>
      <c r="BL40" s="221"/>
      <c r="BM40" s="216"/>
      <c r="BN40" s="216"/>
      <c r="BO40" s="219"/>
      <c r="BP40" s="219"/>
      <c r="BQ40" s="217"/>
      <c r="BR40" s="218"/>
      <c r="BS40" s="216"/>
      <c r="BT40" s="216"/>
      <c r="BU40" s="216"/>
      <c r="BV40" s="219"/>
      <c r="BW40" s="219"/>
      <c r="BX40" s="217"/>
      <c r="BY40" s="218"/>
      <c r="BZ40" s="216"/>
      <c r="CA40" s="216"/>
      <c r="CB40" s="216"/>
      <c r="CC40" s="219"/>
      <c r="CD40" s="219"/>
      <c r="CE40" s="217"/>
      <c r="CF40" s="218"/>
      <c r="CG40" s="218"/>
      <c r="CH40" s="216"/>
      <c r="CI40" s="219"/>
      <c r="CJ40" s="220"/>
      <c r="CK40" s="218"/>
      <c r="CL40" s="216"/>
      <c r="CM40" s="217"/>
      <c r="CN40" s="213"/>
      <c r="CO40" s="604">
        <f>CO39+CQ39</f>
        <v>6575.9755456999892</v>
      </c>
      <c r="CP40" s="604"/>
      <c r="CQ40" s="604"/>
      <c r="CR40" s="604"/>
      <c r="CS40" s="604"/>
      <c r="CT40" s="604"/>
      <c r="CU40" s="604"/>
      <c r="DA40" s="237"/>
      <c r="DB40" s="239"/>
      <c r="DD40" s="301"/>
      <c r="DE40" s="302"/>
      <c r="DF40" s="302"/>
      <c r="DG40" s="303"/>
      <c r="DH40" s="304"/>
    </row>
    <row r="41" spans="1:114" s="214" customFormat="1" ht="16.5" customHeight="1" thickBot="1">
      <c r="A41" s="95" t="s">
        <v>59</v>
      </c>
      <c r="B41" s="381"/>
      <c r="C41" s="381"/>
      <c r="D41" s="382"/>
      <c r="E41" s="381"/>
      <c r="F41" s="383">
        <f>F39-F40</f>
        <v>-1.0843002563253545E-2</v>
      </c>
      <c r="G41" s="384">
        <f>G39-G40</f>
        <v>3.2483333333333335</v>
      </c>
      <c r="H41" s="383"/>
      <c r="I41" s="385">
        <f>I39-I40</f>
        <v>0</v>
      </c>
      <c r="J41" s="385"/>
      <c r="K41" s="385"/>
      <c r="L41" s="385"/>
      <c r="M41" s="385"/>
      <c r="N41" s="385"/>
      <c r="O41" s="385"/>
      <c r="P41" s="383"/>
      <c r="Q41" s="386"/>
      <c r="R41" s="385">
        <f>R39-R40</f>
        <v>1.5090024855683379</v>
      </c>
      <c r="S41" s="386"/>
      <c r="T41" s="386"/>
      <c r="U41" s="383">
        <f>U39-U40</f>
        <v>-4.3934865908106246E-3</v>
      </c>
      <c r="V41" s="383"/>
      <c r="W41" s="383"/>
      <c r="X41" s="383"/>
      <c r="Y41" s="383"/>
      <c r="Z41" s="387">
        <f>Z39-Z40</f>
        <v>-42.333333333333258</v>
      </c>
      <c r="AA41" s="388"/>
      <c r="AB41" s="381"/>
      <c r="AC41" s="381"/>
      <c r="AD41" s="381"/>
      <c r="AE41" s="381"/>
      <c r="AF41" s="381"/>
      <c r="AG41" s="381"/>
      <c r="AH41" s="381"/>
      <c r="AI41" s="381"/>
      <c r="AJ41" s="381"/>
      <c r="AK41" s="389"/>
      <c r="AL41" s="390"/>
      <c r="AM41" s="381"/>
      <c r="AN41" s="381"/>
      <c r="AO41" s="381"/>
      <c r="AP41" s="381"/>
      <c r="AQ41" s="381"/>
      <c r="AR41" s="381"/>
      <c r="AS41" s="381"/>
      <c r="AT41" s="391">
        <f>AT38+AV38-AT40</f>
        <v>622.85000000000036</v>
      </c>
      <c r="AU41" s="392"/>
      <c r="AV41" s="393"/>
      <c r="AW41" s="390"/>
      <c r="AX41" s="381"/>
      <c r="AY41" s="385"/>
      <c r="AZ41" s="381"/>
      <c r="BA41" s="381"/>
      <c r="BB41" s="381"/>
      <c r="BC41" s="394"/>
      <c r="BD41" s="381"/>
      <c r="BE41" s="395"/>
      <c r="BF41" s="222"/>
      <c r="BG41" s="222"/>
      <c r="BH41" s="222"/>
      <c r="BI41" s="222"/>
      <c r="BJ41" s="222"/>
      <c r="BK41" s="223"/>
      <c r="BL41" s="224"/>
      <c r="BM41" s="225"/>
      <c r="BN41" s="225"/>
      <c r="BO41" s="224"/>
      <c r="BP41" s="224"/>
      <c r="BQ41" s="226"/>
      <c r="BR41" s="227"/>
      <c r="BS41" s="225"/>
      <c r="BT41" s="225"/>
      <c r="BU41" s="225"/>
      <c r="BV41" s="224"/>
      <c r="BW41" s="224"/>
      <c r="BX41" s="224"/>
      <c r="BY41" s="228"/>
      <c r="BZ41" s="225"/>
      <c r="CA41" s="225"/>
      <c r="CB41" s="225"/>
      <c r="CC41" s="224"/>
      <c r="CD41" s="224"/>
      <c r="CE41" s="226"/>
      <c r="CF41" s="227"/>
      <c r="CG41" s="227"/>
      <c r="CH41" s="225"/>
      <c r="CI41" s="224"/>
      <c r="CJ41" s="228"/>
      <c r="CK41" s="227"/>
      <c r="CL41" s="225"/>
      <c r="CM41" s="226"/>
      <c r="CN41" s="213"/>
      <c r="CO41" s="213"/>
      <c r="CP41" s="213"/>
      <c r="CQ41" s="213"/>
      <c r="DA41" s="21"/>
      <c r="DH41" s="309"/>
    </row>
    <row r="42" spans="1:114" ht="15" hidden="1" customHeight="1">
      <c r="A42" s="96"/>
      <c r="B42" s="96"/>
      <c r="C42" s="96"/>
      <c r="D42" s="97"/>
      <c r="E42" s="96"/>
      <c r="F42" s="98"/>
      <c r="G42" s="99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1"/>
      <c r="AF42" s="101"/>
      <c r="AG42" s="100"/>
      <c r="AH42" s="100"/>
      <c r="AI42" s="100"/>
      <c r="AJ42" s="100"/>
      <c r="AK42" s="100"/>
      <c r="AL42" s="100"/>
      <c r="AM42" s="100"/>
      <c r="AN42" s="100"/>
      <c r="AO42" s="100"/>
      <c r="AP42" s="100"/>
      <c r="AQ42" s="100"/>
      <c r="AR42" s="100"/>
      <c r="AS42" s="96"/>
      <c r="AT42" s="612"/>
      <c r="AU42" s="612"/>
      <c r="AV42" s="612"/>
      <c r="AW42" s="96"/>
      <c r="AX42" s="96"/>
      <c r="AY42" s="100"/>
      <c r="AZ42" s="100"/>
      <c r="BA42" s="100"/>
      <c r="BB42" s="100"/>
      <c r="BC42" s="100"/>
      <c r="BD42" s="100"/>
      <c r="BE42" s="100"/>
      <c r="BK42" s="20"/>
      <c r="BL42" s="20"/>
      <c r="BM42" s="20"/>
    </row>
    <row r="43" spans="1:114">
      <c r="A43" s="100"/>
      <c r="B43" s="100"/>
      <c r="C43" s="100"/>
      <c r="D43" s="102"/>
      <c r="E43" s="100"/>
      <c r="F43" s="100"/>
      <c r="G43" s="96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1"/>
      <c r="AF43" s="101"/>
      <c r="AG43" s="100"/>
      <c r="AH43" s="100"/>
      <c r="AI43" s="100"/>
      <c r="AJ43" s="100"/>
      <c r="AK43" s="100"/>
      <c r="AL43" s="100"/>
      <c r="AM43" s="100"/>
      <c r="AN43" s="100"/>
      <c r="AO43" s="100"/>
      <c r="AP43" s="100"/>
      <c r="AQ43" s="100"/>
      <c r="AR43" s="100"/>
      <c r="AS43" s="96" t="s">
        <v>60</v>
      </c>
      <c r="AT43" s="103">
        <f>AT40/BE43</f>
        <v>110</v>
      </c>
      <c r="AU43" s="104"/>
      <c r="AV43" s="96"/>
      <c r="AW43" s="96" t="s">
        <v>61</v>
      </c>
      <c r="AX43" s="96"/>
      <c r="AY43" s="100"/>
      <c r="AZ43" s="100"/>
      <c r="BA43" s="100"/>
      <c r="BB43" s="100"/>
      <c r="BC43" s="100"/>
      <c r="BD43" s="105" t="s">
        <v>62</v>
      </c>
      <c r="BE43" s="100">
        <v>30</v>
      </c>
    </row>
    <row r="44" spans="1:114" ht="12" customHeight="1">
      <c r="A44" s="100"/>
      <c r="B44" s="100"/>
      <c r="C44" s="100"/>
      <c r="D44" s="102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100"/>
      <c r="AG44" s="100"/>
      <c r="AH44" s="100"/>
      <c r="AI44" s="100"/>
      <c r="AJ44" s="100"/>
      <c r="AK44" s="100"/>
      <c r="AL44" s="100"/>
      <c r="AM44" s="100"/>
      <c r="AN44" s="100"/>
      <c r="AO44" s="100"/>
      <c r="AP44" s="100"/>
      <c r="AQ44" s="100"/>
      <c r="AR44" s="100"/>
      <c r="AS44" s="100"/>
      <c r="AT44" s="100"/>
      <c r="AU44" s="100"/>
      <c r="AV44" s="100"/>
      <c r="AW44" s="100"/>
      <c r="AX44" s="100"/>
      <c r="AY44" s="100"/>
      <c r="AZ44" s="100"/>
      <c r="BA44" s="100"/>
      <c r="BB44" s="100"/>
      <c r="BC44" s="100"/>
      <c r="BD44" s="96"/>
      <c r="BE44" s="96"/>
    </row>
    <row r="45" spans="1:114" ht="13.5" thickBot="1">
      <c r="A45" s="100"/>
      <c r="B45" s="100"/>
      <c r="C45" s="100"/>
      <c r="D45" s="102"/>
      <c r="E45" s="100"/>
      <c r="F45" s="100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101"/>
      <c r="AE45" s="101"/>
      <c r="AF45" s="101"/>
      <c r="AG45" s="100"/>
      <c r="AH45" s="100"/>
      <c r="AI45" s="100"/>
      <c r="AJ45" s="100"/>
      <c r="AK45" s="100"/>
      <c r="AL45" s="100"/>
      <c r="AM45" s="106" t="s">
        <v>63</v>
      </c>
      <c r="AN45" s="106"/>
      <c r="AO45" s="106"/>
      <c r="AP45" s="106"/>
      <c r="AQ45" s="106"/>
      <c r="AR45" s="106"/>
      <c r="AS45" s="107" t="s">
        <v>64</v>
      </c>
      <c r="AT45" s="108">
        <v>29</v>
      </c>
      <c r="AU45" s="108"/>
      <c r="AV45" s="100"/>
      <c r="AW45" s="100"/>
      <c r="AX45" s="100"/>
      <c r="AY45" s="100"/>
      <c r="AZ45" s="100"/>
      <c r="BA45" s="100"/>
      <c r="BB45" s="100"/>
      <c r="BC45" s="100"/>
      <c r="BD45" s="96"/>
      <c r="BE45" s="96"/>
      <c r="BS45" s="1"/>
      <c r="CR45">
        <v>6575.9759999999997</v>
      </c>
    </row>
    <row r="46" spans="1:114" ht="12.75" customHeight="1" thickBot="1">
      <c r="A46" s="100"/>
      <c r="B46" s="100"/>
      <c r="C46" s="109" t="s">
        <v>65</v>
      </c>
      <c r="D46" s="102"/>
      <c r="E46" s="100"/>
      <c r="F46" s="100"/>
      <c r="G46" s="100"/>
      <c r="H46" s="100"/>
      <c r="I46" s="100"/>
      <c r="J46" s="100"/>
      <c r="K46" s="100"/>
      <c r="L46" s="110">
        <f>AT38/AD38</f>
        <v>33.244491525423733</v>
      </c>
      <c r="M46" s="109" t="s">
        <v>88</v>
      </c>
      <c r="N46" s="606"/>
      <c r="O46" s="606"/>
      <c r="P46" s="111"/>
      <c r="Q46" s="100"/>
      <c r="R46" s="100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101"/>
      <c r="AE46" s="101"/>
      <c r="AF46" s="101"/>
      <c r="AG46" s="100"/>
      <c r="AH46" s="100"/>
      <c r="AI46" s="100"/>
      <c r="AJ46" s="100"/>
      <c r="AK46" s="100"/>
      <c r="AL46" s="100"/>
      <c r="AM46" s="100"/>
      <c r="AN46" s="100"/>
      <c r="AO46" s="106"/>
      <c r="AP46" s="106"/>
      <c r="AQ46" s="106"/>
      <c r="AR46" s="106"/>
      <c r="AS46" s="107" t="s">
        <v>66</v>
      </c>
      <c r="AT46" s="112">
        <f>AT40/AT45</f>
        <v>113.79310344827586</v>
      </c>
      <c r="AU46" s="112"/>
      <c r="AV46" s="100"/>
      <c r="AW46" s="100"/>
      <c r="AX46" s="100">
        <v>0</v>
      </c>
      <c r="AY46" s="100"/>
      <c r="AZ46" s="607" t="s">
        <v>67</v>
      </c>
      <c r="BA46" s="607"/>
      <c r="BB46" s="607"/>
      <c r="BC46" s="607"/>
      <c r="BD46" s="607"/>
      <c r="BE46" s="607"/>
    </row>
    <row r="47" spans="1:114">
      <c r="A47" s="100"/>
      <c r="B47" s="100"/>
      <c r="C47" s="100"/>
      <c r="D47" s="102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100"/>
      <c r="AI47" s="100"/>
      <c r="AJ47" s="100"/>
      <c r="AK47" s="100"/>
      <c r="AL47" s="100"/>
      <c r="AM47" s="100"/>
      <c r="AN47" s="100"/>
      <c r="AO47" s="100"/>
      <c r="AP47" s="100"/>
      <c r="AQ47" s="100"/>
      <c r="AR47" s="100"/>
      <c r="AS47" s="100"/>
      <c r="AT47" s="100"/>
      <c r="AU47" s="100"/>
      <c r="AV47" s="100"/>
      <c r="AW47" s="100"/>
      <c r="AX47" s="100"/>
      <c r="AY47" s="100"/>
      <c r="AZ47" s="607"/>
      <c r="BA47" s="607"/>
      <c r="BB47" s="607"/>
      <c r="BC47" s="607"/>
      <c r="BD47" s="607"/>
      <c r="BE47" s="607"/>
    </row>
    <row r="48" spans="1:114">
      <c r="A48" s="100"/>
      <c r="B48" s="100"/>
      <c r="C48" s="100"/>
      <c r="D48" s="102"/>
      <c r="E48" s="100"/>
      <c r="F48" s="100"/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13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  <c r="AE48" s="100"/>
      <c r="AF48" s="100"/>
      <c r="AG48" s="100"/>
      <c r="AH48" s="100"/>
      <c r="AI48" s="100"/>
      <c r="AJ48" s="100"/>
      <c r="AK48" s="100"/>
      <c r="AL48" s="100"/>
      <c r="AM48" s="100"/>
      <c r="AN48" s="100"/>
      <c r="AO48" s="100"/>
      <c r="AP48" s="100"/>
      <c r="AQ48" s="100"/>
      <c r="AR48" s="100"/>
      <c r="AS48" s="100"/>
      <c r="AT48" s="100"/>
      <c r="AU48" s="100"/>
      <c r="AV48" s="100"/>
      <c r="AW48" s="100"/>
      <c r="AX48" s="100"/>
      <c r="AY48" s="100"/>
      <c r="AZ48" s="608">
        <f>BF37-BJ37</f>
        <v>-323.30999999999949</v>
      </c>
      <c r="BA48" s="608"/>
      <c r="BB48" s="608"/>
      <c r="BC48" s="608"/>
      <c r="BD48" s="609" t="s">
        <v>68</v>
      </c>
      <c r="BE48" s="114"/>
    </row>
    <row r="49" spans="1:57" ht="12" customHeight="1">
      <c r="A49" s="100"/>
      <c r="B49" s="100"/>
      <c r="C49" s="100"/>
      <c r="D49" s="102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15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100"/>
      <c r="AI49" s="100"/>
      <c r="AJ49" s="100"/>
      <c r="AK49" s="100"/>
      <c r="AL49" s="100"/>
      <c r="AM49" s="100"/>
      <c r="AN49" s="100"/>
      <c r="AO49" s="100"/>
      <c r="AP49" s="100"/>
      <c r="AQ49" s="100"/>
      <c r="AR49" s="100"/>
      <c r="AS49" s="100"/>
      <c r="AT49" s="100"/>
      <c r="AU49" s="100"/>
      <c r="AV49" s="100"/>
      <c r="AW49" s="100"/>
      <c r="AX49" s="100"/>
      <c r="AY49" s="100"/>
      <c r="AZ49" s="608"/>
      <c r="BA49" s="608"/>
      <c r="BB49" s="608"/>
      <c r="BC49" s="608"/>
      <c r="BD49" s="609"/>
      <c r="BE49" s="114"/>
    </row>
    <row r="50" spans="1:57" ht="13.5" customHeight="1">
      <c r="A50" s="100"/>
      <c r="B50" s="100"/>
      <c r="C50" s="100"/>
      <c r="D50" s="102"/>
      <c r="E50" s="100"/>
      <c r="F50" s="100"/>
      <c r="G50" s="100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100"/>
      <c r="AC50" s="100"/>
      <c r="AD50" s="100"/>
      <c r="AE50" s="100"/>
      <c r="AF50" s="100"/>
      <c r="AG50" s="100"/>
      <c r="AH50" s="100"/>
      <c r="AI50" s="100"/>
      <c r="AJ50" s="100"/>
      <c r="AK50" s="100"/>
      <c r="AL50" s="100"/>
      <c r="AM50" s="100"/>
      <c r="AN50" s="100"/>
      <c r="AO50" s="100"/>
      <c r="AP50" s="100"/>
      <c r="AQ50" s="100"/>
      <c r="AR50" s="100"/>
      <c r="AS50" s="100"/>
      <c r="AT50" s="100"/>
      <c r="AU50" s="100"/>
      <c r="AV50" s="100"/>
      <c r="AW50" s="100"/>
      <c r="AX50" s="100"/>
      <c r="AY50" s="100"/>
      <c r="AZ50" s="116"/>
      <c r="BA50" s="96"/>
      <c r="BB50" s="96"/>
      <c r="BC50" s="96"/>
      <c r="BD50" s="96"/>
      <c r="BE50" s="114"/>
    </row>
    <row r="51" spans="1:57" ht="13.5" customHeight="1" thickBot="1">
      <c r="A51" s="100"/>
      <c r="B51" s="100"/>
      <c r="C51" s="100"/>
      <c r="D51" s="102"/>
      <c r="E51" s="100"/>
      <c r="F51" s="100"/>
      <c r="G51" s="100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0"/>
      <c r="AC51" s="100"/>
      <c r="AD51" s="100"/>
      <c r="AE51" s="100"/>
      <c r="AF51" s="100"/>
      <c r="AG51" s="100"/>
      <c r="AH51" s="100"/>
      <c r="AI51" s="100"/>
      <c r="AJ51" s="100"/>
      <c r="AK51" s="100"/>
      <c r="AL51" s="100"/>
      <c r="AM51" s="100"/>
      <c r="AN51" s="100"/>
      <c r="AO51" s="100"/>
      <c r="AP51" s="100"/>
      <c r="AQ51" s="100"/>
      <c r="AR51" s="100"/>
      <c r="AS51" s="100"/>
      <c r="AT51" s="100"/>
      <c r="AU51" s="100"/>
      <c r="AV51" s="100"/>
      <c r="AW51" s="100"/>
      <c r="AX51" s="100"/>
      <c r="AY51" s="100"/>
      <c r="AZ51" s="610">
        <f>AZ48/AT40*100</f>
        <v>-9.7972727272727109</v>
      </c>
      <c r="BA51" s="610"/>
      <c r="BB51" s="610"/>
      <c r="BC51" s="610"/>
      <c r="BD51" s="611" t="s">
        <v>69</v>
      </c>
      <c r="BE51" s="114"/>
    </row>
    <row r="52" spans="1:57" ht="13.5" thickBot="1">
      <c r="A52" s="100"/>
      <c r="B52" s="100"/>
      <c r="C52" s="100"/>
      <c r="D52" s="102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  <c r="AF52" s="100"/>
      <c r="AG52" s="100"/>
      <c r="AH52" s="100"/>
      <c r="AI52" s="100"/>
      <c r="AJ52" s="100"/>
      <c r="AK52" s="100"/>
      <c r="AL52" s="100"/>
      <c r="AM52" s="100"/>
      <c r="AN52" s="100"/>
      <c r="AO52" s="100"/>
      <c r="AP52" s="100"/>
      <c r="AQ52" s="100"/>
      <c r="AR52" s="100"/>
      <c r="AS52" s="100"/>
      <c r="AT52" s="100"/>
      <c r="AU52" s="100"/>
      <c r="AV52" s="100"/>
      <c r="AW52" s="100"/>
      <c r="AX52" s="100"/>
      <c r="AY52" s="100"/>
      <c r="AZ52" s="610"/>
      <c r="BA52" s="610"/>
      <c r="BB52" s="610"/>
      <c r="BC52" s="610"/>
      <c r="BD52" s="611"/>
      <c r="BE52" s="117"/>
    </row>
    <row r="53" spans="1:57">
      <c r="A53" s="100"/>
      <c r="B53" s="100"/>
      <c r="C53" s="100"/>
      <c r="D53" s="102"/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100"/>
      <c r="AI53" s="100"/>
      <c r="AJ53" s="100"/>
      <c r="AK53" s="100"/>
      <c r="AL53" s="100"/>
      <c r="AM53" s="100"/>
      <c r="AN53" s="100"/>
      <c r="AO53" s="100"/>
      <c r="AP53" s="100"/>
      <c r="AQ53" s="100"/>
      <c r="AR53" s="100"/>
      <c r="AS53" s="100"/>
      <c r="AT53" s="100"/>
      <c r="AU53" s="100"/>
      <c r="AV53" s="100"/>
      <c r="AW53" s="100"/>
      <c r="AX53" s="100"/>
      <c r="AY53" s="100"/>
      <c r="AZ53" s="100"/>
      <c r="BA53" s="100"/>
      <c r="BB53" s="100"/>
      <c r="BC53" s="100"/>
      <c r="BD53" s="100"/>
      <c r="BE53" s="100"/>
    </row>
    <row r="54" spans="1:57">
      <c r="A54" s="100"/>
      <c r="B54" s="100"/>
      <c r="C54" s="100"/>
      <c r="D54" s="102"/>
      <c r="E54" s="100"/>
      <c r="F54" s="100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100"/>
      <c r="AI54" s="100"/>
      <c r="AJ54" s="100"/>
      <c r="AK54" s="100"/>
      <c r="AL54" s="100"/>
      <c r="AM54" s="100"/>
      <c r="AN54" s="100"/>
      <c r="AO54" s="100"/>
      <c r="AP54" s="100"/>
      <c r="AQ54" s="100"/>
      <c r="AR54" s="100"/>
      <c r="AS54" s="100"/>
      <c r="AT54" s="100"/>
      <c r="AU54" s="100"/>
      <c r="AV54" s="100"/>
      <c r="AW54" s="100"/>
      <c r="AX54" s="100"/>
      <c r="AY54" s="100"/>
      <c r="AZ54" s="100"/>
      <c r="BA54" s="100"/>
      <c r="BB54" s="100"/>
      <c r="BC54" s="100"/>
      <c r="BD54" s="100"/>
      <c r="BE54" s="100"/>
    </row>
    <row r="55" spans="1:57">
      <c r="A55" s="100"/>
      <c r="B55" s="100"/>
      <c r="C55" s="100"/>
      <c r="D55" s="102"/>
      <c r="E55" s="100"/>
      <c r="F55" s="100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  <c r="AH55" s="100"/>
      <c r="AI55" s="100"/>
      <c r="AJ55" s="100"/>
      <c r="AK55" s="100"/>
      <c r="AL55" s="100"/>
      <c r="AM55" s="100"/>
      <c r="AN55" s="100"/>
      <c r="AO55" s="100"/>
      <c r="AP55" s="100"/>
      <c r="AQ55" s="100"/>
      <c r="AR55" s="100"/>
      <c r="AS55" s="100"/>
      <c r="AT55" s="100"/>
      <c r="AU55" s="100"/>
      <c r="AV55" s="100"/>
      <c r="AW55" s="100"/>
      <c r="AX55" s="100"/>
      <c r="AY55" s="100"/>
      <c r="AZ55" s="100"/>
      <c r="BA55" s="100"/>
      <c r="BB55" s="100"/>
      <c r="BC55" s="100"/>
      <c r="BD55" s="100"/>
      <c r="BE55" s="100"/>
    </row>
    <row r="56" spans="1:57">
      <c r="A56" s="100"/>
      <c r="B56" s="100"/>
      <c r="C56" s="100"/>
      <c r="D56" s="102"/>
      <c r="E56" s="100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/>
      <c r="AE56" s="100"/>
      <c r="AF56" s="100"/>
      <c r="AG56" s="100"/>
      <c r="AH56" s="100"/>
      <c r="AI56" s="100"/>
      <c r="AJ56" s="100"/>
      <c r="AK56" s="100"/>
      <c r="AL56" s="100"/>
      <c r="AM56" s="100"/>
      <c r="AN56" s="100"/>
      <c r="AO56" s="100"/>
      <c r="AP56" s="100"/>
      <c r="AQ56" s="100"/>
      <c r="AR56" s="100"/>
      <c r="AS56" s="100"/>
      <c r="AT56" s="100"/>
      <c r="AU56" s="100"/>
      <c r="AV56" s="100"/>
      <c r="AW56" s="100"/>
      <c r="AX56" s="100"/>
      <c r="AY56" s="100"/>
      <c r="AZ56" s="100"/>
      <c r="BA56" s="100"/>
      <c r="BB56" s="100"/>
      <c r="BC56" s="100"/>
      <c r="BD56" s="100"/>
      <c r="BE56" s="100"/>
    </row>
    <row r="57" spans="1:57">
      <c r="A57" s="100"/>
      <c r="B57" s="100"/>
      <c r="C57" s="100"/>
      <c r="D57" s="102"/>
      <c r="E57" s="100"/>
      <c r="F57" s="100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100"/>
      <c r="AI57" s="100"/>
      <c r="AJ57" s="100"/>
      <c r="AK57" s="100"/>
      <c r="AL57" s="100"/>
      <c r="AM57" s="100"/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X57" s="100"/>
      <c r="AY57" s="100"/>
      <c r="AZ57" s="100"/>
      <c r="BA57" s="100"/>
      <c r="BB57" s="100"/>
      <c r="BC57" s="100"/>
      <c r="BD57" s="100"/>
      <c r="BE57" s="100"/>
    </row>
    <row r="58" spans="1:57">
      <c r="A58" s="100"/>
      <c r="B58" s="100"/>
      <c r="C58" s="100"/>
      <c r="D58" s="102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  <c r="AA58" s="100"/>
      <c r="AB58" s="100"/>
      <c r="AC58" s="100"/>
      <c r="AD58" s="100"/>
      <c r="AE58" s="100"/>
      <c r="AF58" s="100"/>
      <c r="AG58" s="100"/>
      <c r="AH58" s="100"/>
      <c r="AI58" s="100"/>
      <c r="AJ58" s="100"/>
      <c r="AK58" s="100"/>
      <c r="AL58" s="100"/>
      <c r="AM58" s="100"/>
      <c r="AN58" s="100"/>
      <c r="AO58" s="100"/>
      <c r="AP58" s="100"/>
      <c r="AQ58" s="100"/>
      <c r="AR58" s="100"/>
      <c r="AS58" s="100"/>
      <c r="AT58" s="100"/>
      <c r="AU58" s="100"/>
      <c r="AV58" s="100"/>
      <c r="AW58" s="100"/>
      <c r="AX58" s="100"/>
      <c r="AY58" s="100"/>
      <c r="AZ58" s="100"/>
      <c r="BA58" s="100"/>
      <c r="BB58" s="100"/>
      <c r="BC58" s="100"/>
      <c r="BD58" s="100"/>
      <c r="BE58" s="100"/>
    </row>
    <row r="59" spans="1:57">
      <c r="A59" s="100"/>
      <c r="B59" s="100"/>
      <c r="C59" s="100"/>
      <c r="D59" s="102"/>
      <c r="E59" s="100"/>
      <c r="F59" s="100"/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  <c r="AE59" s="100"/>
      <c r="AF59" s="100"/>
      <c r="AG59" s="100"/>
      <c r="AH59" s="100"/>
      <c r="AI59" s="100"/>
      <c r="AJ59" s="100"/>
      <c r="AK59" s="100"/>
      <c r="AL59" s="100"/>
      <c r="AM59" s="100"/>
      <c r="AN59" s="100"/>
      <c r="AO59" s="100"/>
      <c r="AP59" s="100"/>
      <c r="AQ59" s="100"/>
      <c r="AR59" s="100"/>
      <c r="AS59" s="100"/>
      <c r="AT59" s="100"/>
      <c r="AU59" s="100"/>
      <c r="AV59" s="100"/>
      <c r="AW59" s="100"/>
      <c r="AX59" s="100"/>
      <c r="AY59" s="100"/>
      <c r="AZ59" s="100"/>
      <c r="BA59" s="100"/>
      <c r="BB59" s="100"/>
      <c r="BC59" s="100"/>
      <c r="BD59" s="100"/>
      <c r="BE59" s="100"/>
    </row>
    <row r="60" spans="1:57">
      <c r="A60" s="100"/>
      <c r="B60" s="100"/>
      <c r="C60" s="100"/>
      <c r="D60" s="102"/>
      <c r="E60" s="100"/>
      <c r="F60" s="100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  <c r="AE60" s="100"/>
      <c r="AF60" s="100"/>
      <c r="AG60" s="100"/>
      <c r="AH60" s="100"/>
      <c r="AI60" s="100"/>
      <c r="AJ60" s="100"/>
      <c r="AK60" s="100"/>
      <c r="AL60" s="100"/>
      <c r="AM60" s="100"/>
      <c r="AN60" s="100"/>
      <c r="AO60" s="100"/>
      <c r="AP60" s="100"/>
      <c r="AQ60" s="100"/>
      <c r="AR60" s="100"/>
      <c r="AS60" s="100"/>
      <c r="AT60" s="100"/>
      <c r="AU60" s="100"/>
      <c r="AV60" s="100"/>
      <c r="AW60" s="100"/>
      <c r="AX60" s="100"/>
      <c r="AY60" s="100"/>
      <c r="AZ60" s="100"/>
      <c r="BA60" s="100"/>
      <c r="BB60" s="100"/>
      <c r="BC60" s="100"/>
      <c r="BD60" s="100"/>
      <c r="BE60" s="100"/>
    </row>
    <row r="61" spans="1:57">
      <c r="A61" s="100"/>
      <c r="B61" s="100"/>
      <c r="C61" s="100"/>
      <c r="D61" s="102"/>
      <c r="E61" s="100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/>
      <c r="AE61" s="100"/>
      <c r="AF61" s="100"/>
      <c r="AG61" s="100"/>
      <c r="AH61" s="100"/>
      <c r="AI61" s="100"/>
      <c r="AJ61" s="100"/>
      <c r="AK61" s="100"/>
      <c r="AL61" s="100"/>
      <c r="AM61" s="100"/>
      <c r="AN61" s="100"/>
      <c r="AO61" s="100"/>
      <c r="AP61" s="100"/>
      <c r="AQ61" s="100"/>
      <c r="AR61" s="100"/>
      <c r="AS61" s="100"/>
      <c r="AT61" s="100"/>
      <c r="AU61" s="100"/>
      <c r="AV61" s="100"/>
      <c r="AW61" s="100"/>
      <c r="AX61" s="100"/>
      <c r="AY61" s="100"/>
      <c r="AZ61" s="100"/>
      <c r="BA61" s="100"/>
      <c r="BB61" s="100"/>
      <c r="BC61" s="100"/>
      <c r="BD61" s="100"/>
      <c r="BE61" s="100"/>
    </row>
    <row r="62" spans="1:57">
      <c r="A62" s="100"/>
      <c r="B62" s="100"/>
      <c r="C62" s="100"/>
      <c r="D62" s="102"/>
      <c r="E62" s="100"/>
      <c r="F62" s="100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100"/>
      <c r="AC62" s="100"/>
      <c r="AD62" s="100"/>
      <c r="AE62" s="100"/>
      <c r="AF62" s="100"/>
      <c r="AG62" s="100"/>
      <c r="AH62" s="100"/>
      <c r="AI62" s="100"/>
      <c r="AJ62" s="100"/>
      <c r="AK62" s="100"/>
      <c r="AL62" s="100"/>
      <c r="AM62" s="100"/>
      <c r="AN62" s="100"/>
      <c r="AO62" s="100"/>
      <c r="AP62" s="100"/>
      <c r="AQ62" s="100"/>
      <c r="AR62" s="100"/>
      <c r="AS62" s="100"/>
      <c r="AT62" s="100"/>
      <c r="AU62" s="100"/>
      <c r="AV62" s="100"/>
      <c r="AW62" s="100"/>
      <c r="AX62" s="100"/>
      <c r="AY62" s="100"/>
      <c r="AZ62" s="100"/>
      <c r="BA62" s="100"/>
      <c r="BB62" s="100"/>
      <c r="BC62" s="100"/>
      <c r="BD62" s="100"/>
      <c r="BE62" s="100"/>
    </row>
    <row r="63" spans="1:57">
      <c r="A63" s="100"/>
      <c r="B63" s="100"/>
      <c r="C63" s="100"/>
      <c r="D63" s="102"/>
      <c r="E63" s="100"/>
      <c r="F63" s="100"/>
      <c r="G63" s="100"/>
      <c r="H63" s="100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  <c r="AA63" s="100"/>
      <c r="AB63" s="100"/>
      <c r="AC63" s="100"/>
      <c r="AD63" s="100"/>
      <c r="AE63" s="100"/>
      <c r="AF63" s="100"/>
      <c r="AG63" s="100"/>
      <c r="AH63" s="100"/>
      <c r="AI63" s="100"/>
      <c r="AJ63" s="100"/>
      <c r="AK63" s="100"/>
      <c r="AL63" s="100"/>
      <c r="AM63" s="100"/>
      <c r="AN63" s="100"/>
      <c r="AO63" s="100"/>
      <c r="AP63" s="100"/>
      <c r="AQ63" s="100"/>
      <c r="AR63" s="100"/>
      <c r="AS63" s="100"/>
      <c r="AT63" s="100"/>
      <c r="AU63" s="100"/>
      <c r="AV63" s="100"/>
      <c r="AW63" s="100"/>
      <c r="AX63" s="100"/>
      <c r="AY63" s="100"/>
      <c r="AZ63" s="100"/>
      <c r="BA63" s="100"/>
      <c r="BB63" s="100"/>
      <c r="BC63" s="100"/>
      <c r="BD63" s="100"/>
      <c r="BE63" s="100"/>
    </row>
    <row r="64" spans="1:57">
      <c r="A64" s="100"/>
      <c r="B64" s="100"/>
      <c r="C64" s="100"/>
      <c r="D64" s="102"/>
      <c r="E64" s="100"/>
      <c r="F64" s="100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  <c r="AE64" s="100"/>
      <c r="AF64" s="100"/>
      <c r="AG64" s="100"/>
      <c r="AH64" s="100"/>
      <c r="AI64" s="100"/>
      <c r="AJ64" s="100"/>
      <c r="AK64" s="100"/>
      <c r="AL64" s="100"/>
      <c r="AM64" s="100"/>
      <c r="AN64" s="100"/>
      <c r="AO64" s="100"/>
      <c r="AP64" s="100"/>
      <c r="AQ64" s="100"/>
      <c r="AR64" s="100"/>
      <c r="AS64" s="100"/>
      <c r="AT64" s="100"/>
      <c r="AU64" s="100"/>
      <c r="AV64" s="100"/>
      <c r="AW64" s="100"/>
      <c r="AX64" s="100"/>
      <c r="AY64" s="100"/>
      <c r="AZ64" s="100"/>
      <c r="BA64" s="100"/>
      <c r="BB64" s="100"/>
      <c r="BC64" s="100"/>
      <c r="BD64" s="100"/>
      <c r="BE64" s="100"/>
    </row>
    <row r="65" spans="1:57">
      <c r="A65" s="100"/>
      <c r="B65" s="100"/>
      <c r="C65" s="100"/>
      <c r="D65" s="102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/>
      <c r="AE65" s="100"/>
      <c r="AF65" s="100"/>
      <c r="AG65" s="100"/>
      <c r="AH65" s="100"/>
      <c r="AI65" s="100"/>
      <c r="AJ65" s="100"/>
      <c r="AK65" s="100"/>
      <c r="AL65" s="100"/>
      <c r="AM65" s="100"/>
      <c r="AN65" s="100"/>
      <c r="AO65" s="100"/>
      <c r="AP65" s="100"/>
      <c r="AQ65" s="100"/>
      <c r="AR65" s="100"/>
      <c r="AS65" s="100"/>
      <c r="AT65" s="100"/>
      <c r="AU65" s="100"/>
      <c r="AV65" s="100"/>
      <c r="AW65" s="100"/>
      <c r="AX65" s="100"/>
      <c r="AY65" s="100"/>
      <c r="AZ65" s="100"/>
      <c r="BA65" s="100"/>
      <c r="BB65" s="100"/>
      <c r="BC65" s="100"/>
      <c r="BD65" s="100"/>
      <c r="BE65" s="100"/>
    </row>
    <row r="66" spans="1:57">
      <c r="A66" s="100"/>
      <c r="B66" s="100"/>
      <c r="C66" s="100"/>
      <c r="D66" s="102"/>
      <c r="E66" s="100"/>
      <c r="F66" s="100"/>
      <c r="G66" s="100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/>
      <c r="AE66" s="100"/>
      <c r="AF66" s="100"/>
      <c r="AG66" s="100"/>
      <c r="AH66" s="100"/>
      <c r="AI66" s="100"/>
      <c r="AJ66" s="100"/>
      <c r="AK66" s="100"/>
      <c r="AL66" s="100"/>
      <c r="AM66" s="100"/>
      <c r="AN66" s="100"/>
      <c r="AO66" s="100"/>
      <c r="AP66" s="100"/>
      <c r="AQ66" s="100"/>
      <c r="AR66" s="100"/>
      <c r="AS66" s="100"/>
      <c r="AT66" s="100"/>
      <c r="AU66" s="100"/>
      <c r="AV66" s="100"/>
      <c r="AW66" s="100"/>
      <c r="AX66" s="100"/>
      <c r="AY66" s="100"/>
      <c r="AZ66" s="100"/>
      <c r="BA66" s="100"/>
      <c r="BB66" s="100"/>
      <c r="BC66" s="100"/>
      <c r="BD66" s="100"/>
      <c r="BE66" s="100"/>
    </row>
    <row r="67" spans="1:57">
      <c r="A67" s="100"/>
      <c r="B67" s="100"/>
      <c r="C67" s="100"/>
      <c r="D67" s="102"/>
      <c r="E67" s="100"/>
      <c r="F67" s="100"/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  <c r="AD67" s="100"/>
      <c r="AE67" s="100"/>
      <c r="AF67" s="100"/>
      <c r="AG67" s="100"/>
      <c r="AH67" s="100"/>
      <c r="AI67" s="100"/>
      <c r="AJ67" s="100"/>
      <c r="AK67" s="100"/>
      <c r="AL67" s="100"/>
      <c r="AM67" s="100"/>
      <c r="AN67" s="100"/>
      <c r="AO67" s="100"/>
      <c r="AP67" s="100"/>
      <c r="AQ67" s="100"/>
      <c r="AR67" s="100"/>
      <c r="AS67" s="100"/>
      <c r="AT67" s="100"/>
      <c r="AU67" s="100"/>
      <c r="AV67" s="100"/>
      <c r="AW67" s="100"/>
      <c r="AX67" s="100"/>
      <c r="AY67" s="100"/>
      <c r="AZ67" s="100"/>
      <c r="BA67" s="100"/>
      <c r="BB67" s="100"/>
      <c r="BC67" s="100"/>
      <c r="BD67" s="100"/>
      <c r="BE67" s="100"/>
    </row>
    <row r="68" spans="1:57">
      <c r="A68" s="100"/>
      <c r="B68" s="100"/>
      <c r="C68" s="100"/>
      <c r="D68" s="102"/>
      <c r="E68" s="100"/>
      <c r="F68" s="100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  <c r="AI68" s="100"/>
      <c r="AJ68" s="100"/>
      <c r="AK68" s="100"/>
      <c r="AL68" s="100"/>
      <c r="AM68" s="100"/>
      <c r="AN68" s="100"/>
      <c r="AO68" s="100"/>
      <c r="AP68" s="100"/>
      <c r="AQ68" s="100"/>
      <c r="AR68" s="100"/>
      <c r="AS68" s="100"/>
      <c r="AT68" s="100"/>
      <c r="AU68" s="100"/>
      <c r="AV68" s="100"/>
      <c r="AW68" s="100"/>
      <c r="AX68" s="100"/>
      <c r="AY68" s="100"/>
      <c r="AZ68" s="100"/>
      <c r="BA68" s="100"/>
      <c r="BB68" s="100"/>
      <c r="BC68" s="100"/>
      <c r="BD68" s="100"/>
      <c r="BE68" s="100"/>
    </row>
    <row r="69" spans="1:57">
      <c r="A69" s="100"/>
      <c r="B69" s="100"/>
      <c r="C69" s="100"/>
      <c r="D69" s="102"/>
      <c r="E69" s="100"/>
      <c r="F69" s="100"/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100"/>
      <c r="AC69" s="100"/>
      <c r="AD69" s="100"/>
      <c r="AE69" s="100"/>
      <c r="AF69" s="100"/>
      <c r="AG69" s="100"/>
      <c r="AH69" s="100"/>
      <c r="AI69" s="100"/>
      <c r="AJ69" s="100"/>
      <c r="AK69" s="100"/>
      <c r="AL69" s="100"/>
      <c r="AM69" s="100"/>
      <c r="AN69" s="100"/>
      <c r="AO69" s="100"/>
      <c r="AP69" s="100"/>
      <c r="AQ69" s="100"/>
      <c r="AR69" s="100"/>
      <c r="AS69" s="100"/>
      <c r="AT69" s="100"/>
      <c r="AU69" s="100"/>
      <c r="AV69" s="100"/>
      <c r="AW69" s="100"/>
      <c r="AX69" s="100"/>
      <c r="AY69" s="100"/>
      <c r="AZ69" s="100"/>
      <c r="BA69" s="100"/>
      <c r="BB69" s="100"/>
      <c r="BC69" s="100"/>
      <c r="BD69" s="100"/>
      <c r="BE69" s="100"/>
    </row>
    <row r="70" spans="1:57">
      <c r="A70" s="100"/>
      <c r="B70" s="100"/>
      <c r="C70" s="100"/>
      <c r="D70" s="102"/>
      <c r="E70" s="100"/>
      <c r="F70" s="100"/>
      <c r="G70" s="100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  <c r="AE70" s="100"/>
      <c r="AF70" s="100"/>
      <c r="AG70" s="100"/>
      <c r="AH70" s="100"/>
      <c r="AI70" s="100"/>
      <c r="AJ70" s="100"/>
      <c r="AK70" s="100"/>
      <c r="AL70" s="100"/>
      <c r="AM70" s="100"/>
      <c r="AN70" s="100"/>
      <c r="AO70" s="100"/>
      <c r="AP70" s="100"/>
      <c r="AQ70" s="100"/>
      <c r="AR70" s="100"/>
      <c r="AS70" s="100"/>
      <c r="AT70" s="100"/>
      <c r="AU70" s="100"/>
      <c r="AV70" s="100"/>
      <c r="AW70" s="100"/>
      <c r="AX70" s="100"/>
      <c r="AY70" s="100"/>
      <c r="AZ70" s="100"/>
      <c r="BA70" s="100"/>
      <c r="BB70" s="100"/>
      <c r="BC70" s="100"/>
      <c r="BD70" s="100"/>
      <c r="BE70" s="100"/>
    </row>
    <row r="71" spans="1:57" ht="18" customHeight="1">
      <c r="A71" s="318" t="s">
        <v>70</v>
      </c>
      <c r="B71" s="319"/>
      <c r="C71" s="318"/>
      <c r="D71" s="318"/>
      <c r="E71" s="318"/>
      <c r="F71" s="318"/>
      <c r="G71" s="318"/>
      <c r="H71" s="318"/>
      <c r="I71" s="318"/>
      <c r="J71" s="320"/>
      <c r="K71" s="320"/>
      <c r="L71" s="605" t="s">
        <v>327</v>
      </c>
      <c r="M71" s="605"/>
      <c r="N71" s="605"/>
      <c r="O71" s="605"/>
      <c r="P71" s="605"/>
      <c r="Q71" s="605"/>
      <c r="R71" s="109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/>
      <c r="AE71" s="100"/>
      <c r="AF71" s="100"/>
      <c r="AG71" s="100"/>
      <c r="AH71" s="100"/>
      <c r="AI71" s="100"/>
      <c r="AJ71" s="100"/>
      <c r="AK71" s="100"/>
      <c r="AL71" s="100"/>
      <c r="AM71" s="100"/>
      <c r="AN71" s="100"/>
      <c r="AO71" s="100"/>
      <c r="AP71" s="100"/>
      <c r="AQ71" s="100"/>
      <c r="AR71" s="100"/>
      <c r="AS71" s="100"/>
      <c r="AT71" s="100"/>
      <c r="AU71" s="100"/>
      <c r="AV71" s="100"/>
      <c r="AW71" s="100"/>
      <c r="AX71" s="100"/>
      <c r="AY71" s="100"/>
      <c r="AZ71" s="100"/>
      <c r="BA71" s="100"/>
      <c r="BB71" s="100"/>
      <c r="BC71" s="100"/>
      <c r="BD71" s="100"/>
      <c r="BE71" s="100"/>
    </row>
    <row r="72" spans="1:57" ht="15">
      <c r="A72" s="118"/>
      <c r="B72" s="118"/>
      <c r="C72" s="119"/>
      <c r="D72" s="120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  <c r="AE72" s="100"/>
      <c r="AF72" s="100"/>
      <c r="AG72" s="100"/>
      <c r="AH72" s="100"/>
      <c r="AI72" s="100"/>
      <c r="AJ72" s="100"/>
      <c r="AK72" s="100"/>
      <c r="AL72" s="100"/>
      <c r="AM72" s="100"/>
      <c r="AN72" s="100"/>
      <c r="AO72" s="100"/>
      <c r="AP72" s="100"/>
      <c r="AQ72" s="100"/>
      <c r="AR72" s="100"/>
      <c r="AS72" s="100"/>
      <c r="AT72" s="100"/>
      <c r="AU72" s="100"/>
      <c r="AV72" s="100"/>
      <c r="AW72" s="100"/>
      <c r="AX72" s="100"/>
      <c r="AY72" s="100"/>
      <c r="AZ72" s="100"/>
      <c r="BA72" s="100"/>
      <c r="BB72" s="100"/>
      <c r="BC72" s="100"/>
      <c r="BD72" s="100"/>
      <c r="BE72" s="100"/>
    </row>
    <row r="73" spans="1:57" ht="15.75">
      <c r="A73" s="100"/>
      <c r="B73" s="100"/>
      <c r="C73" s="100"/>
      <c r="D73" s="102"/>
      <c r="E73" s="100"/>
      <c r="F73" s="100"/>
      <c r="G73" s="100"/>
      <c r="H73" s="100"/>
      <c r="I73" s="100"/>
      <c r="J73" s="100"/>
      <c r="K73" s="100"/>
      <c r="L73" s="111"/>
      <c r="M73" s="111"/>
      <c r="N73" s="111"/>
      <c r="O73" s="111"/>
      <c r="P73" s="111"/>
      <c r="Q73" s="111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00"/>
      <c r="AK73" s="100"/>
      <c r="AL73" s="100"/>
      <c r="AM73" s="100"/>
      <c r="AN73" s="100"/>
      <c r="AO73" s="100"/>
      <c r="AP73" s="100"/>
      <c r="AQ73" s="100"/>
      <c r="AR73" s="100"/>
      <c r="AS73" s="100"/>
      <c r="AT73" s="100"/>
      <c r="AU73" s="100"/>
      <c r="AV73" s="100"/>
      <c r="AW73" s="100"/>
      <c r="AX73" s="100"/>
      <c r="AY73" s="100"/>
      <c r="AZ73" s="100"/>
      <c r="BA73" s="100"/>
      <c r="BB73" s="100"/>
      <c r="BC73" s="100"/>
      <c r="BD73" s="100"/>
      <c r="BE73" s="100"/>
    </row>
    <row r="74" spans="1:57">
      <c r="A74" s="100"/>
      <c r="B74" s="100"/>
      <c r="C74" s="100"/>
      <c r="D74" s="102"/>
      <c r="E74" s="100"/>
      <c r="F74" s="100"/>
      <c r="G74" s="100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00"/>
      <c r="AK74" s="100"/>
      <c r="AL74" s="100"/>
      <c r="AM74" s="100"/>
      <c r="AN74" s="100"/>
      <c r="AO74" s="100"/>
      <c r="AP74" s="100"/>
      <c r="AQ74" s="100"/>
      <c r="AR74" s="100"/>
      <c r="AS74" s="100"/>
      <c r="AT74" s="100"/>
      <c r="AU74" s="100"/>
      <c r="AV74" s="100"/>
      <c r="AW74" s="100"/>
      <c r="AX74" s="100"/>
      <c r="AY74" s="100"/>
      <c r="AZ74" s="100"/>
      <c r="BA74" s="100"/>
      <c r="BB74" s="100"/>
      <c r="BC74" s="100"/>
      <c r="BD74" s="100"/>
      <c r="BE74" s="100"/>
    </row>
    <row r="75" spans="1:57">
      <c r="A75" s="100"/>
      <c r="B75" s="100"/>
      <c r="C75" s="100"/>
      <c r="D75" s="102"/>
      <c r="E75" s="100"/>
      <c r="F75" s="100"/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  <c r="AD75" s="100"/>
      <c r="AE75" s="100"/>
      <c r="AF75" s="100"/>
      <c r="AG75" s="100"/>
      <c r="AH75" s="100"/>
      <c r="AI75" s="100"/>
      <c r="AJ75" s="100"/>
      <c r="AK75" s="100"/>
      <c r="AL75" s="100"/>
      <c r="AM75" s="100"/>
      <c r="AN75" s="100"/>
      <c r="AO75" s="100"/>
      <c r="AP75" s="100"/>
      <c r="AQ75" s="100"/>
      <c r="AR75" s="100"/>
      <c r="AS75" s="100"/>
      <c r="AT75" s="100"/>
      <c r="AU75" s="100"/>
      <c r="AV75" s="100"/>
      <c r="AW75" s="100"/>
      <c r="AX75" s="100"/>
      <c r="AY75" s="100"/>
      <c r="AZ75" s="100"/>
      <c r="BA75" s="100"/>
      <c r="BB75" s="100"/>
      <c r="BC75" s="100"/>
      <c r="BD75" s="100"/>
      <c r="BE75" s="100"/>
    </row>
    <row r="77" spans="1:57">
      <c r="AY77" t="s">
        <v>302</v>
      </c>
    </row>
  </sheetData>
  <sheetProtection selectLockedCells="1" selectUnlockedCells="1"/>
  <mergeCells count="78">
    <mergeCell ref="CO40:CU40"/>
    <mergeCell ref="L71:Q71"/>
    <mergeCell ref="N46:O46"/>
    <mergeCell ref="AZ46:BE47"/>
    <mergeCell ref="AZ48:BC49"/>
    <mergeCell ref="BD48:BD49"/>
    <mergeCell ref="AZ51:BC52"/>
    <mergeCell ref="BD51:BD52"/>
    <mergeCell ref="AT42:AV42"/>
    <mergeCell ref="AC3:AC6"/>
    <mergeCell ref="AD3:AD6"/>
    <mergeCell ref="DA5:DB5"/>
    <mergeCell ref="CO39:CP39"/>
    <mergeCell ref="CQ39:CU39"/>
    <mergeCell ref="CV39:CY39"/>
    <mergeCell ref="AX5:AX6"/>
    <mergeCell ref="AY5:AY6"/>
    <mergeCell ref="AJ3:AK6"/>
    <mergeCell ref="AL3:AL6"/>
    <mergeCell ref="AM3:AM6"/>
    <mergeCell ref="AN3:AN6"/>
    <mergeCell ref="AO3:AO6"/>
    <mergeCell ref="AP3:AP6"/>
    <mergeCell ref="AT5:AT6"/>
    <mergeCell ref="AW5:AW6"/>
    <mergeCell ref="Q4:Q6"/>
    <mergeCell ref="R4:R6"/>
    <mergeCell ref="S4:S6"/>
    <mergeCell ref="T4:T6"/>
    <mergeCell ref="U4:U6"/>
    <mergeCell ref="AA3:AA6"/>
    <mergeCell ref="AB3:AB6"/>
    <mergeCell ref="N4:N6"/>
    <mergeCell ref="O4:O6"/>
    <mergeCell ref="DD4:DH4"/>
    <mergeCell ref="AE5:AE6"/>
    <mergeCell ref="AF5:AF6"/>
    <mergeCell ref="AG5:AG6"/>
    <mergeCell ref="AH5:AH6"/>
    <mergeCell ref="CF3:CI5"/>
    <mergeCell ref="AQ3:AQ6"/>
    <mergeCell ref="AS3:AS6"/>
    <mergeCell ref="AT3:AY4"/>
    <mergeCell ref="AZ3:AZ6"/>
    <mergeCell ref="BA3:BB4"/>
    <mergeCell ref="BC3:BC6"/>
    <mergeCell ref="CJ3:CM5"/>
    <mergeCell ref="B4:B6"/>
    <mergeCell ref="C4:C6"/>
    <mergeCell ref="D4:D6"/>
    <mergeCell ref="E4:E6"/>
    <mergeCell ref="F4:F6"/>
    <mergeCell ref="G4:G6"/>
    <mergeCell ref="H4:H6"/>
    <mergeCell ref="I4:I6"/>
    <mergeCell ref="J4:J6"/>
    <mergeCell ref="BD3:BD6"/>
    <mergeCell ref="BE3:BE6"/>
    <mergeCell ref="BK3:BQ5"/>
    <mergeCell ref="BR3:BX5"/>
    <mergeCell ref="BY3:CE5"/>
    <mergeCell ref="K4:K6"/>
    <mergeCell ref="AE3:AF4"/>
    <mergeCell ref="AG3:AI4"/>
    <mergeCell ref="AI5:AI6"/>
    <mergeCell ref="AY2:BC2"/>
    <mergeCell ref="A3:A6"/>
    <mergeCell ref="B3:G3"/>
    <mergeCell ref="H3:P3"/>
    <mergeCell ref="Q3:U3"/>
    <mergeCell ref="V3:V6"/>
    <mergeCell ref="W3:W6"/>
    <mergeCell ref="X3:X6"/>
    <mergeCell ref="Y3:Y6"/>
    <mergeCell ref="Z3:Z6"/>
    <mergeCell ref="P4:P6"/>
    <mergeCell ref="L4:L6"/>
    <mergeCell ref="M4:M6"/>
  </mergeCells>
  <printOptions horizontalCentered="1" verticalCentered="1"/>
  <pageMargins left="0" right="0" top="0" bottom="0" header="0" footer="0"/>
  <pageSetup paperSize="9" scale="46" firstPageNumber="0" orientation="landscape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P77"/>
  <sheetViews>
    <sheetView showZeros="0" zoomScale="90" zoomScaleNormal="90" workbookViewId="0">
      <pane xSplit="1" ySplit="6" topLeftCell="CN28" activePane="bottomRight" state="frozen"/>
      <selection pane="topRight" activeCell="B1" sqref="B1"/>
      <selection pane="bottomLeft" activeCell="A7" sqref="A7"/>
      <selection pane="bottomRight" activeCell="CW38" sqref="CW38"/>
    </sheetView>
  </sheetViews>
  <sheetFormatPr defaultColWidth="8.7109375" defaultRowHeight="12.75"/>
  <cols>
    <col min="1" max="1" width="3.5703125" customWidth="1"/>
    <col min="2" max="2" width="9.7109375" customWidth="1"/>
    <col min="3" max="3" width="6" customWidth="1"/>
    <col min="4" max="4" width="12" style="1" hidden="1" customWidth="1"/>
    <col min="5" max="5" width="7.7109375" customWidth="1"/>
    <col min="6" max="6" width="7.5703125" customWidth="1"/>
    <col min="7" max="7" width="8" customWidth="1"/>
    <col min="8" max="8" width="7.28515625" customWidth="1"/>
    <col min="9" max="9" width="7.42578125" hidden="1" customWidth="1"/>
    <col min="10" max="10" width="9.140625" customWidth="1"/>
    <col min="11" max="11" width="5.5703125" hidden="1" customWidth="1"/>
    <col min="12" max="12" width="8.42578125" customWidth="1"/>
    <col min="13" max="13" width="7.42578125" customWidth="1"/>
    <col min="14" max="14" width="8.42578125" customWidth="1"/>
    <col min="15" max="15" width="7.28515625" customWidth="1"/>
    <col min="16" max="16" width="9.85546875" hidden="1" customWidth="1"/>
    <col min="17" max="17" width="9.28515625" customWidth="1"/>
    <col min="18" max="18" width="6" customWidth="1"/>
    <col min="19" max="19" width="6.7109375" customWidth="1"/>
    <col min="20" max="20" width="9.140625" hidden="1" customWidth="1"/>
    <col min="21" max="21" width="7.140625" customWidth="1"/>
    <col min="22" max="22" width="7.85546875" customWidth="1"/>
    <col min="23" max="23" width="8.28515625" customWidth="1"/>
    <col min="24" max="24" width="6" customWidth="1"/>
    <col min="25" max="25" width="5.42578125" customWidth="1"/>
    <col min="26" max="26" width="6.85546875" customWidth="1"/>
    <col min="27" max="27" width="6.5703125" customWidth="1"/>
    <col min="28" max="28" width="7.5703125" customWidth="1"/>
    <col min="29" max="29" width="6.5703125" customWidth="1"/>
    <col min="30" max="30" width="4.28515625" customWidth="1"/>
    <col min="31" max="32" width="6.85546875" customWidth="1"/>
    <col min="33" max="33" width="0" hidden="1" customWidth="1"/>
    <col min="34" max="34" width="8.42578125" customWidth="1"/>
    <col min="35" max="35" width="7" customWidth="1"/>
    <col min="36" max="36" width="7.85546875" customWidth="1"/>
    <col min="37" max="37" width="0" hidden="1" customWidth="1"/>
    <col min="38" max="38" width="6.7109375" customWidth="1"/>
    <col min="39" max="39" width="7.7109375" customWidth="1"/>
    <col min="40" max="40" width="7" customWidth="1"/>
    <col min="41" max="41" width="9.42578125" customWidth="1"/>
    <col min="42" max="42" width="6.28515625" customWidth="1"/>
    <col min="43" max="43" width="6.85546875" customWidth="1"/>
    <col min="44" max="44" width="0" hidden="1" customWidth="1"/>
    <col min="45" max="45" width="6.7109375" customWidth="1"/>
    <col min="46" max="46" width="9.7109375" customWidth="1"/>
    <col min="47" max="47" width="7" customWidth="1"/>
    <col min="48" max="48" width="0" hidden="1" customWidth="1"/>
    <col min="49" max="49" width="6.140625" hidden="1" customWidth="1"/>
    <col min="50" max="50" width="5.140625" hidden="1" customWidth="1"/>
    <col min="51" max="51" width="8.42578125" customWidth="1"/>
    <col min="52" max="52" width="10" customWidth="1"/>
    <col min="53" max="53" width="8.7109375" hidden="1" customWidth="1"/>
    <col min="54" max="54" width="3.85546875" hidden="1" customWidth="1"/>
    <col min="55" max="55" width="6.5703125" customWidth="1"/>
    <col min="56" max="56" width="6.140625" customWidth="1"/>
    <col min="57" max="57" width="6.7109375" customWidth="1"/>
    <col min="58" max="58" width="8.85546875" customWidth="1"/>
    <col min="59" max="59" width="7.85546875" customWidth="1"/>
    <col min="60" max="60" width="9.85546875" customWidth="1"/>
    <col min="61" max="62" width="8.7109375" customWidth="1"/>
    <col min="63" max="63" width="10.28515625" customWidth="1"/>
    <col min="64" max="64" width="10.85546875" customWidth="1"/>
    <col min="65" max="65" width="10.7109375" customWidth="1"/>
    <col min="66" max="66" width="11.28515625" customWidth="1"/>
    <col min="67" max="68" width="8.85546875" customWidth="1"/>
    <col min="69" max="69" width="11.28515625" customWidth="1"/>
    <col min="70" max="70" width="7.7109375" customWidth="1"/>
    <col min="71" max="71" width="10" customWidth="1"/>
    <col min="72" max="72" width="8.85546875" customWidth="1"/>
    <col min="73" max="73" width="10.140625" customWidth="1"/>
    <col min="74" max="75" width="8.85546875" customWidth="1"/>
    <col min="76" max="76" width="10.85546875" customWidth="1"/>
    <col min="77" max="78" width="8.7109375" customWidth="1"/>
    <col min="79" max="79" width="10" customWidth="1"/>
    <col min="80" max="80" width="10.42578125" customWidth="1"/>
    <col min="81" max="82" width="8.42578125" customWidth="1"/>
    <col min="83" max="83" width="9.85546875" customWidth="1"/>
    <col min="84" max="85" width="11.42578125" customWidth="1"/>
    <col min="86" max="86" width="11.140625" customWidth="1"/>
    <col min="87" max="87" width="11.28515625" customWidth="1"/>
    <col min="88" max="89" width="10" customWidth="1"/>
    <col min="90" max="90" width="8.7109375" customWidth="1"/>
    <col min="91" max="91" width="11.85546875" customWidth="1"/>
    <col min="92" max="92" width="8.7109375" customWidth="1"/>
    <col min="93" max="93" width="12.140625" customWidth="1"/>
    <col min="94" max="94" width="12.5703125" customWidth="1"/>
    <col min="95" max="95" width="11.7109375" customWidth="1"/>
    <col min="96" max="98" width="12.28515625" customWidth="1"/>
    <col min="99" max="99" width="13.28515625" customWidth="1"/>
    <col min="100" max="100" width="12.85546875" customWidth="1"/>
    <col min="101" max="101" width="13.42578125" customWidth="1"/>
    <col min="102" max="103" width="12.5703125" customWidth="1"/>
    <col min="104" max="104" width="9.5703125" customWidth="1"/>
    <col min="105" max="105" width="19.140625" customWidth="1"/>
    <col min="106" max="106" width="19.42578125" customWidth="1"/>
    <col min="111" max="111" width="8.7109375" hidden="1" customWidth="1"/>
    <col min="112" max="112" width="9" bestFit="1" customWidth="1"/>
    <col min="114" max="114" width="9.5703125" bestFit="1" customWidth="1"/>
  </cols>
  <sheetData>
    <row r="1" spans="1:120" ht="17.25" customHeight="1">
      <c r="A1" s="310" t="s">
        <v>0</v>
      </c>
      <c r="B1" s="310"/>
      <c r="C1" s="310"/>
      <c r="D1" s="311"/>
      <c r="E1" s="310"/>
      <c r="F1" s="310"/>
      <c r="G1" s="310"/>
      <c r="H1" s="310"/>
      <c r="I1" s="310"/>
      <c r="J1" s="310"/>
      <c r="K1" s="310"/>
      <c r="L1" s="310"/>
      <c r="M1" s="310"/>
      <c r="N1" s="310"/>
      <c r="O1" s="310"/>
      <c r="P1" s="77"/>
      <c r="Q1" s="77"/>
      <c r="R1" s="77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</row>
    <row r="2" spans="1:120" ht="19.5" customHeight="1" thickBot="1">
      <c r="A2" s="22"/>
      <c r="B2" s="78"/>
      <c r="C2" s="78"/>
      <c r="D2" s="79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80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80"/>
      <c r="AT2" s="312" t="s">
        <v>1</v>
      </c>
      <c r="AU2" s="313">
        <v>30</v>
      </c>
      <c r="AV2" s="314"/>
      <c r="AW2" s="314"/>
      <c r="AX2" s="315" t="s">
        <v>81</v>
      </c>
      <c r="AY2" s="556" t="s">
        <v>284</v>
      </c>
      <c r="AZ2" s="556"/>
      <c r="BA2" s="556"/>
      <c r="BB2" s="556"/>
      <c r="BC2" s="556"/>
      <c r="BD2" s="316" t="s">
        <v>107</v>
      </c>
      <c r="BE2" s="317"/>
    </row>
    <row r="3" spans="1:120" ht="39.75" customHeight="1" thickBot="1">
      <c r="A3" s="557" t="s">
        <v>3</v>
      </c>
      <c r="B3" s="558" t="s">
        <v>71</v>
      </c>
      <c r="C3" s="558"/>
      <c r="D3" s="558"/>
      <c r="E3" s="558"/>
      <c r="F3" s="558"/>
      <c r="G3" s="558"/>
      <c r="H3" s="554" t="s">
        <v>4</v>
      </c>
      <c r="I3" s="554"/>
      <c r="J3" s="554"/>
      <c r="K3" s="554"/>
      <c r="L3" s="554"/>
      <c r="M3" s="554"/>
      <c r="N3" s="554"/>
      <c r="O3" s="554"/>
      <c r="P3" s="559"/>
      <c r="Q3" s="560" t="s">
        <v>5</v>
      </c>
      <c r="R3" s="561"/>
      <c r="S3" s="561"/>
      <c r="T3" s="561"/>
      <c r="U3" s="562"/>
      <c r="V3" s="563" t="s">
        <v>6</v>
      </c>
      <c r="W3" s="563" t="s">
        <v>7</v>
      </c>
      <c r="X3" s="564" t="s">
        <v>8</v>
      </c>
      <c r="Y3" s="564" t="s">
        <v>9</v>
      </c>
      <c r="Z3" s="564" t="s">
        <v>10</v>
      </c>
      <c r="AA3" s="564" t="s">
        <v>11</v>
      </c>
      <c r="AB3" s="564" t="s">
        <v>12</v>
      </c>
      <c r="AC3" s="564" t="s">
        <v>13</v>
      </c>
      <c r="AD3" s="564" t="s">
        <v>14</v>
      </c>
      <c r="AE3" s="554" t="s">
        <v>15</v>
      </c>
      <c r="AF3" s="554"/>
      <c r="AG3" s="554" t="s">
        <v>16</v>
      </c>
      <c r="AH3" s="554"/>
      <c r="AI3" s="554"/>
      <c r="AJ3" s="593" t="s">
        <v>17</v>
      </c>
      <c r="AK3" s="593"/>
      <c r="AL3" s="564" t="s">
        <v>18</v>
      </c>
      <c r="AM3" s="599" t="s">
        <v>19</v>
      </c>
      <c r="AN3" s="600" t="s">
        <v>95</v>
      </c>
      <c r="AO3" s="603" t="s">
        <v>20</v>
      </c>
      <c r="AP3" s="564" t="s">
        <v>105</v>
      </c>
      <c r="AQ3" s="564" t="s">
        <v>21</v>
      </c>
      <c r="AR3" s="81"/>
      <c r="AS3" s="593" t="s">
        <v>22</v>
      </c>
      <c r="AT3" s="554" t="s">
        <v>23</v>
      </c>
      <c r="AU3" s="554"/>
      <c r="AV3" s="554"/>
      <c r="AW3" s="554"/>
      <c r="AX3" s="554"/>
      <c r="AY3" s="554"/>
      <c r="AZ3" s="564" t="s">
        <v>24</v>
      </c>
      <c r="BA3" s="594" t="s">
        <v>25</v>
      </c>
      <c r="BB3" s="594"/>
      <c r="BC3" s="564" t="s">
        <v>26</v>
      </c>
      <c r="BD3" s="564" t="s">
        <v>27</v>
      </c>
      <c r="BE3" s="572" t="s">
        <v>28</v>
      </c>
      <c r="BF3" s="3"/>
      <c r="BG3" s="3"/>
      <c r="BH3" s="3"/>
      <c r="BI3" s="3"/>
      <c r="BJ3" s="3"/>
      <c r="BK3" s="573" t="s">
        <v>29</v>
      </c>
      <c r="BL3" s="574"/>
      <c r="BM3" s="574"/>
      <c r="BN3" s="574"/>
      <c r="BO3" s="575"/>
      <c r="BP3" s="575"/>
      <c r="BQ3" s="576"/>
      <c r="BR3" s="573" t="s">
        <v>30</v>
      </c>
      <c r="BS3" s="585"/>
      <c r="BT3" s="585"/>
      <c r="BU3" s="585"/>
      <c r="BV3" s="585"/>
      <c r="BW3" s="585"/>
      <c r="BX3" s="586"/>
      <c r="BY3" s="566" t="s">
        <v>31</v>
      </c>
      <c r="BZ3" s="566"/>
      <c r="CA3" s="566"/>
      <c r="CB3" s="566"/>
      <c r="CC3" s="566"/>
      <c r="CD3" s="566"/>
      <c r="CE3" s="566"/>
      <c r="CF3" s="566" t="s">
        <v>87</v>
      </c>
      <c r="CG3" s="566"/>
      <c r="CH3" s="566"/>
      <c r="CI3" s="566"/>
      <c r="CJ3" s="566" t="s">
        <v>32</v>
      </c>
      <c r="CK3" s="566"/>
      <c r="CL3" s="566"/>
      <c r="CM3" s="566"/>
      <c r="CN3" s="4"/>
      <c r="CO3" s="5"/>
      <c r="CP3" s="6"/>
      <c r="CQ3" s="6"/>
    </row>
    <row r="4" spans="1:120" s="7" customFormat="1" ht="30.75" customHeight="1" thickBot="1">
      <c r="A4" s="557"/>
      <c r="B4" s="565" t="s">
        <v>72</v>
      </c>
      <c r="C4" s="613" t="s">
        <v>73</v>
      </c>
      <c r="D4" s="615" t="s">
        <v>33</v>
      </c>
      <c r="E4" s="613" t="s">
        <v>74</v>
      </c>
      <c r="F4" s="569" t="s">
        <v>75</v>
      </c>
      <c r="G4" s="569" t="s">
        <v>34</v>
      </c>
      <c r="H4" s="555" t="s">
        <v>76</v>
      </c>
      <c r="I4" s="570" t="s">
        <v>101</v>
      </c>
      <c r="J4" s="555" t="s">
        <v>89</v>
      </c>
      <c r="K4" s="565" t="s">
        <v>35</v>
      </c>
      <c r="L4" s="565" t="s">
        <v>77</v>
      </c>
      <c r="M4" s="565" t="s">
        <v>78</v>
      </c>
      <c r="N4" s="565" t="s">
        <v>101</v>
      </c>
      <c r="O4" s="565" t="s">
        <v>96</v>
      </c>
      <c r="P4" s="555" t="s">
        <v>79</v>
      </c>
      <c r="Q4" s="555" t="s">
        <v>36</v>
      </c>
      <c r="R4" s="555" t="s">
        <v>32</v>
      </c>
      <c r="S4" s="555" t="s">
        <v>37</v>
      </c>
      <c r="T4" s="555" t="s">
        <v>38</v>
      </c>
      <c r="U4" s="555" t="s">
        <v>39</v>
      </c>
      <c r="V4" s="563"/>
      <c r="W4" s="563"/>
      <c r="X4" s="564"/>
      <c r="Y4" s="564"/>
      <c r="Z4" s="564"/>
      <c r="AA4" s="564"/>
      <c r="AB4" s="564"/>
      <c r="AC4" s="564"/>
      <c r="AD4" s="564"/>
      <c r="AE4" s="554"/>
      <c r="AF4" s="554"/>
      <c r="AG4" s="554"/>
      <c r="AH4" s="554"/>
      <c r="AI4" s="554"/>
      <c r="AJ4" s="593"/>
      <c r="AK4" s="593"/>
      <c r="AL4" s="564"/>
      <c r="AM4" s="599"/>
      <c r="AN4" s="601"/>
      <c r="AO4" s="603"/>
      <c r="AP4" s="564"/>
      <c r="AQ4" s="564"/>
      <c r="AR4" s="82"/>
      <c r="AS4" s="593"/>
      <c r="AT4" s="554"/>
      <c r="AU4" s="554"/>
      <c r="AV4" s="554"/>
      <c r="AW4" s="554"/>
      <c r="AX4" s="554"/>
      <c r="AY4" s="554"/>
      <c r="AZ4" s="564"/>
      <c r="BA4" s="594"/>
      <c r="BB4" s="594"/>
      <c r="BC4" s="564"/>
      <c r="BD4" s="564"/>
      <c r="BE4" s="572"/>
      <c r="BF4" s="3"/>
      <c r="BG4" s="3"/>
      <c r="BH4" s="3"/>
      <c r="BI4" s="3"/>
      <c r="BJ4" s="3"/>
      <c r="BK4" s="577"/>
      <c r="BL4" s="578"/>
      <c r="BM4" s="578"/>
      <c r="BN4" s="578"/>
      <c r="BO4" s="579"/>
      <c r="BP4" s="579"/>
      <c r="BQ4" s="580"/>
      <c r="BR4" s="577"/>
      <c r="BS4" s="566"/>
      <c r="BT4" s="566"/>
      <c r="BU4" s="566"/>
      <c r="BV4" s="566"/>
      <c r="BW4" s="566"/>
      <c r="BX4" s="587"/>
      <c r="BY4" s="566"/>
      <c r="BZ4" s="566"/>
      <c r="CA4" s="566"/>
      <c r="CB4" s="566"/>
      <c r="CC4" s="566"/>
      <c r="CD4" s="566"/>
      <c r="CE4" s="566"/>
      <c r="CF4" s="566"/>
      <c r="CG4" s="566"/>
      <c r="CH4" s="566"/>
      <c r="CI4" s="566"/>
      <c r="CJ4" s="566"/>
      <c r="CK4" s="566"/>
      <c r="CL4" s="566"/>
      <c r="CM4" s="566"/>
      <c r="CN4" s="4"/>
      <c r="CO4" s="6"/>
      <c r="CP4" s="6"/>
      <c r="CQ4" s="262"/>
      <c r="CR4" s="231"/>
      <c r="CS4" s="231"/>
      <c r="CT4" s="231"/>
      <c r="CU4" s="231"/>
      <c r="CV4" s="231"/>
      <c r="CW4" s="231"/>
      <c r="CX4" s="231"/>
      <c r="CY4" s="231"/>
      <c r="DD4" s="590" t="s">
        <v>90</v>
      </c>
      <c r="DE4" s="591"/>
      <c r="DF4" s="591"/>
      <c r="DG4" s="591"/>
      <c r="DH4" s="592"/>
    </row>
    <row r="5" spans="1:120" s="7" customFormat="1" ht="8.25" hidden="1" customHeight="1">
      <c r="A5" s="557"/>
      <c r="B5" s="565"/>
      <c r="C5" s="614"/>
      <c r="D5" s="616"/>
      <c r="E5" s="614"/>
      <c r="F5" s="569"/>
      <c r="G5" s="569"/>
      <c r="H5" s="555"/>
      <c r="I5" s="570"/>
      <c r="J5" s="565"/>
      <c r="K5" s="565"/>
      <c r="L5" s="565"/>
      <c r="M5" s="565"/>
      <c r="N5" s="565"/>
      <c r="O5" s="565"/>
      <c r="P5" s="555"/>
      <c r="Q5" s="555"/>
      <c r="R5" s="555"/>
      <c r="S5" s="555"/>
      <c r="T5" s="555"/>
      <c r="U5" s="555"/>
      <c r="V5" s="563"/>
      <c r="W5" s="563"/>
      <c r="X5" s="564"/>
      <c r="Y5" s="564"/>
      <c r="Z5" s="564"/>
      <c r="AA5" s="564"/>
      <c r="AB5" s="564"/>
      <c r="AC5" s="564"/>
      <c r="AD5" s="564"/>
      <c r="AE5" s="555" t="s">
        <v>40</v>
      </c>
      <c r="AF5" s="555" t="s">
        <v>41</v>
      </c>
      <c r="AG5" s="555" t="s">
        <v>42</v>
      </c>
      <c r="AH5" s="555" t="s">
        <v>40</v>
      </c>
      <c r="AI5" s="555" t="s">
        <v>41</v>
      </c>
      <c r="AJ5" s="593"/>
      <c r="AK5" s="593"/>
      <c r="AL5" s="564"/>
      <c r="AM5" s="599"/>
      <c r="AN5" s="601"/>
      <c r="AO5" s="603"/>
      <c r="AP5" s="564"/>
      <c r="AQ5" s="564"/>
      <c r="AR5" s="83"/>
      <c r="AS5" s="593"/>
      <c r="AT5" s="555" t="s">
        <v>43</v>
      </c>
      <c r="AU5" s="84"/>
      <c r="AV5" s="85"/>
      <c r="AW5" s="598" t="s">
        <v>44</v>
      </c>
      <c r="AX5" s="598" t="s">
        <v>45</v>
      </c>
      <c r="AY5" s="555" t="s">
        <v>46</v>
      </c>
      <c r="AZ5" s="564"/>
      <c r="BA5" s="86" t="s">
        <v>47</v>
      </c>
      <c r="BB5" s="86" t="s">
        <v>48</v>
      </c>
      <c r="BC5" s="564"/>
      <c r="BD5" s="564"/>
      <c r="BE5" s="572"/>
      <c r="BF5" s="3"/>
      <c r="BG5" s="3"/>
      <c r="BH5" s="3"/>
      <c r="BI5" s="3"/>
      <c r="BJ5" s="3"/>
      <c r="BK5" s="581"/>
      <c r="BL5" s="582"/>
      <c r="BM5" s="582"/>
      <c r="BN5" s="582"/>
      <c r="BO5" s="583"/>
      <c r="BP5" s="583"/>
      <c r="BQ5" s="584"/>
      <c r="BR5" s="581"/>
      <c r="BS5" s="588"/>
      <c r="BT5" s="588"/>
      <c r="BU5" s="588"/>
      <c r="BV5" s="588"/>
      <c r="BW5" s="588"/>
      <c r="BX5" s="589"/>
      <c r="BY5" s="567"/>
      <c r="BZ5" s="566"/>
      <c r="CA5" s="566"/>
      <c r="CB5" s="566"/>
      <c r="CC5" s="566"/>
      <c r="CD5" s="566"/>
      <c r="CE5" s="566"/>
      <c r="CF5" s="567"/>
      <c r="CG5" s="567"/>
      <c r="CH5" s="567"/>
      <c r="CI5" s="567"/>
      <c r="CJ5" s="567"/>
      <c r="CK5" s="567"/>
      <c r="CL5" s="567"/>
      <c r="CM5" s="567"/>
      <c r="CN5" s="4"/>
      <c r="CO5"/>
      <c r="CP5"/>
      <c r="CQ5" s="255"/>
      <c r="CR5" s="256"/>
      <c r="CS5" s="256"/>
      <c r="CT5" s="256"/>
      <c r="CU5" s="256"/>
      <c r="CV5" s="257"/>
      <c r="CW5" s="257"/>
      <c r="CX5" s="257"/>
      <c r="CY5" s="258"/>
      <c r="DA5" s="595" t="s">
        <v>49</v>
      </c>
      <c r="DB5" s="595"/>
    </row>
    <row r="6" spans="1:120" s="7" customFormat="1" ht="106.5" customHeight="1" thickBot="1">
      <c r="A6" s="557"/>
      <c r="B6" s="565"/>
      <c r="C6" s="565"/>
      <c r="D6" s="568"/>
      <c r="E6" s="565"/>
      <c r="F6" s="569"/>
      <c r="G6" s="569"/>
      <c r="H6" s="555"/>
      <c r="I6" s="570"/>
      <c r="J6" s="571"/>
      <c r="K6" s="565"/>
      <c r="L6" s="565"/>
      <c r="M6" s="565"/>
      <c r="N6" s="565"/>
      <c r="O6" s="565"/>
      <c r="P6" s="565"/>
      <c r="Q6" s="565"/>
      <c r="R6" s="565"/>
      <c r="S6" s="565"/>
      <c r="T6" s="555"/>
      <c r="U6" s="555"/>
      <c r="V6" s="563"/>
      <c r="W6" s="563"/>
      <c r="X6" s="564"/>
      <c r="Y6" s="564"/>
      <c r="Z6" s="564"/>
      <c r="AA6" s="564"/>
      <c r="AB6" s="564"/>
      <c r="AC6" s="564"/>
      <c r="AD6" s="564"/>
      <c r="AE6" s="555"/>
      <c r="AF6" s="555"/>
      <c r="AG6" s="555"/>
      <c r="AH6" s="555"/>
      <c r="AI6" s="555"/>
      <c r="AJ6" s="593"/>
      <c r="AK6" s="593"/>
      <c r="AL6" s="564"/>
      <c r="AM6" s="599"/>
      <c r="AN6" s="602"/>
      <c r="AO6" s="603"/>
      <c r="AP6" s="564"/>
      <c r="AQ6" s="564"/>
      <c r="AR6" s="477"/>
      <c r="AS6" s="593"/>
      <c r="AT6" s="555"/>
      <c r="AU6" s="476" t="s">
        <v>50</v>
      </c>
      <c r="AV6" s="476" t="s">
        <v>51</v>
      </c>
      <c r="AW6" s="598"/>
      <c r="AX6" s="598"/>
      <c r="AY6" s="555"/>
      <c r="AZ6" s="555"/>
      <c r="BA6" s="87"/>
      <c r="BB6" s="88">
        <v>0.04</v>
      </c>
      <c r="BC6" s="564"/>
      <c r="BD6" s="564"/>
      <c r="BE6" s="572"/>
      <c r="BF6" s="8" t="s">
        <v>52</v>
      </c>
      <c r="BG6" s="8" t="s">
        <v>53</v>
      </c>
      <c r="BH6" s="8" t="s">
        <v>54</v>
      </c>
      <c r="BI6" s="3"/>
      <c r="BJ6" s="3"/>
      <c r="BK6" s="308" t="s">
        <v>100</v>
      </c>
      <c r="BL6" s="280" t="s">
        <v>82</v>
      </c>
      <c r="BM6" s="279" t="s">
        <v>262</v>
      </c>
      <c r="BN6" s="307" t="s">
        <v>102</v>
      </c>
      <c r="BO6" s="308" t="s">
        <v>97</v>
      </c>
      <c r="BP6" s="326" t="s">
        <v>99</v>
      </c>
      <c r="BQ6" s="306" t="s">
        <v>86</v>
      </c>
      <c r="BR6" s="308" t="s">
        <v>100</v>
      </c>
      <c r="BS6" s="280" t="s">
        <v>82</v>
      </c>
      <c r="BT6" s="279" t="s">
        <v>262</v>
      </c>
      <c r="BU6" s="327"/>
      <c r="BV6" s="308" t="s">
        <v>97</v>
      </c>
      <c r="BW6" s="326" t="s">
        <v>99</v>
      </c>
      <c r="BX6" s="306"/>
      <c r="BY6" s="308" t="s">
        <v>100</v>
      </c>
      <c r="BZ6" s="280" t="s">
        <v>82</v>
      </c>
      <c r="CA6" s="279" t="s">
        <v>262</v>
      </c>
      <c r="CB6" s="307" t="s">
        <v>102</v>
      </c>
      <c r="CC6" s="308" t="s">
        <v>97</v>
      </c>
      <c r="CD6" s="326" t="s">
        <v>99</v>
      </c>
      <c r="CE6" s="306" t="s">
        <v>86</v>
      </c>
      <c r="CF6" s="267" t="s">
        <v>106</v>
      </c>
      <c r="CG6" s="268" t="s">
        <v>85</v>
      </c>
      <c r="CH6" s="244" t="s">
        <v>109</v>
      </c>
      <c r="CI6" s="245" t="s">
        <v>103</v>
      </c>
      <c r="CJ6" s="267" t="s">
        <v>106</v>
      </c>
      <c r="CK6" s="268" t="s">
        <v>85</v>
      </c>
      <c r="CL6" s="244" t="s">
        <v>109</v>
      </c>
      <c r="CM6" s="245" t="s">
        <v>103</v>
      </c>
      <c r="CN6" s="243"/>
      <c r="CO6" s="248" t="s">
        <v>100</v>
      </c>
      <c r="CP6" s="10" t="s">
        <v>82</v>
      </c>
      <c r="CQ6" s="264" t="s">
        <v>263</v>
      </c>
      <c r="CR6" s="23" t="s">
        <v>102</v>
      </c>
      <c r="CS6" s="248" t="s">
        <v>98</v>
      </c>
      <c r="CT6" s="248" t="s">
        <v>99</v>
      </c>
      <c r="CU6" s="9" t="s">
        <v>83</v>
      </c>
      <c r="CV6" s="259" t="s">
        <v>106</v>
      </c>
      <c r="CW6" s="248" t="s">
        <v>84</v>
      </c>
      <c r="CX6" s="232" t="s">
        <v>108</v>
      </c>
      <c r="CY6" s="263" t="s">
        <v>103</v>
      </c>
      <c r="CZ6" s="253"/>
      <c r="DA6" s="321" t="s">
        <v>80</v>
      </c>
      <c r="DB6" s="321" t="s">
        <v>55</v>
      </c>
      <c r="DD6" s="288" t="s">
        <v>91</v>
      </c>
      <c r="DE6" s="289" t="s">
        <v>92</v>
      </c>
      <c r="DF6" s="290" t="s">
        <v>93</v>
      </c>
      <c r="DG6" s="290"/>
      <c r="DH6" s="289" t="s">
        <v>94</v>
      </c>
    </row>
    <row r="7" spans="1:120" s="76" customFormat="1" ht="16.5" customHeight="1" thickBot="1">
      <c r="A7" s="121">
        <v>1</v>
      </c>
      <c r="B7" s="122">
        <f>BK7+BL7+BM7+BN7+BO7+BP7</f>
        <v>225.15300300000001</v>
      </c>
      <c r="C7" s="123">
        <f>IF(B7=0,0,(BK7*BR7+BL7*BS7+BM7*BT7+BN7*BU7+BQ7*BX7+BO7*BV7+BP7*BW7)/B7)</f>
        <v>0.51202719245989348</v>
      </c>
      <c r="D7" s="124">
        <f>B7*((100-C7)/100)</f>
        <v>224.00015839999998</v>
      </c>
      <c r="E7" s="125">
        <f>IF(B7=0,0,(BK7*BY7+BL7*BZ7+BM7*CA7+BQ7*CE7+BN7*CB7+BO7*CC7+BP7*CD7)/B7)</f>
        <v>37.484778428649271</v>
      </c>
      <c r="F7" s="126">
        <f t="shared" ref="F7:F37" si="0">IF(AY7=0,0,D7/AY7)</f>
        <v>2.2594327052652812</v>
      </c>
      <c r="G7" s="127">
        <v>14.92</v>
      </c>
      <c r="H7" s="126">
        <f>IF(AY7=0,0,(CP7+CO7+CS7+CQ7+CT7)/AY7)</f>
        <v>2.2594326951785355</v>
      </c>
      <c r="I7" s="230">
        <f>'[1]июль 20'!AI6</f>
        <v>0</v>
      </c>
      <c r="J7" s="246">
        <f>'[1]июнь 20'!AA6</f>
        <v>8.4429999999999996</v>
      </c>
      <c r="K7" s="437">
        <f>'[1]сентябрь 20'!AM6</f>
        <v>0</v>
      </c>
      <c r="L7" s="438"/>
      <c r="M7" s="399">
        <f>IF(AY7=0,0,(CR7+CU7)/AY7)</f>
        <v>2.0173491829735726E-8</v>
      </c>
      <c r="N7" s="399">
        <f>'[1]июнь 20'!W6</f>
        <v>0</v>
      </c>
      <c r="O7" s="402">
        <f>'[1]июнь 20'!AU6</f>
        <v>0</v>
      </c>
      <c r="P7" s="125">
        <f t="shared" ref="P7:P37" si="1">CF7+CH7+CI7+CG7</f>
        <v>138.67000300000001</v>
      </c>
      <c r="Q7" s="122">
        <f>CF7+CG7</f>
        <v>138.67000100000001</v>
      </c>
      <c r="R7" s="123">
        <f>IF(Q7=0,0,(CI7*CM7+CG7*CK7+CH7*CL7+CF7*CJ7)/Q7)</f>
        <v>1.3999999899041105</v>
      </c>
      <c r="S7" s="129">
        <v>3.63</v>
      </c>
      <c r="T7" s="125">
        <f t="shared" ref="T7:T37" si="2">Q7*((100-R7)/100)</f>
        <v>136.72862099999998</v>
      </c>
      <c r="U7" s="128">
        <f t="shared" ref="U7:U37" si="3">IF(AY7=0,0,T7/AY7)</f>
        <v>1.3791468731087348</v>
      </c>
      <c r="V7" s="130">
        <v>75.599999999999994</v>
      </c>
      <c r="W7" s="130">
        <v>99.14</v>
      </c>
      <c r="X7" s="129">
        <v>0.15</v>
      </c>
      <c r="Y7" s="131">
        <v>535</v>
      </c>
      <c r="Z7" s="131">
        <v>1146</v>
      </c>
      <c r="AA7" s="132" t="s">
        <v>293</v>
      </c>
      <c r="AB7" s="129">
        <v>75.14</v>
      </c>
      <c r="AC7" s="131">
        <v>85</v>
      </c>
      <c r="AD7" s="133">
        <v>4</v>
      </c>
      <c r="AE7" s="129">
        <v>5</v>
      </c>
      <c r="AF7" s="134">
        <f t="shared" ref="AF7:AF37" si="4">IF(AY7=0,0,AE7/AY7*1000)</f>
        <v>50.433730078676618</v>
      </c>
      <c r="AG7" s="135"/>
      <c r="AH7" s="129">
        <v>76.900000000000006</v>
      </c>
      <c r="AI7" s="134">
        <f t="shared" ref="AI7:AI37" si="5">IF(AY7=0,0,AH7/AY7*1000)</f>
        <v>775.67076861004648</v>
      </c>
      <c r="AJ7" s="136">
        <v>10.64</v>
      </c>
      <c r="AK7" s="127"/>
      <c r="AL7" s="137">
        <v>4.53</v>
      </c>
      <c r="AM7" s="138">
        <v>24.51</v>
      </c>
      <c r="AN7" s="126">
        <f>IF(AM7=0,0,AM7/AT7)</f>
        <v>0.19686746987951809</v>
      </c>
      <c r="AO7" s="139" t="s">
        <v>272</v>
      </c>
      <c r="AP7" s="138">
        <v>8.33</v>
      </c>
      <c r="AQ7" s="138">
        <v>7.03</v>
      </c>
      <c r="AR7" s="129"/>
      <c r="AS7" s="129">
        <v>9.09</v>
      </c>
      <c r="AT7" s="129">
        <v>124.5</v>
      </c>
      <c r="AU7" s="129">
        <v>3.68</v>
      </c>
      <c r="AV7" s="129"/>
      <c r="AW7" s="129"/>
      <c r="AX7" s="140">
        <f t="shared" ref="AX7:AX37" si="6">IF(AY7=0,0,AW7/AY7*100)</f>
        <v>0</v>
      </c>
      <c r="AY7" s="125">
        <f t="shared" ref="AY7:AY37" si="7">AT7-AL7-AM7+AV7+AW7+AU7</f>
        <v>99.14</v>
      </c>
      <c r="AZ7" s="125">
        <f>IF(AB7=0,0,((D7*0.97)*(E7/100)*0.9)/(AB7/100))+DH7</f>
        <v>99.327960934553303</v>
      </c>
      <c r="BA7" s="141">
        <f t="shared" ref="BA7:BA37" si="8">(AH7*AS7)/100*(55/71)</f>
        <v>5.4149514084507047</v>
      </c>
      <c r="BB7" s="142">
        <f t="shared" ref="BB7:BB37" si="9">AY7*$BB$6</f>
        <v>3.9656000000000002</v>
      </c>
      <c r="BC7" s="122">
        <f t="shared" ref="BC7:BC37" si="10">IF((D7*E7)=0,0,(AY7*AB7)/(D7*E7))</f>
        <v>0.88719039583052361</v>
      </c>
      <c r="BD7" s="142">
        <f>BA7+BB7</f>
        <v>9.3805514084507049</v>
      </c>
      <c r="BE7" s="143">
        <v>0.88700000000000001</v>
      </c>
      <c r="BF7" s="25">
        <f>AY7</f>
        <v>99.14</v>
      </c>
      <c r="BG7" s="25">
        <f t="shared" ref="BG7:BG38" si="11">IF(A7&lt;=$BE$43,$AT$43,0)</f>
        <v>110</v>
      </c>
      <c r="BH7" s="25">
        <f>BG7</f>
        <v>110</v>
      </c>
      <c r="BI7" s="26">
        <f t="shared" ref="BI7:BI37" si="12">IF(AY7&lt;&gt;0,1,0)</f>
        <v>1</v>
      </c>
      <c r="BJ7" s="27">
        <f>BG7*BI7</f>
        <v>110</v>
      </c>
      <c r="BK7" s="28">
        <v>9.9999999999999995E-7</v>
      </c>
      <c r="BL7" s="28">
        <f>DM7</f>
        <v>157.90300000000002</v>
      </c>
      <c r="BM7" s="28">
        <v>54.651000000000003</v>
      </c>
      <c r="BN7" s="28">
        <v>9.9999999999999995E-7</v>
      </c>
      <c r="BO7" s="28">
        <v>9.9999999999999995E-7</v>
      </c>
      <c r="BP7" s="28">
        <v>12.599</v>
      </c>
      <c r="BQ7" s="28">
        <v>9.9999999999999995E-7</v>
      </c>
      <c r="BR7" s="28">
        <v>9.9999999999999995E-7</v>
      </c>
      <c r="BS7" s="28">
        <v>0.51</v>
      </c>
      <c r="BT7" s="28">
        <v>0.41</v>
      </c>
      <c r="BU7" s="28">
        <v>9.9999999999999995E-7</v>
      </c>
      <c r="BV7" s="28">
        <v>9.9999999999999995E-7</v>
      </c>
      <c r="BW7" s="28">
        <v>0.98</v>
      </c>
      <c r="BX7" s="28">
        <v>9.9999999999999995E-7</v>
      </c>
      <c r="BY7" s="28">
        <v>9.9999999999999995E-7</v>
      </c>
      <c r="BZ7" s="28">
        <v>37.5</v>
      </c>
      <c r="CA7" s="28">
        <v>38.56</v>
      </c>
      <c r="CB7" s="28">
        <v>9.9999999999999995E-7</v>
      </c>
      <c r="CC7" s="28">
        <v>9.9999999999999995E-7</v>
      </c>
      <c r="CD7" s="28">
        <v>32.630000000000003</v>
      </c>
      <c r="CE7" s="28">
        <v>9.9999999999999995E-7</v>
      </c>
      <c r="CF7" s="28">
        <f>DP7</f>
        <v>138.67000000000002</v>
      </c>
      <c r="CG7" s="28">
        <v>9.9999999999999995E-7</v>
      </c>
      <c r="CH7" s="28">
        <v>9.9999999999999995E-7</v>
      </c>
      <c r="CI7" s="28">
        <v>9.9999999999999995E-7</v>
      </c>
      <c r="CJ7" s="28">
        <v>1.4</v>
      </c>
      <c r="CK7" s="28">
        <v>9.9999999999999995E-7</v>
      </c>
      <c r="CL7" s="28">
        <v>9.9999999999999995E-7</v>
      </c>
      <c r="CM7" s="28">
        <v>9.9999999999999995E-7</v>
      </c>
      <c r="CN7" s="286"/>
      <c r="CO7" s="252">
        <f t="shared" ref="CO7:CU22" si="13">BK7*((100-BR7)/100)</f>
        <v>9.9999998999999992E-7</v>
      </c>
      <c r="CP7" s="11">
        <f t="shared" si="13"/>
        <v>157.09769470000001</v>
      </c>
      <c r="CQ7" s="11">
        <f t="shared" si="13"/>
        <v>54.426930900000002</v>
      </c>
      <c r="CR7" s="11">
        <f t="shared" si="13"/>
        <v>9.9999998999999992E-7</v>
      </c>
      <c r="CS7" s="11">
        <f t="shared" si="13"/>
        <v>9.9999998999999992E-7</v>
      </c>
      <c r="CT7" s="11">
        <f t="shared" si="13"/>
        <v>12.4755298</v>
      </c>
      <c r="CU7" s="271">
        <f t="shared" si="13"/>
        <v>9.9999998999999992E-7</v>
      </c>
      <c r="CV7" s="260">
        <f t="shared" ref="CV7:CY37" si="14">CF7*((100-CJ7)/100)</f>
        <v>136.72862000000001</v>
      </c>
      <c r="CW7" s="250">
        <f t="shared" si="14"/>
        <v>9.9999998999999992E-7</v>
      </c>
      <c r="CX7" s="260">
        <f t="shared" si="14"/>
        <v>9.9999998999999992E-7</v>
      </c>
      <c r="CY7" s="271">
        <f t="shared" si="14"/>
        <v>9.9999998999999992E-7</v>
      </c>
      <c r="CZ7" s="13"/>
      <c r="DA7" s="240">
        <f>(D7+'[2]июнь 20'!D7)/(AY7+'[2]июнь 20'!AX7)</f>
        <v>2.191726022653345</v>
      </c>
      <c r="DB7" s="241">
        <f>(T7+'[2]июнь 20'!R7)/(AY7+'[2]июнь 20'!AX7)</f>
        <v>1.3131507195738836</v>
      </c>
      <c r="DD7" s="292">
        <f t="shared" ref="DD7:DD37" si="15">J7</f>
        <v>8.4429999999999996</v>
      </c>
      <c r="DE7" s="291">
        <v>0.22</v>
      </c>
      <c r="DF7" s="291">
        <v>15.82</v>
      </c>
      <c r="DG7" s="145">
        <f t="shared" ref="DG7:DG37" si="16">DD7*((100-DE7)/100)</f>
        <v>8.4244254000000005</v>
      </c>
      <c r="DH7" s="293">
        <f>IF(AB7=0,0,(DG7*DF7%)/(AB7/100))</f>
        <v>1.7736812593558693</v>
      </c>
      <c r="DJ7" s="28">
        <v>9.9999999999999995E-7</v>
      </c>
      <c r="DK7" s="28">
        <v>102.90300000000001</v>
      </c>
      <c r="DM7" s="460">
        <f>DK7+55</f>
        <v>157.90300000000002</v>
      </c>
      <c r="DO7" s="28">
        <v>125.67</v>
      </c>
      <c r="DP7" s="460">
        <f>DO7+13</f>
        <v>138.67000000000002</v>
      </c>
    </row>
    <row r="8" spans="1:120" s="76" customFormat="1" ht="16.5" customHeight="1" thickBot="1">
      <c r="A8" s="144">
        <v>2</v>
      </c>
      <c r="B8" s="122">
        <f t="shared" ref="B8:B36" si="17">BK8+BL8+BM8+BN8+BO8+BP8</f>
        <v>249.78299999999999</v>
      </c>
      <c r="C8" s="123">
        <f t="shared" ref="C8:C37" si="18">IF(B8=0,0,(BK8*BR8+BL8*BS8+BM8*BT8+BN8*BU8+BQ8*BX8+BO8*BV8+BP8*BW8)/B8)</f>
        <v>0.58896265958852279</v>
      </c>
      <c r="D8" s="145">
        <f t="shared" ref="D8:D37" si="19">B8*((100-C8)/100)</f>
        <v>248.3118714</v>
      </c>
      <c r="E8" s="125">
        <f t="shared" ref="E8:E37" si="20">IF(B8=0,0,(BK8*BY8+BL8*BZ8+BM8*CA8+BQ8*CE8+BN8*CB8+BO8*CC8+BP8*CD8)/B8)</f>
        <v>36.835757717698968</v>
      </c>
      <c r="F8" s="146">
        <f t="shared" si="0"/>
        <v>2.3784662011494255</v>
      </c>
      <c r="G8" s="127"/>
      <c r="H8" s="126">
        <f t="shared" ref="H8:H37" si="21">IF(AY8=0,0,(CP8+CO8+CS8+CQ8+CT8)/AY8)</f>
        <v>2.3784662011494255</v>
      </c>
      <c r="I8" s="230">
        <f>'[1]июль 20'!AI7</f>
        <v>0</v>
      </c>
      <c r="J8" s="247">
        <f>'[1]июнь 20'!AA7</f>
        <v>9.8919999999999995</v>
      </c>
      <c r="K8" s="464">
        <f>'[1]сентябрь 20'!AM7</f>
        <v>0</v>
      </c>
      <c r="L8" s="247"/>
      <c r="M8" s="468">
        <f t="shared" ref="M8:M37" si="22">IF(AY8=0,0,(CR8+CU8)/AY8)</f>
        <v>0</v>
      </c>
      <c r="N8" s="403">
        <f>'[1]июнь 20'!W7</f>
        <v>0</v>
      </c>
      <c r="O8" s="403">
        <f>'[1]июнь 20'!AU7</f>
        <v>0</v>
      </c>
      <c r="P8" s="401">
        <f t="shared" si="1"/>
        <v>157.42099999999999</v>
      </c>
      <c r="Q8" s="122">
        <f t="shared" ref="Q8:Q36" si="23">CF8+CG8</f>
        <v>157.42099999999999</v>
      </c>
      <c r="R8" s="123">
        <f t="shared" ref="R8:R37" si="24">IF(Q8=0,0,(CI8*CM8+CG8*CK8+CH8*CL8+CF8*CJ8)/Q8)</f>
        <v>1.51</v>
      </c>
      <c r="S8" s="129">
        <v>11.12</v>
      </c>
      <c r="T8" s="125">
        <f t="shared" si="2"/>
        <v>155.04394289999999</v>
      </c>
      <c r="U8" s="147">
        <f t="shared" si="3"/>
        <v>1.4850952385057472</v>
      </c>
      <c r="V8" s="130">
        <v>54.11</v>
      </c>
      <c r="W8" s="130">
        <v>104.4</v>
      </c>
      <c r="X8" s="129">
        <v>0.25</v>
      </c>
      <c r="Y8" s="131">
        <v>481</v>
      </c>
      <c r="Z8" s="131">
        <v>1153</v>
      </c>
      <c r="AA8" s="148" t="s">
        <v>295</v>
      </c>
      <c r="AB8" s="149">
        <v>74.930000000000007</v>
      </c>
      <c r="AC8" s="150">
        <v>97</v>
      </c>
      <c r="AD8" s="151">
        <v>4</v>
      </c>
      <c r="AE8" s="149">
        <v>3.65</v>
      </c>
      <c r="AF8" s="134">
        <f t="shared" si="4"/>
        <v>34.961685823754792</v>
      </c>
      <c r="AG8" s="152"/>
      <c r="AH8" s="129">
        <v>72.2</v>
      </c>
      <c r="AI8" s="134">
        <f t="shared" si="5"/>
        <v>691.57088122605376</v>
      </c>
      <c r="AJ8" s="153">
        <v>9.42</v>
      </c>
      <c r="AK8" s="154"/>
      <c r="AL8" s="155">
        <v>7.04</v>
      </c>
      <c r="AM8" s="156">
        <v>25.98</v>
      </c>
      <c r="AN8" s="126">
        <f t="shared" ref="AN8:AN37" si="25">IF(AM8=0,0,AM8/AT8)</f>
        <v>0.1923019985196151</v>
      </c>
      <c r="AO8" s="157" t="s">
        <v>296</v>
      </c>
      <c r="AP8" s="156">
        <v>8.69</v>
      </c>
      <c r="AQ8" s="156">
        <v>7.3</v>
      </c>
      <c r="AR8" s="149"/>
      <c r="AS8" s="149">
        <v>7.88</v>
      </c>
      <c r="AT8" s="149">
        <v>135.1</v>
      </c>
      <c r="AU8" s="149">
        <v>2.3199999999999998</v>
      </c>
      <c r="AV8" s="149"/>
      <c r="AW8" s="149"/>
      <c r="AX8" s="158">
        <f t="shared" si="6"/>
        <v>0</v>
      </c>
      <c r="AY8" s="125">
        <f t="shared" si="7"/>
        <v>104.39999999999999</v>
      </c>
      <c r="AZ8" s="125">
        <f t="shared" ref="AZ8:AZ37" si="26">IF(AB8=0,0,((D8*0.97)*(E8/100)*0.9)/(AB8/100))+DH8</f>
        <v>108.35923203570444</v>
      </c>
      <c r="BA8" s="159">
        <f t="shared" si="8"/>
        <v>4.4072507042253521</v>
      </c>
      <c r="BB8" s="160">
        <f t="shared" si="9"/>
        <v>4.1760000000000002</v>
      </c>
      <c r="BC8" s="161">
        <f t="shared" si="10"/>
        <v>0.85524223637632379</v>
      </c>
      <c r="BD8" s="160">
        <f t="shared" ref="BD8:BD37" si="27">BA8+BB8</f>
        <v>8.5832507042253532</v>
      </c>
      <c r="BE8" s="162">
        <v>0.871</v>
      </c>
      <c r="BF8" s="25">
        <f t="shared" ref="BF8:BF37" si="28">BF7+AY8</f>
        <v>203.54</v>
      </c>
      <c r="BG8" s="25">
        <f t="shared" si="11"/>
        <v>110</v>
      </c>
      <c r="BH8" s="25">
        <f t="shared" ref="BH8:BH37" si="29">BG8+BH7</f>
        <v>220</v>
      </c>
      <c r="BI8" s="26">
        <f t="shared" si="12"/>
        <v>1</v>
      </c>
      <c r="BJ8" s="27">
        <f t="shared" ref="BJ8:BJ37" si="30">BG8*BI8+BJ7</f>
        <v>220</v>
      </c>
      <c r="BK8" s="30"/>
      <c r="BL8" s="28">
        <f t="shared" ref="BL8:BL27" si="31">DM8</f>
        <v>171.77500000000001</v>
      </c>
      <c r="BM8" s="31">
        <v>63.287999999999997</v>
      </c>
      <c r="BN8" s="31"/>
      <c r="BO8" s="40"/>
      <c r="BP8" s="40">
        <v>14.72</v>
      </c>
      <c r="BQ8" s="32"/>
      <c r="BR8" s="33"/>
      <c r="BS8" s="34">
        <v>0.57999999999999996</v>
      </c>
      <c r="BT8" s="35">
        <v>0.42</v>
      </c>
      <c r="BU8" s="28"/>
      <c r="BV8" s="287"/>
      <c r="BW8" s="28">
        <v>1.42</v>
      </c>
      <c r="BX8" s="36"/>
      <c r="BY8" s="33"/>
      <c r="BZ8" s="34">
        <v>36.89</v>
      </c>
      <c r="CA8" s="35">
        <v>37.69</v>
      </c>
      <c r="CB8" s="35"/>
      <c r="CC8" s="235"/>
      <c r="CD8" s="235">
        <v>32.53</v>
      </c>
      <c r="CE8" s="36"/>
      <c r="CF8" s="28">
        <f t="shared" ref="CF8:CF36" si="32">DP8</f>
        <v>157.42099999999999</v>
      </c>
      <c r="CG8" s="30"/>
      <c r="CH8" s="31"/>
      <c r="CI8" s="32"/>
      <c r="CJ8" s="33">
        <v>1.51</v>
      </c>
      <c r="CK8" s="33"/>
      <c r="CL8" s="35"/>
      <c r="CM8" s="28"/>
      <c r="CN8" s="286"/>
      <c r="CO8" s="249">
        <f t="shared" si="13"/>
        <v>0</v>
      </c>
      <c r="CP8" s="12">
        <f t="shared" si="13"/>
        <v>170.778705</v>
      </c>
      <c r="CQ8" s="12">
        <f t="shared" si="13"/>
        <v>63.022190399999999</v>
      </c>
      <c r="CR8" s="12">
        <f t="shared" si="13"/>
        <v>0</v>
      </c>
      <c r="CS8" s="11">
        <f t="shared" si="13"/>
        <v>0</v>
      </c>
      <c r="CT8" s="11">
        <f t="shared" si="13"/>
        <v>14.510976000000001</v>
      </c>
      <c r="CU8" s="272">
        <f t="shared" si="13"/>
        <v>0</v>
      </c>
      <c r="CV8" s="249">
        <f t="shared" si="14"/>
        <v>155.04394289999999</v>
      </c>
      <c r="CW8" s="12">
        <f t="shared" si="14"/>
        <v>0</v>
      </c>
      <c r="CX8" s="254">
        <f t="shared" si="14"/>
        <v>0</v>
      </c>
      <c r="CY8" s="272">
        <f t="shared" si="14"/>
        <v>0</v>
      </c>
      <c r="CZ8" s="13"/>
      <c r="DA8" s="240">
        <f>(D8+'[2]июнь 20'!D8)/(AY8+'[2]июнь 20'!AX8)</f>
        <v>2.3691750460817493</v>
      </c>
      <c r="DB8" s="241">
        <f>(T8+'[2]июнь 20'!R8)/(AY8+'[2]июнь 20'!AX8)</f>
        <v>1.4796352142671179</v>
      </c>
      <c r="DD8" s="292">
        <f t="shared" si="15"/>
        <v>9.8919999999999995</v>
      </c>
      <c r="DE8" s="291">
        <v>7.0000000000000007E-2</v>
      </c>
      <c r="DF8" s="291">
        <v>13.58</v>
      </c>
      <c r="DG8" s="145">
        <f t="shared" si="16"/>
        <v>9.8850756000000004</v>
      </c>
      <c r="DH8" s="293">
        <f t="shared" ref="DH8:DH37" si="33">IF(AB8=0,0,(DG8*DF8%)/(AB8/100))</f>
        <v>1.7915297831042305</v>
      </c>
      <c r="DJ8" s="30"/>
      <c r="DK8" s="31">
        <v>116.77500000000001</v>
      </c>
      <c r="DM8" s="460">
        <f t="shared" ref="DM8:DM27" si="34">DK8+55</f>
        <v>171.77500000000001</v>
      </c>
      <c r="DO8" s="30">
        <v>144.42099999999999</v>
      </c>
      <c r="DP8" s="460">
        <f t="shared" ref="DP8:DP33" si="35">DO8+13</f>
        <v>157.42099999999999</v>
      </c>
    </row>
    <row r="9" spans="1:120" s="76" customFormat="1" ht="16.5" customHeight="1" thickBot="1">
      <c r="A9" s="144">
        <v>3</v>
      </c>
      <c r="B9" s="122">
        <f t="shared" si="17"/>
        <v>235.07</v>
      </c>
      <c r="C9" s="123">
        <f t="shared" si="18"/>
        <v>0.56685370315225259</v>
      </c>
      <c r="D9" s="145">
        <f>B9*((100-C9)/100)</f>
        <v>233.73749699999999</v>
      </c>
      <c r="E9" s="125">
        <f t="shared" si="20"/>
        <v>37.049803760581952</v>
      </c>
      <c r="F9" s="146">
        <f t="shared" si="0"/>
        <v>2.2365084393837908</v>
      </c>
      <c r="G9" s="127"/>
      <c r="H9" s="126">
        <f t="shared" si="21"/>
        <v>2.2365084393837904</v>
      </c>
      <c r="I9" s="230">
        <f>'[1]июль 20'!AI8</f>
        <v>0</v>
      </c>
      <c r="J9" s="247">
        <f>'[1]июнь 20'!AA8</f>
        <v>8.9960000000000004</v>
      </c>
      <c r="K9" s="465">
        <f>'[1]сентябрь 20'!AM8</f>
        <v>0</v>
      </c>
      <c r="L9" s="247"/>
      <c r="M9" s="469">
        <f t="shared" si="22"/>
        <v>0</v>
      </c>
      <c r="N9" s="403">
        <f>'[1]июнь 20'!W8</f>
        <v>0</v>
      </c>
      <c r="O9" s="403">
        <f>'[1]июнь 20'!AU8</f>
        <v>0</v>
      </c>
      <c r="P9" s="401">
        <f t="shared" si="1"/>
        <v>147.41200000000001</v>
      </c>
      <c r="Q9" s="122">
        <f t="shared" si="23"/>
        <v>147.41200000000001</v>
      </c>
      <c r="R9" s="123">
        <f t="shared" si="24"/>
        <v>1.36</v>
      </c>
      <c r="S9" s="129">
        <v>9.1</v>
      </c>
      <c r="T9" s="125">
        <f t="shared" si="2"/>
        <v>145.40719680000001</v>
      </c>
      <c r="U9" s="147">
        <f>IF(AY9=0,0,T9/AY9)</f>
        <v>1.3913232877236628</v>
      </c>
      <c r="V9" s="130">
        <v>84.83</v>
      </c>
      <c r="W9" s="130">
        <v>104.51</v>
      </c>
      <c r="X9" s="129">
        <v>0.4</v>
      </c>
      <c r="Y9" s="131">
        <v>510</v>
      </c>
      <c r="Z9" s="131">
        <v>1146</v>
      </c>
      <c r="AA9" s="148" t="s">
        <v>293</v>
      </c>
      <c r="AB9" s="149">
        <v>75.02</v>
      </c>
      <c r="AC9" s="150">
        <v>90</v>
      </c>
      <c r="AD9" s="151">
        <v>4</v>
      </c>
      <c r="AE9" s="149">
        <v>3.5</v>
      </c>
      <c r="AF9" s="134">
        <f t="shared" si="4"/>
        <v>33.489618218352305</v>
      </c>
      <c r="AG9" s="152"/>
      <c r="AH9" s="129">
        <v>68.05</v>
      </c>
      <c r="AI9" s="134">
        <f t="shared" si="5"/>
        <v>651.13386278824987</v>
      </c>
      <c r="AJ9" s="153">
        <v>15.2</v>
      </c>
      <c r="AK9" s="154"/>
      <c r="AL9" s="155">
        <v>5.31</v>
      </c>
      <c r="AM9" s="156">
        <v>24.29</v>
      </c>
      <c r="AN9" s="126">
        <f t="shared" si="25"/>
        <v>0.18311345646437993</v>
      </c>
      <c r="AO9" s="157" t="s">
        <v>296</v>
      </c>
      <c r="AP9" s="156">
        <v>9</v>
      </c>
      <c r="AQ9" s="156">
        <v>7.13</v>
      </c>
      <c r="AR9" s="149"/>
      <c r="AS9" s="149">
        <v>8.82</v>
      </c>
      <c r="AT9" s="149">
        <v>132.65</v>
      </c>
      <c r="AU9" s="149">
        <v>1.46</v>
      </c>
      <c r="AV9" s="149"/>
      <c r="AW9" s="149"/>
      <c r="AX9" s="158">
        <f t="shared" si="6"/>
        <v>0</v>
      </c>
      <c r="AY9" s="125">
        <f t="shared" si="7"/>
        <v>104.51</v>
      </c>
      <c r="AZ9" s="125">
        <f t="shared" si="26"/>
        <v>102.76707751366943</v>
      </c>
      <c r="BA9" s="159">
        <f t="shared" si="8"/>
        <v>4.6494443661971827</v>
      </c>
      <c r="BB9" s="160">
        <f t="shared" si="9"/>
        <v>4.1804000000000006</v>
      </c>
      <c r="BC9" s="161">
        <f t="shared" si="10"/>
        <v>0.90535854825535533</v>
      </c>
      <c r="BD9" s="160">
        <f t="shared" si="27"/>
        <v>8.8298443661971824</v>
      </c>
      <c r="BE9" s="162">
        <v>0.88200000000000001</v>
      </c>
      <c r="BF9" s="25">
        <f t="shared" si="28"/>
        <v>308.05</v>
      </c>
      <c r="BG9" s="25">
        <f t="shared" si="11"/>
        <v>110</v>
      </c>
      <c r="BH9" s="25">
        <f t="shared" si="29"/>
        <v>330</v>
      </c>
      <c r="BI9" s="26">
        <f t="shared" si="12"/>
        <v>1</v>
      </c>
      <c r="BJ9" s="37">
        <f t="shared" si="30"/>
        <v>330</v>
      </c>
      <c r="BK9" s="38"/>
      <c r="BL9" s="28">
        <f t="shared" si="31"/>
        <v>162.99299999999999</v>
      </c>
      <c r="BM9" s="31">
        <v>58.552</v>
      </c>
      <c r="BN9" s="31"/>
      <c r="BO9" s="40"/>
      <c r="BP9" s="40">
        <v>13.525</v>
      </c>
      <c r="BQ9" s="32"/>
      <c r="BR9" s="33"/>
      <c r="BS9" s="34">
        <v>0.59</v>
      </c>
      <c r="BT9" s="35">
        <v>0.34</v>
      </c>
      <c r="BU9" s="28"/>
      <c r="BV9" s="287"/>
      <c r="BW9" s="287">
        <v>1.27</v>
      </c>
      <c r="BX9" s="36"/>
      <c r="BY9" s="33"/>
      <c r="BZ9" s="34">
        <v>37.119999999999997</v>
      </c>
      <c r="CA9" s="35">
        <v>38.729999999999997</v>
      </c>
      <c r="CB9" s="35"/>
      <c r="CC9" s="235"/>
      <c r="CD9" s="235">
        <v>28.93</v>
      </c>
      <c r="CE9" s="36"/>
      <c r="CF9" s="28">
        <f t="shared" si="32"/>
        <v>147.41200000000001</v>
      </c>
      <c r="CG9" s="30"/>
      <c r="CH9" s="31"/>
      <c r="CI9" s="32"/>
      <c r="CJ9" s="33">
        <v>1.36</v>
      </c>
      <c r="CK9" s="33"/>
      <c r="CL9" s="35"/>
      <c r="CM9" s="36"/>
      <c r="CN9" s="286"/>
      <c r="CO9" s="249">
        <f t="shared" si="13"/>
        <v>0</v>
      </c>
      <c r="CP9" s="12">
        <f t="shared" si="13"/>
        <v>162.03134129999998</v>
      </c>
      <c r="CQ9" s="12">
        <f t="shared" si="13"/>
        <v>58.352923199999992</v>
      </c>
      <c r="CR9" s="12">
        <f t="shared" si="13"/>
        <v>0</v>
      </c>
      <c r="CS9" s="11">
        <f t="shared" si="13"/>
        <v>0</v>
      </c>
      <c r="CT9" s="11">
        <f t="shared" si="13"/>
        <v>13.353232500000001</v>
      </c>
      <c r="CU9" s="272">
        <f t="shared" si="13"/>
        <v>0</v>
      </c>
      <c r="CV9" s="249">
        <f t="shared" si="14"/>
        <v>145.40719680000001</v>
      </c>
      <c r="CW9" s="251">
        <f t="shared" si="14"/>
        <v>0</v>
      </c>
      <c r="CX9" s="249">
        <f t="shared" si="14"/>
        <v>0</v>
      </c>
      <c r="CY9" s="272">
        <f t="shared" si="14"/>
        <v>0</v>
      </c>
      <c r="CZ9" s="13"/>
      <c r="DA9" s="240">
        <f>(D9+'[2]июнь 20'!D9)/(AY9+'[2]июнь 20'!AX9)</f>
        <v>2.2501947345069921</v>
      </c>
      <c r="DB9" s="241">
        <f>(T9+'[2]июнь 20'!R9)/(AY9+'[2]июнь 20'!AX9)</f>
        <v>1.3739163654433166</v>
      </c>
      <c r="DD9" s="292">
        <f t="shared" si="15"/>
        <v>8.9960000000000004</v>
      </c>
      <c r="DE9" s="291">
        <v>0.03</v>
      </c>
      <c r="DF9" s="291">
        <v>16.62</v>
      </c>
      <c r="DG9" s="145">
        <f t="shared" si="16"/>
        <v>8.9933012000000012</v>
      </c>
      <c r="DH9" s="293">
        <f t="shared" si="33"/>
        <v>1.9923842434550791</v>
      </c>
      <c r="DJ9" s="38"/>
      <c r="DK9" s="31">
        <v>107.99299999999999</v>
      </c>
      <c r="DM9" s="460">
        <f t="shared" si="34"/>
        <v>162.99299999999999</v>
      </c>
      <c r="DO9" s="30">
        <v>134.41200000000001</v>
      </c>
      <c r="DP9" s="460">
        <f t="shared" si="35"/>
        <v>147.41200000000001</v>
      </c>
    </row>
    <row r="10" spans="1:120" s="76" customFormat="1" ht="16.5" customHeight="1" thickBot="1">
      <c r="A10" s="144">
        <v>4</v>
      </c>
      <c r="B10" s="122">
        <f t="shared" si="17"/>
        <v>236.751</v>
      </c>
      <c r="C10" s="123">
        <f t="shared" si="18"/>
        <v>0.28906931755304094</v>
      </c>
      <c r="D10" s="145">
        <f t="shared" si="19"/>
        <v>236.06662549999999</v>
      </c>
      <c r="E10" s="125">
        <f>IF(B10=0,0,(BK10*BY10+BL10*BZ10+BM10*CA10+BQ10*CE10+BN10*CB10+BO10*CC10+BP10*CD10)/B10)</f>
        <v>36.831320670240046</v>
      </c>
      <c r="F10" s="146">
        <f t="shared" si="0"/>
        <v>2.0914913218747229</v>
      </c>
      <c r="G10" s="127"/>
      <c r="H10" s="126">
        <f t="shared" si="21"/>
        <v>2.0914913218747233</v>
      </c>
      <c r="I10" s="230">
        <f>'[1]июль 20'!AI9</f>
        <v>0</v>
      </c>
      <c r="J10" s="247">
        <f>'[1]июнь 20'!AA9</f>
        <v>9.17</v>
      </c>
      <c r="K10" s="466">
        <f>'[1]сентябрь 20'!AM9</f>
        <v>0</v>
      </c>
      <c r="L10" s="247"/>
      <c r="M10" s="470">
        <f t="shared" si="22"/>
        <v>0</v>
      </c>
      <c r="N10" s="403">
        <f>'[1]июнь 20'!W9</f>
        <v>0</v>
      </c>
      <c r="O10" s="403">
        <f>'[1]июнь 20'!AU9</f>
        <v>0</v>
      </c>
      <c r="P10" s="401">
        <f t="shared" si="1"/>
        <v>152.62899999999999</v>
      </c>
      <c r="Q10" s="122">
        <f t="shared" si="23"/>
        <v>152.62899999999999</v>
      </c>
      <c r="R10" s="123">
        <f t="shared" si="24"/>
        <v>1.39</v>
      </c>
      <c r="S10" s="129">
        <v>1.92</v>
      </c>
      <c r="T10" s="125">
        <f t="shared" si="2"/>
        <v>150.50745689999999</v>
      </c>
      <c r="U10" s="147">
        <f t="shared" si="3"/>
        <v>1.333458464605298</v>
      </c>
      <c r="V10" s="130">
        <v>60.08</v>
      </c>
      <c r="W10" s="130">
        <v>112.87</v>
      </c>
      <c r="X10" s="129">
        <v>0.55000000000000004</v>
      </c>
      <c r="Y10" s="131">
        <v>529</v>
      </c>
      <c r="Z10" s="131">
        <v>1161</v>
      </c>
      <c r="AA10" s="148" t="s">
        <v>297</v>
      </c>
      <c r="AB10" s="149">
        <v>75.06</v>
      </c>
      <c r="AC10" s="150">
        <v>91</v>
      </c>
      <c r="AD10" s="151">
        <v>4</v>
      </c>
      <c r="AE10" s="149">
        <v>4.7</v>
      </c>
      <c r="AF10" s="134">
        <f t="shared" si="4"/>
        <v>41.640825728714447</v>
      </c>
      <c r="AG10" s="152"/>
      <c r="AH10" s="129">
        <v>67.95</v>
      </c>
      <c r="AI10" s="134">
        <f t="shared" si="5"/>
        <v>602.02002303535039</v>
      </c>
      <c r="AJ10" s="153">
        <v>12.29</v>
      </c>
      <c r="AK10" s="154"/>
      <c r="AL10" s="155">
        <v>3.94</v>
      </c>
      <c r="AM10" s="156">
        <v>23.17</v>
      </c>
      <c r="AN10" s="126">
        <f t="shared" si="25"/>
        <v>0.16802030456852793</v>
      </c>
      <c r="AO10" s="157" t="s">
        <v>153</v>
      </c>
      <c r="AP10" s="156">
        <v>9.31</v>
      </c>
      <c r="AQ10" s="156">
        <v>7.23</v>
      </c>
      <c r="AR10" s="149"/>
      <c r="AS10" s="149">
        <v>7.24</v>
      </c>
      <c r="AT10" s="149">
        <v>137.9</v>
      </c>
      <c r="AU10" s="149">
        <v>2.08</v>
      </c>
      <c r="AV10" s="149"/>
      <c r="AW10" s="149"/>
      <c r="AX10" s="158">
        <f t="shared" si="6"/>
        <v>0</v>
      </c>
      <c r="AY10" s="125">
        <f>AT10-AL10-AM10+AV10+AW10+AU10</f>
        <v>112.87</v>
      </c>
      <c r="AZ10" s="125">
        <f t="shared" si="26"/>
        <v>103.33803820022391</v>
      </c>
      <c r="BA10" s="159">
        <f t="shared" si="8"/>
        <v>3.8109422535211266</v>
      </c>
      <c r="BB10" s="160">
        <f t="shared" si="9"/>
        <v>4.5148000000000001</v>
      </c>
      <c r="BC10" s="161">
        <f t="shared" si="10"/>
        <v>0.9743953469755291</v>
      </c>
      <c r="BD10" s="160">
        <f t="shared" si="27"/>
        <v>8.3257422535211276</v>
      </c>
      <c r="BE10" s="162">
        <v>0.90500000000000003</v>
      </c>
      <c r="BF10" s="25">
        <f t="shared" si="28"/>
        <v>420.92</v>
      </c>
      <c r="BG10" s="25">
        <f t="shared" si="11"/>
        <v>110</v>
      </c>
      <c r="BH10" s="25">
        <f t="shared" si="29"/>
        <v>440</v>
      </c>
      <c r="BI10" s="26">
        <f t="shared" si="12"/>
        <v>1</v>
      </c>
      <c r="BJ10" s="37">
        <f t="shared" si="30"/>
        <v>440</v>
      </c>
      <c r="BK10" s="38"/>
      <c r="BL10" s="28">
        <f t="shared" si="31"/>
        <v>164.09800000000001</v>
      </c>
      <c r="BM10" s="31">
        <v>59.216999999999999</v>
      </c>
      <c r="BN10" s="31"/>
      <c r="BO10" s="40"/>
      <c r="BP10" s="40">
        <v>13.436</v>
      </c>
      <c r="BQ10" s="32"/>
      <c r="BR10" s="33"/>
      <c r="BS10" s="34">
        <v>0.26</v>
      </c>
      <c r="BT10" s="35">
        <v>0.28999999999999998</v>
      </c>
      <c r="BU10" s="28"/>
      <c r="BV10" s="287"/>
      <c r="BW10" s="287">
        <v>0.64</v>
      </c>
      <c r="BX10" s="36"/>
      <c r="BY10" s="33"/>
      <c r="BZ10" s="34">
        <v>37</v>
      </c>
      <c r="CA10" s="35">
        <v>37.24</v>
      </c>
      <c r="CB10" s="35"/>
      <c r="CC10" s="235"/>
      <c r="CD10" s="235">
        <v>32.97</v>
      </c>
      <c r="CE10" s="36"/>
      <c r="CF10" s="28">
        <f t="shared" si="32"/>
        <v>152.62899999999999</v>
      </c>
      <c r="CG10" s="30"/>
      <c r="CH10" s="31"/>
      <c r="CI10" s="32"/>
      <c r="CJ10" s="33">
        <v>1.39</v>
      </c>
      <c r="CK10" s="33"/>
      <c r="CL10" s="35"/>
      <c r="CM10" s="36"/>
      <c r="CN10" s="286"/>
      <c r="CO10" s="249">
        <f t="shared" si="13"/>
        <v>0</v>
      </c>
      <c r="CP10" s="12">
        <f t="shared" si="13"/>
        <v>163.67134520000002</v>
      </c>
      <c r="CQ10" s="12">
        <f t="shared" si="13"/>
        <v>59.045270699999996</v>
      </c>
      <c r="CR10" s="14">
        <f t="shared" si="13"/>
        <v>0</v>
      </c>
      <c r="CS10" s="11">
        <f t="shared" si="13"/>
        <v>0</v>
      </c>
      <c r="CT10" s="11">
        <f t="shared" si="13"/>
        <v>13.3500096</v>
      </c>
      <c r="CU10" s="272">
        <f t="shared" si="13"/>
        <v>0</v>
      </c>
      <c r="CV10" s="249">
        <f t="shared" si="14"/>
        <v>150.50745689999999</v>
      </c>
      <c r="CW10" s="12">
        <f t="shared" si="14"/>
        <v>0</v>
      </c>
      <c r="CX10" s="249">
        <f t="shared" si="14"/>
        <v>0</v>
      </c>
      <c r="CY10" s="272">
        <f t="shared" si="14"/>
        <v>0</v>
      </c>
      <c r="CZ10" s="13"/>
      <c r="DA10" s="240">
        <f>(D10+'[2]июнь 20'!D10)/(AY10+'[2]июнь 20'!AX10)</f>
        <v>2.120022639796185</v>
      </c>
      <c r="DB10" s="241">
        <f>(T10+'[2]июнь 20'!R10)/(AY10+'[2]июнь 20'!AX10)</f>
        <v>1.3089804576038671</v>
      </c>
      <c r="DD10" s="292">
        <f t="shared" si="15"/>
        <v>9.17</v>
      </c>
      <c r="DE10" s="291">
        <v>0.13</v>
      </c>
      <c r="DF10" s="291">
        <v>18.14</v>
      </c>
      <c r="DG10" s="145">
        <f t="shared" si="16"/>
        <v>9.1580790000000007</v>
      </c>
      <c r="DH10" s="293">
        <f t="shared" si="33"/>
        <v>2.2132634300559553</v>
      </c>
      <c r="DJ10" s="38"/>
      <c r="DK10" s="31">
        <v>109.098</v>
      </c>
      <c r="DM10" s="460">
        <f t="shared" si="34"/>
        <v>164.09800000000001</v>
      </c>
      <c r="DO10" s="30">
        <v>139.62899999999999</v>
      </c>
      <c r="DP10" s="460">
        <f t="shared" si="35"/>
        <v>152.62899999999999</v>
      </c>
    </row>
    <row r="11" spans="1:120" s="76" customFormat="1" ht="16.5" customHeight="1" thickBot="1">
      <c r="A11" s="144">
        <v>5</v>
      </c>
      <c r="B11" s="122">
        <f t="shared" si="17"/>
        <v>238.19200000000001</v>
      </c>
      <c r="C11" s="123">
        <f t="shared" si="18"/>
        <v>0.32823331598038558</v>
      </c>
      <c r="D11" s="145">
        <f t="shared" si="19"/>
        <v>237.41017450000001</v>
      </c>
      <c r="E11" s="125">
        <f t="shared" si="20"/>
        <v>37.389501578558473</v>
      </c>
      <c r="F11" s="146">
        <f t="shared" si="0"/>
        <v>2.2569652485977758</v>
      </c>
      <c r="G11" s="127"/>
      <c r="H11" s="126">
        <f t="shared" si="21"/>
        <v>2.2569652485977758</v>
      </c>
      <c r="I11" s="230">
        <f>'[1]июль 20'!AI10</f>
        <v>0</v>
      </c>
      <c r="J11" s="247">
        <f>'[1]июнь 20'!AA10</f>
        <v>9.6319999999999997</v>
      </c>
      <c r="K11" s="464">
        <f>'[1]сентябрь 20'!AM10</f>
        <v>0</v>
      </c>
      <c r="L11" s="247"/>
      <c r="M11" s="468">
        <f t="shared" si="22"/>
        <v>0</v>
      </c>
      <c r="N11" s="403">
        <f>'[1]июнь 20'!W10</f>
        <v>0</v>
      </c>
      <c r="O11" s="403">
        <f>'[1]июнь 20'!AU10</f>
        <v>0</v>
      </c>
      <c r="P11" s="401">
        <f t="shared" si="1"/>
        <v>153.721</v>
      </c>
      <c r="Q11" s="122">
        <f t="shared" si="23"/>
        <v>153.721</v>
      </c>
      <c r="R11" s="123">
        <f t="shared" si="24"/>
        <v>1.44</v>
      </c>
      <c r="S11" s="129">
        <v>21.08</v>
      </c>
      <c r="T11" s="125">
        <f t="shared" si="2"/>
        <v>151.5074176</v>
      </c>
      <c r="U11" s="147">
        <f t="shared" si="3"/>
        <v>1.440321490635992</v>
      </c>
      <c r="V11" s="130">
        <v>30.1</v>
      </c>
      <c r="W11" s="130">
        <v>55.48</v>
      </c>
      <c r="X11" s="129">
        <v>1.07</v>
      </c>
      <c r="Y11" s="131">
        <v>541</v>
      </c>
      <c r="Z11" s="131">
        <v>1156</v>
      </c>
      <c r="AA11" s="148" t="s">
        <v>276</v>
      </c>
      <c r="AB11" s="149">
        <v>74.56</v>
      </c>
      <c r="AC11" s="150">
        <v>94</v>
      </c>
      <c r="AD11" s="151">
        <v>4</v>
      </c>
      <c r="AE11" s="149">
        <v>3.85</v>
      </c>
      <c r="AF11" s="134">
        <f t="shared" si="4"/>
        <v>36.600437303926228</v>
      </c>
      <c r="AG11" s="152"/>
      <c r="AH11" s="129">
        <v>60.35</v>
      </c>
      <c r="AI11" s="134">
        <f t="shared" si="5"/>
        <v>573.72373799790853</v>
      </c>
      <c r="AJ11" s="163">
        <v>12.98</v>
      </c>
      <c r="AK11" s="154"/>
      <c r="AL11" s="155">
        <v>5.21</v>
      </c>
      <c r="AM11" s="156">
        <v>24.77</v>
      </c>
      <c r="AN11" s="126">
        <f t="shared" si="25"/>
        <v>0.18485074626865672</v>
      </c>
      <c r="AO11" s="157" t="s">
        <v>298</v>
      </c>
      <c r="AP11" s="156">
        <v>10.26</v>
      </c>
      <c r="AQ11" s="156">
        <v>7.27</v>
      </c>
      <c r="AR11" s="149"/>
      <c r="AS11" s="149">
        <v>5.42</v>
      </c>
      <c r="AT11" s="149">
        <v>134</v>
      </c>
      <c r="AU11" s="149">
        <v>1.17</v>
      </c>
      <c r="AV11" s="149"/>
      <c r="AW11" s="149"/>
      <c r="AX11" s="158">
        <f t="shared" si="6"/>
        <v>0</v>
      </c>
      <c r="AY11" s="125">
        <f t="shared" si="7"/>
        <v>105.19</v>
      </c>
      <c r="AZ11" s="125">
        <f t="shared" si="26"/>
        <v>105.84691294627048</v>
      </c>
      <c r="BA11" s="159">
        <f t="shared" si="8"/>
        <v>2.5338499999999997</v>
      </c>
      <c r="BB11" s="160">
        <f t="shared" si="9"/>
        <v>4.2076000000000002</v>
      </c>
      <c r="BC11" s="161">
        <f t="shared" si="10"/>
        <v>0.88355044795511406</v>
      </c>
      <c r="BD11" s="160">
        <f t="shared" si="27"/>
        <v>6.7414500000000004</v>
      </c>
      <c r="BE11" s="162">
        <v>0.90100000000000002</v>
      </c>
      <c r="BF11" s="25">
        <f t="shared" si="28"/>
        <v>526.11</v>
      </c>
      <c r="BG11" s="25">
        <f t="shared" si="11"/>
        <v>110</v>
      </c>
      <c r="BH11" s="25">
        <f t="shared" si="29"/>
        <v>550</v>
      </c>
      <c r="BI11" s="26">
        <f t="shared" si="12"/>
        <v>1</v>
      </c>
      <c r="BJ11" s="37">
        <f t="shared" si="30"/>
        <v>550</v>
      </c>
      <c r="BK11" s="38"/>
      <c r="BL11" s="28">
        <f t="shared" si="31"/>
        <v>162.898</v>
      </c>
      <c r="BM11" s="31">
        <v>61.167000000000002</v>
      </c>
      <c r="BN11" s="31"/>
      <c r="BO11" s="40"/>
      <c r="BP11" s="40">
        <v>14.127000000000001</v>
      </c>
      <c r="BQ11" s="32"/>
      <c r="BR11" s="33"/>
      <c r="BS11" s="34">
        <v>0.33</v>
      </c>
      <c r="BT11" s="35">
        <v>0.27</v>
      </c>
      <c r="BU11" s="28"/>
      <c r="BV11" s="287"/>
      <c r="BW11" s="287">
        <v>0.56000000000000005</v>
      </c>
      <c r="BX11" s="36"/>
      <c r="BY11" s="33"/>
      <c r="BZ11" s="34">
        <v>36.840000000000003</v>
      </c>
      <c r="CA11" s="35">
        <v>39.19</v>
      </c>
      <c r="CB11" s="35"/>
      <c r="CC11" s="235"/>
      <c r="CD11" s="235">
        <v>35.93</v>
      </c>
      <c r="CE11" s="36"/>
      <c r="CF11" s="28">
        <f t="shared" si="32"/>
        <v>153.721</v>
      </c>
      <c r="CG11" s="30"/>
      <c r="CH11" s="31"/>
      <c r="CI11" s="32"/>
      <c r="CJ11" s="33">
        <v>1.44</v>
      </c>
      <c r="CK11" s="33"/>
      <c r="CL11" s="35"/>
      <c r="CM11" s="36"/>
      <c r="CN11" s="286"/>
      <c r="CO11" s="249">
        <f t="shared" si="13"/>
        <v>0</v>
      </c>
      <c r="CP11" s="12">
        <f t="shared" si="13"/>
        <v>162.36043660000001</v>
      </c>
      <c r="CQ11" s="15">
        <f t="shared" si="13"/>
        <v>61.001849100000008</v>
      </c>
      <c r="CR11" s="16">
        <f t="shared" si="13"/>
        <v>0</v>
      </c>
      <c r="CS11" s="11">
        <f t="shared" si="13"/>
        <v>0</v>
      </c>
      <c r="CT11" s="11">
        <f t="shared" si="13"/>
        <v>14.047888800000001</v>
      </c>
      <c r="CU11" s="272">
        <f t="shared" si="13"/>
        <v>0</v>
      </c>
      <c r="CV11" s="249">
        <f t="shared" si="14"/>
        <v>151.5074176</v>
      </c>
      <c r="CW11" s="12">
        <f t="shared" si="14"/>
        <v>0</v>
      </c>
      <c r="CX11" s="249">
        <f t="shared" si="14"/>
        <v>0</v>
      </c>
      <c r="CY11" s="272">
        <f t="shared" si="14"/>
        <v>0</v>
      </c>
      <c r="CZ11" s="13"/>
      <c r="DA11" s="240">
        <f>(D11+'[2]июнь 20'!D11)/(AY11+'[2]июнь 20'!AX11)</f>
        <v>2.1707073088066844</v>
      </c>
      <c r="DB11" s="241">
        <f>(T11+'[2]июнь 20'!R11)/(AY11+'[2]июнь 20'!AX11)</f>
        <v>1.337973915504346</v>
      </c>
      <c r="DD11" s="292">
        <f t="shared" si="15"/>
        <v>9.6319999999999997</v>
      </c>
      <c r="DE11" s="291">
        <v>0.08</v>
      </c>
      <c r="DF11" s="407">
        <v>14.82</v>
      </c>
      <c r="DG11" s="145">
        <f t="shared" si="16"/>
        <v>9.6242944000000001</v>
      </c>
      <c r="DH11" s="293">
        <f t="shared" si="33"/>
        <v>1.9129834094420601</v>
      </c>
      <c r="DJ11" s="38"/>
      <c r="DK11" s="31">
        <v>107.898</v>
      </c>
      <c r="DM11" s="460">
        <f t="shared" si="34"/>
        <v>162.898</v>
      </c>
      <c r="DO11" s="30">
        <v>140.721</v>
      </c>
      <c r="DP11" s="460">
        <f t="shared" si="35"/>
        <v>153.721</v>
      </c>
    </row>
    <row r="12" spans="1:120" s="76" customFormat="1" ht="16.5" customHeight="1" thickBot="1">
      <c r="A12" s="144">
        <v>6</v>
      </c>
      <c r="B12" s="122">
        <f t="shared" si="17"/>
        <v>218.35699999999997</v>
      </c>
      <c r="C12" s="123">
        <f t="shared" si="18"/>
        <v>0.18556272526184187</v>
      </c>
      <c r="D12" s="145">
        <f t="shared" si="19"/>
        <v>217.95181079999998</v>
      </c>
      <c r="E12" s="125">
        <f t="shared" si="20"/>
        <v>37.030461033994797</v>
      </c>
      <c r="F12" s="146">
        <f t="shared" si="0"/>
        <v>2.0098839063076355</v>
      </c>
      <c r="G12" s="127"/>
      <c r="H12" s="126">
        <f t="shared" si="21"/>
        <v>2.0098839063076364</v>
      </c>
      <c r="I12" s="230">
        <f>'[1]июль 20'!AI11</f>
        <v>0</v>
      </c>
      <c r="J12" s="247">
        <f>'[1]июнь 20'!AA11</f>
        <v>8.59</v>
      </c>
      <c r="K12" s="465">
        <f>'[1]сентябрь 20'!AM11</f>
        <v>0</v>
      </c>
      <c r="L12" s="247"/>
      <c r="M12" s="469">
        <f t="shared" si="22"/>
        <v>0</v>
      </c>
      <c r="N12" s="403">
        <f>'[1]июнь 20'!W11</f>
        <v>0</v>
      </c>
      <c r="O12" s="403">
        <f>'[1]июнь 20'!AU11</f>
        <v>0</v>
      </c>
      <c r="P12" s="401">
        <f t="shared" si="1"/>
        <v>141.69900000000001</v>
      </c>
      <c r="Q12" s="122">
        <f t="shared" si="23"/>
        <v>141.69900000000001</v>
      </c>
      <c r="R12" s="123">
        <f t="shared" si="24"/>
        <v>1.41</v>
      </c>
      <c r="S12" s="129">
        <v>7.24</v>
      </c>
      <c r="T12" s="125">
        <f t="shared" si="2"/>
        <v>139.70104410000002</v>
      </c>
      <c r="U12" s="147">
        <f t="shared" si="3"/>
        <v>1.2882796394319442</v>
      </c>
      <c r="V12" s="130"/>
      <c r="W12" s="130">
        <v>108.44</v>
      </c>
      <c r="X12" s="129">
        <v>0.37</v>
      </c>
      <c r="Y12" s="131">
        <v>577</v>
      </c>
      <c r="Z12" s="150">
        <v>1150</v>
      </c>
      <c r="AA12" s="148" t="s">
        <v>299</v>
      </c>
      <c r="AB12" s="149">
        <v>73.95</v>
      </c>
      <c r="AC12" s="150">
        <v>86</v>
      </c>
      <c r="AD12" s="151">
        <v>4</v>
      </c>
      <c r="AE12" s="149">
        <v>5.2</v>
      </c>
      <c r="AF12" s="134">
        <f t="shared" si="4"/>
        <v>47.95278495020289</v>
      </c>
      <c r="AG12" s="152"/>
      <c r="AH12" s="129">
        <v>68.25</v>
      </c>
      <c r="AI12" s="134">
        <f t="shared" si="5"/>
        <v>629.38030247141285</v>
      </c>
      <c r="AJ12" s="153">
        <v>10.08</v>
      </c>
      <c r="AK12" s="154"/>
      <c r="AL12" s="155">
        <v>3.8</v>
      </c>
      <c r="AM12" s="156">
        <v>24.48</v>
      </c>
      <c r="AN12" s="126">
        <f t="shared" si="25"/>
        <v>0.18086442556335428</v>
      </c>
      <c r="AO12" s="157" t="s">
        <v>300</v>
      </c>
      <c r="AP12" s="156">
        <v>9.43</v>
      </c>
      <c r="AQ12" s="156">
        <v>7.24</v>
      </c>
      <c r="AR12" s="149"/>
      <c r="AS12" s="149">
        <v>6.98</v>
      </c>
      <c r="AT12" s="149">
        <v>135.35</v>
      </c>
      <c r="AU12" s="149">
        <v>1.37</v>
      </c>
      <c r="AV12" s="164"/>
      <c r="AW12" s="164"/>
      <c r="AX12" s="158">
        <f t="shared" si="6"/>
        <v>0</v>
      </c>
      <c r="AY12" s="125">
        <f t="shared" si="7"/>
        <v>108.43999999999998</v>
      </c>
      <c r="AZ12" s="125">
        <f t="shared" si="26"/>
        <v>96.545079358675039</v>
      </c>
      <c r="BA12" s="159">
        <f t="shared" si="8"/>
        <v>3.6903063380281691</v>
      </c>
      <c r="BB12" s="160">
        <f t="shared" si="9"/>
        <v>4.3375999999999992</v>
      </c>
      <c r="BC12" s="161">
        <f t="shared" si="10"/>
        <v>0.99359200103679779</v>
      </c>
      <c r="BD12" s="160">
        <f t="shared" si="27"/>
        <v>8.0279063380281688</v>
      </c>
      <c r="BE12" s="162">
        <v>0.91500000000000004</v>
      </c>
      <c r="BF12" s="25">
        <f t="shared" si="28"/>
        <v>634.54999999999995</v>
      </c>
      <c r="BG12" s="25">
        <f t="shared" si="11"/>
        <v>110</v>
      </c>
      <c r="BH12" s="25">
        <f t="shared" si="29"/>
        <v>660</v>
      </c>
      <c r="BI12" s="26">
        <f t="shared" si="12"/>
        <v>1</v>
      </c>
      <c r="BJ12" s="37">
        <f t="shared" si="30"/>
        <v>660</v>
      </c>
      <c r="BK12" s="38"/>
      <c r="BL12" s="28">
        <f t="shared" si="31"/>
        <v>149.541</v>
      </c>
      <c r="BM12" s="31">
        <v>55.938000000000002</v>
      </c>
      <c r="BN12" s="31"/>
      <c r="BO12" s="40"/>
      <c r="BP12" s="40">
        <v>12.878</v>
      </c>
      <c r="BQ12" s="32"/>
      <c r="BR12" s="33"/>
      <c r="BS12" s="34">
        <v>0.16</v>
      </c>
      <c r="BT12" s="33">
        <v>0.17</v>
      </c>
      <c r="BU12" s="28"/>
      <c r="BV12" s="287"/>
      <c r="BW12" s="287">
        <v>0.55000000000000004</v>
      </c>
      <c r="BX12" s="36"/>
      <c r="BY12" s="33"/>
      <c r="BZ12" s="34">
        <v>36.9</v>
      </c>
      <c r="CA12" s="33">
        <v>38.71</v>
      </c>
      <c r="CB12" s="35"/>
      <c r="CC12" s="235"/>
      <c r="CD12" s="235">
        <v>31.25</v>
      </c>
      <c r="CE12" s="36"/>
      <c r="CF12" s="28">
        <f t="shared" si="32"/>
        <v>141.69900000000001</v>
      </c>
      <c r="CG12" s="30"/>
      <c r="CH12" s="31"/>
      <c r="CI12" s="32"/>
      <c r="CJ12" s="33">
        <v>1.41</v>
      </c>
      <c r="CK12" s="33"/>
      <c r="CL12" s="35"/>
      <c r="CM12" s="36"/>
      <c r="CN12" s="286"/>
      <c r="CO12" s="249">
        <f t="shared" si="13"/>
        <v>0</v>
      </c>
      <c r="CP12" s="12">
        <f t="shared" si="13"/>
        <v>149.30173440000002</v>
      </c>
      <c r="CQ12" s="12">
        <f t="shared" si="13"/>
        <v>55.842905399999999</v>
      </c>
      <c r="CR12" s="12">
        <f t="shared" si="13"/>
        <v>0</v>
      </c>
      <c r="CS12" s="11">
        <f t="shared" si="13"/>
        <v>0</v>
      </c>
      <c r="CT12" s="11">
        <f t="shared" si="13"/>
        <v>12.807171</v>
      </c>
      <c r="CU12" s="272">
        <f t="shared" si="13"/>
        <v>0</v>
      </c>
      <c r="CV12" s="249">
        <f t="shared" si="14"/>
        <v>139.70104410000002</v>
      </c>
      <c r="CW12" s="12">
        <f t="shared" si="14"/>
        <v>0</v>
      </c>
      <c r="CX12" s="252">
        <f t="shared" si="14"/>
        <v>0</v>
      </c>
      <c r="CY12" s="272">
        <f t="shared" si="14"/>
        <v>0</v>
      </c>
      <c r="CZ12" s="13"/>
      <c r="DA12" s="240">
        <f>(D12+'[2]июнь 20'!D12)/(AY12+'[2]июнь 20'!AX12)</f>
        <v>2.082896772707691</v>
      </c>
      <c r="DB12" s="241">
        <f>(T12+'[2]июнь 20'!R12)/(AY12+'[2]июнь 20'!AX12)</f>
        <v>1.2786262521125362</v>
      </c>
      <c r="DD12" s="292">
        <f t="shared" si="15"/>
        <v>8.59</v>
      </c>
      <c r="DE12" s="291">
        <v>7.0000000000000007E-2</v>
      </c>
      <c r="DF12" s="291">
        <v>10.91</v>
      </c>
      <c r="DG12" s="145">
        <f t="shared" si="16"/>
        <v>8.5839870000000005</v>
      </c>
      <c r="DH12" s="293">
        <f t="shared" si="33"/>
        <v>1.266413768356998</v>
      </c>
      <c r="DJ12" s="38"/>
      <c r="DK12" s="31">
        <v>94.540999999999997</v>
      </c>
      <c r="DM12" s="460">
        <f t="shared" si="34"/>
        <v>149.541</v>
      </c>
      <c r="DO12" s="30">
        <v>128.69900000000001</v>
      </c>
      <c r="DP12" s="460">
        <f t="shared" si="35"/>
        <v>141.69900000000001</v>
      </c>
    </row>
    <row r="13" spans="1:120" s="76" customFormat="1" ht="16.5" customHeight="1" thickBot="1">
      <c r="A13" s="144">
        <v>7</v>
      </c>
      <c r="B13" s="122">
        <f t="shared" si="17"/>
        <v>238.68400000000003</v>
      </c>
      <c r="C13" s="123">
        <f t="shared" si="18"/>
        <v>0.38081371185332907</v>
      </c>
      <c r="D13" s="145">
        <f t="shared" si="19"/>
        <v>237.77505860000002</v>
      </c>
      <c r="E13" s="125">
        <f t="shared" si="20"/>
        <v>37.611110170769713</v>
      </c>
      <c r="F13" s="146">
        <f t="shared" si="0"/>
        <v>2.3261109234983377</v>
      </c>
      <c r="G13" s="127">
        <v>17.739999999999998</v>
      </c>
      <c r="H13" s="126">
        <f t="shared" si="21"/>
        <v>2.3261109234983377</v>
      </c>
      <c r="I13" s="230">
        <f>'[1]июль 20'!AI12</f>
        <v>0</v>
      </c>
      <c r="J13" s="247">
        <f>'[1]июнь 20'!AA12</f>
        <v>9.3239999999999998</v>
      </c>
      <c r="K13" s="464">
        <f>'[1]сентябрь 20'!AM12</f>
        <v>0</v>
      </c>
      <c r="L13" s="247"/>
      <c r="M13" s="468">
        <f t="shared" si="22"/>
        <v>0</v>
      </c>
      <c r="N13" s="403">
        <f>'[1]июнь 20'!W12</f>
        <v>0</v>
      </c>
      <c r="O13" s="403">
        <f>'[1]июнь 20'!AU12</f>
        <v>0</v>
      </c>
      <c r="P13" s="401">
        <f t="shared" si="1"/>
        <v>154.97200000000001</v>
      </c>
      <c r="Q13" s="122">
        <f t="shared" si="23"/>
        <v>154.97200000000001</v>
      </c>
      <c r="R13" s="123">
        <f t="shared" si="24"/>
        <v>1.37</v>
      </c>
      <c r="S13" s="129">
        <v>16.09</v>
      </c>
      <c r="T13" s="125">
        <f t="shared" si="2"/>
        <v>152.84888359999999</v>
      </c>
      <c r="U13" s="147">
        <f t="shared" si="3"/>
        <v>1.4952933242027002</v>
      </c>
      <c r="V13" s="130"/>
      <c r="W13" s="130">
        <v>77.459999999999994</v>
      </c>
      <c r="X13" s="129">
        <v>0.8</v>
      </c>
      <c r="Y13" s="165">
        <v>547</v>
      </c>
      <c r="Z13" s="166">
        <v>1146</v>
      </c>
      <c r="AA13" s="148" t="s">
        <v>301</v>
      </c>
      <c r="AB13" s="149">
        <v>74.56</v>
      </c>
      <c r="AC13" s="150">
        <v>95</v>
      </c>
      <c r="AD13" s="151">
        <v>4</v>
      </c>
      <c r="AE13" s="149">
        <v>5.15</v>
      </c>
      <c r="AF13" s="134">
        <f t="shared" si="4"/>
        <v>50.381530033261605</v>
      </c>
      <c r="AG13" s="152"/>
      <c r="AH13" s="129">
        <v>62.95</v>
      </c>
      <c r="AI13" s="134">
        <f t="shared" si="5"/>
        <v>615.82860496967339</v>
      </c>
      <c r="AJ13" s="136">
        <v>11.03</v>
      </c>
      <c r="AK13" s="154"/>
      <c r="AL13" s="155">
        <v>6.6</v>
      </c>
      <c r="AM13" s="156">
        <v>26.51</v>
      </c>
      <c r="AN13" s="126">
        <f t="shared" si="25"/>
        <v>0.19754098360655742</v>
      </c>
      <c r="AO13" s="157" t="s">
        <v>229</v>
      </c>
      <c r="AP13" s="156">
        <v>9.67</v>
      </c>
      <c r="AQ13" s="156">
        <v>6.9</v>
      </c>
      <c r="AR13" s="149"/>
      <c r="AS13" s="149">
        <v>6.18</v>
      </c>
      <c r="AT13" s="149">
        <v>134.19999999999999</v>
      </c>
      <c r="AU13" s="149">
        <v>1.1299999999999999</v>
      </c>
      <c r="AV13" s="149"/>
      <c r="AW13" s="149"/>
      <c r="AX13" s="158">
        <f t="shared" si="6"/>
        <v>0</v>
      </c>
      <c r="AY13" s="125">
        <f t="shared" si="7"/>
        <v>102.21999999999998</v>
      </c>
      <c r="AZ13" s="125">
        <f t="shared" si="26"/>
        <v>106.25726103218703</v>
      </c>
      <c r="BA13" s="159">
        <f t="shared" si="8"/>
        <v>3.0136204225352112</v>
      </c>
      <c r="BB13" s="160">
        <f t="shared" si="9"/>
        <v>4.0887999999999991</v>
      </c>
      <c r="BC13" s="161">
        <f t="shared" si="10"/>
        <v>0.85223492114399024</v>
      </c>
      <c r="BD13" s="160">
        <f t="shared" si="27"/>
        <v>7.1024204225352108</v>
      </c>
      <c r="BE13" s="162">
        <v>0.90600000000000003</v>
      </c>
      <c r="BF13" s="25">
        <f t="shared" si="28"/>
        <v>736.77</v>
      </c>
      <c r="BG13" s="25">
        <f t="shared" si="11"/>
        <v>110</v>
      </c>
      <c r="BH13" s="25">
        <f t="shared" si="29"/>
        <v>770</v>
      </c>
      <c r="BI13" s="26">
        <f t="shared" si="12"/>
        <v>1</v>
      </c>
      <c r="BJ13" s="37">
        <f t="shared" si="30"/>
        <v>770</v>
      </c>
      <c r="BK13" s="39"/>
      <c r="BL13" s="28">
        <f t="shared" si="31"/>
        <v>162.46800000000002</v>
      </c>
      <c r="BM13" s="325">
        <v>61.77</v>
      </c>
      <c r="BN13" s="31"/>
      <c r="BO13" s="40"/>
      <c r="BP13" s="40">
        <v>14.446</v>
      </c>
      <c r="BQ13" s="32"/>
      <c r="BR13" s="33"/>
      <c r="BS13" s="34">
        <v>0.38</v>
      </c>
      <c r="BT13" s="33">
        <v>0.32</v>
      </c>
      <c r="BU13" s="28"/>
      <c r="BV13" s="287"/>
      <c r="BW13" s="287">
        <v>0.65</v>
      </c>
      <c r="BX13" s="36"/>
      <c r="BY13" s="33"/>
      <c r="BZ13" s="34">
        <v>37.26</v>
      </c>
      <c r="CA13" s="33">
        <v>40.200000000000003</v>
      </c>
      <c r="CB13" s="35"/>
      <c r="CC13" s="235"/>
      <c r="CD13" s="235">
        <v>30.49</v>
      </c>
      <c r="CE13" s="36"/>
      <c r="CF13" s="28">
        <f t="shared" si="32"/>
        <v>154.97200000000001</v>
      </c>
      <c r="CG13" s="30"/>
      <c r="CH13" s="30"/>
      <c r="CI13" s="32"/>
      <c r="CJ13" s="33">
        <v>1.37</v>
      </c>
      <c r="CK13" s="33"/>
      <c r="CL13" s="33"/>
      <c r="CM13" s="36"/>
      <c r="CN13" s="286"/>
      <c r="CO13" s="249">
        <f t="shared" si="13"/>
        <v>0</v>
      </c>
      <c r="CP13" s="12">
        <f t="shared" si="13"/>
        <v>161.85062160000004</v>
      </c>
      <c r="CQ13" s="12">
        <f t="shared" si="13"/>
        <v>61.572336000000007</v>
      </c>
      <c r="CR13" s="12">
        <f t="shared" si="13"/>
        <v>0</v>
      </c>
      <c r="CS13" s="11">
        <f t="shared" si="13"/>
        <v>0</v>
      </c>
      <c r="CT13" s="11">
        <f t="shared" si="13"/>
        <v>14.352100999999999</v>
      </c>
      <c r="CU13" s="272">
        <f t="shared" si="13"/>
        <v>0</v>
      </c>
      <c r="CV13" s="249">
        <f t="shared" si="14"/>
        <v>152.84888359999999</v>
      </c>
      <c r="CW13" s="251">
        <f t="shared" si="14"/>
        <v>0</v>
      </c>
      <c r="CX13" s="249">
        <f t="shared" si="14"/>
        <v>0</v>
      </c>
      <c r="CY13" s="272">
        <f t="shared" si="14"/>
        <v>0</v>
      </c>
      <c r="CZ13" s="13"/>
      <c r="DA13" s="240">
        <f>(D13+'[2]июнь 20'!D13)/(AY13+'[2]июнь 20'!AX13)</f>
        <v>2.2547680624441848</v>
      </c>
      <c r="DB13" s="241">
        <f>(T13+'[2]июнь 20'!R13)/(AY13+'[2]июнь 20'!AX13)</f>
        <v>1.3800195218795082</v>
      </c>
      <c r="DD13" s="292">
        <f t="shared" si="15"/>
        <v>9.3239999999999998</v>
      </c>
      <c r="DE13" s="291">
        <v>0.18</v>
      </c>
      <c r="DF13" s="291">
        <v>12.39</v>
      </c>
      <c r="DG13" s="145">
        <f t="shared" si="16"/>
        <v>9.3072167999999991</v>
      </c>
      <c r="DH13" s="293">
        <f t="shared" si="33"/>
        <v>1.5466257531115877</v>
      </c>
      <c r="DJ13" s="39"/>
      <c r="DK13" s="40">
        <v>107.468</v>
      </c>
      <c r="DM13" s="460">
        <f t="shared" si="34"/>
        <v>162.46800000000002</v>
      </c>
      <c r="DO13" s="30">
        <v>141.97200000000001</v>
      </c>
      <c r="DP13" s="460">
        <f t="shared" si="35"/>
        <v>154.97200000000001</v>
      </c>
    </row>
    <row r="14" spans="1:120" s="76" customFormat="1" ht="16.5" customHeight="1" thickBot="1">
      <c r="A14" s="144">
        <v>8</v>
      </c>
      <c r="B14" s="122">
        <f t="shared" si="17"/>
        <v>228.86900000000003</v>
      </c>
      <c r="C14" s="123">
        <f t="shared" si="18"/>
        <v>0.50212501474642701</v>
      </c>
      <c r="D14" s="145">
        <f t="shared" si="19"/>
        <v>227.71979150000004</v>
      </c>
      <c r="E14" s="125">
        <f t="shared" si="20"/>
        <v>37.834880521171499</v>
      </c>
      <c r="F14" s="146">
        <f t="shared" si="0"/>
        <v>2.1224698620561102</v>
      </c>
      <c r="G14" s="127"/>
      <c r="H14" s="126">
        <f t="shared" si="21"/>
        <v>2.1224698620561098</v>
      </c>
      <c r="I14" s="230">
        <f>'[1]июль 20'!AI13</f>
        <v>0</v>
      </c>
      <c r="J14" s="247">
        <f>'[1]июнь 20'!AA13</f>
        <v>8.7850000000000001</v>
      </c>
      <c r="K14" s="467">
        <f>'[1]сентябрь 20'!AM13</f>
        <v>0</v>
      </c>
      <c r="L14" s="247"/>
      <c r="M14" s="471">
        <f t="shared" si="22"/>
        <v>0</v>
      </c>
      <c r="N14" s="403">
        <f>'[1]июнь 20'!W13</f>
        <v>0</v>
      </c>
      <c r="O14" s="403">
        <f>'[1]июнь 20'!AU13</f>
        <v>0</v>
      </c>
      <c r="P14" s="401">
        <f t="shared" si="1"/>
        <v>142.53299999999999</v>
      </c>
      <c r="Q14" s="122">
        <f t="shared" si="23"/>
        <v>142.53299999999999</v>
      </c>
      <c r="R14" s="123">
        <f t="shared" si="24"/>
        <v>1.4</v>
      </c>
      <c r="S14" s="129">
        <v>17.399999999999999</v>
      </c>
      <c r="T14" s="125">
        <f t="shared" si="2"/>
        <v>140.53753799999998</v>
      </c>
      <c r="U14" s="147">
        <f t="shared" si="3"/>
        <v>1.3098847795693913</v>
      </c>
      <c r="V14" s="130"/>
      <c r="W14" s="130">
        <v>107.29</v>
      </c>
      <c r="X14" s="129">
        <v>0.45</v>
      </c>
      <c r="Y14" s="131">
        <v>575</v>
      </c>
      <c r="Z14" s="150">
        <v>1149</v>
      </c>
      <c r="AA14" s="148" t="s">
        <v>301</v>
      </c>
      <c r="AB14" s="149">
        <v>74.58</v>
      </c>
      <c r="AC14" s="150">
        <v>87</v>
      </c>
      <c r="AD14" s="151">
        <v>4</v>
      </c>
      <c r="AE14" s="149">
        <v>5.35</v>
      </c>
      <c r="AF14" s="134">
        <f t="shared" si="4"/>
        <v>49.864852269549822</v>
      </c>
      <c r="AG14" s="152"/>
      <c r="AH14" s="129">
        <v>71.599999999999994</v>
      </c>
      <c r="AI14" s="134">
        <f t="shared" si="5"/>
        <v>667.35017242986294</v>
      </c>
      <c r="AJ14" s="153">
        <v>9.7799999999999994</v>
      </c>
      <c r="AK14" s="154"/>
      <c r="AL14" s="155">
        <v>4.5599999999999996</v>
      </c>
      <c r="AM14" s="156">
        <v>23.61</v>
      </c>
      <c r="AN14" s="126">
        <f t="shared" si="25"/>
        <v>0.17758555848063182</v>
      </c>
      <c r="AO14" s="157" t="s">
        <v>153</v>
      </c>
      <c r="AP14" s="156">
        <v>9.57</v>
      </c>
      <c r="AQ14" s="156">
        <v>7.45</v>
      </c>
      <c r="AR14" s="149"/>
      <c r="AS14" s="149">
        <v>7.09</v>
      </c>
      <c r="AT14" s="149">
        <v>132.94999999999999</v>
      </c>
      <c r="AU14" s="149">
        <v>2.5099999999999998</v>
      </c>
      <c r="AV14" s="149"/>
      <c r="AW14" s="149"/>
      <c r="AX14" s="158">
        <f t="shared" si="6"/>
        <v>0</v>
      </c>
      <c r="AY14" s="125">
        <f t="shared" si="7"/>
        <v>107.28999999999999</v>
      </c>
      <c r="AZ14" s="125">
        <f t="shared" si="26"/>
        <v>103.46764241951725</v>
      </c>
      <c r="BA14" s="159">
        <f t="shared" si="8"/>
        <v>3.9324535211267602</v>
      </c>
      <c r="BB14" s="160">
        <f t="shared" si="9"/>
        <v>4.2915999999999999</v>
      </c>
      <c r="BC14" s="161">
        <f t="shared" si="10"/>
        <v>0.9287278733662272</v>
      </c>
      <c r="BD14" s="159">
        <f t="shared" si="27"/>
        <v>8.2240535211267591</v>
      </c>
      <c r="BE14" s="167">
        <v>0.90900000000000003</v>
      </c>
      <c r="BF14" s="25">
        <f t="shared" si="28"/>
        <v>844.06</v>
      </c>
      <c r="BG14" s="25">
        <f t="shared" si="11"/>
        <v>110</v>
      </c>
      <c r="BH14" s="25">
        <f t="shared" si="29"/>
        <v>880</v>
      </c>
      <c r="BI14" s="26">
        <f t="shared" si="12"/>
        <v>1</v>
      </c>
      <c r="BJ14" s="37">
        <f t="shared" si="30"/>
        <v>880</v>
      </c>
      <c r="BK14" s="39"/>
      <c r="BL14" s="28">
        <f t="shared" si="31"/>
        <v>159.42700000000002</v>
      </c>
      <c r="BM14" s="325">
        <v>56.582999999999998</v>
      </c>
      <c r="BN14" s="31"/>
      <c r="BO14" s="40"/>
      <c r="BP14" s="40">
        <v>12.859</v>
      </c>
      <c r="BQ14" s="32"/>
      <c r="BR14" s="33"/>
      <c r="BS14" s="34">
        <v>0.56000000000000005</v>
      </c>
      <c r="BT14" s="33">
        <v>0.26</v>
      </c>
      <c r="BU14" s="28"/>
      <c r="BV14" s="287"/>
      <c r="BW14" s="287">
        <v>0.85</v>
      </c>
      <c r="BX14" s="36"/>
      <c r="BY14" s="33"/>
      <c r="BZ14" s="34">
        <v>37.65</v>
      </c>
      <c r="CA14" s="33">
        <v>39.799999999999997</v>
      </c>
      <c r="CB14" s="35"/>
      <c r="CC14" s="235"/>
      <c r="CD14" s="235">
        <v>31.48</v>
      </c>
      <c r="CE14" s="36"/>
      <c r="CF14" s="28">
        <f t="shared" si="32"/>
        <v>142.53299999999999</v>
      </c>
      <c r="CG14" s="30"/>
      <c r="CH14" s="30"/>
      <c r="CI14" s="32"/>
      <c r="CJ14" s="33">
        <v>1.4</v>
      </c>
      <c r="CK14" s="33"/>
      <c r="CL14" s="33"/>
      <c r="CM14" s="36"/>
      <c r="CN14" s="286"/>
      <c r="CO14" s="249">
        <f t="shared" si="13"/>
        <v>0</v>
      </c>
      <c r="CP14" s="12">
        <f t="shared" si="13"/>
        <v>158.53420880000002</v>
      </c>
      <c r="CQ14" s="12">
        <f t="shared" si="13"/>
        <v>56.435884199999997</v>
      </c>
      <c r="CR14" s="12">
        <f t="shared" si="13"/>
        <v>0</v>
      </c>
      <c r="CS14" s="11">
        <f t="shared" si="13"/>
        <v>0</v>
      </c>
      <c r="CT14" s="11">
        <f t="shared" si="13"/>
        <v>12.749698500000001</v>
      </c>
      <c r="CU14" s="272">
        <f t="shared" si="13"/>
        <v>0</v>
      </c>
      <c r="CV14" s="249">
        <f t="shared" si="14"/>
        <v>140.53753799999998</v>
      </c>
      <c r="CW14" s="12">
        <f t="shared" si="14"/>
        <v>0</v>
      </c>
      <c r="CX14" s="252">
        <f t="shared" si="14"/>
        <v>0</v>
      </c>
      <c r="CY14" s="272">
        <f t="shared" si="14"/>
        <v>0</v>
      </c>
      <c r="CZ14" s="13"/>
      <c r="DA14" s="240">
        <f>(D14+'[2]июнь 20'!D14)/(AY14+'[2]июнь 20'!AX14)</f>
        <v>2.1846352967670901</v>
      </c>
      <c r="DB14" s="241">
        <f>(T14+'[2]июнь 20'!R14)/(AY14+'[2]июнь 20'!AX14)</f>
        <v>1.3137741901044273</v>
      </c>
      <c r="DD14" s="292">
        <f t="shared" si="15"/>
        <v>8.7850000000000001</v>
      </c>
      <c r="DE14" s="291">
        <v>7.0000000000000007E-2</v>
      </c>
      <c r="DF14" s="291">
        <v>22.22</v>
      </c>
      <c r="DG14" s="145">
        <f t="shared" si="16"/>
        <v>8.7788505000000008</v>
      </c>
      <c r="DH14" s="293">
        <f t="shared" si="33"/>
        <v>2.6155277300884956</v>
      </c>
      <c r="DJ14" s="39"/>
      <c r="DK14" s="40">
        <v>104.42700000000001</v>
      </c>
      <c r="DM14" s="460">
        <f t="shared" si="34"/>
        <v>159.42700000000002</v>
      </c>
      <c r="DO14" s="30">
        <v>129.53299999999999</v>
      </c>
      <c r="DP14" s="460">
        <f t="shared" si="35"/>
        <v>142.53299999999999</v>
      </c>
    </row>
    <row r="15" spans="1:120" s="76" customFormat="1" ht="16.5" customHeight="1" thickBot="1">
      <c r="A15" s="144">
        <v>9</v>
      </c>
      <c r="B15" s="122">
        <f t="shared" si="17"/>
        <v>235.81600000000003</v>
      </c>
      <c r="C15" s="123">
        <f t="shared" si="18"/>
        <v>0.32480425416426367</v>
      </c>
      <c r="D15" s="145">
        <f t="shared" si="19"/>
        <v>235.05005960000003</v>
      </c>
      <c r="E15" s="125">
        <f t="shared" si="20"/>
        <v>36.738441242324527</v>
      </c>
      <c r="F15" s="146">
        <f t="shared" si="0"/>
        <v>2.0694669801021313</v>
      </c>
      <c r="G15" s="127"/>
      <c r="H15" s="126">
        <f t="shared" si="21"/>
        <v>2.0694669801021313</v>
      </c>
      <c r="I15" s="230">
        <f>'[1]июль 20'!AI14</f>
        <v>0</v>
      </c>
      <c r="J15" s="247">
        <f>'[1]июнь 20'!AA14</f>
        <v>9.0180000000000007</v>
      </c>
      <c r="K15" s="465">
        <f>'[1]сентябрь 20'!AM14</f>
        <v>0</v>
      </c>
      <c r="L15" s="247"/>
      <c r="M15" s="469">
        <f t="shared" si="22"/>
        <v>0</v>
      </c>
      <c r="N15" s="403">
        <f>'[1]июнь 20'!W14</f>
        <v>0</v>
      </c>
      <c r="O15" s="403">
        <f>'[1]июнь 20'!AU14</f>
        <v>0</v>
      </c>
      <c r="P15" s="401">
        <f t="shared" si="1"/>
        <v>146.63999999999999</v>
      </c>
      <c r="Q15" s="122">
        <f t="shared" si="23"/>
        <v>146.63999999999999</v>
      </c>
      <c r="R15" s="123">
        <f t="shared" si="24"/>
        <v>1.43</v>
      </c>
      <c r="S15" s="129">
        <v>13.93</v>
      </c>
      <c r="T15" s="125">
        <f t="shared" si="2"/>
        <v>144.54304799999997</v>
      </c>
      <c r="U15" s="147">
        <f t="shared" si="3"/>
        <v>1.2726100369783413</v>
      </c>
      <c r="V15" s="130"/>
      <c r="W15" s="130">
        <v>113.58</v>
      </c>
      <c r="X15" s="129">
        <v>0.46</v>
      </c>
      <c r="Y15" s="131">
        <v>529</v>
      </c>
      <c r="Z15" s="150">
        <v>1150</v>
      </c>
      <c r="AA15" s="148" t="s">
        <v>303</v>
      </c>
      <c r="AB15" s="149">
        <v>74.150000000000006</v>
      </c>
      <c r="AC15" s="150">
        <v>90</v>
      </c>
      <c r="AD15" s="151">
        <v>4</v>
      </c>
      <c r="AE15" s="149">
        <v>2.9</v>
      </c>
      <c r="AF15" s="134">
        <f t="shared" si="4"/>
        <v>25.532664201443922</v>
      </c>
      <c r="AG15" s="152"/>
      <c r="AH15" s="129">
        <v>66.599999999999994</v>
      </c>
      <c r="AI15" s="134">
        <f t="shared" si="5"/>
        <v>586.3708399366086</v>
      </c>
      <c r="AJ15" s="136">
        <v>16.09</v>
      </c>
      <c r="AK15" s="154"/>
      <c r="AL15" s="155">
        <v>4.8600000000000003</v>
      </c>
      <c r="AM15" s="156">
        <v>23.83</v>
      </c>
      <c r="AN15" s="126">
        <f t="shared" si="25"/>
        <v>0.16906704505143669</v>
      </c>
      <c r="AO15" s="157" t="s">
        <v>304</v>
      </c>
      <c r="AP15" s="156">
        <v>8.86</v>
      </c>
      <c r="AQ15" s="156">
        <v>7.46</v>
      </c>
      <c r="AR15" s="149"/>
      <c r="AS15" s="149">
        <v>8.19</v>
      </c>
      <c r="AT15" s="149">
        <v>140.94999999999999</v>
      </c>
      <c r="AU15" s="149">
        <v>1.32</v>
      </c>
      <c r="AV15" s="149"/>
      <c r="AW15" s="149"/>
      <c r="AX15" s="158">
        <f t="shared" si="6"/>
        <v>0</v>
      </c>
      <c r="AY15" s="125">
        <f t="shared" si="7"/>
        <v>113.57999999999997</v>
      </c>
      <c r="AZ15" s="125">
        <f t="shared" si="26"/>
        <v>104.13661538732038</v>
      </c>
      <c r="BA15" s="159">
        <f t="shared" si="8"/>
        <v>4.2253478873239434</v>
      </c>
      <c r="BB15" s="160">
        <f t="shared" si="9"/>
        <v>4.5431999999999988</v>
      </c>
      <c r="BC15" s="161">
        <f t="shared" si="10"/>
        <v>0.97528586101922221</v>
      </c>
      <c r="BD15" s="159">
        <f t="shared" si="27"/>
        <v>8.7685478873239422</v>
      </c>
      <c r="BE15" s="167">
        <v>0.91600000000000004</v>
      </c>
      <c r="BF15" s="25">
        <f t="shared" si="28"/>
        <v>957.63999999999987</v>
      </c>
      <c r="BG15" s="25">
        <f t="shared" si="11"/>
        <v>110</v>
      </c>
      <c r="BH15" s="25">
        <f t="shared" si="29"/>
        <v>990</v>
      </c>
      <c r="BI15" s="26">
        <f t="shared" si="12"/>
        <v>1</v>
      </c>
      <c r="BJ15" s="37">
        <f t="shared" si="30"/>
        <v>990</v>
      </c>
      <c r="BK15" s="38"/>
      <c r="BL15" s="28">
        <f t="shared" si="31"/>
        <v>163.17700000000002</v>
      </c>
      <c r="BM15" s="31">
        <v>58.822000000000003</v>
      </c>
      <c r="BN15" s="31"/>
      <c r="BO15" s="40"/>
      <c r="BP15" s="40">
        <v>13.817</v>
      </c>
      <c r="BQ15" s="32"/>
      <c r="BR15" s="33"/>
      <c r="BS15" s="35">
        <v>0.32</v>
      </c>
      <c r="BT15" s="35">
        <v>0.25</v>
      </c>
      <c r="BU15" s="28"/>
      <c r="BV15" s="287"/>
      <c r="BW15" s="287">
        <v>0.7</v>
      </c>
      <c r="BX15" s="36"/>
      <c r="BY15" s="33"/>
      <c r="BZ15" s="34">
        <v>36.96</v>
      </c>
      <c r="CA15" s="35">
        <v>37.81</v>
      </c>
      <c r="CB15" s="35"/>
      <c r="CC15" s="35"/>
      <c r="CD15" s="35">
        <v>29.56</v>
      </c>
      <c r="CE15" s="35"/>
      <c r="CF15" s="28">
        <f t="shared" si="32"/>
        <v>146.63999999999999</v>
      </c>
      <c r="CG15" s="30"/>
      <c r="CH15" s="30"/>
      <c r="CI15" s="32"/>
      <c r="CJ15" s="33">
        <v>1.43</v>
      </c>
      <c r="CK15" s="33"/>
      <c r="CL15" s="33"/>
      <c r="CM15" s="36"/>
      <c r="CN15" s="286"/>
      <c r="CO15" s="249">
        <f t="shared" si="13"/>
        <v>0</v>
      </c>
      <c r="CP15" s="12">
        <f t="shared" si="13"/>
        <v>162.65483360000002</v>
      </c>
      <c r="CQ15" s="12">
        <f t="shared" si="13"/>
        <v>58.674945000000008</v>
      </c>
      <c r="CR15" s="17">
        <f t="shared" si="13"/>
        <v>0</v>
      </c>
      <c r="CS15" s="11">
        <f t="shared" si="13"/>
        <v>0</v>
      </c>
      <c r="CT15" s="11">
        <f t="shared" si="13"/>
        <v>13.720281</v>
      </c>
      <c r="CU15" s="272">
        <f t="shared" si="13"/>
        <v>0</v>
      </c>
      <c r="CV15" s="249">
        <f t="shared" si="14"/>
        <v>144.54304799999997</v>
      </c>
      <c r="CW15" s="12">
        <f t="shared" si="14"/>
        <v>0</v>
      </c>
      <c r="CX15" s="249">
        <f t="shared" si="14"/>
        <v>0</v>
      </c>
      <c r="CY15" s="274">
        <f t="shared" si="14"/>
        <v>0</v>
      </c>
      <c r="CZ15" s="13"/>
      <c r="DA15" s="240">
        <f>(D15+'[2]июнь 20'!D15)/(AY15+'[2]июнь 20'!AX15)</f>
        <v>2.1692914260249556</v>
      </c>
      <c r="DB15" s="241">
        <f>(T15+'[2]июнь 20'!R15)/(AY15+'[2]июнь 20'!AX15)</f>
        <v>1.304789452796556</v>
      </c>
      <c r="DD15" s="292">
        <f t="shared" si="15"/>
        <v>9.0180000000000007</v>
      </c>
      <c r="DE15" s="291">
        <v>0.45</v>
      </c>
      <c r="DF15" s="291">
        <v>20.39</v>
      </c>
      <c r="DG15" s="145">
        <f t="shared" si="16"/>
        <v>8.9774189999999994</v>
      </c>
      <c r="DH15" s="293">
        <f t="shared" si="33"/>
        <v>2.4686388861766684</v>
      </c>
      <c r="DJ15" s="38"/>
      <c r="DK15" s="42">
        <v>108.17700000000001</v>
      </c>
      <c r="DM15" s="460">
        <f t="shared" si="34"/>
        <v>163.17700000000002</v>
      </c>
      <c r="DO15" s="38">
        <v>133.63999999999999</v>
      </c>
      <c r="DP15" s="460">
        <f t="shared" si="35"/>
        <v>146.63999999999999</v>
      </c>
    </row>
    <row r="16" spans="1:120" s="76" customFormat="1" ht="16.5" customHeight="1" thickBot="1">
      <c r="A16" s="144">
        <v>10</v>
      </c>
      <c r="B16" s="122">
        <f t="shared" si="17"/>
        <v>246.15600000000001</v>
      </c>
      <c r="C16" s="123">
        <f t="shared" si="18"/>
        <v>0.29891255951510431</v>
      </c>
      <c r="D16" s="145">
        <f t="shared" si="19"/>
        <v>245.42020880000001</v>
      </c>
      <c r="E16" s="125">
        <f t="shared" si="20"/>
        <v>37.626947423585044</v>
      </c>
      <c r="F16" s="146">
        <f t="shared" si="0"/>
        <v>2.4172186427656848</v>
      </c>
      <c r="G16" s="127"/>
      <c r="H16" s="126">
        <f t="shared" si="21"/>
        <v>2.4172186427656848</v>
      </c>
      <c r="I16" s="230">
        <f>'[1]июль 20'!AI15</f>
        <v>0</v>
      </c>
      <c r="J16" s="247">
        <f>'[1]июнь 20'!AA15</f>
        <v>8.9670000000000005</v>
      </c>
      <c r="K16" s="464">
        <f>'[1]сентябрь 20'!AM15</f>
        <v>0</v>
      </c>
      <c r="L16" s="247"/>
      <c r="M16" s="468">
        <f t="shared" si="22"/>
        <v>0</v>
      </c>
      <c r="N16" s="403">
        <f>'[1]июнь 20'!W15</f>
        <v>0</v>
      </c>
      <c r="O16" s="403">
        <f>'[1]июнь 20'!AU15</f>
        <v>0</v>
      </c>
      <c r="P16" s="401">
        <f t="shared" si="1"/>
        <v>149.464</v>
      </c>
      <c r="Q16" s="122">
        <f t="shared" si="23"/>
        <v>149.464</v>
      </c>
      <c r="R16" s="123">
        <f t="shared" si="24"/>
        <v>1.42</v>
      </c>
      <c r="S16" s="129">
        <v>17.18</v>
      </c>
      <c r="T16" s="125">
        <f t="shared" si="2"/>
        <v>147.34161119999999</v>
      </c>
      <c r="U16" s="147">
        <f t="shared" si="3"/>
        <v>1.4512125598345313</v>
      </c>
      <c r="V16" s="130">
        <v>51.3</v>
      </c>
      <c r="W16" s="130">
        <v>101.53</v>
      </c>
      <c r="X16" s="129">
        <v>0.54</v>
      </c>
      <c r="Y16" s="131">
        <v>524</v>
      </c>
      <c r="Z16" s="150">
        <v>1152</v>
      </c>
      <c r="AA16" s="148" t="s">
        <v>305</v>
      </c>
      <c r="AB16" s="149">
        <v>74.94</v>
      </c>
      <c r="AC16" s="150">
        <v>91</v>
      </c>
      <c r="AD16" s="151">
        <v>4</v>
      </c>
      <c r="AE16" s="149">
        <v>2.5499999999999998</v>
      </c>
      <c r="AF16" s="134">
        <f t="shared" si="4"/>
        <v>25.115729341081448</v>
      </c>
      <c r="AG16" s="152"/>
      <c r="AH16" s="129">
        <v>66.099999999999994</v>
      </c>
      <c r="AI16" s="134">
        <f t="shared" si="5"/>
        <v>651.03910174332691</v>
      </c>
      <c r="AJ16" s="153">
        <v>13.89</v>
      </c>
      <c r="AK16" s="154"/>
      <c r="AL16" s="155">
        <v>3.31</v>
      </c>
      <c r="AM16" s="156">
        <v>31.52</v>
      </c>
      <c r="AN16" s="126">
        <f t="shared" si="25"/>
        <v>0.23382789317507416</v>
      </c>
      <c r="AO16" s="157" t="s">
        <v>306</v>
      </c>
      <c r="AP16" s="156">
        <v>9.25</v>
      </c>
      <c r="AQ16" s="156">
        <v>7.5</v>
      </c>
      <c r="AR16" s="149"/>
      <c r="AS16" s="149">
        <v>7.03</v>
      </c>
      <c r="AT16" s="149">
        <v>134.80000000000001</v>
      </c>
      <c r="AU16" s="149">
        <v>1.56</v>
      </c>
      <c r="AV16" s="149"/>
      <c r="AW16" s="149"/>
      <c r="AX16" s="158">
        <f t="shared" si="6"/>
        <v>0</v>
      </c>
      <c r="AY16" s="125">
        <f t="shared" si="7"/>
        <v>101.53000000000002</v>
      </c>
      <c r="AZ16" s="125">
        <f t="shared" si="26"/>
        <v>109.20080916901655</v>
      </c>
      <c r="BA16" s="159">
        <f t="shared" si="8"/>
        <v>3.5996570422535208</v>
      </c>
      <c r="BB16" s="160">
        <f t="shared" si="9"/>
        <v>4.0612000000000004</v>
      </c>
      <c r="BC16" s="161">
        <f t="shared" si="10"/>
        <v>0.82394603299816283</v>
      </c>
      <c r="BD16" s="160">
        <f t="shared" si="27"/>
        <v>7.6608570422535216</v>
      </c>
      <c r="BE16" s="162">
        <v>0.90600000000000003</v>
      </c>
      <c r="BF16" s="25">
        <f t="shared" si="28"/>
        <v>1059.1699999999998</v>
      </c>
      <c r="BG16" s="25">
        <f t="shared" si="11"/>
        <v>110</v>
      </c>
      <c r="BH16" s="25">
        <f t="shared" si="29"/>
        <v>1100</v>
      </c>
      <c r="BI16" s="26">
        <f t="shared" si="12"/>
        <v>1</v>
      </c>
      <c r="BJ16" s="37">
        <f t="shared" si="30"/>
        <v>1100</v>
      </c>
      <c r="BK16" s="38"/>
      <c r="BL16" s="28">
        <f t="shared" si="31"/>
        <v>168.82900000000001</v>
      </c>
      <c r="BM16" s="31">
        <v>63.774999999999999</v>
      </c>
      <c r="BN16" s="234"/>
      <c r="BO16" s="42"/>
      <c r="BP16" s="40">
        <v>13.552</v>
      </c>
      <c r="BQ16" s="32"/>
      <c r="BR16" s="33"/>
      <c r="BS16" s="34">
        <v>0.28000000000000003</v>
      </c>
      <c r="BT16" s="35">
        <v>0.2</v>
      </c>
      <c r="BU16" s="28"/>
      <c r="BV16" s="287"/>
      <c r="BW16" s="287">
        <v>1</v>
      </c>
      <c r="BX16" s="36"/>
      <c r="BY16" s="33"/>
      <c r="BZ16" s="34">
        <v>37.42</v>
      </c>
      <c r="CA16" s="35">
        <v>39.43</v>
      </c>
      <c r="CB16" s="405"/>
      <c r="CC16" s="404"/>
      <c r="CD16" s="235">
        <v>31.72</v>
      </c>
      <c r="CE16" s="36"/>
      <c r="CF16" s="28">
        <f t="shared" si="32"/>
        <v>149.464</v>
      </c>
      <c r="CG16" s="30"/>
      <c r="CH16" s="30"/>
      <c r="CI16" s="32"/>
      <c r="CJ16" s="33">
        <v>1.42</v>
      </c>
      <c r="CK16" s="33"/>
      <c r="CL16" s="33"/>
      <c r="CM16" s="36"/>
      <c r="CN16" s="286"/>
      <c r="CO16" s="249">
        <f t="shared" si="13"/>
        <v>0</v>
      </c>
      <c r="CP16" s="12">
        <f t="shared" si="13"/>
        <v>168.35627880000001</v>
      </c>
      <c r="CQ16" s="12">
        <f t="shared" si="13"/>
        <v>63.647449999999999</v>
      </c>
      <c r="CR16" s="11">
        <f t="shared" si="13"/>
        <v>0</v>
      </c>
      <c r="CS16" s="11">
        <f t="shared" si="13"/>
        <v>0</v>
      </c>
      <c r="CT16" s="11">
        <f t="shared" si="13"/>
        <v>13.41648</v>
      </c>
      <c r="CU16" s="272">
        <f t="shared" si="13"/>
        <v>0</v>
      </c>
      <c r="CV16" s="249">
        <f t="shared" si="14"/>
        <v>147.34161119999999</v>
      </c>
      <c r="CW16" s="12">
        <f t="shared" si="14"/>
        <v>0</v>
      </c>
      <c r="CX16" s="249">
        <f t="shared" si="14"/>
        <v>0</v>
      </c>
      <c r="CY16" s="272">
        <f t="shared" si="14"/>
        <v>0</v>
      </c>
      <c r="CZ16" s="13"/>
      <c r="DA16" s="240">
        <f>(D16+'[2]июнь 20'!D16)/(AY16+'[2]июнь 20'!AX16)</f>
        <v>2.2683470331103104</v>
      </c>
      <c r="DB16" s="241">
        <f>(T16+'[2]июнь 20'!R16)/(AY16+'[2]июнь 20'!AX16)</f>
        <v>1.3453820936695828</v>
      </c>
      <c r="DD16" s="292">
        <f t="shared" si="15"/>
        <v>8.9670000000000005</v>
      </c>
      <c r="DE16" s="291">
        <v>7.0000000000000007E-2</v>
      </c>
      <c r="DF16" s="291">
        <v>13.6</v>
      </c>
      <c r="DG16" s="145">
        <f t="shared" si="16"/>
        <v>8.9607231000000009</v>
      </c>
      <c r="DH16" s="293">
        <f t="shared" si="33"/>
        <v>1.6261787317854288</v>
      </c>
      <c r="DJ16" s="38"/>
      <c r="DK16" s="31">
        <v>113.82899999999999</v>
      </c>
      <c r="DM16" s="460">
        <f t="shared" si="34"/>
        <v>168.82900000000001</v>
      </c>
      <c r="DO16" s="38">
        <v>136.464</v>
      </c>
      <c r="DP16" s="460">
        <f t="shared" si="35"/>
        <v>149.464</v>
      </c>
    </row>
    <row r="17" spans="1:120" s="76" customFormat="1" ht="16.5" customHeight="1" thickBot="1">
      <c r="A17" s="144">
        <v>11</v>
      </c>
      <c r="B17" s="122">
        <f t="shared" si="17"/>
        <v>241.79499999999999</v>
      </c>
      <c r="C17" s="123">
        <f t="shared" si="18"/>
        <v>0.43583064165925689</v>
      </c>
      <c r="D17" s="145">
        <f t="shared" si="19"/>
        <v>240.74118329999999</v>
      </c>
      <c r="E17" s="125">
        <f t="shared" si="20"/>
        <v>37.499210653652881</v>
      </c>
      <c r="F17" s="146">
        <f t="shared" si="0"/>
        <v>2.4818678690721647</v>
      </c>
      <c r="G17" s="127">
        <v>13.32</v>
      </c>
      <c r="H17" s="126">
        <f t="shared" si="21"/>
        <v>2.4818678690721647</v>
      </c>
      <c r="I17" s="230">
        <f>'[1]июль 20'!AI16</f>
        <v>0</v>
      </c>
      <c r="J17" s="247">
        <f>'[1]июнь 20'!AA16</f>
        <v>10.555999999999999</v>
      </c>
      <c r="K17" s="465">
        <f>'[1]сентябрь 20'!AM16</f>
        <v>0</v>
      </c>
      <c r="L17" s="247"/>
      <c r="M17" s="469">
        <f t="shared" si="22"/>
        <v>0</v>
      </c>
      <c r="N17" s="403">
        <f>'[1]июнь 20'!W16</f>
        <v>0</v>
      </c>
      <c r="O17" s="403">
        <f>'[1]июнь 20'!AU16</f>
        <v>0</v>
      </c>
      <c r="P17" s="401">
        <f t="shared" si="1"/>
        <v>146.041</v>
      </c>
      <c r="Q17" s="122">
        <f t="shared" si="23"/>
        <v>146.041</v>
      </c>
      <c r="R17" s="123">
        <f t="shared" si="24"/>
        <v>1.43</v>
      </c>
      <c r="S17" s="129">
        <v>2.5099999999999998</v>
      </c>
      <c r="T17" s="125">
        <f t="shared" si="2"/>
        <v>143.95261369999997</v>
      </c>
      <c r="U17" s="147">
        <f t="shared" si="3"/>
        <v>1.4840475639175255</v>
      </c>
      <c r="V17" s="130">
        <v>78.19</v>
      </c>
      <c r="W17" s="130">
        <v>97</v>
      </c>
      <c r="X17" s="129">
        <v>0.5</v>
      </c>
      <c r="Y17" s="131">
        <v>502</v>
      </c>
      <c r="Z17" s="150">
        <v>1139</v>
      </c>
      <c r="AA17" s="148" t="s">
        <v>307</v>
      </c>
      <c r="AB17" s="149">
        <v>75.430000000000007</v>
      </c>
      <c r="AC17" s="150">
        <v>89</v>
      </c>
      <c r="AD17" s="151">
        <v>4</v>
      </c>
      <c r="AE17" s="149">
        <v>5</v>
      </c>
      <c r="AF17" s="134">
        <f t="shared" si="4"/>
        <v>51.546391752577314</v>
      </c>
      <c r="AG17" s="152"/>
      <c r="AH17" s="129">
        <v>63.7</v>
      </c>
      <c r="AI17" s="134">
        <f t="shared" si="5"/>
        <v>656.70103092783506</v>
      </c>
      <c r="AJ17" s="136">
        <v>16.77</v>
      </c>
      <c r="AK17" s="154"/>
      <c r="AL17" s="155">
        <v>4.58</v>
      </c>
      <c r="AM17" s="156">
        <v>30.03</v>
      </c>
      <c r="AN17" s="126">
        <f t="shared" si="25"/>
        <v>0.22967495219885278</v>
      </c>
      <c r="AO17" s="157" t="s">
        <v>308</v>
      </c>
      <c r="AP17" s="156">
        <v>8.9499999999999993</v>
      </c>
      <c r="AQ17" s="156">
        <v>7.43</v>
      </c>
      <c r="AR17" s="149"/>
      <c r="AS17" s="149">
        <v>7.31</v>
      </c>
      <c r="AT17" s="149">
        <v>130.75</v>
      </c>
      <c r="AU17" s="149">
        <v>0.86</v>
      </c>
      <c r="AV17" s="149"/>
      <c r="AW17" s="149"/>
      <c r="AX17" s="158">
        <f t="shared" si="6"/>
        <v>0</v>
      </c>
      <c r="AY17" s="125">
        <f t="shared" si="7"/>
        <v>97</v>
      </c>
      <c r="AZ17" s="125">
        <f t="shared" si="26"/>
        <v>106.18700993424584</v>
      </c>
      <c r="BA17" s="159">
        <f t="shared" si="8"/>
        <v>3.6071246478873236</v>
      </c>
      <c r="BB17" s="160">
        <f t="shared" si="9"/>
        <v>3.88</v>
      </c>
      <c r="BC17" s="161">
        <f t="shared" si="10"/>
        <v>0.81048190859020974</v>
      </c>
      <c r="BD17" s="160">
        <f t="shared" si="27"/>
        <v>7.4871246478873239</v>
      </c>
      <c r="BE17" s="162">
        <v>0.89700000000000002</v>
      </c>
      <c r="BF17" s="25">
        <f t="shared" si="28"/>
        <v>1156.1699999999998</v>
      </c>
      <c r="BG17" s="25">
        <f t="shared" si="11"/>
        <v>110</v>
      </c>
      <c r="BH17" s="25">
        <f t="shared" si="29"/>
        <v>1210</v>
      </c>
      <c r="BI17" s="26">
        <f t="shared" si="12"/>
        <v>1</v>
      </c>
      <c r="BJ17" s="37">
        <f t="shared" si="30"/>
        <v>1210</v>
      </c>
      <c r="BK17" s="39"/>
      <c r="BL17" s="28">
        <f t="shared" si="31"/>
        <v>166.26</v>
      </c>
      <c r="BM17" s="31">
        <v>62.353000000000002</v>
      </c>
      <c r="BN17" s="234"/>
      <c r="BO17" s="42"/>
      <c r="BP17" s="40">
        <v>13.182</v>
      </c>
      <c r="BQ17" s="32"/>
      <c r="BR17" s="33"/>
      <c r="BS17" s="34">
        <v>0.46</v>
      </c>
      <c r="BT17" s="35">
        <v>0.25</v>
      </c>
      <c r="BU17" s="28"/>
      <c r="BV17" s="287"/>
      <c r="BW17" s="287">
        <v>1.01</v>
      </c>
      <c r="BX17" s="36"/>
      <c r="BY17" s="33"/>
      <c r="BZ17" s="34">
        <v>37.01</v>
      </c>
      <c r="CA17" s="35">
        <v>39.479999999999997</v>
      </c>
      <c r="CB17" s="405"/>
      <c r="CC17" s="404"/>
      <c r="CD17" s="235">
        <v>34.299999999999997</v>
      </c>
      <c r="CE17" s="36"/>
      <c r="CF17" s="28">
        <f t="shared" si="32"/>
        <v>146.041</v>
      </c>
      <c r="CG17" s="42"/>
      <c r="CH17" s="234"/>
      <c r="CI17" s="233"/>
      <c r="CJ17" s="33">
        <v>1.43</v>
      </c>
      <c r="CK17" s="33"/>
      <c r="CL17" s="33"/>
      <c r="CM17" s="36"/>
      <c r="CN17" s="286"/>
      <c r="CO17" s="249">
        <f t="shared" si="13"/>
        <v>0</v>
      </c>
      <c r="CP17" s="12">
        <f t="shared" si="13"/>
        <v>165.495204</v>
      </c>
      <c r="CQ17" s="12">
        <f t="shared" si="13"/>
        <v>62.197117500000004</v>
      </c>
      <c r="CR17" s="12">
        <f t="shared" si="13"/>
        <v>0</v>
      </c>
      <c r="CS17" s="11">
        <f t="shared" si="13"/>
        <v>0</v>
      </c>
      <c r="CT17" s="11">
        <f t="shared" si="13"/>
        <v>13.048861800000001</v>
      </c>
      <c r="CU17" s="272">
        <f t="shared" si="13"/>
        <v>0</v>
      </c>
      <c r="CV17" s="249">
        <f t="shared" si="14"/>
        <v>143.95261369999997</v>
      </c>
      <c r="CW17" s="12">
        <f t="shared" si="14"/>
        <v>0</v>
      </c>
      <c r="CX17" s="254">
        <f t="shared" si="14"/>
        <v>0</v>
      </c>
      <c r="CY17" s="272">
        <f t="shared" si="14"/>
        <v>0</v>
      </c>
      <c r="CZ17" s="13"/>
      <c r="DA17" s="240">
        <f>(D17+'[2]июнь 20'!D17)/(AY17+'[2]июнь 20'!AX17)</f>
        <v>2.3827327688861595</v>
      </c>
      <c r="DB17" s="241">
        <f>(T17+'[2]июнь 20'!R17)/(AY17+'[2]июнь 20'!AX17)</f>
        <v>1.4052263943784098</v>
      </c>
      <c r="DD17" s="292">
        <f t="shared" si="15"/>
        <v>10.555999999999999</v>
      </c>
      <c r="DE17" s="291">
        <v>7.0000000000000007E-2</v>
      </c>
      <c r="DF17" s="291">
        <v>12.19</v>
      </c>
      <c r="DG17" s="145">
        <f t="shared" si="16"/>
        <v>10.548610800000001</v>
      </c>
      <c r="DH17" s="293">
        <f t="shared" si="33"/>
        <v>1.7047271066154048</v>
      </c>
      <c r="DJ17" s="39"/>
      <c r="DK17" s="31">
        <v>111.26</v>
      </c>
      <c r="DM17" s="460">
        <f t="shared" si="34"/>
        <v>166.26</v>
      </c>
      <c r="DO17" s="38">
        <v>133.041</v>
      </c>
      <c r="DP17" s="460">
        <f t="shared" si="35"/>
        <v>146.041</v>
      </c>
    </row>
    <row r="18" spans="1:120" s="76" customFormat="1" ht="16.5" customHeight="1" thickBot="1">
      <c r="A18" s="144">
        <v>12</v>
      </c>
      <c r="B18" s="122">
        <f t="shared" si="17"/>
        <v>248.23099999999999</v>
      </c>
      <c r="C18" s="123">
        <f t="shared" si="18"/>
        <v>0.40142508389363135</v>
      </c>
      <c r="D18" s="145">
        <f t="shared" si="19"/>
        <v>247.23453850000001</v>
      </c>
      <c r="E18" s="125">
        <f t="shared" si="20"/>
        <v>37.211890658298117</v>
      </c>
      <c r="F18" s="146">
        <f t="shared" si="0"/>
        <v>2.3447888704476481</v>
      </c>
      <c r="G18" s="127"/>
      <c r="H18" s="126">
        <f t="shared" si="21"/>
        <v>2.3447888704476481</v>
      </c>
      <c r="I18" s="230">
        <f>'[1]июль 20'!AI17</f>
        <v>0</v>
      </c>
      <c r="J18" s="247">
        <f>'[1]июнь 20'!AA17</f>
        <v>9.2029999999999994</v>
      </c>
      <c r="K18" s="464">
        <f>'[1]сентябрь 20'!AM17</f>
        <v>0</v>
      </c>
      <c r="L18" s="247"/>
      <c r="M18" s="468">
        <f t="shared" si="22"/>
        <v>0</v>
      </c>
      <c r="N18" s="403">
        <f>'[1]июнь 20'!W17</f>
        <v>0</v>
      </c>
      <c r="O18" s="403">
        <f>'[1]июнь 20'!AU17</f>
        <v>0</v>
      </c>
      <c r="P18" s="401">
        <f t="shared" si="1"/>
        <v>151.53899999999999</v>
      </c>
      <c r="Q18" s="122">
        <f t="shared" si="23"/>
        <v>151.53899999999999</v>
      </c>
      <c r="R18" s="123">
        <f t="shared" si="24"/>
        <v>1.41</v>
      </c>
      <c r="S18" s="129">
        <v>17.32</v>
      </c>
      <c r="T18" s="125">
        <f t="shared" si="2"/>
        <v>149.40230009999999</v>
      </c>
      <c r="U18" s="147">
        <f t="shared" si="3"/>
        <v>1.4169413894157814</v>
      </c>
      <c r="V18" s="130">
        <v>54.47</v>
      </c>
      <c r="W18" s="130">
        <v>180.25</v>
      </c>
      <c r="X18" s="129">
        <v>0.56999999999999995</v>
      </c>
      <c r="Y18" s="131">
        <v>501</v>
      </c>
      <c r="Z18" s="150">
        <v>1137</v>
      </c>
      <c r="AA18" s="148" t="s">
        <v>276</v>
      </c>
      <c r="AB18" s="149">
        <v>75.06</v>
      </c>
      <c r="AC18" s="150">
        <v>92</v>
      </c>
      <c r="AD18" s="151">
        <v>4</v>
      </c>
      <c r="AE18" s="149">
        <v>2.7</v>
      </c>
      <c r="AF18" s="134">
        <f t="shared" si="4"/>
        <v>25.606980273141126</v>
      </c>
      <c r="AG18" s="152"/>
      <c r="AH18" s="129">
        <v>71.3</v>
      </c>
      <c r="AI18" s="134">
        <f t="shared" si="5"/>
        <v>676.21396054628224</v>
      </c>
      <c r="AJ18" s="153">
        <v>14.27</v>
      </c>
      <c r="AK18" s="154"/>
      <c r="AL18" s="155">
        <v>4.96</v>
      </c>
      <c r="AM18" s="156">
        <v>30.94</v>
      </c>
      <c r="AN18" s="126">
        <f t="shared" si="25"/>
        <v>0.22060606060606061</v>
      </c>
      <c r="AO18" s="157" t="s">
        <v>309</v>
      </c>
      <c r="AP18" s="156">
        <v>8.82</v>
      </c>
      <c r="AQ18" s="156">
        <v>7.56</v>
      </c>
      <c r="AR18" s="151"/>
      <c r="AS18" s="149">
        <v>7.94</v>
      </c>
      <c r="AT18" s="149">
        <v>140.25</v>
      </c>
      <c r="AU18" s="149">
        <v>1.0900000000000001</v>
      </c>
      <c r="AV18" s="149"/>
      <c r="AW18" s="149"/>
      <c r="AX18" s="158">
        <f t="shared" si="6"/>
        <v>0</v>
      </c>
      <c r="AY18" s="125">
        <f t="shared" si="7"/>
        <v>105.44</v>
      </c>
      <c r="AZ18" s="125">
        <f t="shared" si="26"/>
        <v>108.98354947943596</v>
      </c>
      <c r="BA18" s="159">
        <f t="shared" si="8"/>
        <v>4.3854521126760559</v>
      </c>
      <c r="BB18" s="160">
        <f t="shared" si="9"/>
        <v>4.2176</v>
      </c>
      <c r="BC18" s="161">
        <f t="shared" si="10"/>
        <v>0.86024682786316464</v>
      </c>
      <c r="BD18" s="160">
        <f t="shared" si="27"/>
        <v>8.6030521126760569</v>
      </c>
      <c r="BE18" s="162">
        <v>0.89400000000000002</v>
      </c>
      <c r="BF18" s="25">
        <f t="shared" si="28"/>
        <v>1261.6099999999999</v>
      </c>
      <c r="BG18" s="25">
        <f t="shared" si="11"/>
        <v>110</v>
      </c>
      <c r="BH18" s="25">
        <f t="shared" si="29"/>
        <v>1320</v>
      </c>
      <c r="BI18" s="26">
        <f t="shared" si="12"/>
        <v>1</v>
      </c>
      <c r="BJ18" s="37">
        <f t="shared" si="30"/>
        <v>1320</v>
      </c>
      <c r="BK18" s="38"/>
      <c r="BL18" s="28">
        <f t="shared" si="31"/>
        <v>169.952</v>
      </c>
      <c r="BM18" s="31">
        <v>64.456999999999994</v>
      </c>
      <c r="BN18" s="234"/>
      <c r="BO18" s="42"/>
      <c r="BP18" s="40">
        <v>13.821999999999999</v>
      </c>
      <c r="BQ18" s="411"/>
      <c r="BR18" s="41"/>
      <c r="BS18" s="34">
        <v>0.44</v>
      </c>
      <c r="BT18" s="35">
        <v>0.27</v>
      </c>
      <c r="BU18" s="28"/>
      <c r="BV18" s="287"/>
      <c r="BW18" s="287">
        <v>0.54</v>
      </c>
      <c r="BX18" s="36"/>
      <c r="BY18" s="34"/>
      <c r="BZ18" s="34">
        <v>37.29</v>
      </c>
      <c r="CA18" s="35">
        <v>38.130000000000003</v>
      </c>
      <c r="CB18" s="405"/>
      <c r="CC18" s="404"/>
      <c r="CD18" s="235">
        <v>31.97</v>
      </c>
      <c r="CE18" s="405"/>
      <c r="CF18" s="28">
        <f t="shared" si="32"/>
        <v>151.53899999999999</v>
      </c>
      <c r="CG18" s="42"/>
      <c r="CH18" s="234"/>
      <c r="CI18" s="233"/>
      <c r="CJ18" s="33">
        <v>1.41</v>
      </c>
      <c r="CK18" s="33"/>
      <c r="CL18" s="33"/>
      <c r="CM18" s="36"/>
      <c r="CN18" s="286"/>
      <c r="CO18" s="249">
        <f t="shared" si="13"/>
        <v>0</v>
      </c>
      <c r="CP18" s="12">
        <f t="shared" si="13"/>
        <v>169.2042112</v>
      </c>
      <c r="CQ18" s="12">
        <f t="shared" si="13"/>
        <v>64.282966099999996</v>
      </c>
      <c r="CR18" s="12">
        <f t="shared" si="13"/>
        <v>0</v>
      </c>
      <c r="CS18" s="11">
        <f t="shared" si="13"/>
        <v>0</v>
      </c>
      <c r="CT18" s="11">
        <f t="shared" si="13"/>
        <v>13.747361199999999</v>
      </c>
      <c r="CU18" s="272">
        <f t="shared" si="13"/>
        <v>0</v>
      </c>
      <c r="CV18" s="249">
        <f t="shared" si="14"/>
        <v>149.40230009999999</v>
      </c>
      <c r="CW18" s="11">
        <f t="shared" si="14"/>
        <v>0</v>
      </c>
      <c r="CX18" s="249">
        <f t="shared" si="14"/>
        <v>0</v>
      </c>
      <c r="CY18" s="272">
        <f t="shared" si="14"/>
        <v>0</v>
      </c>
      <c r="CZ18" s="13"/>
      <c r="DA18" s="240">
        <f>(D18+'[2]июнь 20'!D18)/(AY18+'[2]июнь 20'!AX18)</f>
        <v>2.3599582715530816</v>
      </c>
      <c r="DB18" s="241">
        <f>(T18+'[2]июнь 20'!R18)/(AY18+'[2]июнь 20'!AX18)</f>
        <v>1.3985169242885644</v>
      </c>
      <c r="DD18" s="292">
        <f t="shared" si="15"/>
        <v>9.2029999999999994</v>
      </c>
      <c r="DE18" s="291">
        <v>0.11</v>
      </c>
      <c r="DF18" s="291">
        <v>16.170000000000002</v>
      </c>
      <c r="DG18" s="145">
        <f t="shared" si="16"/>
        <v>9.1928766999999993</v>
      </c>
      <c r="DH18" s="293">
        <f t="shared" si="33"/>
        <v>1.9803998966027176</v>
      </c>
      <c r="DJ18" s="38"/>
      <c r="DK18" s="31">
        <v>114.952</v>
      </c>
      <c r="DM18" s="460">
        <f t="shared" si="34"/>
        <v>169.952</v>
      </c>
      <c r="DO18" s="38">
        <v>138.53899999999999</v>
      </c>
      <c r="DP18" s="460">
        <f t="shared" si="35"/>
        <v>151.53899999999999</v>
      </c>
    </row>
    <row r="19" spans="1:120" s="76" customFormat="1" ht="16.5" customHeight="1" thickBot="1">
      <c r="A19" s="144">
        <v>13</v>
      </c>
      <c r="B19" s="122">
        <f t="shared" si="17"/>
        <v>239.76</v>
      </c>
      <c r="C19" s="123">
        <f t="shared" si="18"/>
        <v>0.58718647814481162</v>
      </c>
      <c r="D19" s="145">
        <f t="shared" si="19"/>
        <v>238.35216169999998</v>
      </c>
      <c r="E19" s="125">
        <f t="shared" si="20"/>
        <v>36.990149441107775</v>
      </c>
      <c r="F19" s="146">
        <f t="shared" si="0"/>
        <v>2.3064850174182316</v>
      </c>
      <c r="G19" s="127"/>
      <c r="H19" s="126">
        <f t="shared" si="21"/>
        <v>2.3064850174182316</v>
      </c>
      <c r="I19" s="230">
        <f>'[1]июль 20'!AI18</f>
        <v>0</v>
      </c>
      <c r="J19" s="247">
        <f>'[1]июнь 20'!AA18</f>
        <v>8.7070000000000007</v>
      </c>
      <c r="K19" s="465">
        <f>'[1]сентябрь 20'!AM18</f>
        <v>0</v>
      </c>
      <c r="L19" s="247"/>
      <c r="M19" s="469">
        <f t="shared" si="22"/>
        <v>0</v>
      </c>
      <c r="N19" s="403">
        <f>'[1]июнь 20'!W18</f>
        <v>0</v>
      </c>
      <c r="O19" s="403">
        <f>'[1]июнь 20'!AU18</f>
        <v>0</v>
      </c>
      <c r="P19" s="401">
        <f t="shared" si="1"/>
        <v>145.059</v>
      </c>
      <c r="Q19" s="122">
        <f t="shared" si="23"/>
        <v>145.059</v>
      </c>
      <c r="R19" s="123">
        <f t="shared" si="24"/>
        <v>1.42</v>
      </c>
      <c r="S19" s="129">
        <v>16.899999999999999</v>
      </c>
      <c r="T19" s="125">
        <f t="shared" si="2"/>
        <v>142.9991622</v>
      </c>
      <c r="U19" s="147">
        <f t="shared" si="3"/>
        <v>1.3837735842848853</v>
      </c>
      <c r="V19" s="130">
        <v>78.23</v>
      </c>
      <c r="W19" s="130">
        <v>103.34</v>
      </c>
      <c r="X19" s="129">
        <v>0.57999999999999996</v>
      </c>
      <c r="Y19" s="131">
        <v>509</v>
      </c>
      <c r="Z19" s="150">
        <v>1152</v>
      </c>
      <c r="AA19" s="148" t="s">
        <v>301</v>
      </c>
      <c r="AB19" s="149">
        <v>75.41</v>
      </c>
      <c r="AC19" s="150">
        <v>88</v>
      </c>
      <c r="AD19" s="151">
        <v>4</v>
      </c>
      <c r="AE19" s="149">
        <v>0.9</v>
      </c>
      <c r="AF19" s="134">
        <f t="shared" si="4"/>
        <v>8.7091155409328458</v>
      </c>
      <c r="AG19" s="152"/>
      <c r="AH19" s="129">
        <v>68.45</v>
      </c>
      <c r="AI19" s="134">
        <f t="shared" si="5"/>
        <v>662.37662086317027</v>
      </c>
      <c r="AJ19" s="136">
        <v>14.29</v>
      </c>
      <c r="AK19" s="154"/>
      <c r="AL19" s="155">
        <v>4.8600000000000003</v>
      </c>
      <c r="AM19" s="156">
        <v>29.33</v>
      </c>
      <c r="AN19" s="126">
        <f t="shared" si="25"/>
        <v>0.21534508076358297</v>
      </c>
      <c r="AO19" s="157" t="s">
        <v>153</v>
      </c>
      <c r="AP19" s="156">
        <v>8.94</v>
      </c>
      <c r="AQ19" s="156">
        <v>7.31</v>
      </c>
      <c r="AR19" s="151"/>
      <c r="AS19" s="149">
        <v>7.62</v>
      </c>
      <c r="AT19" s="149">
        <v>136.19999999999999</v>
      </c>
      <c r="AU19" s="149">
        <v>1.33</v>
      </c>
      <c r="AV19" s="164"/>
      <c r="AW19" s="149"/>
      <c r="AX19" s="158">
        <f t="shared" si="6"/>
        <v>0</v>
      </c>
      <c r="AY19" s="125">
        <f t="shared" si="7"/>
        <v>103.33999999999997</v>
      </c>
      <c r="AZ19" s="125">
        <f t="shared" si="26"/>
        <v>107.02050742052161</v>
      </c>
      <c r="BA19" s="159">
        <f t="shared" si="8"/>
        <v>4.0404781690140847</v>
      </c>
      <c r="BB19" s="160">
        <f t="shared" si="9"/>
        <v>4.1335999999999995</v>
      </c>
      <c r="BC19" s="161">
        <f t="shared" si="10"/>
        <v>0.88387778174368925</v>
      </c>
      <c r="BD19" s="160">
        <f t="shared" si="27"/>
        <v>8.1740781690140842</v>
      </c>
      <c r="BE19" s="162">
        <v>0.89300000000000002</v>
      </c>
      <c r="BF19" s="25">
        <f t="shared" si="28"/>
        <v>1364.9499999999998</v>
      </c>
      <c r="BG19" s="25">
        <f t="shared" si="11"/>
        <v>110</v>
      </c>
      <c r="BH19" s="25">
        <f t="shared" si="29"/>
        <v>1430</v>
      </c>
      <c r="BI19" s="26">
        <f t="shared" si="12"/>
        <v>1</v>
      </c>
      <c r="BJ19" s="37">
        <f t="shared" si="30"/>
        <v>1430</v>
      </c>
      <c r="BK19" s="38"/>
      <c r="BL19" s="28">
        <f t="shared" si="31"/>
        <v>165.006</v>
      </c>
      <c r="BM19" s="31">
        <v>61.606999999999999</v>
      </c>
      <c r="BN19" s="234"/>
      <c r="BO19" s="42"/>
      <c r="BP19" s="40">
        <v>13.147</v>
      </c>
      <c r="BQ19" s="411"/>
      <c r="BR19" s="33"/>
      <c r="BS19" s="34">
        <v>0.53</v>
      </c>
      <c r="BT19" s="35">
        <v>0.68</v>
      </c>
      <c r="BU19" s="28"/>
      <c r="BV19" s="287"/>
      <c r="BW19" s="287">
        <v>0.87</v>
      </c>
      <c r="BX19" s="36"/>
      <c r="BY19" s="33"/>
      <c r="BZ19" s="34">
        <v>36.880000000000003</v>
      </c>
      <c r="CA19" s="35">
        <v>38.54</v>
      </c>
      <c r="CB19" s="405"/>
      <c r="CC19" s="404"/>
      <c r="CD19" s="235">
        <v>31.11</v>
      </c>
      <c r="CE19" s="413"/>
      <c r="CF19" s="28">
        <f t="shared" si="32"/>
        <v>145.059</v>
      </c>
      <c r="CG19" s="41"/>
      <c r="CH19" s="30"/>
      <c r="CI19" s="32"/>
      <c r="CJ19" s="33">
        <v>1.42</v>
      </c>
      <c r="CK19" s="33"/>
      <c r="CL19" s="33"/>
      <c r="CM19" s="36"/>
      <c r="CN19" s="286"/>
      <c r="CO19" s="249">
        <f t="shared" si="13"/>
        <v>0</v>
      </c>
      <c r="CP19" s="12">
        <f t="shared" si="13"/>
        <v>164.1314682</v>
      </c>
      <c r="CQ19" s="12">
        <f t="shared" si="13"/>
        <v>61.188072399999996</v>
      </c>
      <c r="CR19" s="12">
        <f t="shared" si="13"/>
        <v>0</v>
      </c>
      <c r="CS19" s="11">
        <f t="shared" si="13"/>
        <v>0</v>
      </c>
      <c r="CT19" s="11">
        <f t="shared" si="13"/>
        <v>13.0326211</v>
      </c>
      <c r="CU19" s="272">
        <f t="shared" si="13"/>
        <v>0</v>
      </c>
      <c r="CV19" s="249">
        <f t="shared" si="14"/>
        <v>142.9991622</v>
      </c>
      <c r="CW19" s="251">
        <f t="shared" si="14"/>
        <v>0</v>
      </c>
      <c r="CX19" s="249">
        <f t="shared" si="14"/>
        <v>0</v>
      </c>
      <c r="CY19" s="272">
        <f t="shared" si="14"/>
        <v>0</v>
      </c>
      <c r="CZ19" s="13"/>
      <c r="DA19" s="240">
        <f>(D19+'[2]июнь 20'!D19)/(AY19+'[2]июнь 20'!AX19)</f>
        <v>2.2972724665008983</v>
      </c>
      <c r="DB19" s="241">
        <f>(T19+'[2]июнь 20'!R19)/(AY19+'[2]июнь 20'!AX19)</f>
        <v>1.3518758191739193</v>
      </c>
      <c r="DD19" s="292">
        <f t="shared" si="15"/>
        <v>8.7070000000000007</v>
      </c>
      <c r="DE19" s="291">
        <v>0.23</v>
      </c>
      <c r="DF19" s="291">
        <v>42.99</v>
      </c>
      <c r="DG19" s="145">
        <f t="shared" si="16"/>
        <v>8.6869738999999999</v>
      </c>
      <c r="DH19" s="293">
        <f t="shared" si="33"/>
        <v>4.9523008614374753</v>
      </c>
      <c r="DJ19" s="38"/>
      <c r="DK19" s="31">
        <v>110.006</v>
      </c>
      <c r="DM19" s="460">
        <f t="shared" si="34"/>
        <v>165.006</v>
      </c>
      <c r="DO19" s="41">
        <v>132.059</v>
      </c>
      <c r="DP19" s="460">
        <f t="shared" si="35"/>
        <v>145.059</v>
      </c>
    </row>
    <row r="20" spans="1:120" s="76" customFormat="1" ht="16.5" customHeight="1" thickBot="1">
      <c r="A20" s="144">
        <v>14</v>
      </c>
      <c r="B20" s="122">
        <f t="shared" si="17"/>
        <v>246.22599999999997</v>
      </c>
      <c r="C20" s="123">
        <f t="shared" si="18"/>
        <v>0.28404900376077263</v>
      </c>
      <c r="D20" s="145">
        <f t="shared" si="19"/>
        <v>245.52659749999998</v>
      </c>
      <c r="E20" s="125">
        <f t="shared" si="20"/>
        <v>37.481290237424155</v>
      </c>
      <c r="F20" s="146">
        <f t="shared" si="0"/>
        <v>2.356979912642795</v>
      </c>
      <c r="G20" s="127"/>
      <c r="H20" s="126">
        <f t="shared" si="21"/>
        <v>2.3569799126427955</v>
      </c>
      <c r="I20" s="230">
        <f>'[1]июль 20'!AI19</f>
        <v>0</v>
      </c>
      <c r="J20" s="247">
        <f>'[1]июнь 20'!AA19</f>
        <v>8.968</v>
      </c>
      <c r="K20" s="464">
        <f>'[1]сентябрь 20'!AM19</f>
        <v>0</v>
      </c>
      <c r="L20" s="247"/>
      <c r="M20" s="468">
        <f t="shared" si="22"/>
        <v>0</v>
      </c>
      <c r="N20" s="403">
        <f>'[1]июнь 20'!W19</f>
        <v>0</v>
      </c>
      <c r="O20" s="403">
        <f>'[1]июнь 20'!AU19</f>
        <v>0</v>
      </c>
      <c r="P20" s="401">
        <f t="shared" si="1"/>
        <v>149.31899999999999</v>
      </c>
      <c r="Q20" s="122">
        <f t="shared" si="23"/>
        <v>149.31899999999999</v>
      </c>
      <c r="R20" s="123">
        <f t="shared" si="24"/>
        <v>1.4</v>
      </c>
      <c r="S20" s="129">
        <v>12.38</v>
      </c>
      <c r="T20" s="125">
        <f t="shared" si="2"/>
        <v>147.228534</v>
      </c>
      <c r="U20" s="147">
        <f t="shared" si="3"/>
        <v>1.4133486992416242</v>
      </c>
      <c r="V20" s="130">
        <v>78.28</v>
      </c>
      <c r="W20" s="130">
        <v>104.17</v>
      </c>
      <c r="X20" s="129">
        <v>0.67</v>
      </c>
      <c r="Y20" s="131">
        <v>520</v>
      </c>
      <c r="Z20" s="150">
        <v>1186</v>
      </c>
      <c r="AA20" s="168" t="s">
        <v>310</v>
      </c>
      <c r="AB20" s="149">
        <v>75.44</v>
      </c>
      <c r="AC20" s="150">
        <v>91</v>
      </c>
      <c r="AD20" s="151">
        <v>4</v>
      </c>
      <c r="AE20" s="149">
        <v>3.6</v>
      </c>
      <c r="AF20" s="134">
        <f t="shared" si="4"/>
        <v>34.558894115388313</v>
      </c>
      <c r="AG20" s="152"/>
      <c r="AH20" s="129">
        <v>68.349999999999994</v>
      </c>
      <c r="AI20" s="134">
        <f t="shared" si="5"/>
        <v>656.13900355188628</v>
      </c>
      <c r="AJ20" s="153">
        <v>12.35</v>
      </c>
      <c r="AK20" s="154"/>
      <c r="AL20" s="155">
        <v>4.26</v>
      </c>
      <c r="AM20" s="156">
        <v>30.98</v>
      </c>
      <c r="AN20" s="126">
        <f t="shared" si="25"/>
        <v>0.22449275362318841</v>
      </c>
      <c r="AO20" s="157" t="s">
        <v>306</v>
      </c>
      <c r="AP20" s="156">
        <v>9.11</v>
      </c>
      <c r="AQ20" s="156">
        <v>7.46</v>
      </c>
      <c r="AR20" s="149"/>
      <c r="AS20" s="149">
        <v>7.33</v>
      </c>
      <c r="AT20" s="149">
        <v>138</v>
      </c>
      <c r="AU20" s="149">
        <v>1.41</v>
      </c>
      <c r="AV20" s="149"/>
      <c r="AW20" s="149"/>
      <c r="AX20" s="158">
        <f t="shared" si="6"/>
        <v>0</v>
      </c>
      <c r="AY20" s="125">
        <f t="shared" si="7"/>
        <v>104.17</v>
      </c>
      <c r="AZ20" s="125">
        <f t="shared" si="26"/>
        <v>107.98125905825584</v>
      </c>
      <c r="BA20" s="159">
        <f t="shared" si="8"/>
        <v>3.8810285211267601</v>
      </c>
      <c r="BB20" s="160">
        <f t="shared" si="9"/>
        <v>4.1668000000000003</v>
      </c>
      <c r="BC20" s="161">
        <f t="shared" si="10"/>
        <v>0.85394768603879745</v>
      </c>
      <c r="BD20" s="160">
        <f t="shared" si="27"/>
        <v>8.0478285211267604</v>
      </c>
      <c r="BE20" s="162">
        <v>0.89</v>
      </c>
      <c r="BF20" s="25">
        <f t="shared" si="28"/>
        <v>1469.12</v>
      </c>
      <c r="BG20" s="25">
        <f t="shared" si="11"/>
        <v>110</v>
      </c>
      <c r="BH20" s="25">
        <f t="shared" si="29"/>
        <v>1540</v>
      </c>
      <c r="BI20" s="26">
        <f t="shared" si="12"/>
        <v>1</v>
      </c>
      <c r="BJ20" s="37">
        <f t="shared" si="30"/>
        <v>1540</v>
      </c>
      <c r="BK20" s="38"/>
      <c r="BL20" s="28">
        <f t="shared" si="31"/>
        <v>168.70999999999998</v>
      </c>
      <c r="BM20" s="31">
        <v>63.738999999999997</v>
      </c>
      <c r="BN20" s="234"/>
      <c r="BO20" s="42"/>
      <c r="BP20" s="40">
        <v>13.776999999999999</v>
      </c>
      <c r="BQ20" s="411"/>
      <c r="BR20" s="33"/>
      <c r="BS20" s="34">
        <v>0.27</v>
      </c>
      <c r="BT20" s="35">
        <v>0.16</v>
      </c>
      <c r="BU20" s="28"/>
      <c r="BV20" s="287"/>
      <c r="BW20" s="287">
        <v>1.03</v>
      </c>
      <c r="BX20" s="36"/>
      <c r="BY20" s="33"/>
      <c r="BZ20" s="34">
        <v>37.4</v>
      </c>
      <c r="CA20" s="35">
        <v>39.32</v>
      </c>
      <c r="CB20" s="405"/>
      <c r="CC20" s="404"/>
      <c r="CD20" s="235">
        <v>29.97</v>
      </c>
      <c r="CE20" s="413"/>
      <c r="CF20" s="28">
        <f t="shared" si="32"/>
        <v>149.31899999999999</v>
      </c>
      <c r="CG20" s="30"/>
      <c r="CH20" s="31"/>
      <c r="CI20" s="32"/>
      <c r="CJ20" s="33">
        <v>1.4</v>
      </c>
      <c r="CK20" s="33"/>
      <c r="CL20" s="35"/>
      <c r="CM20" s="36"/>
      <c r="CN20" s="286"/>
      <c r="CO20" s="249">
        <f t="shared" si="13"/>
        <v>0</v>
      </c>
      <c r="CP20" s="12">
        <f t="shared" si="13"/>
        <v>168.25448299999999</v>
      </c>
      <c r="CQ20" s="12">
        <f t="shared" si="13"/>
        <v>63.6370176</v>
      </c>
      <c r="CR20" s="12">
        <f t="shared" si="13"/>
        <v>0</v>
      </c>
      <c r="CS20" s="11">
        <f t="shared" si="13"/>
        <v>0</v>
      </c>
      <c r="CT20" s="11">
        <f t="shared" si="13"/>
        <v>13.635096899999999</v>
      </c>
      <c r="CU20" s="272">
        <f t="shared" si="13"/>
        <v>0</v>
      </c>
      <c r="CV20" s="249">
        <f t="shared" si="14"/>
        <v>147.228534</v>
      </c>
      <c r="CW20" s="12">
        <f t="shared" si="14"/>
        <v>0</v>
      </c>
      <c r="CX20" s="249">
        <f t="shared" si="14"/>
        <v>0</v>
      </c>
      <c r="CY20" s="272">
        <f t="shared" si="14"/>
        <v>0</v>
      </c>
      <c r="CZ20" s="13"/>
      <c r="DA20" s="240">
        <f>(D20+'[2]июнь 20'!D20)/(AY20+'[2]июнь 20'!AX20)</f>
        <v>2.2687353899960407</v>
      </c>
      <c r="DB20" s="241">
        <f>(T20+'[2]июнь 20'!R20)/(AY20+'[2]июнь 20'!AX20)</f>
        <v>1.3299080572786064</v>
      </c>
      <c r="DD20" s="292">
        <f t="shared" si="15"/>
        <v>8.968</v>
      </c>
      <c r="DE20" s="291">
        <v>0.08</v>
      </c>
      <c r="DF20" s="407">
        <v>12.52</v>
      </c>
      <c r="DG20" s="145">
        <f t="shared" si="16"/>
        <v>8.9608255999999997</v>
      </c>
      <c r="DH20" s="293">
        <f t="shared" si="33"/>
        <v>1.4871359558854722</v>
      </c>
      <c r="DJ20" s="38"/>
      <c r="DK20" s="31">
        <v>113.71</v>
      </c>
      <c r="DM20" s="460">
        <f t="shared" si="34"/>
        <v>168.70999999999998</v>
      </c>
      <c r="DO20" s="30">
        <v>136.31899999999999</v>
      </c>
      <c r="DP20" s="460">
        <f t="shared" si="35"/>
        <v>149.31899999999999</v>
      </c>
    </row>
    <row r="21" spans="1:120" s="76" customFormat="1" ht="16.5" customHeight="1" thickBot="1">
      <c r="A21" s="144">
        <v>15</v>
      </c>
      <c r="B21" s="122">
        <f t="shared" si="17"/>
        <v>256.46000000000004</v>
      </c>
      <c r="C21" s="123">
        <f t="shared" si="18"/>
        <v>0.5396566716057084</v>
      </c>
      <c r="D21" s="145">
        <f t="shared" si="19"/>
        <v>255.07599650000003</v>
      </c>
      <c r="E21" s="125">
        <f t="shared" si="20"/>
        <v>37.018770685487006</v>
      </c>
      <c r="F21" s="146">
        <f t="shared" si="0"/>
        <v>2.4325385895479692</v>
      </c>
      <c r="G21" s="127"/>
      <c r="H21" s="126">
        <f t="shared" si="21"/>
        <v>2.4325385895479692</v>
      </c>
      <c r="I21" s="230">
        <f>'[1]июль 20'!AI20</f>
        <v>0</v>
      </c>
      <c r="J21" s="247">
        <f>'[1]июнь 20'!AA20</f>
        <v>9.7360000000000007</v>
      </c>
      <c r="K21" s="465">
        <f>'[1]сентябрь 20'!AM20</f>
        <v>0</v>
      </c>
      <c r="L21" s="247"/>
      <c r="M21" s="469">
        <f t="shared" si="22"/>
        <v>0</v>
      </c>
      <c r="N21" s="403">
        <f>'[1]июнь 20'!W20</f>
        <v>0</v>
      </c>
      <c r="O21" s="403">
        <f>'[1]июнь 20'!AU20</f>
        <v>0</v>
      </c>
      <c r="P21" s="401">
        <f t="shared" si="1"/>
        <v>157.28299999999999</v>
      </c>
      <c r="Q21" s="122">
        <f t="shared" si="23"/>
        <v>157.28299999999999</v>
      </c>
      <c r="R21" s="123">
        <f t="shared" si="24"/>
        <v>1.4</v>
      </c>
      <c r="S21" s="129">
        <v>10.02</v>
      </c>
      <c r="T21" s="125">
        <f t="shared" si="2"/>
        <v>155.08103799999998</v>
      </c>
      <c r="U21" s="147">
        <f t="shared" si="3"/>
        <v>1.4789341789052068</v>
      </c>
      <c r="V21" s="130">
        <v>104.86</v>
      </c>
      <c r="W21" s="130">
        <v>104.86</v>
      </c>
      <c r="X21" s="129">
        <v>0.59</v>
      </c>
      <c r="Y21" s="131">
        <v>502</v>
      </c>
      <c r="Z21" s="150">
        <v>1130</v>
      </c>
      <c r="AA21" s="168" t="s">
        <v>295</v>
      </c>
      <c r="AB21" s="149">
        <v>75.58</v>
      </c>
      <c r="AC21" s="150">
        <v>96</v>
      </c>
      <c r="AD21" s="151">
        <v>4</v>
      </c>
      <c r="AE21" s="149">
        <v>3.05</v>
      </c>
      <c r="AF21" s="134">
        <f t="shared" si="4"/>
        <v>29.086400915506392</v>
      </c>
      <c r="AG21" s="152"/>
      <c r="AH21" s="129">
        <v>70.150000000000006</v>
      </c>
      <c r="AI21" s="134">
        <f t="shared" si="5"/>
        <v>668.98722105664706</v>
      </c>
      <c r="AJ21" s="136">
        <v>14.46</v>
      </c>
      <c r="AK21" s="154"/>
      <c r="AL21" s="155">
        <v>5.0199999999999996</v>
      </c>
      <c r="AM21" s="156">
        <v>30.95</v>
      </c>
      <c r="AN21" s="126">
        <f t="shared" si="25"/>
        <v>0.22146690518783541</v>
      </c>
      <c r="AO21" s="157" t="s">
        <v>308</v>
      </c>
      <c r="AP21" s="156">
        <v>8.83</v>
      </c>
      <c r="AQ21" s="156">
        <v>7.46</v>
      </c>
      <c r="AR21" s="149"/>
      <c r="AS21" s="149">
        <v>7.65</v>
      </c>
      <c r="AT21" s="149">
        <v>139.75</v>
      </c>
      <c r="AU21" s="149">
        <v>1.08</v>
      </c>
      <c r="AV21" s="149"/>
      <c r="AW21" s="149"/>
      <c r="AX21" s="158">
        <f t="shared" si="6"/>
        <v>0</v>
      </c>
      <c r="AY21" s="125">
        <f t="shared" si="7"/>
        <v>104.85999999999999</v>
      </c>
      <c r="AZ21" s="125">
        <f t="shared" si="26"/>
        <v>110.62919508256519</v>
      </c>
      <c r="BA21" s="159">
        <f t="shared" si="8"/>
        <v>4.1571285211267606</v>
      </c>
      <c r="BB21" s="160">
        <f t="shared" si="9"/>
        <v>4.1943999999999999</v>
      </c>
      <c r="BC21" s="161">
        <f t="shared" si="10"/>
        <v>0.83931533153594373</v>
      </c>
      <c r="BD21" s="160">
        <f t="shared" si="27"/>
        <v>8.3515285211267596</v>
      </c>
      <c r="BE21" s="162">
        <v>0.88700000000000001</v>
      </c>
      <c r="BF21" s="25">
        <f t="shared" si="28"/>
        <v>1573.9799999999998</v>
      </c>
      <c r="BG21" s="25">
        <f t="shared" si="11"/>
        <v>110</v>
      </c>
      <c r="BH21" s="25">
        <f t="shared" si="29"/>
        <v>1650</v>
      </c>
      <c r="BI21" s="26">
        <f t="shared" si="12"/>
        <v>1</v>
      </c>
      <c r="BJ21" s="37">
        <f t="shared" si="30"/>
        <v>1650</v>
      </c>
      <c r="BK21" s="38"/>
      <c r="BL21" s="28">
        <f t="shared" si="31"/>
        <v>174.887</v>
      </c>
      <c r="BM21" s="31">
        <v>67.191999999999993</v>
      </c>
      <c r="BN21" s="234"/>
      <c r="BO21" s="42"/>
      <c r="BP21" s="40">
        <v>14.381</v>
      </c>
      <c r="BQ21" s="411"/>
      <c r="BR21" s="33"/>
      <c r="BS21" s="34">
        <v>0.55000000000000004</v>
      </c>
      <c r="BT21" s="35">
        <v>0.35</v>
      </c>
      <c r="BU21" s="35"/>
      <c r="BV21" s="235"/>
      <c r="BW21" s="235">
        <v>1.3</v>
      </c>
      <c r="BX21" s="36"/>
      <c r="BY21" s="33"/>
      <c r="BZ21" s="34">
        <v>37.020000000000003</v>
      </c>
      <c r="CA21" s="35">
        <v>38.46</v>
      </c>
      <c r="CB21" s="405"/>
      <c r="CC21" s="404"/>
      <c r="CD21" s="235">
        <v>30.27</v>
      </c>
      <c r="CE21" s="413"/>
      <c r="CF21" s="28">
        <f t="shared" si="32"/>
        <v>157.28299999999999</v>
      </c>
      <c r="CG21" s="30"/>
      <c r="CH21" s="31"/>
      <c r="CI21" s="32"/>
      <c r="CJ21" s="33">
        <v>1.4</v>
      </c>
      <c r="CK21" s="33"/>
      <c r="CL21" s="35"/>
      <c r="CM21" s="36"/>
      <c r="CN21" s="286"/>
      <c r="CO21" s="249">
        <f t="shared" si="13"/>
        <v>0</v>
      </c>
      <c r="CP21" s="12">
        <f t="shared" si="13"/>
        <v>173.92512150000002</v>
      </c>
      <c r="CQ21" s="12">
        <f t="shared" si="13"/>
        <v>66.956828000000002</v>
      </c>
      <c r="CR21" s="12">
        <f t="shared" si="13"/>
        <v>0</v>
      </c>
      <c r="CS21" s="11">
        <f t="shared" si="13"/>
        <v>0</v>
      </c>
      <c r="CT21" s="11">
        <f t="shared" si="13"/>
        <v>14.194046999999999</v>
      </c>
      <c r="CU21" s="272">
        <f t="shared" si="13"/>
        <v>0</v>
      </c>
      <c r="CV21" s="249">
        <f t="shared" si="14"/>
        <v>155.08103799999998</v>
      </c>
      <c r="CW21" s="12">
        <f t="shared" si="14"/>
        <v>0</v>
      </c>
      <c r="CX21" s="249">
        <f t="shared" si="14"/>
        <v>0</v>
      </c>
      <c r="CY21" s="272">
        <f t="shared" si="14"/>
        <v>0</v>
      </c>
      <c r="CZ21" s="13"/>
      <c r="DA21" s="240">
        <f>(D21+'[2]июнь 20'!D21)/(AY21+'[2]июнь 20'!AX21)</f>
        <v>2.2414247217986571</v>
      </c>
      <c r="DB21" s="241">
        <f>(T21+'[2]июнь 20'!R21)/(AY21+'[2]июнь 20'!AX21)</f>
        <v>1.3178504298737959</v>
      </c>
      <c r="DD21" s="292">
        <f t="shared" si="15"/>
        <v>9.7360000000000007</v>
      </c>
      <c r="DE21" s="291">
        <v>0.03</v>
      </c>
      <c r="DF21" s="291">
        <v>12.12</v>
      </c>
      <c r="DG21" s="145">
        <f t="shared" si="16"/>
        <v>9.7330792000000006</v>
      </c>
      <c r="DH21" s="293">
        <f t="shared" si="33"/>
        <v>1.56079544726118</v>
      </c>
      <c r="DJ21" s="38"/>
      <c r="DK21" s="31">
        <v>119.887</v>
      </c>
      <c r="DM21" s="460">
        <f t="shared" si="34"/>
        <v>174.887</v>
      </c>
      <c r="DO21" s="30">
        <v>144.28299999999999</v>
      </c>
      <c r="DP21" s="460">
        <f t="shared" si="35"/>
        <v>157.28299999999999</v>
      </c>
    </row>
    <row r="22" spans="1:120" s="76" customFormat="1" ht="16.5" customHeight="1" thickBot="1">
      <c r="A22" s="144">
        <v>16</v>
      </c>
      <c r="B22" s="122">
        <f t="shared" si="17"/>
        <v>130.613</v>
      </c>
      <c r="C22" s="123">
        <f t="shared" si="18"/>
        <v>0.44564185800800843</v>
      </c>
      <c r="D22" s="145">
        <f t="shared" si="19"/>
        <v>130.03093380000001</v>
      </c>
      <c r="E22" s="125">
        <f t="shared" si="20"/>
        <v>37.80063730256559</v>
      </c>
      <c r="F22" s="146">
        <f t="shared" si="0"/>
        <v>3.1145133844311381</v>
      </c>
      <c r="G22" s="127"/>
      <c r="H22" s="126">
        <f t="shared" si="21"/>
        <v>3.1145133844311381</v>
      </c>
      <c r="I22" s="230">
        <f>'[1]июль 20'!AI21</f>
        <v>0</v>
      </c>
      <c r="J22" s="247">
        <f>'[1]июнь 20'!AA21</f>
        <v>3.5880000000000001</v>
      </c>
      <c r="K22" s="464">
        <f>'[1]сентябрь 20'!AM21</f>
        <v>0</v>
      </c>
      <c r="L22" s="247"/>
      <c r="M22" s="468">
        <f t="shared" si="22"/>
        <v>0</v>
      </c>
      <c r="N22" s="403">
        <f>'[1]июнь 20'!W21</f>
        <v>0</v>
      </c>
      <c r="O22" s="403">
        <f>'[1]июнь 20'!AU21</f>
        <v>0</v>
      </c>
      <c r="P22" s="401">
        <f t="shared" si="1"/>
        <v>73.564999999999998</v>
      </c>
      <c r="Q22" s="122">
        <f t="shared" si="23"/>
        <v>73.564999999999998</v>
      </c>
      <c r="R22" s="123">
        <f t="shared" si="24"/>
        <v>1.41</v>
      </c>
      <c r="S22" s="129">
        <v>9.36</v>
      </c>
      <c r="T22" s="125">
        <f t="shared" si="2"/>
        <v>72.527733499999997</v>
      </c>
      <c r="U22" s="147">
        <f t="shared" si="3"/>
        <v>1.7371912215568861</v>
      </c>
      <c r="V22" s="130">
        <v>22.32</v>
      </c>
      <c r="W22" s="130">
        <v>19.43</v>
      </c>
      <c r="X22" s="129">
        <v>0.76</v>
      </c>
      <c r="Y22" s="131">
        <v>545</v>
      </c>
      <c r="Z22" s="150">
        <v>1036</v>
      </c>
      <c r="AA22" s="148" t="s">
        <v>312</v>
      </c>
      <c r="AB22" s="149">
        <v>75.930000000000007</v>
      </c>
      <c r="AC22" s="150">
        <v>38</v>
      </c>
      <c r="AD22" s="151">
        <v>2</v>
      </c>
      <c r="AE22" s="149">
        <v>1.2</v>
      </c>
      <c r="AF22" s="134">
        <f t="shared" si="4"/>
        <v>28.742514970059879</v>
      </c>
      <c r="AG22" s="152"/>
      <c r="AH22" s="129">
        <v>37.5</v>
      </c>
      <c r="AI22" s="134">
        <f t="shared" si="5"/>
        <v>898.20359281437118</v>
      </c>
      <c r="AJ22" s="153">
        <v>7.03</v>
      </c>
      <c r="AK22" s="154"/>
      <c r="AL22" s="155">
        <v>3.32</v>
      </c>
      <c r="AM22" s="156">
        <v>18.850000000000001</v>
      </c>
      <c r="AN22" s="126">
        <f t="shared" si="25"/>
        <v>0.29944400317712472</v>
      </c>
      <c r="AO22" s="157" t="s">
        <v>311</v>
      </c>
      <c r="AP22" s="156">
        <v>8.59</v>
      </c>
      <c r="AQ22" s="156">
        <v>7.33</v>
      </c>
      <c r="AR22" s="151"/>
      <c r="AS22" s="149">
        <v>7.97</v>
      </c>
      <c r="AT22" s="149">
        <v>62.95</v>
      </c>
      <c r="AU22" s="149">
        <v>0.97</v>
      </c>
      <c r="AV22" s="149"/>
      <c r="AW22" s="149"/>
      <c r="AX22" s="158">
        <f t="shared" si="6"/>
        <v>0</v>
      </c>
      <c r="AY22" s="125">
        <f t="shared" si="7"/>
        <v>41.75</v>
      </c>
      <c r="AZ22" s="125">
        <f t="shared" si="26"/>
        <v>57.240778444019192</v>
      </c>
      <c r="BA22" s="159">
        <f t="shared" si="8"/>
        <v>2.3152288732394366</v>
      </c>
      <c r="BB22" s="160">
        <f t="shared" si="9"/>
        <v>1.67</v>
      </c>
      <c r="BC22" s="161">
        <f t="shared" si="10"/>
        <v>0.64494707341459701</v>
      </c>
      <c r="BD22" s="160">
        <f t="shared" si="27"/>
        <v>3.9852288732394365</v>
      </c>
      <c r="BE22" s="162">
        <v>0.878</v>
      </c>
      <c r="BF22" s="25">
        <f t="shared" si="28"/>
        <v>1615.7299999999998</v>
      </c>
      <c r="BG22" s="25">
        <f t="shared" si="11"/>
        <v>110</v>
      </c>
      <c r="BH22" s="25">
        <f t="shared" si="29"/>
        <v>1760</v>
      </c>
      <c r="BI22" s="26">
        <f t="shared" si="12"/>
        <v>1</v>
      </c>
      <c r="BJ22" s="37">
        <f t="shared" si="30"/>
        <v>1760</v>
      </c>
      <c r="BK22" s="38"/>
      <c r="BL22" s="28">
        <f t="shared" si="31"/>
        <v>99.991</v>
      </c>
      <c r="BM22" s="31">
        <v>25.222000000000001</v>
      </c>
      <c r="BN22" s="234"/>
      <c r="BO22" s="42"/>
      <c r="BP22" s="40">
        <v>5.4</v>
      </c>
      <c r="BQ22" s="411"/>
      <c r="BR22" s="33"/>
      <c r="BS22" s="34">
        <v>0.44</v>
      </c>
      <c r="BT22" s="35">
        <v>0.39</v>
      </c>
      <c r="BU22" s="35"/>
      <c r="BV22" s="235"/>
      <c r="BW22" s="235">
        <v>0.81</v>
      </c>
      <c r="BX22" s="36"/>
      <c r="BY22" s="33"/>
      <c r="BZ22" s="34">
        <v>37.94</v>
      </c>
      <c r="CA22" s="35">
        <v>38.549999999999997</v>
      </c>
      <c r="CB22" s="405"/>
      <c r="CC22" s="404"/>
      <c r="CD22" s="235">
        <v>31.72</v>
      </c>
      <c r="CE22" s="413"/>
      <c r="CF22" s="28">
        <f t="shared" si="32"/>
        <v>73.564999999999998</v>
      </c>
      <c r="CG22" s="30"/>
      <c r="CH22" s="31"/>
      <c r="CI22" s="32"/>
      <c r="CJ22" s="33">
        <v>1.41</v>
      </c>
      <c r="CK22" s="33"/>
      <c r="CL22" s="35"/>
      <c r="CM22" s="36"/>
      <c r="CN22" s="286"/>
      <c r="CO22" s="249">
        <f t="shared" si="13"/>
        <v>0</v>
      </c>
      <c r="CP22" s="12">
        <f t="shared" si="13"/>
        <v>99.55103960000001</v>
      </c>
      <c r="CQ22" s="12">
        <f t="shared" si="13"/>
        <v>25.123634200000001</v>
      </c>
      <c r="CR22" s="12">
        <f t="shared" si="13"/>
        <v>0</v>
      </c>
      <c r="CS22" s="11">
        <f t="shared" si="13"/>
        <v>0</v>
      </c>
      <c r="CT22" s="11">
        <f t="shared" si="13"/>
        <v>5.3562600000000007</v>
      </c>
      <c r="CU22" s="272">
        <f t="shared" si="13"/>
        <v>0</v>
      </c>
      <c r="CV22" s="249">
        <f t="shared" si="14"/>
        <v>72.527733499999997</v>
      </c>
      <c r="CW22" s="12">
        <f t="shared" si="14"/>
        <v>0</v>
      </c>
      <c r="CX22" s="249">
        <f t="shared" si="14"/>
        <v>0</v>
      </c>
      <c r="CY22" s="272">
        <f t="shared" si="14"/>
        <v>0</v>
      </c>
      <c r="CZ22" s="13"/>
      <c r="DA22" s="240">
        <f>(D22+'[2]июнь 20'!D22)/(AY22+'[2]июнь 20'!AX22)</f>
        <v>2.5447629486776524</v>
      </c>
      <c r="DB22" s="241">
        <f>(T22+'[2]июнь 20'!R22)/(AY22+'[2]июнь 20'!AX22)</f>
        <v>1.4532249719365993</v>
      </c>
      <c r="DD22" s="292">
        <f t="shared" si="15"/>
        <v>3.5880000000000001</v>
      </c>
      <c r="DE22" s="291">
        <v>0.09</v>
      </c>
      <c r="DF22" s="291">
        <v>15.42</v>
      </c>
      <c r="DG22" s="145">
        <f t="shared" si="16"/>
        <v>3.5847708000000003</v>
      </c>
      <c r="DH22" s="293">
        <f t="shared" si="33"/>
        <v>0.7280016559462662</v>
      </c>
      <c r="DJ22" s="38"/>
      <c r="DK22" s="31">
        <v>44.991</v>
      </c>
      <c r="DM22" s="460">
        <f t="shared" si="34"/>
        <v>99.991</v>
      </c>
      <c r="DO22" s="30">
        <v>60.564999999999998</v>
      </c>
      <c r="DP22" s="460">
        <f t="shared" si="35"/>
        <v>73.564999999999998</v>
      </c>
    </row>
    <row r="23" spans="1:120" s="76" customFormat="1" ht="16.5" customHeight="1" thickBot="1">
      <c r="A23" s="144">
        <v>17</v>
      </c>
      <c r="B23" s="122">
        <f t="shared" si="17"/>
        <v>229.36099999999999</v>
      </c>
      <c r="C23" s="123">
        <f t="shared" si="18"/>
        <v>0.64451537096542144</v>
      </c>
      <c r="D23" s="145">
        <f t="shared" si="19"/>
        <v>227.88273309999997</v>
      </c>
      <c r="E23" s="125">
        <f t="shared" si="20"/>
        <v>37.238003017077887</v>
      </c>
      <c r="F23" s="146">
        <f t="shared" si="0"/>
        <v>2.6055652080951286</v>
      </c>
      <c r="G23" s="127">
        <v>17.38</v>
      </c>
      <c r="H23" s="126">
        <f t="shared" si="21"/>
        <v>2.6055652080951286</v>
      </c>
      <c r="I23" s="230">
        <f>'[1]июль 20'!AI22</f>
        <v>0</v>
      </c>
      <c r="J23" s="247">
        <f>'[1]июнь 20'!AA22</f>
        <v>8.4149999999999991</v>
      </c>
      <c r="K23" s="465">
        <f>'[1]сентябрь 20'!AM22</f>
        <v>0</v>
      </c>
      <c r="L23" s="247"/>
      <c r="M23" s="469">
        <f t="shared" si="22"/>
        <v>0</v>
      </c>
      <c r="N23" s="403">
        <f>'[1]июнь 20'!W22</f>
        <v>0</v>
      </c>
      <c r="O23" s="403">
        <f>'[1]июнь 20'!AU22</f>
        <v>0</v>
      </c>
      <c r="P23" s="401">
        <f t="shared" si="1"/>
        <v>143.595</v>
      </c>
      <c r="Q23" s="122">
        <f t="shared" si="23"/>
        <v>143.595</v>
      </c>
      <c r="R23" s="123">
        <f t="shared" si="24"/>
        <v>1.47</v>
      </c>
      <c r="S23" s="129">
        <v>8.52</v>
      </c>
      <c r="T23" s="125">
        <f t="shared" si="2"/>
        <v>141.48415350000002</v>
      </c>
      <c r="U23" s="147">
        <f t="shared" si="3"/>
        <v>1.6177012748685113</v>
      </c>
      <c r="V23" s="130">
        <v>65.11</v>
      </c>
      <c r="W23" s="130">
        <v>87.46</v>
      </c>
      <c r="X23" s="129">
        <v>0.71</v>
      </c>
      <c r="Y23" s="131">
        <v>520</v>
      </c>
      <c r="Z23" s="150">
        <v>1090</v>
      </c>
      <c r="AA23" s="148" t="s">
        <v>310</v>
      </c>
      <c r="AB23" s="149">
        <v>75.069999999999993</v>
      </c>
      <c r="AC23" s="150">
        <v>84</v>
      </c>
      <c r="AD23" s="151">
        <v>4</v>
      </c>
      <c r="AE23" s="149">
        <v>2.1</v>
      </c>
      <c r="AF23" s="134">
        <f t="shared" si="4"/>
        <v>24.010976446375484</v>
      </c>
      <c r="AG23" s="152"/>
      <c r="AH23" s="129">
        <v>60.75</v>
      </c>
      <c r="AI23" s="134">
        <f t="shared" si="5"/>
        <v>694.60324719871937</v>
      </c>
      <c r="AJ23" s="136">
        <v>16.14</v>
      </c>
      <c r="AK23" s="154"/>
      <c r="AL23" s="155">
        <v>5.85</v>
      </c>
      <c r="AM23" s="156">
        <v>23.16</v>
      </c>
      <c r="AN23" s="126">
        <f t="shared" si="25"/>
        <v>0.20139130434782609</v>
      </c>
      <c r="AO23" s="157" t="s">
        <v>296</v>
      </c>
      <c r="AP23" s="156">
        <v>9.16</v>
      </c>
      <c r="AQ23" s="156">
        <v>6.98</v>
      </c>
      <c r="AR23" s="151"/>
      <c r="AS23" s="149">
        <v>8.77</v>
      </c>
      <c r="AT23" s="149">
        <v>115</v>
      </c>
      <c r="AU23" s="149">
        <v>1.47</v>
      </c>
      <c r="AV23" s="149"/>
      <c r="AW23" s="149"/>
      <c r="AX23" s="158">
        <f t="shared" si="6"/>
        <v>0</v>
      </c>
      <c r="AY23" s="125">
        <f t="shared" si="7"/>
        <v>87.460000000000008</v>
      </c>
      <c r="AZ23" s="125">
        <f t="shared" si="26"/>
        <v>100.54080128563474</v>
      </c>
      <c r="BA23" s="159">
        <f t="shared" si="8"/>
        <v>4.1271496478873226</v>
      </c>
      <c r="BB23" s="160">
        <f t="shared" si="9"/>
        <v>3.4984000000000002</v>
      </c>
      <c r="BC23" s="161">
        <f t="shared" si="10"/>
        <v>0.77370978006903046</v>
      </c>
      <c r="BD23" s="160">
        <f t="shared" si="27"/>
        <v>7.6255496478873228</v>
      </c>
      <c r="BE23" s="162">
        <v>0.872</v>
      </c>
      <c r="BF23" s="25">
        <f t="shared" si="28"/>
        <v>1703.1899999999998</v>
      </c>
      <c r="BG23" s="25">
        <f t="shared" si="11"/>
        <v>110</v>
      </c>
      <c r="BH23" s="25">
        <f t="shared" si="29"/>
        <v>1870</v>
      </c>
      <c r="BI23" s="26">
        <f t="shared" si="12"/>
        <v>1</v>
      </c>
      <c r="BJ23" s="37">
        <f t="shared" si="30"/>
        <v>1870</v>
      </c>
      <c r="BK23" s="38"/>
      <c r="BL23" s="28">
        <f t="shared" si="31"/>
        <v>158.78100000000001</v>
      </c>
      <c r="BM23" s="31">
        <v>58.128999999999998</v>
      </c>
      <c r="BN23" s="234"/>
      <c r="BO23" s="42"/>
      <c r="BP23" s="40">
        <v>12.451000000000001</v>
      </c>
      <c r="BQ23" s="411"/>
      <c r="BR23" s="33"/>
      <c r="BS23" s="34">
        <v>0.68</v>
      </c>
      <c r="BT23" s="35">
        <v>0.51</v>
      </c>
      <c r="BU23" s="35"/>
      <c r="BV23" s="235"/>
      <c r="BW23" s="235">
        <v>0.82</v>
      </c>
      <c r="BX23" s="36"/>
      <c r="BY23" s="33"/>
      <c r="BZ23" s="34">
        <v>36.979999999999997</v>
      </c>
      <c r="CA23" s="35">
        <v>38.36</v>
      </c>
      <c r="CB23" s="405"/>
      <c r="CC23" s="404"/>
      <c r="CD23" s="235">
        <v>35.29</v>
      </c>
      <c r="CE23" s="413"/>
      <c r="CF23" s="28">
        <f t="shared" si="32"/>
        <v>143.595</v>
      </c>
      <c r="CG23" s="30"/>
      <c r="CH23" s="31"/>
      <c r="CI23" s="32"/>
      <c r="CJ23" s="33">
        <v>1.47</v>
      </c>
      <c r="CK23" s="33"/>
      <c r="CL23" s="35"/>
      <c r="CM23" s="36"/>
      <c r="CN23" s="286"/>
      <c r="CO23" s="249">
        <f t="shared" ref="CO23:CU37" si="36">BK23*((100-BR23)/100)</f>
        <v>0</v>
      </c>
      <c r="CP23" s="12">
        <f t="shared" si="36"/>
        <v>157.70128919999999</v>
      </c>
      <c r="CQ23" s="12">
        <f t="shared" si="36"/>
        <v>57.832542099999991</v>
      </c>
      <c r="CR23" s="12">
        <f t="shared" si="36"/>
        <v>0</v>
      </c>
      <c r="CS23" s="11">
        <f t="shared" si="36"/>
        <v>0</v>
      </c>
      <c r="CT23" s="11">
        <f t="shared" si="36"/>
        <v>12.3489018</v>
      </c>
      <c r="CU23" s="272">
        <f t="shared" si="36"/>
        <v>0</v>
      </c>
      <c r="CV23" s="249">
        <f t="shared" si="14"/>
        <v>141.48415350000002</v>
      </c>
      <c r="CW23" s="11">
        <f t="shared" si="14"/>
        <v>0</v>
      </c>
      <c r="CX23" s="249">
        <f t="shared" si="14"/>
        <v>0</v>
      </c>
      <c r="CY23" s="272">
        <f t="shared" si="14"/>
        <v>0</v>
      </c>
      <c r="CZ23" s="13"/>
      <c r="DA23" s="240">
        <f>(D23+'[2]июнь 20'!D23)/(AY23+'[2]июнь 20'!AX23)</f>
        <v>2.3971642460905054</v>
      </c>
      <c r="DB23" s="241">
        <f>(T23+'[2]июнь 20'!R23)/(AY23+'[2]июнь 20'!AX23)</f>
        <v>1.417906582036188</v>
      </c>
      <c r="DD23" s="292">
        <f t="shared" si="15"/>
        <v>8.4149999999999991</v>
      </c>
      <c r="DE23" s="291">
        <v>0.08</v>
      </c>
      <c r="DF23" s="291">
        <v>16.579999999999998</v>
      </c>
      <c r="DG23" s="145">
        <f t="shared" si="16"/>
        <v>8.4082679999999996</v>
      </c>
      <c r="DH23" s="293">
        <f t="shared" si="33"/>
        <v>1.8570545283069135</v>
      </c>
      <c r="DJ23" s="38"/>
      <c r="DK23" s="31">
        <v>103.78100000000001</v>
      </c>
      <c r="DM23" s="460">
        <f t="shared" si="34"/>
        <v>158.78100000000001</v>
      </c>
      <c r="DO23" s="30">
        <v>130.595</v>
      </c>
      <c r="DP23" s="460">
        <f t="shared" si="35"/>
        <v>143.595</v>
      </c>
    </row>
    <row r="24" spans="1:120" s="76" customFormat="1" ht="16.5" customHeight="1" thickBot="1">
      <c r="A24" s="144">
        <v>18</v>
      </c>
      <c r="B24" s="122">
        <f t="shared" si="17"/>
        <v>239.75</v>
      </c>
      <c r="C24" s="123">
        <f t="shared" si="18"/>
        <v>0.59851991657977055</v>
      </c>
      <c r="D24" s="145">
        <f t="shared" si="19"/>
        <v>238.31504849999999</v>
      </c>
      <c r="E24" s="125">
        <f t="shared" si="20"/>
        <v>36.761003461939517</v>
      </c>
      <c r="F24" s="146">
        <f t="shared" si="0"/>
        <v>2.407465890493989</v>
      </c>
      <c r="G24" s="127"/>
      <c r="H24" s="126">
        <f t="shared" si="21"/>
        <v>2.407465890493989</v>
      </c>
      <c r="I24" s="230">
        <f>'[1]июль 20'!AI23</f>
        <v>0</v>
      </c>
      <c r="J24" s="247">
        <f>'[1]июнь 20'!AA23</f>
        <v>8.7989999999999995</v>
      </c>
      <c r="K24" s="464">
        <f>'[1]сентябрь 20'!AM23</f>
        <v>0</v>
      </c>
      <c r="L24" s="247"/>
      <c r="M24" s="468">
        <f t="shared" si="22"/>
        <v>0</v>
      </c>
      <c r="N24" s="403">
        <f>'[1]июнь 20'!W23</f>
        <v>0</v>
      </c>
      <c r="O24" s="403">
        <f>'[1]июнь 20'!AU23</f>
        <v>0</v>
      </c>
      <c r="P24" s="401">
        <f t="shared" si="1"/>
        <v>147.113</v>
      </c>
      <c r="Q24" s="122">
        <f t="shared" si="23"/>
        <v>147.113</v>
      </c>
      <c r="R24" s="123">
        <f t="shared" si="24"/>
        <v>1.49</v>
      </c>
      <c r="S24" s="129">
        <v>19.010000000000002</v>
      </c>
      <c r="T24" s="125">
        <f t="shared" si="2"/>
        <v>144.92101630000002</v>
      </c>
      <c r="U24" s="147">
        <f t="shared" si="3"/>
        <v>1.4639965279321143</v>
      </c>
      <c r="V24" s="130">
        <v>98.99</v>
      </c>
      <c r="W24" s="130">
        <v>98.99</v>
      </c>
      <c r="X24" s="129">
        <v>0.59</v>
      </c>
      <c r="Y24" s="150">
        <v>538</v>
      </c>
      <c r="Z24" s="150">
        <v>1124</v>
      </c>
      <c r="AA24" s="148" t="s">
        <v>295</v>
      </c>
      <c r="AB24" s="149">
        <v>75.2</v>
      </c>
      <c r="AC24" s="150">
        <v>88</v>
      </c>
      <c r="AD24" s="151">
        <v>4</v>
      </c>
      <c r="AE24" s="149">
        <v>3.05</v>
      </c>
      <c r="AF24" s="134">
        <f t="shared" si="4"/>
        <v>30.811193049803006</v>
      </c>
      <c r="AG24" s="152"/>
      <c r="AH24" s="129">
        <v>67.7</v>
      </c>
      <c r="AI24" s="134">
        <f t="shared" si="5"/>
        <v>683.90746540054545</v>
      </c>
      <c r="AJ24" s="153">
        <v>12.52</v>
      </c>
      <c r="AK24" s="154"/>
      <c r="AL24" s="155">
        <v>5.78</v>
      </c>
      <c r="AM24" s="156">
        <v>32.909999999999997</v>
      </c>
      <c r="AN24" s="126">
        <f t="shared" si="25"/>
        <v>0.24039444850255656</v>
      </c>
      <c r="AO24" s="157" t="s">
        <v>313</v>
      </c>
      <c r="AP24" s="156">
        <v>9.1300000000000008</v>
      </c>
      <c r="AQ24" s="156">
        <v>7.56</v>
      </c>
      <c r="AR24" s="151"/>
      <c r="AS24" s="149">
        <v>7.73</v>
      </c>
      <c r="AT24" s="149">
        <v>136.9</v>
      </c>
      <c r="AU24" s="149">
        <v>0.78</v>
      </c>
      <c r="AV24" s="164"/>
      <c r="AW24" s="149"/>
      <c r="AX24" s="158">
        <f t="shared" si="6"/>
        <v>0</v>
      </c>
      <c r="AY24" s="125">
        <f t="shared" si="7"/>
        <v>98.990000000000009</v>
      </c>
      <c r="AZ24" s="125">
        <f t="shared" si="26"/>
        <v>103.57219545102798</v>
      </c>
      <c r="BA24" s="159">
        <f t="shared" si="8"/>
        <v>4.0538950704225352</v>
      </c>
      <c r="BB24" s="160">
        <f t="shared" si="9"/>
        <v>3.9596000000000005</v>
      </c>
      <c r="BC24" s="161">
        <f t="shared" si="10"/>
        <v>0.84970923848485092</v>
      </c>
      <c r="BD24" s="160">
        <f t="shared" si="27"/>
        <v>8.0134950704225361</v>
      </c>
      <c r="BE24" s="162">
        <v>0.871</v>
      </c>
      <c r="BF24" s="25">
        <f t="shared" si="28"/>
        <v>1802.1799999999998</v>
      </c>
      <c r="BG24" s="25">
        <f t="shared" si="11"/>
        <v>110</v>
      </c>
      <c r="BH24" s="25">
        <f t="shared" si="29"/>
        <v>1980</v>
      </c>
      <c r="BI24" s="26">
        <f t="shared" si="12"/>
        <v>1</v>
      </c>
      <c r="BJ24" s="37">
        <f t="shared" si="30"/>
        <v>1980</v>
      </c>
      <c r="BK24" s="38"/>
      <c r="BL24" s="28">
        <f t="shared" si="31"/>
        <v>165.011</v>
      </c>
      <c r="BM24" s="31">
        <v>61.631</v>
      </c>
      <c r="BN24" s="234"/>
      <c r="BO24" s="42"/>
      <c r="BP24" s="40">
        <v>13.108000000000001</v>
      </c>
      <c r="BQ24" s="411"/>
      <c r="BR24" s="33"/>
      <c r="BS24" s="34">
        <v>0.65</v>
      </c>
      <c r="BT24" s="35">
        <v>0.32</v>
      </c>
      <c r="BU24" s="35"/>
      <c r="BV24" s="235"/>
      <c r="BW24" s="235">
        <v>1.26</v>
      </c>
      <c r="BX24" s="36"/>
      <c r="BY24" s="33"/>
      <c r="BZ24" s="34">
        <v>37.19</v>
      </c>
      <c r="CA24" s="35">
        <v>36.909999999999997</v>
      </c>
      <c r="CB24" s="405"/>
      <c r="CC24" s="404"/>
      <c r="CD24" s="235">
        <v>30.66</v>
      </c>
      <c r="CE24" s="413"/>
      <c r="CF24" s="28">
        <f t="shared" si="32"/>
        <v>147.113</v>
      </c>
      <c r="CG24" s="30"/>
      <c r="CH24" s="31"/>
      <c r="CI24" s="32"/>
      <c r="CJ24" s="33">
        <v>1.49</v>
      </c>
      <c r="CK24" s="33"/>
      <c r="CL24" s="35"/>
      <c r="CM24" s="36"/>
      <c r="CN24" s="286"/>
      <c r="CO24" s="249">
        <f t="shared" si="36"/>
        <v>0</v>
      </c>
      <c r="CP24" s="12">
        <f t="shared" si="36"/>
        <v>163.93842849999999</v>
      </c>
      <c r="CQ24" s="12">
        <f t="shared" si="36"/>
        <v>61.433780800000001</v>
      </c>
      <c r="CR24" s="12">
        <f t="shared" si="36"/>
        <v>0</v>
      </c>
      <c r="CS24" s="11">
        <f t="shared" si="36"/>
        <v>0</v>
      </c>
      <c r="CT24" s="11">
        <f t="shared" si="36"/>
        <v>12.9428392</v>
      </c>
      <c r="CU24" s="272">
        <f t="shared" si="36"/>
        <v>0</v>
      </c>
      <c r="CV24" s="249">
        <f t="shared" si="14"/>
        <v>144.92101630000002</v>
      </c>
      <c r="CW24" s="12">
        <f t="shared" si="14"/>
        <v>0</v>
      </c>
      <c r="CX24" s="249">
        <f t="shared" si="14"/>
        <v>0</v>
      </c>
      <c r="CY24" s="272">
        <f t="shared" si="14"/>
        <v>0</v>
      </c>
      <c r="CZ24" s="13"/>
      <c r="DA24" s="240">
        <f>(D24+'[2]июнь 20'!D24)/(AY24+'[2]июнь 20'!AX24)</f>
        <v>2.2920373117832522</v>
      </c>
      <c r="DB24" s="241">
        <f>(T24+'[2]июнь 20'!R24)/(AY24+'[2]июнь 20'!AX24)</f>
        <v>1.3483041135710079</v>
      </c>
      <c r="DD24" s="292">
        <f t="shared" si="15"/>
        <v>8.7989999999999995</v>
      </c>
      <c r="DE24" s="291">
        <v>0.05</v>
      </c>
      <c r="DF24" s="291">
        <v>15.98</v>
      </c>
      <c r="DG24" s="145">
        <f t="shared" si="16"/>
        <v>8.7946004999999996</v>
      </c>
      <c r="DH24" s="293">
        <f t="shared" si="33"/>
        <v>1.8688526062499999</v>
      </c>
      <c r="DJ24" s="38"/>
      <c r="DK24" s="31">
        <v>110.011</v>
      </c>
      <c r="DM24" s="460">
        <f t="shared" si="34"/>
        <v>165.011</v>
      </c>
      <c r="DO24" s="30">
        <v>134.113</v>
      </c>
      <c r="DP24" s="460">
        <f t="shared" si="35"/>
        <v>147.113</v>
      </c>
    </row>
    <row r="25" spans="1:120" s="76" customFormat="1" ht="16.5" customHeight="1" thickBot="1">
      <c r="A25" s="144">
        <v>19</v>
      </c>
      <c r="B25" s="122">
        <f t="shared" si="17"/>
        <v>235.81900000000002</v>
      </c>
      <c r="C25" s="123">
        <f t="shared" si="18"/>
        <v>0.61852840525996644</v>
      </c>
      <c r="D25" s="145">
        <f t="shared" si="19"/>
        <v>234.36039250000002</v>
      </c>
      <c r="E25" s="125">
        <f t="shared" si="20"/>
        <v>36.763662639566789</v>
      </c>
      <c r="F25" s="146">
        <f t="shared" si="0"/>
        <v>2.1641923769507807</v>
      </c>
      <c r="G25" s="127"/>
      <c r="H25" s="126">
        <f t="shared" si="21"/>
        <v>2.1641923769507807</v>
      </c>
      <c r="I25" s="230">
        <f>'[1]июль 20'!AI24</f>
        <v>0</v>
      </c>
      <c r="J25" s="247">
        <f>'[1]июнь 20'!AA24</f>
        <v>8.5670000000000002</v>
      </c>
      <c r="K25" s="465">
        <f>'[1]сентябрь 20'!AM24</f>
        <v>0</v>
      </c>
      <c r="L25" s="247"/>
      <c r="M25" s="469">
        <f t="shared" si="22"/>
        <v>0</v>
      </c>
      <c r="N25" s="403">
        <f>'[1]июнь 20'!W24</f>
        <v>0</v>
      </c>
      <c r="O25" s="403">
        <f>'[1]июнь 20'!AU24</f>
        <v>0</v>
      </c>
      <c r="P25" s="401">
        <f t="shared" si="1"/>
        <v>144.39599999999999</v>
      </c>
      <c r="Q25" s="122">
        <f t="shared" si="23"/>
        <v>144.39599999999999</v>
      </c>
      <c r="R25" s="123">
        <f>IF(Q25=0,0,(CI25*CM25+CG25*CK25+CH25*CL25+CF25*CJ25)/Q25)</f>
        <v>1.48</v>
      </c>
      <c r="S25" s="129">
        <v>9.8699999999999992</v>
      </c>
      <c r="T25" s="125">
        <f t="shared" si="2"/>
        <v>142.25893919999999</v>
      </c>
      <c r="U25" s="147">
        <f t="shared" si="3"/>
        <v>1.3136849127343244</v>
      </c>
      <c r="V25" s="130">
        <v>108.29</v>
      </c>
      <c r="W25" s="130">
        <v>82.25</v>
      </c>
      <c r="X25" s="129">
        <v>0.67</v>
      </c>
      <c r="Y25" s="150">
        <v>556</v>
      </c>
      <c r="Z25" s="150">
        <v>1156</v>
      </c>
      <c r="AA25" s="148" t="s">
        <v>314</v>
      </c>
      <c r="AB25" s="149">
        <v>75.28</v>
      </c>
      <c r="AC25" s="150">
        <v>86</v>
      </c>
      <c r="AD25" s="151">
        <v>4</v>
      </c>
      <c r="AE25" s="149">
        <v>2.9</v>
      </c>
      <c r="AF25" s="134">
        <f t="shared" si="4"/>
        <v>26.779942746329301</v>
      </c>
      <c r="AG25" s="152"/>
      <c r="AH25" s="129">
        <v>57.6</v>
      </c>
      <c r="AI25" s="134">
        <f t="shared" si="5"/>
        <v>531.9050697201958</v>
      </c>
      <c r="AJ25" s="136">
        <v>13.88</v>
      </c>
      <c r="AK25" s="154"/>
      <c r="AL25" s="155">
        <v>1.71</v>
      </c>
      <c r="AM25" s="156">
        <v>29.97</v>
      </c>
      <c r="AN25" s="126">
        <f t="shared" si="25"/>
        <v>0.21733139956490208</v>
      </c>
      <c r="AO25" s="157" t="s">
        <v>315</v>
      </c>
      <c r="AP25" s="156">
        <v>9.8000000000000007</v>
      </c>
      <c r="AQ25" s="156">
        <v>7.06</v>
      </c>
      <c r="AR25" s="152"/>
      <c r="AS25" s="149">
        <v>6.02</v>
      </c>
      <c r="AT25" s="149">
        <v>137.9</v>
      </c>
      <c r="AU25" s="149">
        <v>2.0699999999999998</v>
      </c>
      <c r="AV25" s="164"/>
      <c r="AW25" s="149"/>
      <c r="AX25" s="158">
        <f t="shared" si="6"/>
        <v>0</v>
      </c>
      <c r="AY25" s="125">
        <f t="shared" si="7"/>
        <v>108.28999999999999</v>
      </c>
      <c r="AZ25" s="125">
        <f t="shared" si="26"/>
        <v>101.5485069988876</v>
      </c>
      <c r="BA25" s="159">
        <f t="shared" si="8"/>
        <v>2.6861070422535209</v>
      </c>
      <c r="BB25" s="160">
        <f t="shared" si="9"/>
        <v>4.3315999999999999</v>
      </c>
      <c r="BC25" s="161">
        <f t="shared" si="10"/>
        <v>0.94616085290104557</v>
      </c>
      <c r="BD25" s="160">
        <f t="shared" si="27"/>
        <v>7.0177070422535213</v>
      </c>
      <c r="BE25" s="162">
        <v>0.875</v>
      </c>
      <c r="BF25" s="25">
        <f t="shared" si="28"/>
        <v>1910.4699999999998</v>
      </c>
      <c r="BG25" s="25">
        <f t="shared" si="11"/>
        <v>110</v>
      </c>
      <c r="BH25" s="25">
        <f t="shared" si="29"/>
        <v>2090</v>
      </c>
      <c r="BI25" s="26">
        <f t="shared" si="12"/>
        <v>1</v>
      </c>
      <c r="BJ25" s="37">
        <f t="shared" si="30"/>
        <v>2090</v>
      </c>
      <c r="BK25" s="38"/>
      <c r="BL25" s="28">
        <f t="shared" si="31"/>
        <v>162.45600000000002</v>
      </c>
      <c r="BM25" s="31">
        <v>60.222999999999999</v>
      </c>
      <c r="BN25" s="234"/>
      <c r="BO25" s="42"/>
      <c r="BP25" s="40">
        <v>13.14</v>
      </c>
      <c r="BQ25" s="411"/>
      <c r="BR25" s="33"/>
      <c r="BS25" s="34">
        <v>0.71</v>
      </c>
      <c r="BT25" s="35">
        <v>0.33</v>
      </c>
      <c r="BU25" s="35"/>
      <c r="BV25" s="235"/>
      <c r="BW25" s="235">
        <v>0.81</v>
      </c>
      <c r="BX25" s="36"/>
      <c r="BY25" s="33"/>
      <c r="BZ25" s="34">
        <v>37.17</v>
      </c>
      <c r="CA25" s="35">
        <v>36.479999999999997</v>
      </c>
      <c r="CB25" s="405"/>
      <c r="CC25" s="404"/>
      <c r="CD25" s="235">
        <v>33.04</v>
      </c>
      <c r="CE25" s="413"/>
      <c r="CF25" s="28">
        <f t="shared" si="32"/>
        <v>144.39599999999999</v>
      </c>
      <c r="CG25" s="30"/>
      <c r="CH25" s="31"/>
      <c r="CI25" s="32"/>
      <c r="CJ25" s="33">
        <v>1.48</v>
      </c>
      <c r="CK25" s="33"/>
      <c r="CL25" s="35"/>
      <c r="CM25" s="36"/>
      <c r="CN25" s="286"/>
      <c r="CO25" s="249">
        <f t="shared" si="36"/>
        <v>0</v>
      </c>
      <c r="CP25" s="12">
        <f t="shared" si="36"/>
        <v>161.30256240000003</v>
      </c>
      <c r="CQ25" s="12">
        <f t="shared" si="36"/>
        <v>60.024264100000003</v>
      </c>
      <c r="CR25" s="12">
        <f t="shared" si="36"/>
        <v>0</v>
      </c>
      <c r="CS25" s="11">
        <f t="shared" si="36"/>
        <v>0</v>
      </c>
      <c r="CT25" s="11">
        <f t="shared" si="36"/>
        <v>13.033566</v>
      </c>
      <c r="CU25" s="272">
        <f t="shared" si="36"/>
        <v>0</v>
      </c>
      <c r="CV25" s="249">
        <f t="shared" si="14"/>
        <v>142.25893919999999</v>
      </c>
      <c r="CW25" s="251">
        <f t="shared" si="14"/>
        <v>0</v>
      </c>
      <c r="CX25" s="249">
        <f t="shared" si="14"/>
        <v>0</v>
      </c>
      <c r="CY25" s="272">
        <f t="shared" si="14"/>
        <v>0</v>
      </c>
      <c r="CZ25" s="13"/>
      <c r="DA25" s="240">
        <f>(D25+'[2]июнь 20'!D25)/(AY25+'[2]июнь 20'!AX25)</f>
        <v>2.2249955728247595</v>
      </c>
      <c r="DB25" s="241">
        <f>(T25+'[2]июнь 20'!R25)/(AY25+'[2]июнь 20'!AX25)</f>
        <v>1.3057517958463418</v>
      </c>
      <c r="DD25" s="292">
        <f t="shared" si="15"/>
        <v>8.5670000000000002</v>
      </c>
      <c r="DE25" s="291">
        <v>7.0000000000000007E-2</v>
      </c>
      <c r="DF25" s="291">
        <v>14.35</v>
      </c>
      <c r="DG25" s="145">
        <f t="shared" si="16"/>
        <v>8.5610031000000006</v>
      </c>
      <c r="DH25" s="293">
        <f t="shared" si="33"/>
        <v>1.6319127854011688</v>
      </c>
      <c r="DJ25" s="38"/>
      <c r="DK25" s="31">
        <v>107.456</v>
      </c>
      <c r="DM25" s="460">
        <f t="shared" si="34"/>
        <v>162.45600000000002</v>
      </c>
      <c r="DO25" s="30">
        <v>131.39599999999999</v>
      </c>
      <c r="DP25" s="460">
        <f t="shared" si="35"/>
        <v>144.39599999999999</v>
      </c>
    </row>
    <row r="26" spans="1:120" s="76" customFormat="1" ht="16.5" customHeight="1" thickBot="1">
      <c r="A26" s="144">
        <v>20</v>
      </c>
      <c r="B26" s="122">
        <f t="shared" si="17"/>
        <v>245.89</v>
      </c>
      <c r="C26" s="123">
        <f t="shared" si="18"/>
        <v>0.53621456748952778</v>
      </c>
      <c r="D26" s="145">
        <f t="shared" si="19"/>
        <v>244.57150200000001</v>
      </c>
      <c r="E26" s="125">
        <f t="shared" si="20"/>
        <v>37.233063280328601</v>
      </c>
      <c r="F26" s="146">
        <f t="shared" si="0"/>
        <v>2.3310284216545942</v>
      </c>
      <c r="G26" s="127"/>
      <c r="H26" s="126">
        <f t="shared" si="21"/>
        <v>2.3310284216545942</v>
      </c>
      <c r="I26" s="230">
        <f>'[1]июль 20'!AI25</f>
        <v>0</v>
      </c>
      <c r="J26" s="247">
        <f>'[1]июнь 20'!AA25</f>
        <v>9.1829999999999998</v>
      </c>
      <c r="K26" s="464">
        <f>'[1]сентябрь 20'!AM25</f>
        <v>0</v>
      </c>
      <c r="L26" s="247"/>
      <c r="M26" s="468">
        <f t="shared" si="22"/>
        <v>0</v>
      </c>
      <c r="N26" s="403">
        <f>'[1]июнь 20'!W25</f>
        <v>0</v>
      </c>
      <c r="O26" s="403">
        <f>'[1]июнь 20'!AU25</f>
        <v>0</v>
      </c>
      <c r="P26" s="401">
        <f t="shared" si="1"/>
        <v>151.83799999999999</v>
      </c>
      <c r="Q26" s="122">
        <f t="shared" si="23"/>
        <v>151.83799999999999</v>
      </c>
      <c r="R26" s="123">
        <f t="shared" si="24"/>
        <v>1.46</v>
      </c>
      <c r="S26" s="129">
        <v>8.35</v>
      </c>
      <c r="T26" s="125">
        <f t="shared" si="2"/>
        <v>149.62116520000001</v>
      </c>
      <c r="U26" s="147">
        <f t="shared" si="3"/>
        <v>1.4260499923751431</v>
      </c>
      <c r="V26" s="169">
        <v>55.38</v>
      </c>
      <c r="W26" s="169">
        <v>104.92</v>
      </c>
      <c r="X26" s="170">
        <v>0.54</v>
      </c>
      <c r="Y26" s="166">
        <v>551</v>
      </c>
      <c r="Z26" s="166">
        <v>1147</v>
      </c>
      <c r="AA26" s="148" t="s">
        <v>314</v>
      </c>
      <c r="AB26" s="164">
        <v>75.599999999999994</v>
      </c>
      <c r="AC26" s="166">
        <v>91</v>
      </c>
      <c r="AD26" s="171">
        <v>4</v>
      </c>
      <c r="AE26" s="164"/>
      <c r="AF26" s="172">
        <f t="shared" si="4"/>
        <v>0</v>
      </c>
      <c r="AG26" s="173"/>
      <c r="AH26" s="170">
        <v>65.099999999999994</v>
      </c>
      <c r="AI26" s="134">
        <f t="shared" si="5"/>
        <v>620.47274113610365</v>
      </c>
      <c r="AJ26" s="174">
        <v>13.67</v>
      </c>
      <c r="AK26" s="175"/>
      <c r="AL26" s="176">
        <v>5.04</v>
      </c>
      <c r="AM26" s="177">
        <v>29.97</v>
      </c>
      <c r="AN26" s="126">
        <f t="shared" si="25"/>
        <v>0.21685962373371925</v>
      </c>
      <c r="AO26" s="178" t="s">
        <v>316</v>
      </c>
      <c r="AP26" s="177">
        <v>9.0399999999999991</v>
      </c>
      <c r="AQ26" s="177">
        <v>7.28</v>
      </c>
      <c r="AR26" s="171"/>
      <c r="AS26" s="164">
        <v>7.74</v>
      </c>
      <c r="AT26" s="149">
        <v>138.19999999999999</v>
      </c>
      <c r="AU26" s="164">
        <v>1.73</v>
      </c>
      <c r="AV26" s="164"/>
      <c r="AW26" s="164"/>
      <c r="AX26" s="179">
        <f t="shared" si="6"/>
        <v>0</v>
      </c>
      <c r="AY26" s="125">
        <f t="shared" si="7"/>
        <v>104.92</v>
      </c>
      <c r="AZ26" s="125">
        <f t="shared" si="26"/>
        <v>107.13898330613193</v>
      </c>
      <c r="BA26" s="159">
        <f t="shared" si="8"/>
        <v>3.9032492957746476</v>
      </c>
      <c r="BB26" s="159">
        <f t="shared" si="9"/>
        <v>4.1968000000000005</v>
      </c>
      <c r="BC26" s="180">
        <f t="shared" si="10"/>
        <v>0.8710547597870667</v>
      </c>
      <c r="BD26" s="159">
        <f t="shared" si="27"/>
        <v>8.1000492957746477</v>
      </c>
      <c r="BE26" s="167">
        <v>0.875</v>
      </c>
      <c r="BF26" s="25">
        <f t="shared" si="28"/>
        <v>2015.3899999999999</v>
      </c>
      <c r="BG26" s="25">
        <f t="shared" si="11"/>
        <v>110</v>
      </c>
      <c r="BH26" s="25">
        <f t="shared" si="29"/>
        <v>2200</v>
      </c>
      <c r="BI26" s="26">
        <f t="shared" si="12"/>
        <v>1</v>
      </c>
      <c r="BJ26" s="37">
        <f t="shared" si="30"/>
        <v>2200</v>
      </c>
      <c r="BK26" s="38"/>
      <c r="BL26" s="28">
        <f t="shared" si="31"/>
        <v>168.666</v>
      </c>
      <c r="BM26" s="31">
        <v>63.719000000000001</v>
      </c>
      <c r="BN26" s="406"/>
      <c r="BO26" s="42"/>
      <c r="BP26" s="40">
        <v>13.505000000000001</v>
      </c>
      <c r="BQ26" s="412"/>
      <c r="BR26" s="33"/>
      <c r="BS26" s="34">
        <v>0.6</v>
      </c>
      <c r="BT26" s="35">
        <v>0.25</v>
      </c>
      <c r="BU26" s="35"/>
      <c r="BV26" s="235"/>
      <c r="BW26" s="235">
        <v>1.0900000000000001</v>
      </c>
      <c r="BX26" s="36"/>
      <c r="BY26" s="33"/>
      <c r="BZ26" s="34">
        <v>37.409999999999997</v>
      </c>
      <c r="CA26" s="35">
        <v>37.380000000000003</v>
      </c>
      <c r="CB26" s="405"/>
      <c r="CC26" s="404"/>
      <c r="CD26" s="235">
        <v>34.33</v>
      </c>
      <c r="CE26" s="413"/>
      <c r="CF26" s="28">
        <f t="shared" si="32"/>
        <v>151.83799999999999</v>
      </c>
      <c r="CG26" s="30"/>
      <c r="CH26" s="43"/>
      <c r="CI26" s="32"/>
      <c r="CJ26" s="33">
        <v>1.46</v>
      </c>
      <c r="CK26" s="33"/>
      <c r="CL26" s="35"/>
      <c r="CM26" s="36"/>
      <c r="CN26" s="286"/>
      <c r="CO26" s="249">
        <f t="shared" si="36"/>
        <v>0</v>
      </c>
      <c r="CP26" s="12">
        <f t="shared" si="36"/>
        <v>167.65400400000001</v>
      </c>
      <c r="CQ26" s="12">
        <f t="shared" si="36"/>
        <v>63.559702500000007</v>
      </c>
      <c r="CR26" s="12">
        <f t="shared" si="36"/>
        <v>0</v>
      </c>
      <c r="CS26" s="11">
        <f t="shared" si="36"/>
        <v>0</v>
      </c>
      <c r="CT26" s="11">
        <f t="shared" si="36"/>
        <v>13.3577955</v>
      </c>
      <c r="CU26" s="272">
        <f t="shared" si="36"/>
        <v>0</v>
      </c>
      <c r="CV26" s="249">
        <f t="shared" si="14"/>
        <v>149.62116520000001</v>
      </c>
      <c r="CW26" s="12">
        <f t="shared" si="14"/>
        <v>0</v>
      </c>
      <c r="CX26" s="249">
        <f t="shared" si="14"/>
        <v>0</v>
      </c>
      <c r="CY26" s="274">
        <f t="shared" si="14"/>
        <v>0</v>
      </c>
      <c r="CZ26" s="13"/>
      <c r="DA26" s="240">
        <f>(D26+'[2]июнь 20'!D26)/(AY26+'[2]июнь 20'!AX26)</f>
        <v>2.3608414326149227</v>
      </c>
      <c r="DB26" s="241">
        <f>(T26+'[2]июнь 20'!R26)/(AY26+'[2]июнь 20'!AX26)</f>
        <v>1.390059900422862</v>
      </c>
      <c r="DD26" s="292">
        <f t="shared" si="15"/>
        <v>9.1829999999999998</v>
      </c>
      <c r="DE26" s="291">
        <v>0.25</v>
      </c>
      <c r="DF26" s="291">
        <v>16.38</v>
      </c>
      <c r="DG26" s="145">
        <f t="shared" si="16"/>
        <v>9.1600425000000012</v>
      </c>
      <c r="DH26" s="293">
        <f t="shared" si="33"/>
        <v>1.9846758750000006</v>
      </c>
      <c r="DJ26" s="38"/>
      <c r="DK26" s="43">
        <v>113.666</v>
      </c>
      <c r="DM26" s="460">
        <f t="shared" si="34"/>
        <v>168.666</v>
      </c>
      <c r="DO26" s="30">
        <v>138.83799999999999</v>
      </c>
      <c r="DP26" s="460">
        <f t="shared" si="35"/>
        <v>151.83799999999999</v>
      </c>
    </row>
    <row r="27" spans="1:120" s="76" customFormat="1" ht="16.5" customHeight="1" thickBot="1">
      <c r="A27" s="144">
        <v>21</v>
      </c>
      <c r="B27" s="122">
        <f t="shared" si="17"/>
        <v>265.22500000000002</v>
      </c>
      <c r="C27" s="123">
        <f t="shared" si="18"/>
        <v>0.74624477330568384</v>
      </c>
      <c r="D27" s="145">
        <f t="shared" si="19"/>
        <v>263.2457723</v>
      </c>
      <c r="E27" s="125">
        <f t="shared" si="20"/>
        <v>36.730644245451984</v>
      </c>
      <c r="F27" s="146">
        <f t="shared" si="0"/>
        <v>2.5210282733192879</v>
      </c>
      <c r="G27" s="127"/>
      <c r="H27" s="126">
        <f t="shared" si="21"/>
        <v>2.5210282733192879</v>
      </c>
      <c r="I27" s="230">
        <f>'[1]июль 20'!AI26</f>
        <v>0</v>
      </c>
      <c r="J27" s="247">
        <f>'[1]июнь 20'!AA26</f>
        <v>9.6989999999999998</v>
      </c>
      <c r="K27" s="465">
        <f>'[1]сентябрь 20'!AM26</f>
        <v>0</v>
      </c>
      <c r="L27" s="247"/>
      <c r="M27" s="469">
        <f t="shared" si="22"/>
        <v>0</v>
      </c>
      <c r="N27" s="403">
        <f>'[1]июнь 20'!W26</f>
        <v>0</v>
      </c>
      <c r="O27" s="403">
        <f>'[1]июнь 20'!AU26</f>
        <v>0</v>
      </c>
      <c r="P27" s="401">
        <f t="shared" si="1"/>
        <v>162.24100000000001</v>
      </c>
      <c r="Q27" s="122">
        <f t="shared" si="23"/>
        <v>162.24100000000001</v>
      </c>
      <c r="R27" s="123">
        <f t="shared" si="24"/>
        <v>1.53</v>
      </c>
      <c r="S27" s="129">
        <v>9.3800000000000008</v>
      </c>
      <c r="T27" s="125">
        <f t="shared" si="2"/>
        <v>159.75871270000002</v>
      </c>
      <c r="U27" s="147">
        <f t="shared" si="3"/>
        <v>1.5299627724573841</v>
      </c>
      <c r="V27" s="130">
        <v>78.98</v>
      </c>
      <c r="W27" s="130">
        <v>104.42</v>
      </c>
      <c r="X27" s="129">
        <v>0.53</v>
      </c>
      <c r="Y27" s="150">
        <v>535</v>
      </c>
      <c r="Z27" s="150">
        <v>1161</v>
      </c>
      <c r="AA27" s="148" t="s">
        <v>317</v>
      </c>
      <c r="AB27" s="149">
        <v>75.39</v>
      </c>
      <c r="AC27" s="150">
        <v>97</v>
      </c>
      <c r="AD27" s="151">
        <v>4</v>
      </c>
      <c r="AE27" s="149">
        <v>5</v>
      </c>
      <c r="AF27" s="134">
        <f t="shared" si="4"/>
        <v>47.883547213177557</v>
      </c>
      <c r="AG27" s="152"/>
      <c r="AH27" s="129">
        <v>64</v>
      </c>
      <c r="AI27" s="134">
        <f t="shared" si="5"/>
        <v>612.90940432867274</v>
      </c>
      <c r="AJ27" s="136">
        <v>13.38</v>
      </c>
      <c r="AK27" s="154"/>
      <c r="AL27" s="155">
        <v>3.97</v>
      </c>
      <c r="AM27" s="156">
        <v>32.15</v>
      </c>
      <c r="AN27" s="126">
        <f t="shared" si="25"/>
        <v>0.23137819359481829</v>
      </c>
      <c r="AO27" s="157" t="s">
        <v>157</v>
      </c>
      <c r="AP27" s="156">
        <v>9.4</v>
      </c>
      <c r="AQ27" s="156">
        <v>7.38</v>
      </c>
      <c r="AR27" s="151"/>
      <c r="AS27" s="149">
        <v>6.73</v>
      </c>
      <c r="AT27" s="149">
        <v>138.94999999999999</v>
      </c>
      <c r="AU27" s="149">
        <v>1.59</v>
      </c>
      <c r="AV27" s="164"/>
      <c r="AW27" s="149"/>
      <c r="AX27" s="158">
        <f t="shared" si="6"/>
        <v>0</v>
      </c>
      <c r="AY27" s="125">
        <f t="shared" si="7"/>
        <v>104.41999999999999</v>
      </c>
      <c r="AZ27" s="125">
        <f t="shared" si="26"/>
        <v>114.26324517572353</v>
      </c>
      <c r="BA27" s="159">
        <f t="shared" si="8"/>
        <v>3.3365633802816901</v>
      </c>
      <c r="BB27" s="160">
        <f t="shared" si="9"/>
        <v>4.1767999999999992</v>
      </c>
      <c r="BC27" s="161">
        <f t="shared" si="10"/>
        <v>0.81415572513928247</v>
      </c>
      <c r="BD27" s="160">
        <f t="shared" si="27"/>
        <v>7.5133633802816888</v>
      </c>
      <c r="BE27" s="162">
        <v>0.871</v>
      </c>
      <c r="BF27" s="25">
        <f t="shared" si="28"/>
        <v>2119.81</v>
      </c>
      <c r="BG27" s="25">
        <f t="shared" si="11"/>
        <v>110</v>
      </c>
      <c r="BH27" s="25">
        <f t="shared" si="29"/>
        <v>2310</v>
      </c>
      <c r="BI27" s="26">
        <f t="shared" si="12"/>
        <v>1</v>
      </c>
      <c r="BJ27" s="37">
        <f t="shared" si="30"/>
        <v>2310</v>
      </c>
      <c r="BK27" s="38"/>
      <c r="BL27" s="28">
        <f t="shared" si="31"/>
        <v>182.69400000000002</v>
      </c>
      <c r="BM27" s="31">
        <v>67.927000000000007</v>
      </c>
      <c r="BN27" s="234"/>
      <c r="BO27" s="42"/>
      <c r="BP27" s="40">
        <v>14.603999999999999</v>
      </c>
      <c r="BQ27" s="411"/>
      <c r="BR27" s="33"/>
      <c r="BS27" s="34">
        <v>0.89</v>
      </c>
      <c r="BT27" s="35">
        <v>0.28999999999999998</v>
      </c>
      <c r="BU27" s="35"/>
      <c r="BV27" s="235"/>
      <c r="BW27" s="235">
        <v>1.07</v>
      </c>
      <c r="BX27" s="36"/>
      <c r="BY27" s="33"/>
      <c r="BZ27" s="34">
        <v>37.32</v>
      </c>
      <c r="CA27" s="35">
        <v>36.24</v>
      </c>
      <c r="CB27" s="405"/>
      <c r="CC27" s="404"/>
      <c r="CD27" s="235">
        <v>31.64</v>
      </c>
      <c r="CE27" s="413"/>
      <c r="CF27" s="28">
        <f t="shared" si="32"/>
        <v>162.24100000000001</v>
      </c>
      <c r="CG27" s="30"/>
      <c r="CH27" s="31"/>
      <c r="CI27" s="32"/>
      <c r="CJ27" s="33">
        <v>1.53</v>
      </c>
      <c r="CK27" s="33"/>
      <c r="CL27" s="35"/>
      <c r="CM27" s="36"/>
      <c r="CN27" s="286"/>
      <c r="CO27" s="249">
        <f t="shared" si="36"/>
        <v>0</v>
      </c>
      <c r="CP27" s="12">
        <f t="shared" si="36"/>
        <v>181.06802340000002</v>
      </c>
      <c r="CQ27" s="12">
        <f t="shared" si="36"/>
        <v>67.730011700000006</v>
      </c>
      <c r="CR27" s="12">
        <f t="shared" si="36"/>
        <v>0</v>
      </c>
      <c r="CS27" s="11">
        <f t="shared" si="36"/>
        <v>0</v>
      </c>
      <c r="CT27" s="11">
        <f t="shared" si="36"/>
        <v>14.447737200000001</v>
      </c>
      <c r="CU27" s="272">
        <f t="shared" si="36"/>
        <v>0</v>
      </c>
      <c r="CV27" s="249">
        <f t="shared" si="14"/>
        <v>159.75871270000002</v>
      </c>
      <c r="CW27" s="11">
        <f t="shared" si="14"/>
        <v>0</v>
      </c>
      <c r="CX27" s="249">
        <f t="shared" si="14"/>
        <v>0</v>
      </c>
      <c r="CY27" s="272">
        <f t="shared" si="14"/>
        <v>0</v>
      </c>
      <c r="CZ27" s="13"/>
      <c r="DA27" s="240">
        <f>(D27+'[2]июнь 20'!D27)/(AY27+'[2]июнь 20'!AX27)</f>
        <v>2.3307783825811241</v>
      </c>
      <c r="DB27" s="241">
        <f>(T27+'[2]июнь 20'!R27)/(AY27+'[2]июнь 20'!AX27)</f>
        <v>1.3725585667543685</v>
      </c>
      <c r="DD27" s="292">
        <f t="shared" si="15"/>
        <v>9.6989999999999998</v>
      </c>
      <c r="DE27" s="291">
        <v>0.18</v>
      </c>
      <c r="DF27" s="291">
        <v>17.88</v>
      </c>
      <c r="DG27" s="145">
        <f t="shared" si="16"/>
        <v>9.6815417999999998</v>
      </c>
      <c r="DH27" s="293">
        <f t="shared" si="33"/>
        <v>2.2961396389972144</v>
      </c>
      <c r="DJ27" s="38"/>
      <c r="DK27" s="31">
        <v>127.694</v>
      </c>
      <c r="DM27" s="460">
        <f t="shared" si="34"/>
        <v>182.69400000000002</v>
      </c>
      <c r="DO27" s="30">
        <v>149.24100000000001</v>
      </c>
      <c r="DP27" s="460">
        <f t="shared" si="35"/>
        <v>162.24100000000001</v>
      </c>
    </row>
    <row r="28" spans="1:120" s="76" customFormat="1" ht="16.5" customHeight="1" thickBot="1">
      <c r="A28" s="144">
        <v>22</v>
      </c>
      <c r="B28" s="122">
        <f t="shared" si="17"/>
        <v>250.54600000000002</v>
      </c>
      <c r="C28" s="123">
        <f t="shared" si="18"/>
        <v>0.36533698402688519</v>
      </c>
      <c r="D28" s="145">
        <f t="shared" si="19"/>
        <v>249.63066280000001</v>
      </c>
      <c r="E28" s="125">
        <f t="shared" si="20"/>
        <v>37.122148587484929</v>
      </c>
      <c r="F28" s="146">
        <f t="shared" si="0"/>
        <v>2.4718354569759384</v>
      </c>
      <c r="G28" s="127">
        <v>15.9</v>
      </c>
      <c r="H28" s="126">
        <f t="shared" si="21"/>
        <v>2.4718354569759384</v>
      </c>
      <c r="I28" s="230">
        <f>'[1]июль 20'!AI27</f>
        <v>0</v>
      </c>
      <c r="J28" s="247">
        <f>'[1]июнь 20'!AA27</f>
        <v>8.8010000000000002</v>
      </c>
      <c r="K28" s="464">
        <f>'[1]сентябрь 20'!AM27</f>
        <v>0</v>
      </c>
      <c r="L28" s="247"/>
      <c r="M28" s="468">
        <f t="shared" si="22"/>
        <v>0</v>
      </c>
      <c r="N28" s="403">
        <f>'[1]июнь 20'!W27</f>
        <v>0</v>
      </c>
      <c r="O28" s="403">
        <f>'[1]июнь 20'!AU27</f>
        <v>0</v>
      </c>
      <c r="P28" s="401">
        <f t="shared" si="1"/>
        <v>146.238</v>
      </c>
      <c r="Q28" s="122">
        <f t="shared" si="23"/>
        <v>146.238</v>
      </c>
      <c r="R28" s="123">
        <f t="shared" si="24"/>
        <v>1.46</v>
      </c>
      <c r="S28" s="129">
        <v>2.41</v>
      </c>
      <c r="T28" s="125">
        <f t="shared" si="2"/>
        <v>144.10292520000002</v>
      </c>
      <c r="U28" s="147">
        <f t="shared" si="3"/>
        <v>1.4269029131597191</v>
      </c>
      <c r="V28" s="130">
        <v>100.99</v>
      </c>
      <c r="W28" s="130">
        <v>77.290000000000006</v>
      </c>
      <c r="X28" s="129">
        <v>0.94</v>
      </c>
      <c r="Y28" s="150">
        <v>537</v>
      </c>
      <c r="Z28" s="150">
        <v>1166</v>
      </c>
      <c r="AA28" s="148" t="s">
        <v>318</v>
      </c>
      <c r="AB28" s="149">
        <v>75.86</v>
      </c>
      <c r="AC28" s="150">
        <v>87</v>
      </c>
      <c r="AD28" s="151">
        <v>4</v>
      </c>
      <c r="AE28" s="149"/>
      <c r="AF28" s="134">
        <f t="shared" si="4"/>
        <v>0</v>
      </c>
      <c r="AG28" s="152"/>
      <c r="AH28" s="129">
        <v>63.6</v>
      </c>
      <c r="AI28" s="134">
        <f t="shared" si="5"/>
        <v>629.76532329933661</v>
      </c>
      <c r="AJ28" s="153">
        <v>12.64</v>
      </c>
      <c r="AK28" s="154"/>
      <c r="AL28" s="155">
        <v>3.76</v>
      </c>
      <c r="AM28" s="156">
        <v>30.95</v>
      </c>
      <c r="AN28" s="126">
        <f t="shared" si="25"/>
        <v>0.23019709929341764</v>
      </c>
      <c r="AO28" s="157" t="s">
        <v>319</v>
      </c>
      <c r="AP28" s="156">
        <v>9.61</v>
      </c>
      <c r="AQ28" s="156">
        <v>8.11</v>
      </c>
      <c r="AR28" s="151"/>
      <c r="AS28" s="149">
        <v>6.23</v>
      </c>
      <c r="AT28" s="149">
        <v>134.44999999999999</v>
      </c>
      <c r="AU28" s="149">
        <v>1.25</v>
      </c>
      <c r="AV28" s="164"/>
      <c r="AW28" s="149"/>
      <c r="AX28" s="158">
        <f t="shared" si="6"/>
        <v>0</v>
      </c>
      <c r="AY28" s="125">
        <f t="shared" si="7"/>
        <v>100.99</v>
      </c>
      <c r="AZ28" s="125">
        <f t="shared" si="26"/>
        <v>108.3791489097587</v>
      </c>
      <c r="BA28" s="159">
        <f t="shared" si="8"/>
        <v>3.0693718309859155</v>
      </c>
      <c r="BB28" s="160">
        <f t="shared" si="9"/>
        <v>4.0396000000000001</v>
      </c>
      <c r="BC28" s="161">
        <f t="shared" si="10"/>
        <v>0.82672329662460031</v>
      </c>
      <c r="BD28" s="160">
        <f t="shared" si="27"/>
        <v>7.1089718309859151</v>
      </c>
      <c r="BE28" s="162">
        <v>0.86899999999999999</v>
      </c>
      <c r="BF28" s="25">
        <f t="shared" si="28"/>
        <v>2220.7999999999997</v>
      </c>
      <c r="BG28" s="25">
        <f t="shared" si="11"/>
        <v>110</v>
      </c>
      <c r="BH28" s="25">
        <f t="shared" si="29"/>
        <v>2420</v>
      </c>
      <c r="BI28" s="26">
        <f t="shared" si="12"/>
        <v>1</v>
      </c>
      <c r="BJ28" s="37">
        <f t="shared" si="30"/>
        <v>2420</v>
      </c>
      <c r="BK28" s="38">
        <f>DL28</f>
        <v>176.78700000000001</v>
      </c>
      <c r="BL28" s="31"/>
      <c r="BM28" s="31">
        <v>60.926000000000002</v>
      </c>
      <c r="BN28" s="234"/>
      <c r="BO28" s="42"/>
      <c r="BP28" s="40">
        <v>12.833</v>
      </c>
      <c r="BQ28" s="411"/>
      <c r="BR28" s="33">
        <v>0.33</v>
      </c>
      <c r="BS28" s="34"/>
      <c r="BT28" s="35">
        <v>0.37</v>
      </c>
      <c r="BU28" s="35"/>
      <c r="BV28" s="235"/>
      <c r="BW28" s="235">
        <v>0.83</v>
      </c>
      <c r="BX28" s="36"/>
      <c r="BY28" s="33">
        <v>37.04</v>
      </c>
      <c r="BZ28" s="34"/>
      <c r="CA28" s="35">
        <v>38.57</v>
      </c>
      <c r="CB28" s="405"/>
      <c r="CC28" s="404"/>
      <c r="CD28" s="235">
        <v>31.38</v>
      </c>
      <c r="CE28" s="36"/>
      <c r="CF28" s="28">
        <f t="shared" si="32"/>
        <v>146.238</v>
      </c>
      <c r="CG28" s="30"/>
      <c r="CH28" s="31"/>
      <c r="CI28" s="32"/>
      <c r="CJ28" s="33">
        <v>1.46</v>
      </c>
      <c r="CK28" s="33"/>
      <c r="CL28" s="35"/>
      <c r="CM28" s="36"/>
      <c r="CN28" s="286"/>
      <c r="CO28" s="249">
        <f t="shared" si="36"/>
        <v>176.20360290000002</v>
      </c>
      <c r="CP28" s="12">
        <f t="shared" si="36"/>
        <v>0</v>
      </c>
      <c r="CQ28" s="12">
        <f t="shared" si="36"/>
        <v>60.700573800000001</v>
      </c>
      <c r="CR28" s="12">
        <f t="shared" si="36"/>
        <v>0</v>
      </c>
      <c r="CS28" s="11">
        <f t="shared" si="36"/>
        <v>0</v>
      </c>
      <c r="CT28" s="11">
        <f t="shared" si="36"/>
        <v>12.726486100000001</v>
      </c>
      <c r="CU28" s="272">
        <f t="shared" si="36"/>
        <v>0</v>
      </c>
      <c r="CV28" s="249">
        <f t="shared" si="14"/>
        <v>144.10292520000002</v>
      </c>
      <c r="CW28" s="12">
        <f t="shared" si="14"/>
        <v>0</v>
      </c>
      <c r="CX28" s="249">
        <f t="shared" si="14"/>
        <v>0</v>
      </c>
      <c r="CY28" s="272">
        <f t="shared" si="14"/>
        <v>0</v>
      </c>
      <c r="CZ28" s="13"/>
      <c r="DA28" s="240">
        <f>(D28+'[2]июнь 20'!D28)/(AY28+'[2]июнь 20'!AX28)</f>
        <v>2.3479735158327717</v>
      </c>
      <c r="DB28" s="241">
        <f>(T28+'[2]июнь 20'!R28)/(AY28+'[2]июнь 20'!AX28)</f>
        <v>1.3578345633133577</v>
      </c>
      <c r="DD28" s="292">
        <f t="shared" si="15"/>
        <v>8.8010000000000002</v>
      </c>
      <c r="DE28" s="305">
        <v>0.7</v>
      </c>
      <c r="DF28" s="291">
        <v>15.07</v>
      </c>
      <c r="DG28" s="145">
        <f t="shared" si="16"/>
        <v>8.7393929999999997</v>
      </c>
      <c r="DH28" s="293">
        <f t="shared" si="33"/>
        <v>1.7361277683891381</v>
      </c>
      <c r="DJ28" s="38">
        <v>121.78700000000001</v>
      </c>
      <c r="DK28" s="31"/>
      <c r="DL28" s="460">
        <f>DJ28+55</f>
        <v>176.78700000000001</v>
      </c>
      <c r="DO28" s="30">
        <v>133.238</v>
      </c>
      <c r="DP28" s="460">
        <f t="shared" si="35"/>
        <v>146.238</v>
      </c>
    </row>
    <row r="29" spans="1:120" s="76" customFormat="1" ht="16.5" customHeight="1" thickBot="1">
      <c r="A29" s="144">
        <v>23</v>
      </c>
      <c r="B29" s="122">
        <f t="shared" si="17"/>
        <v>257.53100000000001</v>
      </c>
      <c r="C29" s="123">
        <f t="shared" si="18"/>
        <v>0.60472397497776953</v>
      </c>
      <c r="D29" s="145">
        <f t="shared" si="19"/>
        <v>255.97364830000001</v>
      </c>
      <c r="E29" s="125">
        <f t="shared" si="20"/>
        <v>37.823384213939292</v>
      </c>
      <c r="F29" s="146">
        <f t="shared" si="0"/>
        <v>2.6183883827741408</v>
      </c>
      <c r="G29" s="127"/>
      <c r="H29" s="126">
        <f t="shared" si="21"/>
        <v>2.6183883827741408</v>
      </c>
      <c r="I29" s="230">
        <f>'[1]июль 20'!AI28</f>
        <v>0</v>
      </c>
      <c r="J29" s="247">
        <f>'[1]июнь 20'!AA28</f>
        <v>9.2029999999999994</v>
      </c>
      <c r="K29" s="465">
        <f>'[1]сентябрь 20'!AM28</f>
        <v>0</v>
      </c>
      <c r="L29" s="247"/>
      <c r="M29" s="469">
        <f t="shared" si="22"/>
        <v>0</v>
      </c>
      <c r="N29" s="403">
        <f>'[1]июнь 20'!W28</f>
        <v>0</v>
      </c>
      <c r="O29" s="403">
        <f>'[1]июнь 20'!AU28</f>
        <v>0</v>
      </c>
      <c r="P29" s="401">
        <f t="shared" si="1"/>
        <v>149.11799999999999</v>
      </c>
      <c r="Q29" s="122">
        <f t="shared" si="23"/>
        <v>149.11799999999999</v>
      </c>
      <c r="R29" s="123">
        <f t="shared" si="24"/>
        <v>1.65</v>
      </c>
      <c r="S29" s="129">
        <v>25.16</v>
      </c>
      <c r="T29" s="125">
        <f t="shared" si="2"/>
        <v>146.65755299999998</v>
      </c>
      <c r="U29" s="147">
        <f t="shared" si="3"/>
        <v>1.5001795519639931</v>
      </c>
      <c r="V29" s="130">
        <v>97.76</v>
      </c>
      <c r="W29" s="130">
        <v>22.98</v>
      </c>
      <c r="X29" s="129">
        <v>1.1399999999999999</v>
      </c>
      <c r="Y29" s="150">
        <v>542</v>
      </c>
      <c r="Z29" s="150">
        <v>1169</v>
      </c>
      <c r="AA29" s="148" t="s">
        <v>310</v>
      </c>
      <c r="AB29" s="149">
        <v>76.2</v>
      </c>
      <c r="AC29" s="150">
        <v>90</v>
      </c>
      <c r="AD29" s="151">
        <v>4</v>
      </c>
      <c r="AE29" s="149"/>
      <c r="AF29" s="134">
        <f t="shared" si="4"/>
        <v>0</v>
      </c>
      <c r="AG29" s="152"/>
      <c r="AH29" s="129">
        <v>59.4</v>
      </c>
      <c r="AI29" s="134">
        <f t="shared" si="5"/>
        <v>607.61047463175123</v>
      </c>
      <c r="AJ29" s="136">
        <v>12.65</v>
      </c>
      <c r="AK29" s="154"/>
      <c r="AL29" s="155">
        <v>4.8899999999999997</v>
      </c>
      <c r="AM29" s="156">
        <v>30.75</v>
      </c>
      <c r="AN29" s="126">
        <f t="shared" si="25"/>
        <v>0.23242630385487525</v>
      </c>
      <c r="AO29" s="157" t="s">
        <v>320</v>
      </c>
      <c r="AP29" s="156">
        <v>9.26</v>
      </c>
      <c r="AQ29" s="156">
        <v>8.3699999999999992</v>
      </c>
      <c r="AR29" s="149"/>
      <c r="AS29" s="149">
        <v>6.22</v>
      </c>
      <c r="AT29" s="149">
        <v>132.30000000000001</v>
      </c>
      <c r="AU29" s="149">
        <v>1.1000000000000001</v>
      </c>
      <c r="AV29" s="164"/>
      <c r="AW29" s="149"/>
      <c r="AX29" s="158">
        <f t="shared" si="6"/>
        <v>0</v>
      </c>
      <c r="AY29" s="125">
        <f t="shared" si="7"/>
        <v>97.76</v>
      </c>
      <c r="AZ29" s="125">
        <f t="shared" si="26"/>
        <v>112.80876214214231</v>
      </c>
      <c r="BA29" s="159">
        <f t="shared" si="8"/>
        <v>2.8620760563380276</v>
      </c>
      <c r="BB29" s="160">
        <f t="shared" si="9"/>
        <v>3.9104000000000001</v>
      </c>
      <c r="BC29" s="161">
        <f t="shared" si="10"/>
        <v>0.76941477460338215</v>
      </c>
      <c r="BD29" s="160">
        <f t="shared" si="27"/>
        <v>6.7724760563380277</v>
      </c>
      <c r="BE29" s="162">
        <v>0.86399999999999999</v>
      </c>
      <c r="BF29" s="25">
        <f t="shared" si="28"/>
        <v>2318.56</v>
      </c>
      <c r="BG29" s="25">
        <f t="shared" si="11"/>
        <v>110</v>
      </c>
      <c r="BH29" s="25">
        <f t="shared" si="29"/>
        <v>2530</v>
      </c>
      <c r="BI29" s="26">
        <f t="shared" si="12"/>
        <v>1</v>
      </c>
      <c r="BJ29" s="37">
        <f t="shared" si="30"/>
        <v>2530</v>
      </c>
      <c r="BK29" s="38">
        <f t="shared" ref="BK29:BK36" si="37">DL29</f>
        <v>181.042</v>
      </c>
      <c r="BL29" s="31"/>
      <c r="BM29" s="31">
        <v>63.01</v>
      </c>
      <c r="BN29" s="31"/>
      <c r="BO29" s="40"/>
      <c r="BP29" s="40">
        <v>13.478999999999999</v>
      </c>
      <c r="BQ29" s="32"/>
      <c r="BR29" s="33">
        <v>0.7</v>
      </c>
      <c r="BS29" s="34"/>
      <c r="BT29" s="35">
        <v>0.24</v>
      </c>
      <c r="BU29" s="35"/>
      <c r="BV29" s="235"/>
      <c r="BW29" s="235">
        <v>1.03</v>
      </c>
      <c r="BX29" s="36"/>
      <c r="BY29" s="33">
        <v>37.51</v>
      </c>
      <c r="BZ29" s="34"/>
      <c r="CA29" s="35">
        <v>39.700000000000003</v>
      </c>
      <c r="CB29" s="35"/>
      <c r="CC29" s="235"/>
      <c r="CD29" s="235">
        <v>33.26</v>
      </c>
      <c r="CE29" s="36"/>
      <c r="CF29" s="28">
        <f t="shared" si="32"/>
        <v>149.11799999999999</v>
      </c>
      <c r="CG29" s="30"/>
      <c r="CH29" s="31"/>
      <c r="CI29" s="32"/>
      <c r="CJ29" s="33">
        <v>1.65</v>
      </c>
      <c r="CK29" s="33"/>
      <c r="CL29" s="35"/>
      <c r="CM29" s="36"/>
      <c r="CN29" s="286"/>
      <c r="CO29" s="249">
        <f t="shared" si="36"/>
        <v>179.77470600000001</v>
      </c>
      <c r="CP29" s="12">
        <f t="shared" si="36"/>
        <v>0</v>
      </c>
      <c r="CQ29" s="12">
        <f t="shared" si="36"/>
        <v>62.858775999999999</v>
      </c>
      <c r="CR29" s="12">
        <f t="shared" si="36"/>
        <v>0</v>
      </c>
      <c r="CS29" s="11">
        <f t="shared" si="36"/>
        <v>0</v>
      </c>
      <c r="CT29" s="11">
        <f t="shared" si="36"/>
        <v>13.3401663</v>
      </c>
      <c r="CU29" s="272">
        <f t="shared" si="36"/>
        <v>0</v>
      </c>
      <c r="CV29" s="249">
        <f t="shared" si="14"/>
        <v>146.65755299999998</v>
      </c>
      <c r="CW29" s="12">
        <f t="shared" si="14"/>
        <v>0</v>
      </c>
      <c r="CX29" s="249">
        <f t="shared" si="14"/>
        <v>0</v>
      </c>
      <c r="CY29" s="272">
        <f t="shared" si="14"/>
        <v>0</v>
      </c>
      <c r="CZ29" s="13"/>
      <c r="DA29" s="240">
        <f>(D29+'[2]июнь 20'!D29)/(AY29+'[2]июнь 20'!AX29)</f>
        <v>2.5313522551383625</v>
      </c>
      <c r="DB29" s="241">
        <f>(T29+'[2]июнь 20'!R29)/(AY29+'[2]июнь 20'!AX29)</f>
        <v>1.4685863398017376</v>
      </c>
      <c r="DD29" s="292">
        <f t="shared" si="15"/>
        <v>9.2029999999999994</v>
      </c>
      <c r="DE29" s="291">
        <v>0.14000000000000001</v>
      </c>
      <c r="DF29" s="291">
        <v>15.65</v>
      </c>
      <c r="DG29" s="145">
        <f t="shared" si="16"/>
        <v>9.1901157999999992</v>
      </c>
      <c r="DH29" s="293">
        <f t="shared" si="33"/>
        <v>1.8874712896325458</v>
      </c>
      <c r="DJ29" s="328">
        <v>126.042</v>
      </c>
      <c r="DK29" s="31"/>
      <c r="DL29" s="460">
        <f t="shared" ref="DL29:DL35" si="38">DJ29+55</f>
        <v>181.042</v>
      </c>
      <c r="DO29" s="30">
        <v>136.11799999999999</v>
      </c>
      <c r="DP29" s="460">
        <f t="shared" si="35"/>
        <v>149.11799999999999</v>
      </c>
    </row>
    <row r="30" spans="1:120" s="76" customFormat="1" ht="16.5" customHeight="1" thickBot="1">
      <c r="A30" s="144">
        <v>24</v>
      </c>
      <c r="B30" s="122">
        <f t="shared" si="17"/>
        <v>252.93799999999999</v>
      </c>
      <c r="C30" s="123">
        <f t="shared" si="18"/>
        <v>1.4246752168515604</v>
      </c>
      <c r="D30" s="145">
        <f t="shared" si="19"/>
        <v>249.33445499999999</v>
      </c>
      <c r="E30" s="125">
        <f t="shared" si="20"/>
        <v>37.560287303607993</v>
      </c>
      <c r="F30" s="146">
        <f t="shared" si="0"/>
        <v>2.6048313309653151</v>
      </c>
      <c r="G30" s="127"/>
      <c r="H30" s="126">
        <f t="shared" si="21"/>
        <v>2.6048313309653151</v>
      </c>
      <c r="I30" s="230">
        <f>'[1]июль 20'!AI29</f>
        <v>0</v>
      </c>
      <c r="J30" s="247">
        <f>'[1]июнь 20'!AA29</f>
        <v>8.7899999999999991</v>
      </c>
      <c r="K30" s="464">
        <f>'[1]сентябрь 20'!AM29</f>
        <v>0</v>
      </c>
      <c r="L30" s="247"/>
      <c r="M30" s="468">
        <f t="shared" si="22"/>
        <v>0</v>
      </c>
      <c r="N30" s="403">
        <f>'[1]июнь 20'!W29</f>
        <v>0</v>
      </c>
      <c r="O30" s="403">
        <f>'[1]июнь 20'!AU29</f>
        <v>0</v>
      </c>
      <c r="P30" s="401">
        <f t="shared" si="1"/>
        <v>143.70499999999998</v>
      </c>
      <c r="Q30" s="122">
        <f t="shared" si="23"/>
        <v>143.70499999999998</v>
      </c>
      <c r="R30" s="123">
        <f t="shared" si="24"/>
        <v>1.57</v>
      </c>
      <c r="S30" s="170"/>
      <c r="T30" s="125">
        <f t="shared" si="2"/>
        <v>141.44883149999998</v>
      </c>
      <c r="U30" s="147">
        <f t="shared" si="3"/>
        <v>1.4777353896782277</v>
      </c>
      <c r="V30" s="169">
        <v>95.72</v>
      </c>
      <c r="W30" s="169">
        <v>95.72</v>
      </c>
      <c r="X30" s="170">
        <v>0.56000000000000005</v>
      </c>
      <c r="Y30" s="166">
        <v>546</v>
      </c>
      <c r="Z30" s="166">
        <v>1157</v>
      </c>
      <c r="AA30" s="148" t="s">
        <v>321</v>
      </c>
      <c r="AB30" s="164">
        <v>75.510000000000005</v>
      </c>
      <c r="AC30" s="166">
        <v>88</v>
      </c>
      <c r="AD30" s="171">
        <v>4</v>
      </c>
      <c r="AE30" s="164"/>
      <c r="AF30" s="172">
        <f t="shared" si="4"/>
        <v>0</v>
      </c>
      <c r="AG30" s="173"/>
      <c r="AH30" s="170">
        <v>66.45</v>
      </c>
      <c r="AI30" s="134">
        <f t="shared" si="5"/>
        <v>694.21228583368156</v>
      </c>
      <c r="AJ30" s="174">
        <v>13.12</v>
      </c>
      <c r="AK30" s="175"/>
      <c r="AL30" s="176">
        <v>4.0999999999999996</v>
      </c>
      <c r="AM30" s="177">
        <v>30.38</v>
      </c>
      <c r="AN30" s="126">
        <f t="shared" si="25"/>
        <v>0.23568657874321178</v>
      </c>
      <c r="AO30" s="178" t="s">
        <v>322</v>
      </c>
      <c r="AP30" s="177">
        <v>8.81</v>
      </c>
      <c r="AQ30" s="177">
        <v>8.24</v>
      </c>
      <c r="AR30" s="171"/>
      <c r="AS30" s="164">
        <v>7.48</v>
      </c>
      <c r="AT30" s="149">
        <v>128.9</v>
      </c>
      <c r="AU30" s="164">
        <v>1.3</v>
      </c>
      <c r="AV30" s="164"/>
      <c r="AW30" s="164"/>
      <c r="AX30" s="179">
        <f t="shared" si="6"/>
        <v>0</v>
      </c>
      <c r="AY30" s="125">
        <f t="shared" si="7"/>
        <v>95.720000000000013</v>
      </c>
      <c r="AZ30" s="125">
        <f t="shared" si="26"/>
        <v>110.03770389297411</v>
      </c>
      <c r="BA30" s="159">
        <f t="shared" si="8"/>
        <v>3.8503563380281691</v>
      </c>
      <c r="BB30" s="159">
        <f t="shared" si="9"/>
        <v>3.8288000000000006</v>
      </c>
      <c r="BC30" s="180">
        <f t="shared" si="10"/>
        <v>0.77178433205803532</v>
      </c>
      <c r="BD30" s="159">
        <f t="shared" si="27"/>
        <v>7.6791563380281698</v>
      </c>
      <c r="BE30" s="167">
        <v>0.86</v>
      </c>
      <c r="BF30" s="25">
        <f t="shared" si="28"/>
        <v>2414.2799999999997</v>
      </c>
      <c r="BG30" s="25">
        <f t="shared" si="11"/>
        <v>110</v>
      </c>
      <c r="BH30" s="25">
        <f t="shared" si="29"/>
        <v>2640</v>
      </c>
      <c r="BI30" s="26">
        <f t="shared" si="12"/>
        <v>1</v>
      </c>
      <c r="BJ30" s="37">
        <f t="shared" si="30"/>
        <v>2640</v>
      </c>
      <c r="BK30" s="38">
        <f t="shared" si="37"/>
        <v>178.17599999999999</v>
      </c>
      <c r="BL30" s="31"/>
      <c r="BM30" s="31">
        <v>61.613</v>
      </c>
      <c r="BN30" s="31"/>
      <c r="BO30" s="40"/>
      <c r="BP30" s="40">
        <v>13.148999999999999</v>
      </c>
      <c r="BQ30" s="44"/>
      <c r="BR30" s="45">
        <v>1.6</v>
      </c>
      <c r="BS30" s="46"/>
      <c r="BT30" s="47">
        <v>0.94</v>
      </c>
      <c r="BU30" s="47"/>
      <c r="BV30" s="283"/>
      <c r="BW30" s="283">
        <v>1.32</v>
      </c>
      <c r="BX30" s="48"/>
      <c r="BY30" s="45">
        <v>37.869999999999997</v>
      </c>
      <c r="BZ30" s="46"/>
      <c r="CA30" s="47">
        <v>37.64</v>
      </c>
      <c r="CB30" s="47"/>
      <c r="CC30" s="283"/>
      <c r="CD30" s="283">
        <v>32.99</v>
      </c>
      <c r="CE30" s="48"/>
      <c r="CF30" s="28">
        <f t="shared" si="32"/>
        <v>118.029</v>
      </c>
      <c r="CG30" s="49">
        <v>25.675999999999998</v>
      </c>
      <c r="CH30" s="43"/>
      <c r="CI30" s="32"/>
      <c r="CJ30" s="33">
        <v>1.57</v>
      </c>
      <c r="CK30" s="33">
        <v>1.57</v>
      </c>
      <c r="CL30" s="35"/>
      <c r="CM30" s="36"/>
      <c r="CN30" s="286"/>
      <c r="CO30" s="249">
        <f t="shared" si="36"/>
        <v>175.32518400000001</v>
      </c>
      <c r="CP30" s="12">
        <f t="shared" si="36"/>
        <v>0</v>
      </c>
      <c r="CQ30" s="12">
        <f t="shared" si="36"/>
        <v>61.033837800000001</v>
      </c>
      <c r="CR30" s="12">
        <f t="shared" si="36"/>
        <v>0</v>
      </c>
      <c r="CS30" s="11">
        <f t="shared" si="36"/>
        <v>0</v>
      </c>
      <c r="CT30" s="11">
        <f t="shared" si="36"/>
        <v>12.975433200000001</v>
      </c>
      <c r="CU30" s="272">
        <f t="shared" si="36"/>
        <v>0</v>
      </c>
      <c r="CV30" s="249">
        <f t="shared" si="14"/>
        <v>116.1759447</v>
      </c>
      <c r="CW30" s="11">
        <f t="shared" si="14"/>
        <v>25.272886799999998</v>
      </c>
      <c r="CX30" s="252">
        <f t="shared" si="14"/>
        <v>0</v>
      </c>
      <c r="CY30" s="272">
        <f t="shared" si="14"/>
        <v>0</v>
      </c>
      <c r="CZ30" s="13"/>
      <c r="DA30" s="240">
        <f>(D30+'[2]июнь 20'!D30)/(AY30+'[2]июнь 20'!AX30)</f>
        <v>2.3657147681719821</v>
      </c>
      <c r="DB30" s="241">
        <f>(T30+'[2]июнь 20'!R30)/(AY30+'[2]июнь 20'!AX30)</f>
        <v>1.3754259870871617</v>
      </c>
      <c r="DD30" s="292">
        <f t="shared" si="15"/>
        <v>8.7899999999999991</v>
      </c>
      <c r="DE30" s="291">
        <v>0.08</v>
      </c>
      <c r="DF30" s="291">
        <v>15.17</v>
      </c>
      <c r="DG30" s="145">
        <f t="shared" si="16"/>
        <v>8.7829679999999986</v>
      </c>
      <c r="DH30" s="293">
        <f t="shared" si="33"/>
        <v>1.7645030401271351</v>
      </c>
      <c r="DJ30" s="38">
        <v>123.176</v>
      </c>
      <c r="DK30" s="31"/>
      <c r="DL30" s="460">
        <f t="shared" si="38"/>
        <v>178.17599999999999</v>
      </c>
      <c r="DO30" s="49">
        <v>105.029</v>
      </c>
      <c r="DP30" s="460">
        <f t="shared" si="35"/>
        <v>118.029</v>
      </c>
    </row>
    <row r="31" spans="1:120" s="76" customFormat="1" ht="16.5" customHeight="1" thickBot="1">
      <c r="A31" s="144">
        <v>25</v>
      </c>
      <c r="B31" s="122">
        <f t="shared" si="17"/>
        <v>265.28899999999999</v>
      </c>
      <c r="C31" s="123">
        <f t="shared" si="18"/>
        <v>1.3777783850819294</v>
      </c>
      <c r="D31" s="145">
        <f t="shared" si="19"/>
        <v>261.63390549999997</v>
      </c>
      <c r="E31" s="125">
        <f t="shared" si="20"/>
        <v>37.941317167315646</v>
      </c>
      <c r="F31" s="146">
        <f t="shared" si="0"/>
        <v>2.6353133108380336</v>
      </c>
      <c r="G31" s="127"/>
      <c r="H31" s="126">
        <f t="shared" si="21"/>
        <v>2.6353133108380336</v>
      </c>
      <c r="I31" s="230">
        <f>'[1]июль 20'!AI30</f>
        <v>0</v>
      </c>
      <c r="J31" s="247">
        <f>'[1]июнь 20'!AA30</f>
        <v>9.2609999999999992</v>
      </c>
      <c r="K31" s="465">
        <f>'[1]сентябрь 20'!AM30</f>
        <v>0</v>
      </c>
      <c r="L31" s="247"/>
      <c r="M31" s="469">
        <f t="shared" si="22"/>
        <v>0</v>
      </c>
      <c r="N31" s="403">
        <f>'[1]июнь 20'!W30</f>
        <v>0</v>
      </c>
      <c r="O31" s="403">
        <f>'[1]июнь 20'!AU30</f>
        <v>0</v>
      </c>
      <c r="P31" s="401">
        <f t="shared" si="1"/>
        <v>150.23400000000001</v>
      </c>
      <c r="Q31" s="122">
        <f t="shared" si="23"/>
        <v>150.23400000000001</v>
      </c>
      <c r="R31" s="123">
        <f t="shared" si="24"/>
        <v>1.29</v>
      </c>
      <c r="S31" s="129">
        <v>22.14</v>
      </c>
      <c r="T31" s="125">
        <f t="shared" si="2"/>
        <v>148.29598140000002</v>
      </c>
      <c r="U31" s="147">
        <f t="shared" si="3"/>
        <v>1.4937145588235297</v>
      </c>
      <c r="V31" s="130">
        <v>99.28</v>
      </c>
      <c r="W31" s="130">
        <v>76.16</v>
      </c>
      <c r="X31" s="129">
        <v>0.66</v>
      </c>
      <c r="Y31" s="150">
        <v>559</v>
      </c>
      <c r="Z31" s="150">
        <v>1167</v>
      </c>
      <c r="AA31" s="148" t="s">
        <v>318</v>
      </c>
      <c r="AB31" s="149">
        <v>75.59</v>
      </c>
      <c r="AC31" s="150">
        <v>94</v>
      </c>
      <c r="AD31" s="151">
        <v>4</v>
      </c>
      <c r="AE31" s="149"/>
      <c r="AF31" s="134">
        <f t="shared" si="4"/>
        <v>0</v>
      </c>
      <c r="AG31" s="152"/>
      <c r="AH31" s="129">
        <v>55.7</v>
      </c>
      <c r="AI31" s="134">
        <f t="shared" si="5"/>
        <v>561.03948428686545</v>
      </c>
      <c r="AJ31" s="136">
        <v>11.86</v>
      </c>
      <c r="AK31" s="154"/>
      <c r="AL31" s="155">
        <v>4.8499999999999996</v>
      </c>
      <c r="AM31" s="156">
        <v>29.1</v>
      </c>
      <c r="AN31" s="126">
        <f t="shared" si="25"/>
        <v>0.2202876608629826</v>
      </c>
      <c r="AO31" s="157" t="s">
        <v>323</v>
      </c>
      <c r="AP31" s="156">
        <v>8.5</v>
      </c>
      <c r="AQ31" s="156">
        <v>7.83</v>
      </c>
      <c r="AR31" s="151"/>
      <c r="AS31" s="149">
        <v>7.23</v>
      </c>
      <c r="AT31" s="149">
        <v>132.1</v>
      </c>
      <c r="AU31" s="149">
        <v>1.1299999999999999</v>
      </c>
      <c r="AV31" s="164"/>
      <c r="AW31" s="149"/>
      <c r="AX31" s="158">
        <f t="shared" si="6"/>
        <v>0</v>
      </c>
      <c r="AY31" s="125">
        <f t="shared" si="7"/>
        <v>99.28</v>
      </c>
      <c r="AZ31" s="125">
        <f t="shared" si="26"/>
        <v>116.66848646912312</v>
      </c>
      <c r="BA31" s="159">
        <f t="shared" si="8"/>
        <v>3.1195922535211271</v>
      </c>
      <c r="BB31" s="160">
        <f t="shared" si="9"/>
        <v>3.9712000000000001</v>
      </c>
      <c r="BC31" s="161">
        <f t="shared" si="10"/>
        <v>0.75599632782923387</v>
      </c>
      <c r="BD31" s="160">
        <f t="shared" si="27"/>
        <v>7.0907922535211272</v>
      </c>
      <c r="BE31" s="162">
        <v>0.85599999999999998</v>
      </c>
      <c r="BF31" s="25">
        <f t="shared" si="28"/>
        <v>2513.56</v>
      </c>
      <c r="BG31" s="25">
        <f t="shared" si="11"/>
        <v>110</v>
      </c>
      <c r="BH31" s="25">
        <f t="shared" si="29"/>
        <v>2750</v>
      </c>
      <c r="BI31" s="26">
        <f t="shared" si="12"/>
        <v>1</v>
      </c>
      <c r="BJ31" s="37">
        <f t="shared" si="30"/>
        <v>2750</v>
      </c>
      <c r="BK31" s="38">
        <f t="shared" si="37"/>
        <v>187.77699999999999</v>
      </c>
      <c r="BL31" s="31"/>
      <c r="BM31" s="31">
        <v>61.776000000000003</v>
      </c>
      <c r="BN31" s="31"/>
      <c r="BO31" s="40"/>
      <c r="BP31" s="40">
        <v>15.736000000000001</v>
      </c>
      <c r="BQ31" s="32"/>
      <c r="BR31" s="33">
        <v>1.37</v>
      </c>
      <c r="BS31" s="34"/>
      <c r="BT31" s="35">
        <v>1.22</v>
      </c>
      <c r="BU31" s="35"/>
      <c r="BV31" s="235"/>
      <c r="BW31" s="235">
        <v>2.09</v>
      </c>
      <c r="BX31" s="36"/>
      <c r="BY31" s="33">
        <v>37.770000000000003</v>
      </c>
      <c r="BZ31" s="34"/>
      <c r="CA31" s="35">
        <v>39.950000000000003</v>
      </c>
      <c r="CB31" s="35"/>
      <c r="CC31" s="235"/>
      <c r="CD31" s="235">
        <v>32.1</v>
      </c>
      <c r="CE31" s="36"/>
      <c r="CF31" s="28">
        <f t="shared" si="32"/>
        <v>59.999000000000002</v>
      </c>
      <c r="CG31" s="30">
        <v>90.234999999999999</v>
      </c>
      <c r="CH31" s="31"/>
      <c r="CI31" s="32"/>
      <c r="CJ31" s="33">
        <v>1.29</v>
      </c>
      <c r="CK31" s="33">
        <v>1.29</v>
      </c>
      <c r="CL31" s="35"/>
      <c r="CM31" s="36"/>
      <c r="CN31" s="286"/>
      <c r="CO31" s="249">
        <f t="shared" si="36"/>
        <v>185.20445509999999</v>
      </c>
      <c r="CP31" s="12">
        <f t="shared" si="36"/>
        <v>0</v>
      </c>
      <c r="CQ31" s="12">
        <f t="shared" si="36"/>
        <v>61.022332800000001</v>
      </c>
      <c r="CR31" s="12">
        <f t="shared" si="36"/>
        <v>0</v>
      </c>
      <c r="CS31" s="11">
        <f t="shared" si="36"/>
        <v>0</v>
      </c>
      <c r="CT31" s="11">
        <f t="shared" si="36"/>
        <v>15.407117599999999</v>
      </c>
      <c r="CU31" s="272">
        <f t="shared" si="36"/>
        <v>0</v>
      </c>
      <c r="CV31" s="249">
        <f t="shared" si="14"/>
        <v>59.225012900000003</v>
      </c>
      <c r="CW31" s="12">
        <f t="shared" si="14"/>
        <v>89.070968499999992</v>
      </c>
      <c r="CX31" s="249">
        <f t="shared" si="14"/>
        <v>0</v>
      </c>
      <c r="CY31" s="272">
        <f t="shared" si="14"/>
        <v>0</v>
      </c>
      <c r="CZ31" s="13"/>
      <c r="DA31" s="240">
        <f>(D31+'[2]июнь 20'!D31)/(AY31+'[2]июнь 20'!AX31)</f>
        <v>2.5153601657844438</v>
      </c>
      <c r="DB31" s="241">
        <f>(T31+'[2]июнь 20'!R31)/(AY31+'[2]июнь 20'!AX31)</f>
        <v>1.458594255991766</v>
      </c>
      <c r="DD31" s="292">
        <f t="shared" si="15"/>
        <v>9.2609999999999992</v>
      </c>
      <c r="DE31" s="291">
        <v>0.1</v>
      </c>
      <c r="DF31" s="291">
        <v>16.53</v>
      </c>
      <c r="DG31" s="145">
        <f t="shared" si="16"/>
        <v>9.2517390000000006</v>
      </c>
      <c r="DH31" s="293">
        <f t="shared" si="33"/>
        <v>2.0231676897737798</v>
      </c>
      <c r="DJ31" s="38">
        <v>132.77699999999999</v>
      </c>
      <c r="DK31" s="31"/>
      <c r="DL31" s="460">
        <f t="shared" si="38"/>
        <v>187.77699999999999</v>
      </c>
      <c r="DO31" s="30">
        <v>46.999000000000002</v>
      </c>
      <c r="DP31" s="460">
        <f t="shared" si="35"/>
        <v>59.999000000000002</v>
      </c>
    </row>
    <row r="32" spans="1:120" s="76" customFormat="1" ht="16.5" customHeight="1" thickBot="1">
      <c r="A32" s="144">
        <v>26</v>
      </c>
      <c r="B32" s="122">
        <f t="shared" si="17"/>
        <v>253.02100000000002</v>
      </c>
      <c r="C32" s="123">
        <f t="shared" si="18"/>
        <v>0.57899585409906684</v>
      </c>
      <c r="D32" s="145">
        <f t="shared" si="19"/>
        <v>251.55601890000003</v>
      </c>
      <c r="E32" s="125">
        <f t="shared" si="20"/>
        <v>37.798483722694954</v>
      </c>
      <c r="F32" s="146">
        <f t="shared" si="0"/>
        <v>2.5893568594956258</v>
      </c>
      <c r="G32" s="127"/>
      <c r="H32" s="126">
        <f t="shared" si="21"/>
        <v>2.5893568594956258</v>
      </c>
      <c r="I32" s="230">
        <f>'[1]июль 20'!AI31</f>
        <v>0</v>
      </c>
      <c r="J32" s="247">
        <f>'[1]июнь 20'!AA31</f>
        <v>8.9149999999999991</v>
      </c>
      <c r="K32" s="464">
        <f>'[1]сентябрь 20'!AM31</f>
        <v>0</v>
      </c>
      <c r="L32" s="247"/>
      <c r="M32" s="468">
        <f t="shared" si="22"/>
        <v>0</v>
      </c>
      <c r="N32" s="403">
        <f>'[1]июнь 20'!W31</f>
        <v>0</v>
      </c>
      <c r="O32" s="403">
        <f>'[1]июнь 20'!AU31</f>
        <v>0</v>
      </c>
      <c r="P32" s="401">
        <f t="shared" si="1"/>
        <v>143.96100000000001</v>
      </c>
      <c r="Q32" s="122">
        <f t="shared" si="23"/>
        <v>143.96100000000001</v>
      </c>
      <c r="R32" s="123">
        <f t="shared" si="24"/>
        <v>1.76</v>
      </c>
      <c r="S32" s="129">
        <v>0.92</v>
      </c>
      <c r="T32" s="125">
        <f t="shared" si="2"/>
        <v>141.42728640000001</v>
      </c>
      <c r="U32" s="147">
        <f t="shared" si="3"/>
        <v>1.4557620833762226</v>
      </c>
      <c r="V32" s="130">
        <v>97.15</v>
      </c>
      <c r="W32" s="130">
        <v>73.25</v>
      </c>
      <c r="X32" s="129">
        <v>0.77</v>
      </c>
      <c r="Y32" s="150">
        <v>574</v>
      </c>
      <c r="Z32" s="150">
        <v>1169</v>
      </c>
      <c r="AA32" s="148" t="s">
        <v>324</v>
      </c>
      <c r="AB32" s="149">
        <v>75.52</v>
      </c>
      <c r="AC32" s="150">
        <v>90</v>
      </c>
      <c r="AD32" s="151">
        <v>4</v>
      </c>
      <c r="AE32" s="149"/>
      <c r="AF32" s="134">
        <f t="shared" si="4"/>
        <v>0</v>
      </c>
      <c r="AG32" s="152"/>
      <c r="AH32" s="129">
        <v>70.849999999999994</v>
      </c>
      <c r="AI32" s="134">
        <f t="shared" si="5"/>
        <v>729.28461142563049</v>
      </c>
      <c r="AJ32" s="153">
        <v>14.18</v>
      </c>
      <c r="AK32" s="154"/>
      <c r="AL32" s="155">
        <v>4.59</v>
      </c>
      <c r="AM32" s="156">
        <v>32.090000000000003</v>
      </c>
      <c r="AN32" s="126">
        <f t="shared" si="25"/>
        <v>0.24246316584812999</v>
      </c>
      <c r="AO32" s="157" t="s">
        <v>164</v>
      </c>
      <c r="AP32" s="156">
        <v>8.4</v>
      </c>
      <c r="AQ32" s="156">
        <v>7.8</v>
      </c>
      <c r="AR32" s="151"/>
      <c r="AS32" s="149">
        <v>8.6300000000000008</v>
      </c>
      <c r="AT32" s="149">
        <v>132.35</v>
      </c>
      <c r="AU32" s="149">
        <v>1.48</v>
      </c>
      <c r="AV32" s="149"/>
      <c r="AW32" s="149"/>
      <c r="AX32" s="158">
        <f t="shared" si="6"/>
        <v>0</v>
      </c>
      <c r="AY32" s="125">
        <f t="shared" si="7"/>
        <v>97.149999999999991</v>
      </c>
      <c r="AZ32" s="125">
        <f>IF(AB32=0,0,((D32*0.97)*(E32/100)*0.9)/(AB32/100))+DH32</f>
        <v>111.44950988941898</v>
      </c>
      <c r="BA32" s="159">
        <f t="shared" si="8"/>
        <v>4.7364721830985914</v>
      </c>
      <c r="BB32" s="160">
        <f t="shared" si="9"/>
        <v>3.8859999999999997</v>
      </c>
      <c r="BC32" s="161">
        <f t="shared" si="10"/>
        <v>0.77160617517374475</v>
      </c>
      <c r="BD32" s="160">
        <f t="shared" si="27"/>
        <v>8.6224721830985906</v>
      </c>
      <c r="BE32" s="162">
        <v>0.85199999999999998</v>
      </c>
      <c r="BF32" s="25">
        <f t="shared" si="28"/>
        <v>2610.71</v>
      </c>
      <c r="BG32" s="25">
        <f t="shared" si="11"/>
        <v>110</v>
      </c>
      <c r="BH32" s="25">
        <f t="shared" si="29"/>
        <v>2860</v>
      </c>
      <c r="BI32" s="26">
        <f t="shared" si="12"/>
        <v>1</v>
      </c>
      <c r="BJ32" s="37">
        <f t="shared" si="30"/>
        <v>2860</v>
      </c>
      <c r="BK32" s="38">
        <f t="shared" si="37"/>
        <v>185.53800000000001</v>
      </c>
      <c r="BL32" s="31"/>
      <c r="BM32" s="31">
        <v>49.506</v>
      </c>
      <c r="BN32" s="31"/>
      <c r="BO32" s="40"/>
      <c r="BP32" s="40">
        <v>17.977</v>
      </c>
      <c r="BQ32" s="32"/>
      <c r="BR32" s="33">
        <v>0.56999999999999995</v>
      </c>
      <c r="BS32" s="34"/>
      <c r="BT32" s="35">
        <v>0.34</v>
      </c>
      <c r="BU32" s="35"/>
      <c r="BV32" s="235"/>
      <c r="BW32" s="235">
        <v>1.33</v>
      </c>
      <c r="BX32" s="36"/>
      <c r="BY32" s="33">
        <v>37.99</v>
      </c>
      <c r="BZ32" s="34"/>
      <c r="CA32" s="35">
        <v>38.5</v>
      </c>
      <c r="CB32" s="35"/>
      <c r="CC32" s="235"/>
      <c r="CD32" s="235">
        <v>33.89</v>
      </c>
      <c r="CE32" s="36"/>
      <c r="CF32" s="28">
        <f t="shared" si="32"/>
        <v>58.008000000000003</v>
      </c>
      <c r="CG32" s="30">
        <v>85.953000000000003</v>
      </c>
      <c r="CH32" s="31"/>
      <c r="CI32" s="50"/>
      <c r="CJ32" s="33">
        <v>1.76</v>
      </c>
      <c r="CK32" s="33">
        <v>1.76</v>
      </c>
      <c r="CL32" s="35"/>
      <c r="CM32" s="36"/>
      <c r="CN32" s="286"/>
      <c r="CO32" s="249">
        <f t="shared" si="36"/>
        <v>184.48043340000004</v>
      </c>
      <c r="CP32" s="12">
        <f t="shared" si="36"/>
        <v>0</v>
      </c>
      <c r="CQ32" s="12">
        <f t="shared" si="36"/>
        <v>49.337679599999994</v>
      </c>
      <c r="CR32" s="12">
        <f t="shared" si="36"/>
        <v>0</v>
      </c>
      <c r="CS32" s="11">
        <f t="shared" si="36"/>
        <v>0</v>
      </c>
      <c r="CT32" s="11">
        <f t="shared" si="36"/>
        <v>17.737905900000001</v>
      </c>
      <c r="CU32" s="272">
        <f t="shared" si="36"/>
        <v>0</v>
      </c>
      <c r="CV32" s="249">
        <f t="shared" si="14"/>
        <v>56.987059199999997</v>
      </c>
      <c r="CW32" s="11">
        <f t="shared" si="14"/>
        <v>84.440227199999995</v>
      </c>
      <c r="CX32" s="249">
        <f t="shared" si="14"/>
        <v>0</v>
      </c>
      <c r="CY32" s="272">
        <f t="shared" si="14"/>
        <v>0</v>
      </c>
      <c r="CZ32" s="13"/>
      <c r="DA32" s="240">
        <f>(D32+'[2]июнь 20'!D32)/(AY32+'[2]июнь 20'!AX32)</f>
        <v>2.4727325851184183</v>
      </c>
      <c r="DB32" s="241">
        <f>(T32+'[2]июнь 20'!R32)/(AY32+'[2]июнь 20'!AX32)</f>
        <v>1.4225350742619423</v>
      </c>
      <c r="DD32" s="292">
        <f t="shared" si="15"/>
        <v>8.9149999999999991</v>
      </c>
      <c r="DE32" s="291">
        <v>0.08</v>
      </c>
      <c r="DF32" s="291">
        <v>13</v>
      </c>
      <c r="DG32" s="145">
        <f t="shared" si="16"/>
        <v>8.9078679999999988</v>
      </c>
      <c r="DH32" s="293">
        <f t="shared" si="33"/>
        <v>1.5333988877118643</v>
      </c>
      <c r="DJ32" s="38">
        <v>130.53800000000001</v>
      </c>
      <c r="DK32" s="31"/>
      <c r="DL32" s="460">
        <f t="shared" si="38"/>
        <v>185.53800000000001</v>
      </c>
      <c r="DO32" s="30">
        <v>45.008000000000003</v>
      </c>
      <c r="DP32" s="460">
        <f t="shared" si="35"/>
        <v>58.008000000000003</v>
      </c>
    </row>
    <row r="33" spans="1:120" s="76" customFormat="1" ht="16.5" customHeight="1" thickBot="1">
      <c r="A33" s="144">
        <v>27</v>
      </c>
      <c r="B33" s="122">
        <f t="shared" si="17"/>
        <v>246.19</v>
      </c>
      <c r="C33" s="123">
        <f t="shared" si="18"/>
        <v>0.72990751045940128</v>
      </c>
      <c r="D33" s="145">
        <f t="shared" si="19"/>
        <v>244.39304070000003</v>
      </c>
      <c r="E33" s="125">
        <f t="shared" si="20"/>
        <v>37.638420041431424</v>
      </c>
      <c r="F33" s="146">
        <f t="shared" si="0"/>
        <v>2.5182178330757341</v>
      </c>
      <c r="G33" s="127"/>
      <c r="H33" s="126">
        <f t="shared" si="21"/>
        <v>2.5182178330757337</v>
      </c>
      <c r="I33" s="230">
        <f>'[1]июль 20'!AI32</f>
        <v>0</v>
      </c>
      <c r="J33" s="247">
        <f>'[1]июнь 20'!AA32</f>
        <v>8.7379999999999995</v>
      </c>
      <c r="K33" s="465">
        <f>'[1]сентябрь 20'!AM32</f>
        <v>0</v>
      </c>
      <c r="L33" s="247"/>
      <c r="M33" s="469">
        <f t="shared" si="22"/>
        <v>0</v>
      </c>
      <c r="N33" s="403">
        <f>'[1]июнь 20'!W32</f>
        <v>0</v>
      </c>
      <c r="O33" s="403">
        <f>'[1]июнь 20'!AU32</f>
        <v>0</v>
      </c>
      <c r="P33" s="401">
        <f t="shared" si="1"/>
        <v>140.46199999999999</v>
      </c>
      <c r="Q33" s="122">
        <f t="shared" si="23"/>
        <v>140.46199999999999</v>
      </c>
      <c r="R33" s="123">
        <f t="shared" si="24"/>
        <v>1.74</v>
      </c>
      <c r="S33" s="129">
        <v>16.53</v>
      </c>
      <c r="T33" s="125">
        <f t="shared" si="2"/>
        <v>138.0179612</v>
      </c>
      <c r="U33" s="147">
        <f t="shared" si="3"/>
        <v>1.4221325213807314</v>
      </c>
      <c r="V33" s="130">
        <v>97.05</v>
      </c>
      <c r="W33" s="130">
        <v>72.540000000000006</v>
      </c>
      <c r="X33" s="129">
        <v>0.64</v>
      </c>
      <c r="Y33" s="150">
        <v>571</v>
      </c>
      <c r="Z33" s="150">
        <v>1159</v>
      </c>
      <c r="AA33" s="148" t="s">
        <v>301</v>
      </c>
      <c r="AB33" s="149">
        <v>75.78</v>
      </c>
      <c r="AC33" s="150">
        <v>87</v>
      </c>
      <c r="AD33" s="151">
        <v>4</v>
      </c>
      <c r="AE33" s="149"/>
      <c r="AF33" s="134">
        <f t="shared" si="4"/>
        <v>0</v>
      </c>
      <c r="AG33" s="152"/>
      <c r="AH33" s="129">
        <v>58.85</v>
      </c>
      <c r="AI33" s="134">
        <f t="shared" si="5"/>
        <v>606.38845955692932</v>
      </c>
      <c r="AJ33" s="136">
        <v>12.87</v>
      </c>
      <c r="AK33" s="154"/>
      <c r="AL33" s="155">
        <v>4.2699999999999996</v>
      </c>
      <c r="AM33" s="156">
        <v>30.11</v>
      </c>
      <c r="AN33" s="126">
        <f t="shared" si="25"/>
        <v>0.23197226502311247</v>
      </c>
      <c r="AO33" s="157" t="s">
        <v>304</v>
      </c>
      <c r="AP33" s="156">
        <v>8.6199999999999992</v>
      </c>
      <c r="AQ33" s="156">
        <v>7.25</v>
      </c>
      <c r="AR33" s="151"/>
      <c r="AS33" s="149">
        <v>8.25</v>
      </c>
      <c r="AT33" s="149">
        <v>129.80000000000001</v>
      </c>
      <c r="AU33" s="149">
        <v>1.63</v>
      </c>
      <c r="AV33" s="149"/>
      <c r="AW33" s="149"/>
      <c r="AX33" s="158">
        <f t="shared" si="6"/>
        <v>0</v>
      </c>
      <c r="AY33" s="125">
        <f t="shared" si="7"/>
        <v>97.050000000000011</v>
      </c>
      <c r="AZ33" s="125">
        <f t="shared" si="26"/>
        <v>107.59186482633218</v>
      </c>
      <c r="BA33" s="159">
        <f t="shared" si="8"/>
        <v>3.7610123239436621</v>
      </c>
      <c r="BB33" s="160">
        <f t="shared" si="9"/>
        <v>3.8820000000000006</v>
      </c>
      <c r="BC33" s="161">
        <f>IF((D33*E33)=0,0,(AY33*AB33)/(D33*E33))</f>
        <v>0.79952108448910764</v>
      </c>
      <c r="BD33" s="160">
        <f t="shared" si="27"/>
        <v>7.6430123239436627</v>
      </c>
      <c r="BE33" s="162">
        <v>0.85</v>
      </c>
      <c r="BF33" s="25">
        <f t="shared" si="28"/>
        <v>2707.76</v>
      </c>
      <c r="BG33" s="25">
        <f t="shared" si="11"/>
        <v>110</v>
      </c>
      <c r="BH33" s="25">
        <f t="shared" si="29"/>
        <v>2970</v>
      </c>
      <c r="BI33" s="26">
        <f t="shared" si="12"/>
        <v>1</v>
      </c>
      <c r="BJ33" s="37">
        <f t="shared" si="30"/>
        <v>2970</v>
      </c>
      <c r="BK33" s="38">
        <f t="shared" si="37"/>
        <v>181.10599999999999</v>
      </c>
      <c r="BL33" s="31"/>
      <c r="BM33" s="31">
        <v>47.895000000000003</v>
      </c>
      <c r="BN33" s="31"/>
      <c r="BO33" s="40"/>
      <c r="BP33" s="40">
        <v>17.189</v>
      </c>
      <c r="BQ33" s="32"/>
      <c r="BR33" s="33">
        <v>0.74</v>
      </c>
      <c r="BS33" s="34"/>
      <c r="BT33" s="35">
        <v>0.34</v>
      </c>
      <c r="BU33" s="35"/>
      <c r="BV33" s="235"/>
      <c r="BW33" s="235">
        <v>1.71</v>
      </c>
      <c r="BX33" s="36"/>
      <c r="BY33" s="33">
        <v>37.71</v>
      </c>
      <c r="BZ33" s="34"/>
      <c r="CA33" s="35">
        <v>39.56</v>
      </c>
      <c r="CB33" s="35"/>
      <c r="CC33" s="235"/>
      <c r="CD33" s="235">
        <v>31.53</v>
      </c>
      <c r="CE33" s="36"/>
      <c r="CF33" s="28">
        <f t="shared" si="32"/>
        <v>56.502000000000002</v>
      </c>
      <c r="CG33" s="30">
        <v>83.96</v>
      </c>
      <c r="CH33" s="31"/>
      <c r="CI33" s="32"/>
      <c r="CJ33" s="33">
        <v>1.74</v>
      </c>
      <c r="CK33" s="33">
        <v>1.74</v>
      </c>
      <c r="CL33" s="35"/>
      <c r="CM33" s="36"/>
      <c r="CN33" s="270"/>
      <c r="CO33" s="249">
        <f t="shared" si="36"/>
        <v>179.7658156</v>
      </c>
      <c r="CP33" s="12">
        <f t="shared" si="36"/>
        <v>0</v>
      </c>
      <c r="CQ33" s="12">
        <f t="shared" si="36"/>
        <v>47.732157000000001</v>
      </c>
      <c r="CR33" s="12">
        <f t="shared" si="36"/>
        <v>0</v>
      </c>
      <c r="CS33" s="11">
        <f t="shared" si="36"/>
        <v>0</v>
      </c>
      <c r="CT33" s="11">
        <f t="shared" si="36"/>
        <v>16.895068100000003</v>
      </c>
      <c r="CU33" s="272">
        <f t="shared" si="36"/>
        <v>0</v>
      </c>
      <c r="CV33" s="249">
        <f t="shared" si="14"/>
        <v>55.518865200000008</v>
      </c>
      <c r="CW33" s="12">
        <f t="shared" si="14"/>
        <v>82.499095999999994</v>
      </c>
      <c r="CX33" s="254">
        <f t="shared" si="14"/>
        <v>0</v>
      </c>
      <c r="CY33" s="275">
        <f t="shared" si="14"/>
        <v>0</v>
      </c>
      <c r="CZ33" s="13"/>
      <c r="DA33" s="240">
        <f>(D33+'[2]июнь 20'!D33)/(AY33+'[2]июнь 20'!AX33)</f>
        <v>2.4284761136785411</v>
      </c>
      <c r="DB33" s="241">
        <f>(T33+'[2]июнь 20'!R33)/(AY33+'[2]июнь 20'!AX33)</f>
        <v>1.4098757730795819</v>
      </c>
      <c r="DD33" s="292">
        <f t="shared" si="15"/>
        <v>8.7379999999999995</v>
      </c>
      <c r="DE33" s="291">
        <v>0.41</v>
      </c>
      <c r="DF33" s="291">
        <v>14.13</v>
      </c>
      <c r="DG33" s="145">
        <f t="shared" si="16"/>
        <v>8.7021742</v>
      </c>
      <c r="DH33" s="293">
        <f t="shared" si="33"/>
        <v>1.6226144292161522</v>
      </c>
      <c r="DJ33" s="38">
        <v>126.10599999999999</v>
      </c>
      <c r="DK33" s="31"/>
      <c r="DL33" s="460">
        <f t="shared" si="38"/>
        <v>181.10599999999999</v>
      </c>
      <c r="DO33" s="30">
        <v>43.502000000000002</v>
      </c>
      <c r="DP33" s="460">
        <f t="shared" si="35"/>
        <v>56.502000000000002</v>
      </c>
    </row>
    <row r="34" spans="1:120" s="76" customFormat="1" ht="16.5" customHeight="1" thickBot="1">
      <c r="A34" s="144">
        <v>28</v>
      </c>
      <c r="B34" s="122">
        <f t="shared" si="17"/>
        <v>253.05700000000002</v>
      </c>
      <c r="C34" s="123">
        <f t="shared" si="18"/>
        <v>0.84608977424058618</v>
      </c>
      <c r="D34" s="145">
        <f t="shared" si="19"/>
        <v>250.91591060000005</v>
      </c>
      <c r="E34" s="125">
        <f t="shared" si="20"/>
        <v>37.860096697581959</v>
      </c>
      <c r="F34" s="146">
        <f t="shared" si="0"/>
        <v>2.6959913033200822</v>
      </c>
      <c r="G34" s="127"/>
      <c r="H34" s="126">
        <f t="shared" si="21"/>
        <v>2.6959913033200817</v>
      </c>
      <c r="I34" s="230">
        <f>'[1]июль 20'!AI33</f>
        <v>0</v>
      </c>
      <c r="J34" s="247">
        <f>'[1]июнь 20'!AA33</f>
        <v>8.9710000000000001</v>
      </c>
      <c r="K34" s="464">
        <f>'[1]сентябрь 20'!AM33</f>
        <v>0</v>
      </c>
      <c r="L34" s="247"/>
      <c r="M34" s="468">
        <f t="shared" si="22"/>
        <v>0</v>
      </c>
      <c r="N34" s="403">
        <f>'[1]июнь 20'!W33</f>
        <v>0</v>
      </c>
      <c r="O34" s="403">
        <f>'[1]июнь 20'!AU33</f>
        <v>0</v>
      </c>
      <c r="P34" s="401">
        <f t="shared" si="1"/>
        <v>145.88900000000001</v>
      </c>
      <c r="Q34" s="122">
        <f t="shared" si="23"/>
        <v>145.88900000000001</v>
      </c>
      <c r="R34" s="123">
        <f t="shared" si="24"/>
        <v>1.89</v>
      </c>
      <c r="S34" s="170">
        <v>8.15</v>
      </c>
      <c r="T34" s="125">
        <f t="shared" si="2"/>
        <v>143.13169790000001</v>
      </c>
      <c r="U34" s="147">
        <f t="shared" si="3"/>
        <v>1.5378929612119911</v>
      </c>
      <c r="V34" s="169">
        <v>93.07</v>
      </c>
      <c r="W34" s="169">
        <v>93.07</v>
      </c>
      <c r="X34" s="170">
        <v>0.43</v>
      </c>
      <c r="Y34" s="166">
        <v>574</v>
      </c>
      <c r="Z34" s="166">
        <v>1159</v>
      </c>
      <c r="AA34" s="148" t="s">
        <v>295</v>
      </c>
      <c r="AB34" s="164">
        <v>75.61</v>
      </c>
      <c r="AC34" s="166">
        <v>90</v>
      </c>
      <c r="AD34" s="171">
        <v>4</v>
      </c>
      <c r="AE34" s="164"/>
      <c r="AF34" s="172">
        <f t="shared" si="4"/>
        <v>0</v>
      </c>
      <c r="AG34" s="173"/>
      <c r="AH34" s="170">
        <v>64.099999999999994</v>
      </c>
      <c r="AI34" s="134">
        <f t="shared" si="5"/>
        <v>688.72891372085519</v>
      </c>
      <c r="AJ34" s="174">
        <v>13</v>
      </c>
      <c r="AK34" s="175"/>
      <c r="AL34" s="176">
        <v>4.99</v>
      </c>
      <c r="AM34" s="177">
        <v>29.43</v>
      </c>
      <c r="AN34" s="126">
        <f t="shared" si="25"/>
        <v>0.23255630185697354</v>
      </c>
      <c r="AO34" s="178" t="s">
        <v>325</v>
      </c>
      <c r="AP34" s="177">
        <v>7.84</v>
      </c>
      <c r="AQ34" s="177">
        <v>7.56</v>
      </c>
      <c r="AR34" s="171"/>
      <c r="AS34" s="164">
        <v>10.27</v>
      </c>
      <c r="AT34" s="149">
        <v>126.55</v>
      </c>
      <c r="AU34" s="164">
        <v>0.94</v>
      </c>
      <c r="AV34" s="164"/>
      <c r="AW34" s="164"/>
      <c r="AX34" s="179">
        <f t="shared" si="6"/>
        <v>0</v>
      </c>
      <c r="AY34" s="125">
        <f t="shared" si="7"/>
        <v>93.07</v>
      </c>
      <c r="AZ34" s="125">
        <f t="shared" si="26"/>
        <v>111.56347469848627</v>
      </c>
      <c r="BA34" s="159">
        <f t="shared" si="8"/>
        <v>5.0995612676056332</v>
      </c>
      <c r="BB34" s="159">
        <f t="shared" si="9"/>
        <v>3.7227999999999999</v>
      </c>
      <c r="BC34" s="180">
        <f t="shared" si="10"/>
        <v>0.74076257431157511</v>
      </c>
      <c r="BD34" s="159">
        <f t="shared" si="27"/>
        <v>8.8223612676056327</v>
      </c>
      <c r="BE34" s="167">
        <v>0.84599999999999997</v>
      </c>
      <c r="BF34" s="25">
        <f t="shared" si="28"/>
        <v>2800.8300000000004</v>
      </c>
      <c r="BG34" s="25">
        <f t="shared" si="11"/>
        <v>110</v>
      </c>
      <c r="BH34" s="25">
        <f t="shared" si="29"/>
        <v>3080</v>
      </c>
      <c r="BI34" s="26">
        <f t="shared" si="12"/>
        <v>1</v>
      </c>
      <c r="BJ34" s="37">
        <f t="shared" si="30"/>
        <v>3080</v>
      </c>
      <c r="BK34" s="38">
        <f t="shared" si="37"/>
        <v>185.50800000000001</v>
      </c>
      <c r="BL34" s="30"/>
      <c r="BM34" s="43">
        <v>49.526000000000003</v>
      </c>
      <c r="BN34" s="43"/>
      <c r="BO34" s="281"/>
      <c r="BP34" s="281">
        <v>18.023</v>
      </c>
      <c r="BQ34" s="44"/>
      <c r="BR34" s="45">
        <v>0.67</v>
      </c>
      <c r="BS34" s="46"/>
      <c r="BT34" s="47">
        <v>0.7</v>
      </c>
      <c r="BU34" s="47"/>
      <c r="BV34" s="283"/>
      <c r="BW34" s="283">
        <v>3.06</v>
      </c>
      <c r="BX34" s="48"/>
      <c r="BY34" s="45">
        <v>37.869999999999997</v>
      </c>
      <c r="BZ34" s="46"/>
      <c r="CA34" s="47">
        <v>38.619999999999997</v>
      </c>
      <c r="CB34" s="47"/>
      <c r="CC34" s="283"/>
      <c r="CD34" s="283">
        <v>35.67</v>
      </c>
      <c r="CE34" s="48"/>
      <c r="CF34" s="28">
        <f t="shared" si="32"/>
        <v>58.109000000000002</v>
      </c>
      <c r="CG34" s="49">
        <v>87.78</v>
      </c>
      <c r="CH34" s="43"/>
      <c r="CI34" s="32"/>
      <c r="CJ34" s="33">
        <v>1.89</v>
      </c>
      <c r="CK34" s="33">
        <v>1.89</v>
      </c>
      <c r="CL34" s="35"/>
      <c r="CM34" s="36"/>
      <c r="CN34" s="270"/>
      <c r="CO34" s="249">
        <f t="shared" si="36"/>
        <v>184.2650964</v>
      </c>
      <c r="CP34" s="12">
        <f t="shared" si="36"/>
        <v>0</v>
      </c>
      <c r="CQ34" s="12">
        <f t="shared" si="36"/>
        <v>49.179318000000002</v>
      </c>
      <c r="CR34" s="12">
        <f t="shared" si="36"/>
        <v>0</v>
      </c>
      <c r="CS34" s="11">
        <f t="shared" si="36"/>
        <v>0</v>
      </c>
      <c r="CT34" s="11">
        <f t="shared" si="36"/>
        <v>17.471496199999997</v>
      </c>
      <c r="CU34" s="272">
        <f t="shared" si="36"/>
        <v>0</v>
      </c>
      <c r="CV34" s="249">
        <f t="shared" si="14"/>
        <v>57.010739899999997</v>
      </c>
      <c r="CW34" s="12">
        <f t="shared" si="14"/>
        <v>86.120958000000002</v>
      </c>
      <c r="CX34" s="249">
        <f t="shared" si="14"/>
        <v>0</v>
      </c>
      <c r="CY34" s="272">
        <f t="shared" si="14"/>
        <v>0</v>
      </c>
      <c r="CZ34" s="13"/>
      <c r="DA34" s="240">
        <f>(D34+'[2]июнь 20'!D34)/(AY34+'[2]июнь 20'!AX34)</f>
        <v>2.4311539442391426</v>
      </c>
      <c r="DB34" s="241">
        <f>(T34+'[2]июнь 20'!R34)/(AY34+'[2]июнь 20'!AX34)</f>
        <v>1.426774351103143</v>
      </c>
      <c r="DD34" s="292">
        <f t="shared" si="15"/>
        <v>8.9710000000000001</v>
      </c>
      <c r="DE34" s="291">
        <v>0.52</v>
      </c>
      <c r="DF34" s="291">
        <v>15.92</v>
      </c>
      <c r="DG34" s="145">
        <f t="shared" si="16"/>
        <v>8.9243508000000009</v>
      </c>
      <c r="DH34" s="293">
        <f t="shared" si="33"/>
        <v>1.8790591818013493</v>
      </c>
      <c r="DJ34" s="38">
        <v>130.50800000000001</v>
      </c>
      <c r="DK34" s="30"/>
      <c r="DL34" s="460">
        <f t="shared" si="38"/>
        <v>185.50800000000001</v>
      </c>
      <c r="DO34" s="49">
        <v>44.996000000000002</v>
      </c>
      <c r="DP34" s="460">
        <f>DO34+13.113</f>
        <v>58.109000000000002</v>
      </c>
    </row>
    <row r="35" spans="1:120" s="76" customFormat="1" ht="16.5" customHeight="1" thickBot="1">
      <c r="A35" s="144">
        <v>29</v>
      </c>
      <c r="B35" s="122">
        <f t="shared" si="17"/>
        <v>252.685</v>
      </c>
      <c r="C35" s="123">
        <f t="shared" si="18"/>
        <v>0.99417104299819925</v>
      </c>
      <c r="D35" s="145">
        <f t="shared" si="19"/>
        <v>250.1728789</v>
      </c>
      <c r="E35" s="125">
        <f t="shared" si="20"/>
        <v>37.331329639669946</v>
      </c>
      <c r="F35" s="146">
        <f t="shared" si="0"/>
        <v>2.7618997449768159</v>
      </c>
      <c r="G35" s="127"/>
      <c r="H35" s="126">
        <f t="shared" si="21"/>
        <v>2.7618997449768155</v>
      </c>
      <c r="I35" s="230">
        <f>'[1]июль 20'!AI34</f>
        <v>0</v>
      </c>
      <c r="J35" s="247">
        <f>'[1]июнь 20'!AA34</f>
        <v>8.9629999999999992</v>
      </c>
      <c r="K35" s="465">
        <f>'[1]сентябрь 20'!AM34</f>
        <v>0</v>
      </c>
      <c r="L35" s="247"/>
      <c r="M35" s="469">
        <f t="shared" si="22"/>
        <v>0</v>
      </c>
      <c r="N35" s="403">
        <f>'[1]июнь 20'!W34</f>
        <v>0</v>
      </c>
      <c r="O35" s="403">
        <f>'[1]июнь 20'!AU34</f>
        <v>0</v>
      </c>
      <c r="P35" s="401">
        <f t="shared" si="1"/>
        <v>146.85399999999998</v>
      </c>
      <c r="Q35" s="122">
        <f t="shared" si="23"/>
        <v>146.85399999999998</v>
      </c>
      <c r="R35" s="123">
        <f t="shared" si="24"/>
        <v>2.11</v>
      </c>
      <c r="S35" s="129">
        <v>8.15</v>
      </c>
      <c r="T35" s="125">
        <f t="shared" si="2"/>
        <v>143.7553806</v>
      </c>
      <c r="U35" s="147">
        <f t="shared" si="3"/>
        <v>1.5870543232501653</v>
      </c>
      <c r="V35" s="130">
        <v>90.58</v>
      </c>
      <c r="W35" s="130">
        <v>47.13</v>
      </c>
      <c r="X35" s="129">
        <v>0.67</v>
      </c>
      <c r="Y35" s="150">
        <v>578</v>
      </c>
      <c r="Z35" s="150">
        <v>1168</v>
      </c>
      <c r="AA35" s="148" t="s">
        <v>276</v>
      </c>
      <c r="AB35" s="149">
        <v>75.39</v>
      </c>
      <c r="AC35" s="150">
        <v>90</v>
      </c>
      <c r="AD35" s="151">
        <v>4</v>
      </c>
      <c r="AE35" s="181"/>
      <c r="AF35" s="134">
        <f t="shared" si="4"/>
        <v>0</v>
      </c>
      <c r="AG35" s="182"/>
      <c r="AH35" s="129">
        <v>60.65</v>
      </c>
      <c r="AI35" s="134">
        <f t="shared" si="5"/>
        <v>669.57385736365643</v>
      </c>
      <c r="AJ35" s="136">
        <v>12.58</v>
      </c>
      <c r="AK35" s="154"/>
      <c r="AL35" s="155">
        <v>5.75</v>
      </c>
      <c r="AM35" s="183">
        <v>31.11</v>
      </c>
      <c r="AN35" s="126">
        <f t="shared" si="25"/>
        <v>0.24661117717003567</v>
      </c>
      <c r="AO35" s="184" t="s">
        <v>291</v>
      </c>
      <c r="AP35" s="183">
        <v>8.5</v>
      </c>
      <c r="AQ35" s="183">
        <v>6.95</v>
      </c>
      <c r="AR35" s="185"/>
      <c r="AS35" s="181">
        <v>9.52</v>
      </c>
      <c r="AT35" s="149">
        <v>126.15</v>
      </c>
      <c r="AU35" s="181">
        <v>1.29</v>
      </c>
      <c r="AV35" s="149"/>
      <c r="AW35" s="149"/>
      <c r="AX35" s="158">
        <f t="shared" si="6"/>
        <v>0</v>
      </c>
      <c r="AY35" s="125">
        <f t="shared" si="7"/>
        <v>90.580000000000013</v>
      </c>
      <c r="AZ35" s="125">
        <f t="shared" si="26"/>
        <v>109.76073824967166</v>
      </c>
      <c r="BA35" s="159">
        <f t="shared" si="8"/>
        <v>4.472723943661971</v>
      </c>
      <c r="BB35" s="160">
        <f t="shared" si="9"/>
        <v>3.6232000000000006</v>
      </c>
      <c r="BC35" s="161">
        <f t="shared" si="10"/>
        <v>0.73119358879168839</v>
      </c>
      <c r="BD35" s="160">
        <f t="shared" si="27"/>
        <v>8.0959239436619725</v>
      </c>
      <c r="BE35" s="162">
        <v>0.84199999999999997</v>
      </c>
      <c r="BF35" s="25">
        <f t="shared" si="28"/>
        <v>2891.4100000000003</v>
      </c>
      <c r="BG35" s="25">
        <f t="shared" si="11"/>
        <v>110</v>
      </c>
      <c r="BH35" s="25">
        <f t="shared" si="29"/>
        <v>3190</v>
      </c>
      <c r="BI35" s="26">
        <f t="shared" si="12"/>
        <v>1</v>
      </c>
      <c r="BJ35" s="37">
        <f t="shared" si="30"/>
        <v>3190</v>
      </c>
      <c r="BK35" s="38">
        <f t="shared" si="37"/>
        <v>185.47499999999999</v>
      </c>
      <c r="BL35" s="31"/>
      <c r="BM35" s="31">
        <v>49.517000000000003</v>
      </c>
      <c r="BN35" s="31"/>
      <c r="BO35" s="40"/>
      <c r="BP35" s="40">
        <v>17.693000000000001</v>
      </c>
      <c r="BQ35" s="32"/>
      <c r="BR35" s="33">
        <v>0.84</v>
      </c>
      <c r="BS35" s="34"/>
      <c r="BT35" s="35">
        <v>0.98</v>
      </c>
      <c r="BU35" s="35"/>
      <c r="BV35" s="235"/>
      <c r="BW35" s="235">
        <v>2.65</v>
      </c>
      <c r="BX35" s="36"/>
      <c r="BY35" s="33">
        <v>37.67</v>
      </c>
      <c r="BZ35" s="34"/>
      <c r="CA35" s="35">
        <v>38.25</v>
      </c>
      <c r="CB35" s="35"/>
      <c r="CC35" s="235"/>
      <c r="CD35" s="235">
        <v>31.21</v>
      </c>
      <c r="CE35" s="36"/>
      <c r="CF35" s="28">
        <f t="shared" si="32"/>
        <v>56.805999999999997</v>
      </c>
      <c r="CG35" s="30">
        <v>90.048000000000002</v>
      </c>
      <c r="CH35" s="31"/>
      <c r="CI35" s="50"/>
      <c r="CJ35" s="33">
        <v>2.11</v>
      </c>
      <c r="CK35" s="33">
        <v>2.11</v>
      </c>
      <c r="CL35" s="35"/>
      <c r="CM35" s="36"/>
      <c r="CN35" s="270"/>
      <c r="CO35" s="249">
        <f t="shared" si="36"/>
        <v>183.91700999999998</v>
      </c>
      <c r="CP35" s="12">
        <f t="shared" si="36"/>
        <v>0</v>
      </c>
      <c r="CQ35" s="12">
        <f t="shared" si="36"/>
        <v>49.0317334</v>
      </c>
      <c r="CR35" s="12">
        <f t="shared" si="36"/>
        <v>0</v>
      </c>
      <c r="CS35" s="11">
        <f t="shared" si="36"/>
        <v>0</v>
      </c>
      <c r="CT35" s="11">
        <f t="shared" si="36"/>
        <v>17.224135499999999</v>
      </c>
      <c r="CU35" s="272">
        <f t="shared" si="36"/>
        <v>0</v>
      </c>
      <c r="CV35" s="249">
        <f t="shared" si="14"/>
        <v>55.607393399999999</v>
      </c>
      <c r="CW35" s="12">
        <f t="shared" si="14"/>
        <v>88.147987200000003</v>
      </c>
      <c r="CX35" s="249">
        <f t="shared" si="14"/>
        <v>0</v>
      </c>
      <c r="CY35" s="272">
        <f t="shared" si="14"/>
        <v>0</v>
      </c>
      <c r="CZ35" s="13"/>
      <c r="DA35" s="240">
        <f>(D35+'[2]июнь 20'!D35)/(AY35+'[2]июнь 20'!AX35)</f>
        <v>2.4282737669003027</v>
      </c>
      <c r="DB35" s="241">
        <f>(T35+'[2]июнь 20'!R35)/(AY35+'[2]июнь 20'!AX35)</f>
        <v>1.4428947129342371</v>
      </c>
      <c r="DD35" s="292">
        <f t="shared" si="15"/>
        <v>8.9629999999999992</v>
      </c>
      <c r="DE35" s="291">
        <v>0.19</v>
      </c>
      <c r="DF35" s="291">
        <v>13.6</v>
      </c>
      <c r="DG35" s="145">
        <f t="shared" si="16"/>
        <v>8.945970299999999</v>
      </c>
      <c r="DH35" s="293">
        <f t="shared" si="33"/>
        <v>1.6138107982491046</v>
      </c>
      <c r="DJ35" s="38">
        <v>130.47499999999999</v>
      </c>
      <c r="DK35" s="31"/>
      <c r="DL35" s="460">
        <f t="shared" si="38"/>
        <v>185.47499999999999</v>
      </c>
      <c r="DO35" s="30">
        <v>45.006</v>
      </c>
      <c r="DP35" s="460">
        <f>DO35+11.8</f>
        <v>56.805999999999997</v>
      </c>
    </row>
    <row r="36" spans="1:120" s="76" customFormat="1" ht="16.5" customHeight="1" thickBot="1">
      <c r="A36" s="144">
        <v>30</v>
      </c>
      <c r="B36" s="122">
        <f t="shared" si="17"/>
        <v>255.46899999999999</v>
      </c>
      <c r="C36" s="123">
        <f t="shared" si="18"/>
        <v>1.5626907374280243</v>
      </c>
      <c r="D36" s="145">
        <f t="shared" si="19"/>
        <v>251.47680959999997</v>
      </c>
      <c r="E36" s="125">
        <f t="shared" si="20"/>
        <v>37.540524799486434</v>
      </c>
      <c r="F36" s="146">
        <f t="shared" si="0"/>
        <v>2.9488368855534706</v>
      </c>
      <c r="G36" s="127">
        <v>18.190000000000001</v>
      </c>
      <c r="H36" s="126">
        <f t="shared" si="21"/>
        <v>2.9488368855534706</v>
      </c>
      <c r="I36" s="230">
        <f>'[1]июль 20'!AI35</f>
        <v>0</v>
      </c>
      <c r="J36" s="247">
        <f>'[1]июнь 20'!AA35</f>
        <v>8.3650000000000002</v>
      </c>
      <c r="K36" s="464">
        <f>'[1]сентябрь 20'!AM35</f>
        <v>0</v>
      </c>
      <c r="L36" s="247"/>
      <c r="M36" s="468">
        <f t="shared" si="22"/>
        <v>0</v>
      </c>
      <c r="N36" s="403">
        <f>'[1]июнь 20'!W35</f>
        <v>0</v>
      </c>
      <c r="O36" s="403">
        <f>'[1]июнь 20'!AU35</f>
        <v>0</v>
      </c>
      <c r="P36" s="401">
        <f t="shared" si="1"/>
        <v>128.45499999999998</v>
      </c>
      <c r="Q36" s="122">
        <f t="shared" si="23"/>
        <v>128.45499999999998</v>
      </c>
      <c r="R36" s="123">
        <f t="shared" si="24"/>
        <v>1.76</v>
      </c>
      <c r="S36" s="129">
        <v>1.47</v>
      </c>
      <c r="T36" s="125">
        <f t="shared" si="2"/>
        <v>126.19419199999997</v>
      </c>
      <c r="U36" s="147">
        <f t="shared" si="3"/>
        <v>1.4797630393996244</v>
      </c>
      <c r="V36" s="130"/>
      <c r="W36" s="130">
        <v>85.28</v>
      </c>
      <c r="X36" s="129">
        <v>0.56999999999999995</v>
      </c>
      <c r="Y36" s="150">
        <v>567</v>
      </c>
      <c r="Z36" s="150">
        <v>1149</v>
      </c>
      <c r="AA36" s="148" t="s">
        <v>321</v>
      </c>
      <c r="AB36" s="149">
        <v>74.13</v>
      </c>
      <c r="AC36" s="150">
        <v>86</v>
      </c>
      <c r="AD36" s="151">
        <v>4</v>
      </c>
      <c r="AE36" s="149">
        <v>1.95</v>
      </c>
      <c r="AF36" s="134">
        <f t="shared" si="4"/>
        <v>22.865853658536587</v>
      </c>
      <c r="AG36" s="152"/>
      <c r="AH36" s="129">
        <v>66.5</v>
      </c>
      <c r="AI36" s="134">
        <f t="shared" si="5"/>
        <v>779.78424015009386</v>
      </c>
      <c r="AJ36" s="153">
        <v>12.67</v>
      </c>
      <c r="AK36" s="154"/>
      <c r="AL36" s="155">
        <v>5.21</v>
      </c>
      <c r="AM36" s="156">
        <v>32.51</v>
      </c>
      <c r="AN36" s="126">
        <f t="shared" si="25"/>
        <v>0.26430894308943087</v>
      </c>
      <c r="AO36" s="157" t="s">
        <v>328</v>
      </c>
      <c r="AP36" s="156">
        <v>8.18</v>
      </c>
      <c r="AQ36" s="156">
        <v>7.16</v>
      </c>
      <c r="AR36" s="151"/>
      <c r="AS36" s="149">
        <v>9.51</v>
      </c>
      <c r="AT36" s="149">
        <v>123</v>
      </c>
      <c r="AU36" s="149"/>
      <c r="AV36" s="149"/>
      <c r="AW36" s="149"/>
      <c r="AX36" s="158">
        <f t="shared" si="6"/>
        <v>0</v>
      </c>
      <c r="AY36" s="125">
        <f t="shared" si="7"/>
        <v>85.28</v>
      </c>
      <c r="AZ36" s="125">
        <f t="shared" si="26"/>
        <v>112.82732643948999</v>
      </c>
      <c r="BA36" s="159">
        <f t="shared" si="8"/>
        <v>4.8989894366197175</v>
      </c>
      <c r="BB36" s="160">
        <f t="shared" si="9"/>
        <v>3.4112</v>
      </c>
      <c r="BC36" s="161">
        <f t="shared" si="10"/>
        <v>0.66964234761488817</v>
      </c>
      <c r="BD36" s="160">
        <f t="shared" si="27"/>
        <v>8.3101894366197175</v>
      </c>
      <c r="BE36" s="162">
        <v>0.83599999999999997</v>
      </c>
      <c r="BF36" s="25">
        <f t="shared" si="28"/>
        <v>2976.6900000000005</v>
      </c>
      <c r="BG36" s="25">
        <f t="shared" si="11"/>
        <v>110</v>
      </c>
      <c r="BH36" s="25">
        <f t="shared" si="29"/>
        <v>3300</v>
      </c>
      <c r="BI36" s="26">
        <f t="shared" si="12"/>
        <v>1</v>
      </c>
      <c r="BJ36" s="37">
        <f t="shared" si="30"/>
        <v>3300</v>
      </c>
      <c r="BK36" s="38">
        <f t="shared" si="37"/>
        <v>192.77199999999999</v>
      </c>
      <c r="BL36" s="31"/>
      <c r="BM36" s="31">
        <v>47.469000000000001</v>
      </c>
      <c r="BN36" s="31"/>
      <c r="BO36" s="40"/>
      <c r="BP36" s="40">
        <v>15.228</v>
      </c>
      <c r="BQ36" s="32"/>
      <c r="BR36" s="33">
        <v>1.39</v>
      </c>
      <c r="BS36" s="34"/>
      <c r="BT36" s="35">
        <v>1.28</v>
      </c>
      <c r="BU36" s="35"/>
      <c r="BV36" s="235"/>
      <c r="BW36" s="235">
        <v>4.63</v>
      </c>
      <c r="BX36" s="36"/>
      <c r="BY36" s="33">
        <v>37.75</v>
      </c>
      <c r="BZ36" s="34"/>
      <c r="CA36" s="35">
        <v>37.97</v>
      </c>
      <c r="CB36" s="35"/>
      <c r="CC36" s="235"/>
      <c r="CD36" s="235">
        <v>33.549999999999997</v>
      </c>
      <c r="CE36" s="36"/>
      <c r="CF36" s="28">
        <f t="shared" si="32"/>
        <v>57.503999999999998</v>
      </c>
      <c r="CG36" s="30">
        <v>70.950999999999993</v>
      </c>
      <c r="CH36" s="34"/>
      <c r="CI36" s="50"/>
      <c r="CJ36" s="33">
        <v>1.76</v>
      </c>
      <c r="CK36" s="33">
        <v>1.76</v>
      </c>
      <c r="CL36" s="35"/>
      <c r="CM36" s="36"/>
      <c r="CN36" s="270"/>
      <c r="CO36" s="249">
        <f t="shared" si="36"/>
        <v>190.09246919999998</v>
      </c>
      <c r="CP36" s="12">
        <f t="shared" si="36"/>
        <v>0</v>
      </c>
      <c r="CQ36" s="12">
        <f t="shared" si="36"/>
        <v>46.861396800000001</v>
      </c>
      <c r="CR36" s="12">
        <f t="shared" si="36"/>
        <v>0</v>
      </c>
      <c r="CS36" s="11">
        <f t="shared" si="36"/>
        <v>0</v>
      </c>
      <c r="CT36" s="11">
        <f t="shared" si="36"/>
        <v>14.5229436</v>
      </c>
      <c r="CU36" s="272">
        <f t="shared" si="36"/>
        <v>0</v>
      </c>
      <c r="CV36" s="249">
        <f t="shared" si="14"/>
        <v>56.491929599999992</v>
      </c>
      <c r="CW36" s="12">
        <f t="shared" si="14"/>
        <v>69.702262399999995</v>
      </c>
      <c r="CX36" s="249">
        <f t="shared" si="14"/>
        <v>0</v>
      </c>
      <c r="CY36" s="274">
        <f t="shared" si="14"/>
        <v>0</v>
      </c>
      <c r="CZ36" s="13"/>
      <c r="DA36" s="240">
        <f>(D36+'[2]июнь 20'!D36)/(AY36+'[2]июнь 20'!AX36)</f>
        <v>2.8182371719711146</v>
      </c>
      <c r="DB36" s="241">
        <f>(T36+'[2]июнь 20'!R36)/(AY36+'[2]июнь 20'!AX36)</f>
        <v>1.5862219416956405</v>
      </c>
      <c r="DD36" s="292">
        <f t="shared" si="15"/>
        <v>8.3650000000000002</v>
      </c>
      <c r="DE36" s="291">
        <v>0.7</v>
      </c>
      <c r="DF36" s="291">
        <v>14.72</v>
      </c>
      <c r="DG36" s="145">
        <f t="shared" si="16"/>
        <v>8.3064450000000001</v>
      </c>
      <c r="DH36" s="293">
        <f t="shared" si="33"/>
        <v>1.6494114447592068</v>
      </c>
      <c r="DJ36" s="38">
        <v>128.77199999999999</v>
      </c>
      <c r="DK36" s="31"/>
      <c r="DL36" s="460">
        <f>DJ36+64</f>
        <v>192.77199999999999</v>
      </c>
      <c r="DO36" s="30">
        <v>57.503999999999998</v>
      </c>
      <c r="DP36" s="460">
        <f>DO36</f>
        <v>57.503999999999998</v>
      </c>
    </row>
    <row r="37" spans="1:120" s="76" customFormat="1" ht="16.5" customHeight="1" thickBot="1">
      <c r="A37" s="186">
        <v>31</v>
      </c>
      <c r="B37" s="122">
        <f>'[1]июнь 20'!K36</f>
        <v>0</v>
      </c>
      <c r="C37" s="123">
        <f t="shared" si="18"/>
        <v>0</v>
      </c>
      <c r="D37" s="187">
        <f t="shared" si="19"/>
        <v>0</v>
      </c>
      <c r="E37" s="285">
        <f t="shared" si="20"/>
        <v>0</v>
      </c>
      <c r="F37" s="189">
        <f t="shared" si="0"/>
        <v>0</v>
      </c>
      <c r="G37" s="127"/>
      <c r="H37" s="126">
        <f t="shared" si="21"/>
        <v>0</v>
      </c>
      <c r="I37" s="230">
        <f>'[1]июль 20'!AI36</f>
        <v>0</v>
      </c>
      <c r="J37" s="277">
        <f>'[1]июнь 20'!AA36</f>
        <v>0</v>
      </c>
      <c r="K37" s="276">
        <f>'[1]сентябрь 20'!AM36</f>
        <v>0</v>
      </c>
      <c r="L37" s="438">
        <f>'[1]июнь 20'!AE36</f>
        <v>0</v>
      </c>
      <c r="M37" s="128">
        <f t="shared" si="22"/>
        <v>0</v>
      </c>
      <c r="N37" s="399">
        <f>'[1]июнь 20'!W36</f>
        <v>0</v>
      </c>
      <c r="O37" s="399">
        <f>'[1]июнь 20'!AU36</f>
        <v>0</v>
      </c>
      <c r="P37" s="125">
        <f t="shared" si="1"/>
        <v>0</v>
      </c>
      <c r="Q37" s="122">
        <f>'[1]июнь 20'!S36</f>
        <v>0</v>
      </c>
      <c r="R37" s="123">
        <f t="shared" si="24"/>
        <v>0</v>
      </c>
      <c r="S37" s="190"/>
      <c r="T37" s="125">
        <f t="shared" si="2"/>
        <v>0</v>
      </c>
      <c r="U37" s="191">
        <f t="shared" si="3"/>
        <v>0</v>
      </c>
      <c r="V37" s="192"/>
      <c r="W37" s="192"/>
      <c r="X37" s="190"/>
      <c r="Y37" s="193"/>
      <c r="Z37" s="194"/>
      <c r="AA37" s="195"/>
      <c r="AB37" s="196"/>
      <c r="AC37" s="194"/>
      <c r="AD37" s="193"/>
      <c r="AE37" s="196"/>
      <c r="AF37" s="134">
        <f t="shared" si="4"/>
        <v>0</v>
      </c>
      <c r="AG37" s="197"/>
      <c r="AH37" s="190"/>
      <c r="AI37" s="134">
        <f t="shared" si="5"/>
        <v>0</v>
      </c>
      <c r="AJ37" s="196"/>
      <c r="AK37" s="198"/>
      <c r="AL37" s="199"/>
      <c r="AM37" s="200"/>
      <c r="AN37" s="126">
        <f t="shared" si="25"/>
        <v>0</v>
      </c>
      <c r="AO37" s="201"/>
      <c r="AP37" s="200"/>
      <c r="AQ37" s="201"/>
      <c r="AR37" s="193"/>
      <c r="AS37" s="196"/>
      <c r="AT37" s="242"/>
      <c r="AU37" s="196"/>
      <c r="AV37" s="196"/>
      <c r="AW37" s="196"/>
      <c r="AX37" s="202">
        <f t="shared" si="6"/>
        <v>0</v>
      </c>
      <c r="AY37" s="188">
        <f t="shared" si="7"/>
        <v>0</v>
      </c>
      <c r="AZ37" s="125">
        <f t="shared" si="26"/>
        <v>0</v>
      </c>
      <c r="BA37" s="203">
        <f t="shared" si="8"/>
        <v>0</v>
      </c>
      <c r="BB37" s="204">
        <f t="shared" si="9"/>
        <v>0</v>
      </c>
      <c r="BC37" s="205">
        <f t="shared" si="10"/>
        <v>0</v>
      </c>
      <c r="BD37" s="206">
        <f t="shared" si="27"/>
        <v>0</v>
      </c>
      <c r="BE37" s="207"/>
      <c r="BF37" s="25">
        <f t="shared" si="28"/>
        <v>2976.6900000000005</v>
      </c>
      <c r="BG37" s="25">
        <f t="shared" si="11"/>
        <v>0</v>
      </c>
      <c r="BH37" s="25">
        <f t="shared" si="29"/>
        <v>3300</v>
      </c>
      <c r="BI37" s="26">
        <f t="shared" si="12"/>
        <v>0</v>
      </c>
      <c r="BJ37" s="37">
        <f t="shared" si="30"/>
        <v>3300</v>
      </c>
      <c r="BK37" s="51"/>
      <c r="BL37" s="53"/>
      <c r="BM37" s="53"/>
      <c r="BN37" s="53"/>
      <c r="BO37" s="282"/>
      <c r="BP37" s="282"/>
      <c r="BQ37" s="54"/>
      <c r="BR37" s="55"/>
      <c r="BS37" s="52"/>
      <c r="BT37" s="56"/>
      <c r="BU37" s="56"/>
      <c r="BV37" s="284"/>
      <c r="BW37" s="284"/>
      <c r="BX37" s="57"/>
      <c r="BY37" s="55"/>
      <c r="BZ37" s="52"/>
      <c r="CA37" s="56"/>
      <c r="CB37" s="56"/>
      <c r="CC37" s="284"/>
      <c r="CD37" s="284"/>
      <c r="CE37" s="57"/>
      <c r="CF37" s="58"/>
      <c r="CG37" s="58"/>
      <c r="CH37" s="52"/>
      <c r="CI37" s="54"/>
      <c r="CJ37" s="33"/>
      <c r="CK37" s="265"/>
      <c r="CL37" s="59"/>
      <c r="CM37" s="60"/>
      <c r="CN37" s="270"/>
      <c r="CO37" s="269">
        <f t="shared" si="36"/>
        <v>0</v>
      </c>
      <c r="CP37" s="18">
        <f t="shared" si="36"/>
        <v>0</v>
      </c>
      <c r="CQ37" s="18">
        <f t="shared" si="36"/>
        <v>0</v>
      </c>
      <c r="CR37" s="18">
        <f t="shared" si="36"/>
        <v>0</v>
      </c>
      <c r="CS37" s="251">
        <f t="shared" si="36"/>
        <v>0</v>
      </c>
      <c r="CT37" s="11">
        <f t="shared" si="36"/>
        <v>0</v>
      </c>
      <c r="CU37" s="273">
        <f t="shared" si="36"/>
        <v>0</v>
      </c>
      <c r="CV37" s="269">
        <f t="shared" si="14"/>
        <v>0</v>
      </c>
      <c r="CW37" s="18">
        <f t="shared" si="14"/>
        <v>0</v>
      </c>
      <c r="CX37" s="261">
        <f t="shared" si="14"/>
        <v>0</v>
      </c>
      <c r="CY37" s="273">
        <f t="shared" si="14"/>
        <v>0</v>
      </c>
      <c r="CZ37" s="13"/>
      <c r="DA37" s="240" t="e">
        <f>(D37+'[2]июнь 20'!D37)/(AY37+'[2]июнь 20'!AX37)</f>
        <v>#DIV/0!</v>
      </c>
      <c r="DB37" s="241" t="e">
        <f>(T37+'[2]июнь 20'!R37)/(AY37+'[2]июнь 20'!AX37)</f>
        <v>#DIV/0!</v>
      </c>
      <c r="DD37" s="292">
        <f t="shared" si="15"/>
        <v>0</v>
      </c>
      <c r="DE37" s="294"/>
      <c r="DF37" s="294"/>
      <c r="DG37" s="323">
        <f t="shared" si="16"/>
        <v>0</v>
      </c>
      <c r="DH37" s="293">
        <f t="shared" si="33"/>
        <v>0</v>
      </c>
      <c r="DJ37" s="51"/>
      <c r="DK37" s="53"/>
    </row>
    <row r="38" spans="1:120" s="214" customFormat="1" ht="16.5" customHeight="1" thickBot="1">
      <c r="A38" s="91" t="s">
        <v>56</v>
      </c>
      <c r="B38" s="92">
        <f>SUM(B7:B37)</f>
        <v>7218.6870030000009</v>
      </c>
      <c r="C38" s="330"/>
      <c r="D38" s="331">
        <f>SUM(D7:D37)</f>
        <v>7173.8674460999991</v>
      </c>
      <c r="E38" s="332"/>
      <c r="F38" s="331"/>
      <c r="G38" s="333">
        <f>SUM(G7:G37)</f>
        <v>97.45</v>
      </c>
      <c r="H38" s="329"/>
      <c r="I38" s="334">
        <f>SUM(I7:I37)</f>
        <v>0</v>
      </c>
      <c r="J38" s="329">
        <f>SUM(J7:J37)</f>
        <v>266.24499999999995</v>
      </c>
      <c r="K38" s="329">
        <f>SUM(K7:K37)</f>
        <v>0</v>
      </c>
      <c r="L38" s="396">
        <f>SUM(L7:L37)</f>
        <v>0</v>
      </c>
      <c r="M38" s="335"/>
      <c r="N38" s="329">
        <f>SUM(N7:N37)</f>
        <v>0</v>
      </c>
      <c r="O38" s="396">
        <f>SUM(O7:O37)</f>
        <v>0</v>
      </c>
      <c r="P38" s="330">
        <f>SUM(P7:P37)</f>
        <v>4352.066002999999</v>
      </c>
      <c r="Q38" s="396">
        <f>SUM(Q7:Q37)</f>
        <v>4352.0660009999992</v>
      </c>
      <c r="R38" s="336">
        <f>IF(Q38=0,0,(CA38*CH38+CE38*CI38+CF38*CJ38)/Q38)</f>
        <v>0</v>
      </c>
      <c r="S38" s="398">
        <f>SUM(S7:S37)</f>
        <v>327.24</v>
      </c>
      <c r="T38" s="331">
        <f>SUM(T7:T37)</f>
        <v>4286.4339376999997</v>
      </c>
      <c r="U38" s="337"/>
      <c r="V38" s="229">
        <f>SUM(V7:V37)</f>
        <v>1950.72</v>
      </c>
      <c r="W38" s="229">
        <f>SUM(W7:W37)</f>
        <v>2715.21</v>
      </c>
      <c r="X38" s="338"/>
      <c r="Y38" s="337"/>
      <c r="Z38" s="339"/>
      <c r="AA38" s="340"/>
      <c r="AB38" s="338"/>
      <c r="AC38" s="339"/>
      <c r="AD38" s="339">
        <f>SUM(AD7:AD37)</f>
        <v>118</v>
      </c>
      <c r="AE38" s="90">
        <f>SUM(AE7:AE37)</f>
        <v>73.300000000000011</v>
      </c>
      <c r="AF38" s="341"/>
      <c r="AG38" s="342">
        <f>SUM(AG7:AG37)</f>
        <v>0</v>
      </c>
      <c r="AH38" s="90">
        <f>SUM(AH7:AH37)</f>
        <v>1941.6499999999999</v>
      </c>
      <c r="AI38" s="341"/>
      <c r="AJ38" s="332">
        <f>SUM(AJ7:AJ37)</f>
        <v>385.73</v>
      </c>
      <c r="AK38" s="343"/>
      <c r="AL38" s="397">
        <f>SUM(AL7:AL37)</f>
        <v>140.91999999999999</v>
      </c>
      <c r="AM38" s="344">
        <f>SUM(AM7:AM37)</f>
        <v>848.34000000000015</v>
      </c>
      <c r="AN38" s="345"/>
      <c r="AO38" s="342"/>
      <c r="AP38" s="332"/>
      <c r="AQ38" s="342"/>
      <c r="AR38" s="342"/>
      <c r="AS38" s="346"/>
      <c r="AT38" s="332">
        <f>SUM(AT7:AT37)</f>
        <v>3922.8500000000004</v>
      </c>
      <c r="AU38" s="332">
        <f>SUM(AU7:AU37)</f>
        <v>43.099999999999994</v>
      </c>
      <c r="AV38" s="347">
        <f>SUM(AV7:AV37)</f>
        <v>0</v>
      </c>
      <c r="AW38" s="332">
        <f>SUM(AW7:AW37)</f>
        <v>0</v>
      </c>
      <c r="AX38" s="331"/>
      <c r="AY38" s="90">
        <f>SUM(AY7:AY37)</f>
        <v>2976.6900000000005</v>
      </c>
      <c r="AZ38" s="330">
        <f>SUM(AZ7:AZ37)</f>
        <v>3165.4396761509852</v>
      </c>
      <c r="BA38" s="342">
        <f>SUM(BA7:BA37)</f>
        <v>115.64138485915494</v>
      </c>
      <c r="BB38" s="342">
        <f>SUM(BB7:BB37)</f>
        <v>119.06759999999998</v>
      </c>
      <c r="BC38" s="332"/>
      <c r="BD38" s="89">
        <f>SUM(BD7:BD37)</f>
        <v>234.70898485915495</v>
      </c>
      <c r="BE38" s="348"/>
      <c r="BF38" s="19"/>
      <c r="BG38" s="19">
        <f t="shared" si="11"/>
        <v>0</v>
      </c>
      <c r="BH38" s="19"/>
      <c r="BI38" s="208">
        <f>SUM(BI7:BI37)</f>
        <v>30</v>
      </c>
      <c r="BJ38" s="209"/>
      <c r="BK38" s="278">
        <f t="shared" ref="BK38:BQ38" si="39">SUM(BK7:BK37)</f>
        <v>1654.1810009999999</v>
      </c>
      <c r="BL38" s="61">
        <f>SUM(BL7:BL37)</f>
        <v>3405.5230000000006</v>
      </c>
      <c r="BM38" s="61">
        <f t="shared" si="39"/>
        <v>1741.2</v>
      </c>
      <c r="BN38" s="61">
        <f t="shared" si="39"/>
        <v>9.9999999999999995E-7</v>
      </c>
      <c r="BO38" s="61">
        <f t="shared" si="39"/>
        <v>9.9999999999999995E-7</v>
      </c>
      <c r="BP38" s="61">
        <f t="shared" si="39"/>
        <v>417.78299999999996</v>
      </c>
      <c r="BQ38" s="64">
        <f t="shared" si="39"/>
        <v>9.9999999999999995E-7</v>
      </c>
      <c r="BR38" s="63"/>
      <c r="BS38" s="24"/>
      <c r="BT38" s="24"/>
      <c r="BU38" s="24"/>
      <c r="BV38" s="62"/>
      <c r="BW38" s="62"/>
      <c r="BX38" s="65"/>
      <c r="BY38" s="63"/>
      <c r="BZ38" s="24"/>
      <c r="CA38" s="24"/>
      <c r="CB38" s="24"/>
      <c r="CC38" s="62"/>
      <c r="CD38" s="62"/>
      <c r="CE38" s="62"/>
      <c r="CF38" s="66">
        <f>SUM(CF7:CF37)</f>
        <v>3817.4629999999993</v>
      </c>
      <c r="CG38" s="66">
        <f>SUM(CG7:CG37)</f>
        <v>534.60300100000006</v>
      </c>
      <c r="CH38" s="61">
        <f>SUM(CH7:CH37)</f>
        <v>9.9999999999999995E-7</v>
      </c>
      <c r="CI38" s="67">
        <f>SUM(CI7:CI37)</f>
        <v>9.9999999999999995E-7</v>
      </c>
      <c r="CJ38" s="210"/>
      <c r="CK38" s="266"/>
      <c r="CL38" s="211"/>
      <c r="CM38" s="212"/>
      <c r="CN38" s="213"/>
      <c r="CO38" s="68">
        <f t="shared" ref="CO38:CY38" si="40">SUM(CO7:CO37)</f>
        <v>1639.0287736</v>
      </c>
      <c r="CP38" s="69">
        <f t="shared" si="40"/>
        <v>3388.8630350000003</v>
      </c>
      <c r="CQ38" s="70">
        <f t="shared" si="40"/>
        <v>1733.7464270999994</v>
      </c>
      <c r="CR38" s="69">
        <f t="shared" si="40"/>
        <v>9.9999998999999992E-7</v>
      </c>
      <c r="CS38" s="72">
        <f t="shared" si="40"/>
        <v>9.9999998999999992E-7</v>
      </c>
      <c r="CT38" s="72">
        <f t="shared" si="40"/>
        <v>412.2292084</v>
      </c>
      <c r="CU38" s="71">
        <f t="shared" si="40"/>
        <v>9.9999998999999992E-7</v>
      </c>
      <c r="CV38" s="72">
        <f t="shared" si="40"/>
        <v>3761.1795506000008</v>
      </c>
      <c r="CW38" s="72">
        <f t="shared" si="40"/>
        <v>525.25438709999992</v>
      </c>
      <c r="CX38" s="72">
        <f t="shared" si="40"/>
        <v>9.9999998999999992E-7</v>
      </c>
      <c r="CY38" s="72">
        <f t="shared" si="40"/>
        <v>9.9999998999999992E-7</v>
      </c>
      <c r="CZ38" s="70"/>
      <c r="DA38" s="240">
        <f>(D38+'[2]июнь 20'!D38)/(AY38+'[2]июнь 20'!AX38)</f>
        <v>2.324848901685185</v>
      </c>
      <c r="DB38" s="241">
        <f>(T38+'[2]июнь 20'!R38)/(AY38+'[2]июнь 20'!AX38)</f>
        <v>1.376564754080712</v>
      </c>
      <c r="DD38" s="295">
        <f>SUM(DD7:DD37)</f>
        <v>266.24499999999995</v>
      </c>
      <c r="DE38" s="296">
        <f>(SUMPRODUCT(DD7:DD37,DE7:DE37))/DD38</f>
        <v>0.18329395857199199</v>
      </c>
      <c r="DF38" s="296">
        <f>(SUMPRODUCT(DD7:DD37,DF7:DF37))/DD38</f>
        <v>16.118185956543787</v>
      </c>
      <c r="DG38" s="296">
        <f>(SUMPRODUCT(DE7:DE37,DG7:DG37))/DE38</f>
        <v>265.28043551911145</v>
      </c>
      <c r="DH38" s="324">
        <f>IF(J38=0,0,(DG38*DF38%)/(AB39/100))</f>
        <v>56.880209889336932</v>
      </c>
    </row>
    <row r="39" spans="1:120" s="214" customFormat="1" ht="16.5" customHeight="1" thickBot="1">
      <c r="A39" s="93" t="s">
        <v>57</v>
      </c>
      <c r="B39" s="349">
        <f>B38/AU2</f>
        <v>240.62290010000004</v>
      </c>
      <c r="C39" s="349">
        <f>(BK38*BR39+BM38*BT39+BQ38*BX39+BL38*BS39+BN38*BU39+BO38*BV39+BP38*BW39)/B38</f>
        <v>0.62088239705328074</v>
      </c>
      <c r="D39" s="350">
        <f>D38/AU2</f>
        <v>239.12891486999996</v>
      </c>
      <c r="E39" s="349">
        <f>(BK38*BY39+BM38*CA39+BQ38*CE39+BL38*BZ39+BN38*CB39+BO38*CC39+BP38*CD39)/B38</f>
        <v>37.322486794071068</v>
      </c>
      <c r="F39" s="351">
        <f>IF($AY$38=0,0,$D$38/$AY$38)</f>
        <v>2.4100149649778775</v>
      </c>
      <c r="G39" s="352">
        <f>G38/AU2</f>
        <v>3.2483333333333335</v>
      </c>
      <c r="H39" s="353">
        <f>IF($AY$38=0,0,(CP38+CO38+CS38+CQ38+CT38)/AY38)</f>
        <v>2.4100149646419342</v>
      </c>
      <c r="I39" s="349">
        <f>I38/AU2</f>
        <v>0</v>
      </c>
      <c r="J39" s="349">
        <f>J38/AU2</f>
        <v>8.8748333333333314</v>
      </c>
      <c r="K39" s="349">
        <f>K38/AU2</f>
        <v>0</v>
      </c>
      <c r="L39" s="349">
        <f>L38/AU2</f>
        <v>0</v>
      </c>
      <c r="M39" s="354">
        <f>IF($AY$38=0,0,(CR38+CU38)/$AY$38)</f>
        <v>6.7188722372836923E-10</v>
      </c>
      <c r="N39" s="349">
        <f>N38/AU2</f>
        <v>0</v>
      </c>
      <c r="O39" s="349">
        <f>O38/AU2</f>
        <v>0</v>
      </c>
      <c r="P39" s="349">
        <f>P38/AU2</f>
        <v>145.06886676666664</v>
      </c>
      <c r="Q39" s="349">
        <f>Q38/AU2</f>
        <v>145.06886669999997</v>
      </c>
      <c r="R39" s="349">
        <f>(SUMPRODUCT(R7:R37,Q7:Q37))/Q38</f>
        <v>1.5080668189526394</v>
      </c>
      <c r="S39" s="355">
        <f>S38/AU2</f>
        <v>10.907999999999999</v>
      </c>
      <c r="T39" s="356"/>
      <c r="U39" s="354">
        <f>IF($AY$38=0,0,$T$38/$AY$38)</f>
        <v>1.4400001134481586</v>
      </c>
      <c r="V39" s="349">
        <f>V38/AU2</f>
        <v>65.024000000000001</v>
      </c>
      <c r="W39" s="349">
        <f>W38/AU2</f>
        <v>90.507000000000005</v>
      </c>
      <c r="X39" s="349">
        <f>(SUMPRODUCT(X7:X37,AY7:AY37))/AY38</f>
        <v>0.59911633391451558</v>
      </c>
      <c r="Y39" s="357">
        <f>AVERAGE(Y7:Y37)</f>
        <v>539.16666666666663</v>
      </c>
      <c r="Z39" s="357">
        <f>AVERAGE(Z7:Z37)</f>
        <v>1147.6666666666667</v>
      </c>
      <c r="AA39" s="357"/>
      <c r="AB39" s="349">
        <f>(SUMPRODUCT(AB7:AB37,AY7:AY37))/AY38</f>
        <v>75.172707671944323</v>
      </c>
      <c r="AC39" s="358">
        <f>AVERAGE(AC7:AC37)</f>
        <v>88.266666666666666</v>
      </c>
      <c r="AD39" s="358">
        <f>AVERAGE(AD7:AD37)</f>
        <v>3.9333333333333331</v>
      </c>
      <c r="AE39" s="349">
        <f>AE38/AU2</f>
        <v>2.4433333333333338</v>
      </c>
      <c r="AF39" s="355">
        <f>IF(AY38=0,0,AE38/AY38*1000)</f>
        <v>24.62466699589141</v>
      </c>
      <c r="AG39" s="356" t="e">
        <f>AG38/$AW$2</f>
        <v>#DIV/0!</v>
      </c>
      <c r="AH39" s="349">
        <f>AH38/AU2</f>
        <v>64.721666666666664</v>
      </c>
      <c r="AI39" s="355">
        <f>IF(AY38=0,0,AH38/AY38*1000)</f>
        <v>652.28492049894328</v>
      </c>
      <c r="AJ39" s="349">
        <f>AJ38/AU2</f>
        <v>12.857666666666667</v>
      </c>
      <c r="AK39" s="359"/>
      <c r="AL39" s="349">
        <f>AL38/AU2</f>
        <v>4.6973333333333329</v>
      </c>
      <c r="AM39" s="349">
        <f>AM38/AU2</f>
        <v>28.278000000000006</v>
      </c>
      <c r="AN39" s="360">
        <f>IF(AM39=0,0,AM39/AT39)</f>
        <v>0.2162560383394726</v>
      </c>
      <c r="AO39" s="356"/>
      <c r="AP39" s="349">
        <f>AVERAGE(AP7:AP37)</f>
        <v>8.995333333333333</v>
      </c>
      <c r="AQ39" s="349">
        <f>AVERAGE(AQ7:AQ37)</f>
        <v>7.419666666666668</v>
      </c>
      <c r="AR39" s="356"/>
      <c r="AS39" s="349">
        <f>AVERAGE(AS7:AS37)</f>
        <v>7.6689999999999996</v>
      </c>
      <c r="AT39" s="349">
        <f>AT38/AU2</f>
        <v>130.76166666666668</v>
      </c>
      <c r="AU39" s="349">
        <f>AU38/AU2</f>
        <v>1.4366666666666665</v>
      </c>
      <c r="AV39" s="349" t="e">
        <f>AV38/$AW$2</f>
        <v>#DIV/0!</v>
      </c>
      <c r="AW39" s="349" t="e">
        <f>AW38/$AW$2</f>
        <v>#DIV/0!</v>
      </c>
      <c r="AX39" s="349" t="e">
        <f>IF(AY39=0,0,AW39/AY39*100)</f>
        <v>#DIV/0!</v>
      </c>
      <c r="AY39" s="349">
        <f>AY38/AU2</f>
        <v>99.223000000000013</v>
      </c>
      <c r="AZ39" s="349">
        <f>AZ38/AU2</f>
        <v>105.5146558716995</v>
      </c>
      <c r="BA39" s="356"/>
      <c r="BB39" s="356"/>
      <c r="BC39" s="351">
        <f>(AY38*AB39)/(D38*E39)</f>
        <v>0.83573748368281398</v>
      </c>
      <c r="BD39" s="349">
        <f>BD38/AU2</f>
        <v>7.8236328286384982</v>
      </c>
      <c r="BE39" s="361"/>
      <c r="BF39" s="19"/>
      <c r="BG39" s="19"/>
      <c r="BH39" s="19"/>
      <c r="BI39" s="19"/>
      <c r="BJ39" s="215"/>
      <c r="BK39" s="73"/>
      <c r="BL39" s="216"/>
      <c r="BM39" s="216"/>
      <c r="BN39" s="216"/>
      <c r="BO39" s="219"/>
      <c r="BP39" s="219"/>
      <c r="BQ39" s="217"/>
      <c r="BR39" s="73">
        <f t="shared" ref="BR39:BX39" si="41">(SUMPRODUCT(BK7:BK37,BR7:BR37))/BK38</f>
        <v>0.9159957338912762</v>
      </c>
      <c r="BS39" s="29">
        <f>(SUMPRODUCT(BL7:BL37,BS7:BS37))/BL38</f>
        <v>0.48920430136575188</v>
      </c>
      <c r="BT39" s="29">
        <f t="shared" si="41"/>
        <v>0.42807103721571332</v>
      </c>
      <c r="BU39" s="29">
        <f t="shared" si="41"/>
        <v>9.9999999999999995E-7</v>
      </c>
      <c r="BV39" s="29">
        <f t="shared" si="41"/>
        <v>9.9999999999999995E-7</v>
      </c>
      <c r="BW39" s="29">
        <f>(SUMPRODUCT(BP7:BP37,BW7:BW37))/BP38</f>
        <v>1.3293483937833757</v>
      </c>
      <c r="BX39" s="74">
        <f t="shared" si="41"/>
        <v>9.9999999999999995E-7</v>
      </c>
      <c r="BY39" s="73">
        <f t="shared" ref="BY39:CE39" si="42">(SUMPRODUCT(BK7:BK37,BY7:BY37))/BK38</f>
        <v>37.690076456149555</v>
      </c>
      <c r="BZ39" s="29">
        <f t="shared" si="42"/>
        <v>37.184517423608639</v>
      </c>
      <c r="CA39" s="29">
        <f t="shared" si="42"/>
        <v>38.451555972892258</v>
      </c>
      <c r="CB39" s="29">
        <f t="shared" si="42"/>
        <v>9.9999999999999995E-7</v>
      </c>
      <c r="CC39" s="29">
        <f t="shared" si="42"/>
        <v>9.9999999999999995E-7</v>
      </c>
      <c r="CD39" s="29">
        <f t="shared" si="42"/>
        <v>32.286051251487017</v>
      </c>
      <c r="CE39" s="74">
        <f t="shared" si="42"/>
        <v>9.9999999999999995E-7</v>
      </c>
      <c r="CF39" s="218"/>
      <c r="CG39" s="218"/>
      <c r="CH39" s="216"/>
      <c r="CI39" s="219"/>
      <c r="CJ39" s="75">
        <f>(SUMPRODUCT(CF7:CF37,CJ7:CJ37))/CF38</f>
        <v>1.4743679087393908</v>
      </c>
      <c r="CK39" s="75">
        <f>(SUMPRODUCT(CG7:CG37,CK7:CK37))/CG38</f>
        <v>1.748702099036666</v>
      </c>
      <c r="CL39" s="29">
        <f>(SUMPRODUCT(CH7:CH37,CL7:CL37))/CH38</f>
        <v>9.9999999999999995E-7</v>
      </c>
      <c r="CM39" s="74">
        <f>(SUMPRODUCT(CI7:CI37,CM7:CM37))/CI38</f>
        <v>9.9999999999999995E-7</v>
      </c>
      <c r="CN39" s="19"/>
      <c r="CO39" s="596">
        <f>CO38+CP38</f>
        <v>5027.8918086000003</v>
      </c>
      <c r="CP39" s="596"/>
      <c r="CQ39" s="597">
        <f>CQ38+CR38+CU38+CS38+CT38</f>
        <v>2145.9756384999991</v>
      </c>
      <c r="CR39" s="597"/>
      <c r="CS39" s="597"/>
      <c r="CT39" s="597"/>
      <c r="CU39" s="597"/>
      <c r="CV39" s="597">
        <f>CV38+CX38+CY38+CW38</f>
        <v>4286.4339397000003</v>
      </c>
      <c r="CW39" s="597"/>
      <c r="CX39" s="597"/>
      <c r="CY39" s="597"/>
      <c r="DA39" s="236"/>
      <c r="DB39" s="238"/>
      <c r="DD39" s="297"/>
      <c r="DE39" s="298"/>
      <c r="DF39" s="298"/>
      <c r="DG39" s="299"/>
      <c r="DH39" s="300"/>
    </row>
    <row r="40" spans="1:120" s="214" customFormat="1" ht="16.5" customHeight="1" thickBot="1">
      <c r="A40" s="94" t="s">
        <v>58</v>
      </c>
      <c r="B40" s="362"/>
      <c r="C40" s="362"/>
      <c r="D40" s="363"/>
      <c r="E40" s="364">
        <v>38.6</v>
      </c>
      <c r="F40" s="363">
        <v>2.2200000000000002</v>
      </c>
      <c r="G40" s="365"/>
      <c r="H40" s="410">
        <v>1.8426</v>
      </c>
      <c r="I40" s="363"/>
      <c r="J40" s="363">
        <v>9.35</v>
      </c>
      <c r="K40" s="363"/>
      <c r="L40" s="363"/>
      <c r="M40" s="410">
        <v>0.37740000000000001</v>
      </c>
      <c r="N40" s="363">
        <v>12.98</v>
      </c>
      <c r="O40" s="363"/>
      <c r="P40" s="366"/>
      <c r="Q40" s="362"/>
      <c r="R40" s="367"/>
      <c r="S40" s="368">
        <v>13.09</v>
      </c>
      <c r="T40" s="362"/>
      <c r="U40" s="369">
        <v>1.32</v>
      </c>
      <c r="V40" s="370">
        <v>3300</v>
      </c>
      <c r="W40" s="370">
        <v>3300</v>
      </c>
      <c r="X40" s="371"/>
      <c r="Y40" s="371"/>
      <c r="Z40" s="372">
        <v>1190</v>
      </c>
      <c r="AA40" s="372"/>
      <c r="AB40" s="362">
        <v>75.599999999999994</v>
      </c>
      <c r="AC40" s="362"/>
      <c r="AD40" s="362"/>
      <c r="AE40" s="362"/>
      <c r="AF40" s="362"/>
      <c r="AG40" s="362"/>
      <c r="AH40" s="362"/>
      <c r="AI40" s="362">
        <v>765</v>
      </c>
      <c r="AJ40" s="373"/>
      <c r="AK40" s="374"/>
      <c r="AL40" s="375"/>
      <c r="AM40" s="362"/>
      <c r="AN40" s="362"/>
      <c r="AO40" s="362"/>
      <c r="AP40" s="362"/>
      <c r="AQ40" s="362"/>
      <c r="AR40" s="362"/>
      <c r="AS40" s="362"/>
      <c r="AT40" s="376">
        <v>3300</v>
      </c>
      <c r="AU40" s="377">
        <v>23.1</v>
      </c>
      <c r="AV40" s="377"/>
      <c r="AW40" s="378"/>
      <c r="AX40" s="362"/>
      <c r="AY40" s="379">
        <v>110</v>
      </c>
      <c r="AZ40" s="362"/>
      <c r="BA40" s="362"/>
      <c r="BB40" s="362"/>
      <c r="BC40" s="363">
        <v>0.9</v>
      </c>
      <c r="BD40" s="362"/>
      <c r="BE40" s="380"/>
      <c r="BF40" s="19"/>
      <c r="BG40" s="19"/>
      <c r="BH40" s="19"/>
      <c r="BI40" s="19"/>
      <c r="BJ40" s="215"/>
      <c r="BK40" s="220"/>
      <c r="BL40" s="221"/>
      <c r="BM40" s="216"/>
      <c r="BN40" s="216"/>
      <c r="BO40" s="219"/>
      <c r="BP40" s="219"/>
      <c r="BQ40" s="217"/>
      <c r="BR40" s="218"/>
      <c r="BS40" s="216"/>
      <c r="BT40" s="216"/>
      <c r="BU40" s="216"/>
      <c r="BV40" s="219"/>
      <c r="BW40" s="219"/>
      <c r="BX40" s="217"/>
      <c r="BY40" s="218"/>
      <c r="BZ40" s="216"/>
      <c r="CA40" s="216"/>
      <c r="CB40" s="216"/>
      <c r="CC40" s="219"/>
      <c r="CD40" s="219"/>
      <c r="CE40" s="217"/>
      <c r="CF40" s="218"/>
      <c r="CG40" s="218"/>
      <c r="CH40" s="216"/>
      <c r="CI40" s="219"/>
      <c r="CJ40" s="220"/>
      <c r="CK40" s="218"/>
      <c r="CL40" s="216"/>
      <c r="CM40" s="217"/>
      <c r="CN40" s="213"/>
      <c r="CO40" s="604">
        <f>CO39+CQ39</f>
        <v>7173.8674470999995</v>
      </c>
      <c r="CP40" s="604"/>
      <c r="CQ40" s="604"/>
      <c r="CR40" s="604"/>
      <c r="CS40" s="604"/>
      <c r="CT40" s="604"/>
      <c r="CU40" s="604"/>
      <c r="DA40" s="237"/>
      <c r="DB40" s="239"/>
      <c r="DD40" s="301"/>
      <c r="DE40" s="302"/>
      <c r="DF40" s="302"/>
      <c r="DG40" s="303"/>
      <c r="DH40" s="304"/>
    </row>
    <row r="41" spans="1:120" s="214" customFormat="1" ht="16.5" customHeight="1" thickBot="1">
      <c r="A41" s="95" t="s">
        <v>59</v>
      </c>
      <c r="B41" s="381"/>
      <c r="C41" s="381"/>
      <c r="D41" s="382"/>
      <c r="E41" s="381"/>
      <c r="F41" s="383">
        <f>F39-F40</f>
        <v>0.19001496497787729</v>
      </c>
      <c r="G41" s="384">
        <f>G39-G40</f>
        <v>3.2483333333333335</v>
      </c>
      <c r="H41" s="383"/>
      <c r="I41" s="385">
        <f>I39-I40</f>
        <v>0</v>
      </c>
      <c r="J41" s="385"/>
      <c r="K41" s="385"/>
      <c r="L41" s="385"/>
      <c r="M41" s="385"/>
      <c r="N41" s="385"/>
      <c r="O41" s="385"/>
      <c r="P41" s="383"/>
      <c r="Q41" s="386"/>
      <c r="R41" s="385">
        <f>R39-R40</f>
        <v>1.5080668189526394</v>
      </c>
      <c r="S41" s="386"/>
      <c r="T41" s="386"/>
      <c r="U41" s="383">
        <f>U39-U40</f>
        <v>0.12000011344815853</v>
      </c>
      <c r="V41" s="383"/>
      <c r="W41" s="383"/>
      <c r="X41" s="383"/>
      <c r="Y41" s="383"/>
      <c r="Z41" s="387">
        <f>Z39-Z40</f>
        <v>-42.333333333333258</v>
      </c>
      <c r="AA41" s="388"/>
      <c r="AB41" s="381"/>
      <c r="AC41" s="381"/>
      <c r="AD41" s="381"/>
      <c r="AE41" s="381"/>
      <c r="AF41" s="381"/>
      <c r="AG41" s="381"/>
      <c r="AH41" s="381"/>
      <c r="AI41" s="381"/>
      <c r="AJ41" s="381"/>
      <c r="AK41" s="389"/>
      <c r="AL41" s="390"/>
      <c r="AM41" s="381"/>
      <c r="AN41" s="381"/>
      <c r="AO41" s="381"/>
      <c r="AP41" s="381"/>
      <c r="AQ41" s="381"/>
      <c r="AR41" s="381"/>
      <c r="AS41" s="381"/>
      <c r="AT41" s="391">
        <f>AT38+AV38-AT40</f>
        <v>622.85000000000036</v>
      </c>
      <c r="AU41" s="392"/>
      <c r="AV41" s="393"/>
      <c r="AW41" s="390"/>
      <c r="AX41" s="381"/>
      <c r="AY41" s="385"/>
      <c r="AZ41" s="381"/>
      <c r="BA41" s="381"/>
      <c r="BB41" s="381"/>
      <c r="BC41" s="394"/>
      <c r="BD41" s="381"/>
      <c r="BE41" s="395"/>
      <c r="BF41" s="222"/>
      <c r="BG41" s="222"/>
      <c r="BH41" s="222"/>
      <c r="BI41" s="222"/>
      <c r="BJ41" s="222"/>
      <c r="BK41" s="223"/>
      <c r="BL41" s="224"/>
      <c r="BM41" s="225"/>
      <c r="BN41" s="225"/>
      <c r="BO41" s="224"/>
      <c r="BP41" s="224"/>
      <c r="BQ41" s="226"/>
      <c r="BR41" s="227"/>
      <c r="BS41" s="225"/>
      <c r="BT41" s="225"/>
      <c r="BU41" s="225"/>
      <c r="BV41" s="224"/>
      <c r="BW41" s="224"/>
      <c r="BX41" s="224"/>
      <c r="BY41" s="228"/>
      <c r="BZ41" s="225"/>
      <c r="CA41" s="225"/>
      <c r="CB41" s="225"/>
      <c r="CC41" s="224"/>
      <c r="CD41" s="224"/>
      <c r="CE41" s="226"/>
      <c r="CF41" s="227"/>
      <c r="CG41" s="227"/>
      <c r="CH41" s="225"/>
      <c r="CI41" s="224"/>
      <c r="CJ41" s="228"/>
      <c r="CK41" s="227"/>
      <c r="CL41" s="225"/>
      <c r="CM41" s="226"/>
      <c r="CN41" s="213"/>
      <c r="CO41" s="213"/>
      <c r="CP41" s="213"/>
      <c r="CQ41" s="213"/>
      <c r="DA41" s="21"/>
      <c r="DH41" s="309"/>
    </row>
    <row r="42" spans="1:120" ht="15" hidden="1" customHeight="1">
      <c r="A42" s="96"/>
      <c r="B42" s="96"/>
      <c r="C42" s="96"/>
      <c r="D42" s="97"/>
      <c r="E42" s="96"/>
      <c r="F42" s="98"/>
      <c r="G42" s="99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1"/>
      <c r="AF42" s="101"/>
      <c r="AG42" s="100"/>
      <c r="AH42" s="100"/>
      <c r="AI42" s="100"/>
      <c r="AJ42" s="100"/>
      <c r="AK42" s="100"/>
      <c r="AL42" s="100"/>
      <c r="AM42" s="100"/>
      <c r="AN42" s="100"/>
      <c r="AO42" s="100"/>
      <c r="AP42" s="100"/>
      <c r="AQ42" s="100"/>
      <c r="AR42" s="100"/>
      <c r="AS42" s="96"/>
      <c r="AT42" s="612"/>
      <c r="AU42" s="612"/>
      <c r="AV42" s="612"/>
      <c r="AW42" s="96"/>
      <c r="AX42" s="96"/>
      <c r="AY42" s="100"/>
      <c r="AZ42" s="100"/>
      <c r="BA42" s="100"/>
      <c r="BB42" s="100"/>
      <c r="BC42" s="100"/>
      <c r="BD42" s="100"/>
      <c r="BE42" s="100"/>
      <c r="BK42" s="20"/>
      <c r="BL42" s="20"/>
      <c r="BM42" s="20"/>
    </row>
    <row r="43" spans="1:120">
      <c r="A43" s="100"/>
      <c r="B43" s="100"/>
      <c r="C43" s="100"/>
      <c r="D43" s="102"/>
      <c r="E43" s="100"/>
      <c r="F43" s="100"/>
      <c r="G43" s="96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1"/>
      <c r="AF43" s="101"/>
      <c r="AG43" s="100"/>
      <c r="AH43" s="100"/>
      <c r="AI43" s="100"/>
      <c r="AJ43" s="100"/>
      <c r="AK43" s="100"/>
      <c r="AL43" s="100"/>
      <c r="AM43" s="100"/>
      <c r="AN43" s="100"/>
      <c r="AO43" s="100"/>
      <c r="AP43" s="100"/>
      <c r="AQ43" s="100"/>
      <c r="AR43" s="100"/>
      <c r="AS43" s="96" t="s">
        <v>60</v>
      </c>
      <c r="AT43" s="103">
        <f>AT40/BE43</f>
        <v>110</v>
      </c>
      <c r="AU43" s="104"/>
      <c r="AV43" s="96"/>
      <c r="AW43" s="96" t="s">
        <v>61</v>
      </c>
      <c r="AX43" s="96"/>
      <c r="AY43" s="100"/>
      <c r="AZ43" s="100"/>
      <c r="BA43" s="100"/>
      <c r="BB43" s="100"/>
      <c r="BC43" s="100"/>
      <c r="BD43" s="105" t="s">
        <v>62</v>
      </c>
      <c r="BE43" s="100">
        <v>30</v>
      </c>
    </row>
    <row r="44" spans="1:120" ht="12" customHeight="1">
      <c r="A44" s="100"/>
      <c r="B44" s="100"/>
      <c r="C44" s="100"/>
      <c r="D44" s="102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100"/>
      <c r="AG44" s="100"/>
      <c r="AH44" s="100"/>
      <c r="AI44" s="100"/>
      <c r="AJ44" s="100"/>
      <c r="AK44" s="100"/>
      <c r="AL44" s="100"/>
      <c r="AM44" s="100"/>
      <c r="AN44" s="100"/>
      <c r="AO44" s="100"/>
      <c r="AP44" s="100"/>
      <c r="AQ44" s="100"/>
      <c r="AR44" s="100"/>
      <c r="AS44" s="100"/>
      <c r="AT44" s="100"/>
      <c r="AU44" s="100"/>
      <c r="AV44" s="100"/>
      <c r="AW44" s="100"/>
      <c r="AX44" s="100"/>
      <c r="AY44" s="100"/>
      <c r="AZ44" s="100"/>
      <c r="BA44" s="100"/>
      <c r="BB44" s="100"/>
      <c r="BC44" s="100"/>
      <c r="BD44" s="96"/>
      <c r="BE44" s="96"/>
    </row>
    <row r="45" spans="1:120" ht="13.5" thickBot="1">
      <c r="A45" s="100"/>
      <c r="B45" s="100"/>
      <c r="C45" s="100"/>
      <c r="D45" s="102"/>
      <c r="E45" s="100"/>
      <c r="F45" s="100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101"/>
      <c r="AE45" s="101"/>
      <c r="AF45" s="101"/>
      <c r="AG45" s="100"/>
      <c r="AH45" s="100"/>
      <c r="AI45" s="100"/>
      <c r="AJ45" s="100"/>
      <c r="AK45" s="100"/>
      <c r="AL45" s="100"/>
      <c r="AM45" s="106" t="s">
        <v>63</v>
      </c>
      <c r="AN45" s="106"/>
      <c r="AO45" s="106"/>
      <c r="AP45" s="106"/>
      <c r="AQ45" s="106"/>
      <c r="AR45" s="106"/>
      <c r="AS45" s="107" t="s">
        <v>64</v>
      </c>
      <c r="AT45" s="108">
        <v>29</v>
      </c>
      <c r="AU45" s="108"/>
      <c r="AV45" s="100"/>
      <c r="AW45" s="100"/>
      <c r="AX45" s="100"/>
      <c r="AY45" s="100"/>
      <c r="AZ45" s="100"/>
      <c r="BA45" s="100"/>
      <c r="BB45" s="100"/>
      <c r="BC45" s="100"/>
      <c r="BD45" s="96"/>
      <c r="BE45" s="96"/>
      <c r="BS45" s="1"/>
    </row>
    <row r="46" spans="1:120" ht="12.75" customHeight="1" thickBot="1">
      <c r="A46" s="100"/>
      <c r="B46" s="100"/>
      <c r="C46" s="109" t="s">
        <v>65</v>
      </c>
      <c r="D46" s="102"/>
      <c r="E46" s="100"/>
      <c r="F46" s="100"/>
      <c r="G46" s="100"/>
      <c r="H46" s="100"/>
      <c r="I46" s="100"/>
      <c r="J46" s="100"/>
      <c r="K46" s="100"/>
      <c r="L46" s="110">
        <f>AT38/AD38</f>
        <v>33.244491525423733</v>
      </c>
      <c r="M46" s="109" t="s">
        <v>88</v>
      </c>
      <c r="N46" s="606"/>
      <c r="O46" s="606"/>
      <c r="P46" s="111"/>
      <c r="Q46" s="100"/>
      <c r="R46" s="100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101"/>
      <c r="AE46" s="101"/>
      <c r="AF46" s="101"/>
      <c r="AG46" s="100"/>
      <c r="AH46" s="100"/>
      <c r="AI46" s="100"/>
      <c r="AJ46" s="100"/>
      <c r="AK46" s="100"/>
      <c r="AL46" s="100"/>
      <c r="AM46" s="100"/>
      <c r="AN46" s="100"/>
      <c r="AO46" s="106"/>
      <c r="AP46" s="106"/>
      <c r="AQ46" s="106"/>
      <c r="AR46" s="106"/>
      <c r="AS46" s="107" t="s">
        <v>66</v>
      </c>
      <c r="AT46" s="112">
        <f>AT40/AT45</f>
        <v>113.79310344827586</v>
      </c>
      <c r="AU46" s="112"/>
      <c r="AV46" s="100"/>
      <c r="AW46" s="100"/>
      <c r="AX46" s="100">
        <v>0</v>
      </c>
      <c r="AY46" s="100"/>
      <c r="AZ46" s="607" t="s">
        <v>67</v>
      </c>
      <c r="BA46" s="607"/>
      <c r="BB46" s="607"/>
      <c r="BC46" s="607"/>
      <c r="BD46" s="607"/>
      <c r="BE46" s="607"/>
    </row>
    <row r="47" spans="1:120">
      <c r="A47" s="100"/>
      <c r="B47" s="100"/>
      <c r="C47" s="100"/>
      <c r="D47" s="102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100"/>
      <c r="AI47" s="100"/>
      <c r="AJ47" s="100"/>
      <c r="AK47" s="100"/>
      <c r="AL47" s="100"/>
      <c r="AM47" s="100"/>
      <c r="AN47" s="100"/>
      <c r="AO47" s="100"/>
      <c r="AP47" s="100"/>
      <c r="AQ47" s="100"/>
      <c r="AR47" s="100"/>
      <c r="AS47" s="100"/>
      <c r="AT47" s="100"/>
      <c r="AU47" s="100"/>
      <c r="AV47" s="100"/>
      <c r="AW47" s="100"/>
      <c r="AX47" s="100"/>
      <c r="AY47" s="100"/>
      <c r="AZ47" s="607"/>
      <c r="BA47" s="607"/>
      <c r="BB47" s="607"/>
      <c r="BC47" s="607"/>
      <c r="BD47" s="607"/>
      <c r="BE47" s="607"/>
    </row>
    <row r="48" spans="1:120">
      <c r="A48" s="100"/>
      <c r="B48" s="100"/>
      <c r="C48" s="100"/>
      <c r="D48" s="102"/>
      <c r="E48" s="100"/>
      <c r="F48" s="100"/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13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  <c r="AE48" s="100"/>
      <c r="AF48" s="100"/>
      <c r="AG48" s="100"/>
      <c r="AH48" s="100"/>
      <c r="AI48" s="100"/>
      <c r="AJ48" s="100"/>
      <c r="AK48" s="100"/>
      <c r="AL48" s="100"/>
      <c r="AM48" s="100"/>
      <c r="AN48" s="100"/>
      <c r="AO48" s="100"/>
      <c r="AP48" s="100"/>
      <c r="AQ48" s="100"/>
      <c r="AR48" s="100"/>
      <c r="AS48" s="100"/>
      <c r="AT48" s="100"/>
      <c r="AU48" s="100"/>
      <c r="AV48" s="100"/>
      <c r="AW48" s="100"/>
      <c r="AX48" s="100"/>
      <c r="AY48" s="100"/>
      <c r="AZ48" s="608">
        <f>BF37-BJ37</f>
        <v>-323.30999999999949</v>
      </c>
      <c r="BA48" s="608"/>
      <c r="BB48" s="608"/>
      <c r="BC48" s="608"/>
      <c r="BD48" s="609" t="s">
        <v>68</v>
      </c>
      <c r="BE48" s="114"/>
    </row>
    <row r="49" spans="1:57" ht="12" customHeight="1">
      <c r="A49" s="100"/>
      <c r="B49" s="100"/>
      <c r="C49" s="100"/>
      <c r="D49" s="102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15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100"/>
      <c r="AI49" s="100"/>
      <c r="AJ49" s="100"/>
      <c r="AK49" s="100"/>
      <c r="AL49" s="100"/>
      <c r="AM49" s="100"/>
      <c r="AN49" s="100"/>
      <c r="AO49" s="100"/>
      <c r="AP49" s="100"/>
      <c r="AQ49" s="100"/>
      <c r="AR49" s="100"/>
      <c r="AS49" s="100"/>
      <c r="AT49" s="100"/>
      <c r="AU49" s="100"/>
      <c r="AV49" s="100"/>
      <c r="AW49" s="100"/>
      <c r="AX49" s="100"/>
      <c r="AY49" s="100"/>
      <c r="AZ49" s="608"/>
      <c r="BA49" s="608"/>
      <c r="BB49" s="608"/>
      <c r="BC49" s="608"/>
      <c r="BD49" s="609"/>
      <c r="BE49" s="114"/>
    </row>
    <row r="50" spans="1:57" ht="13.5" customHeight="1">
      <c r="A50" s="100"/>
      <c r="B50" s="100"/>
      <c r="C50" s="100"/>
      <c r="D50" s="102"/>
      <c r="E50" s="100"/>
      <c r="F50" s="100"/>
      <c r="G50" s="100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100"/>
      <c r="AC50" s="100"/>
      <c r="AD50" s="100"/>
      <c r="AE50" s="100"/>
      <c r="AF50" s="100"/>
      <c r="AG50" s="100"/>
      <c r="AH50" s="100"/>
      <c r="AI50" s="100"/>
      <c r="AJ50" s="100"/>
      <c r="AK50" s="100"/>
      <c r="AL50" s="100"/>
      <c r="AM50" s="100"/>
      <c r="AN50" s="100"/>
      <c r="AO50" s="100"/>
      <c r="AP50" s="100"/>
      <c r="AQ50" s="100"/>
      <c r="AR50" s="100"/>
      <c r="AS50" s="100"/>
      <c r="AT50" s="100"/>
      <c r="AU50" s="100"/>
      <c r="AV50" s="100"/>
      <c r="AW50" s="100"/>
      <c r="AX50" s="100"/>
      <c r="AY50" s="100"/>
      <c r="AZ50" s="116"/>
      <c r="BA50" s="96"/>
      <c r="BB50" s="96"/>
      <c r="BC50" s="96"/>
      <c r="BD50" s="96"/>
      <c r="BE50" s="114"/>
    </row>
    <row r="51" spans="1:57" ht="13.5" customHeight="1" thickBot="1">
      <c r="A51" s="100"/>
      <c r="B51" s="100"/>
      <c r="C51" s="100"/>
      <c r="D51" s="102"/>
      <c r="E51" s="100"/>
      <c r="F51" s="100"/>
      <c r="G51" s="100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0"/>
      <c r="AC51" s="100"/>
      <c r="AD51" s="100"/>
      <c r="AE51" s="100"/>
      <c r="AF51" s="100"/>
      <c r="AG51" s="100"/>
      <c r="AH51" s="100"/>
      <c r="AI51" s="100"/>
      <c r="AJ51" s="100"/>
      <c r="AK51" s="100"/>
      <c r="AL51" s="100"/>
      <c r="AM51" s="100"/>
      <c r="AN51" s="100"/>
      <c r="AO51" s="100"/>
      <c r="AP51" s="100"/>
      <c r="AQ51" s="100"/>
      <c r="AR51" s="100"/>
      <c r="AS51" s="100"/>
      <c r="AT51" s="100"/>
      <c r="AU51" s="100"/>
      <c r="AV51" s="100"/>
      <c r="AW51" s="100"/>
      <c r="AX51" s="100"/>
      <c r="AY51" s="100"/>
      <c r="AZ51" s="610">
        <f>AZ48/AT40*100</f>
        <v>-9.7972727272727109</v>
      </c>
      <c r="BA51" s="610"/>
      <c r="BB51" s="610"/>
      <c r="BC51" s="610"/>
      <c r="BD51" s="611" t="s">
        <v>69</v>
      </c>
      <c r="BE51" s="114"/>
    </row>
    <row r="52" spans="1:57" ht="13.5" thickBot="1">
      <c r="A52" s="100"/>
      <c r="B52" s="100"/>
      <c r="C52" s="100"/>
      <c r="D52" s="102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  <c r="AF52" s="100"/>
      <c r="AG52" s="100"/>
      <c r="AH52" s="100"/>
      <c r="AI52" s="100"/>
      <c r="AJ52" s="100"/>
      <c r="AK52" s="100"/>
      <c r="AL52" s="100"/>
      <c r="AM52" s="100"/>
      <c r="AN52" s="100"/>
      <c r="AO52" s="100"/>
      <c r="AP52" s="100"/>
      <c r="AQ52" s="100"/>
      <c r="AR52" s="100"/>
      <c r="AS52" s="100"/>
      <c r="AT52" s="100"/>
      <c r="AU52" s="100"/>
      <c r="AV52" s="100"/>
      <c r="AW52" s="100"/>
      <c r="AX52" s="100"/>
      <c r="AY52" s="100"/>
      <c r="AZ52" s="610"/>
      <c r="BA52" s="610"/>
      <c r="BB52" s="610"/>
      <c r="BC52" s="610"/>
      <c r="BD52" s="611"/>
      <c r="BE52" s="117"/>
    </row>
    <row r="53" spans="1:57">
      <c r="A53" s="100"/>
      <c r="B53" s="100"/>
      <c r="C53" s="100"/>
      <c r="D53" s="102"/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100"/>
      <c r="AI53" s="100"/>
      <c r="AJ53" s="100"/>
      <c r="AK53" s="100"/>
      <c r="AL53" s="100"/>
      <c r="AM53" s="100"/>
      <c r="AN53" s="100"/>
      <c r="AO53" s="100"/>
      <c r="AP53" s="100"/>
      <c r="AQ53" s="100"/>
      <c r="AR53" s="100"/>
      <c r="AS53" s="100"/>
      <c r="AT53" s="100"/>
      <c r="AU53" s="100"/>
      <c r="AV53" s="100"/>
      <c r="AW53" s="100"/>
      <c r="AX53" s="100"/>
      <c r="AY53" s="100"/>
      <c r="AZ53" s="100"/>
      <c r="BA53" s="100"/>
      <c r="BB53" s="100"/>
      <c r="BC53" s="100"/>
      <c r="BD53" s="100"/>
      <c r="BE53" s="100"/>
    </row>
    <row r="54" spans="1:57">
      <c r="A54" s="100"/>
      <c r="B54" s="100"/>
      <c r="C54" s="100"/>
      <c r="D54" s="102"/>
      <c r="E54" s="100"/>
      <c r="F54" s="100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100"/>
      <c r="AI54" s="100"/>
      <c r="AJ54" s="100"/>
      <c r="AK54" s="100"/>
      <c r="AL54" s="100"/>
      <c r="AM54" s="100"/>
      <c r="AN54" s="100"/>
      <c r="AO54" s="100"/>
      <c r="AP54" s="100"/>
      <c r="AQ54" s="100"/>
      <c r="AR54" s="100"/>
      <c r="AS54" s="100"/>
      <c r="AT54" s="100"/>
      <c r="AU54" s="100"/>
      <c r="AV54" s="100"/>
      <c r="AW54" s="100"/>
      <c r="AX54" s="100"/>
      <c r="AY54" s="100"/>
      <c r="AZ54" s="100"/>
      <c r="BA54" s="100"/>
      <c r="BB54" s="100"/>
      <c r="BC54" s="100"/>
      <c r="BD54" s="100"/>
      <c r="BE54" s="100"/>
    </row>
    <row r="55" spans="1:57">
      <c r="A55" s="100"/>
      <c r="B55" s="100"/>
      <c r="C55" s="100"/>
      <c r="D55" s="102"/>
      <c r="E55" s="100"/>
      <c r="F55" s="100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  <c r="AH55" s="100"/>
      <c r="AI55" s="100"/>
      <c r="AJ55" s="100"/>
      <c r="AK55" s="100"/>
      <c r="AL55" s="100"/>
      <c r="AM55" s="100"/>
      <c r="AN55" s="100"/>
      <c r="AO55" s="100"/>
      <c r="AP55" s="100"/>
      <c r="AQ55" s="100"/>
      <c r="AR55" s="100"/>
      <c r="AS55" s="100"/>
      <c r="AT55" s="100"/>
      <c r="AU55" s="100"/>
      <c r="AV55" s="100"/>
      <c r="AW55" s="100"/>
      <c r="AX55" s="100"/>
      <c r="AY55" s="100"/>
      <c r="AZ55" s="100"/>
      <c r="BA55" s="100"/>
      <c r="BB55" s="100"/>
      <c r="BC55" s="100"/>
      <c r="BD55" s="100"/>
      <c r="BE55" s="100"/>
    </row>
    <row r="56" spans="1:57">
      <c r="A56" s="100"/>
      <c r="B56" s="100"/>
      <c r="C56" s="100"/>
      <c r="D56" s="102"/>
      <c r="E56" s="100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/>
      <c r="AE56" s="100"/>
      <c r="AF56" s="100"/>
      <c r="AG56" s="100"/>
      <c r="AH56" s="100"/>
      <c r="AI56" s="100"/>
      <c r="AJ56" s="100"/>
      <c r="AK56" s="100"/>
      <c r="AL56" s="100"/>
      <c r="AM56" s="100"/>
      <c r="AN56" s="100"/>
      <c r="AO56" s="100"/>
      <c r="AP56" s="100"/>
      <c r="AQ56" s="100"/>
      <c r="AR56" s="100"/>
      <c r="AS56" s="100"/>
      <c r="AT56" s="100"/>
      <c r="AU56" s="100"/>
      <c r="AV56" s="100"/>
      <c r="AW56" s="100"/>
      <c r="AX56" s="100"/>
      <c r="AY56" s="100"/>
      <c r="AZ56" s="100"/>
      <c r="BA56" s="100"/>
      <c r="BB56" s="100"/>
      <c r="BC56" s="100"/>
      <c r="BD56" s="100"/>
      <c r="BE56" s="100"/>
    </row>
    <row r="57" spans="1:57">
      <c r="A57" s="100"/>
      <c r="B57" s="100"/>
      <c r="C57" s="100"/>
      <c r="D57" s="102"/>
      <c r="E57" s="100"/>
      <c r="F57" s="100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100"/>
      <c r="AI57" s="100"/>
      <c r="AJ57" s="100"/>
      <c r="AK57" s="100"/>
      <c r="AL57" s="100"/>
      <c r="AM57" s="100"/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X57" s="100"/>
      <c r="AY57" s="100"/>
      <c r="AZ57" s="100"/>
      <c r="BA57" s="100"/>
      <c r="BB57" s="100"/>
      <c r="BC57" s="100"/>
      <c r="BD57" s="100"/>
      <c r="BE57" s="100"/>
    </row>
    <row r="58" spans="1:57">
      <c r="A58" s="100"/>
      <c r="B58" s="100"/>
      <c r="C58" s="100"/>
      <c r="D58" s="102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  <c r="AA58" s="100"/>
      <c r="AB58" s="100"/>
      <c r="AC58" s="100"/>
      <c r="AD58" s="100"/>
      <c r="AE58" s="100"/>
      <c r="AF58" s="100"/>
      <c r="AG58" s="100"/>
      <c r="AH58" s="100"/>
      <c r="AI58" s="100"/>
      <c r="AJ58" s="100"/>
      <c r="AK58" s="100"/>
      <c r="AL58" s="100"/>
      <c r="AM58" s="100"/>
      <c r="AN58" s="100"/>
      <c r="AO58" s="100"/>
      <c r="AP58" s="100"/>
      <c r="AQ58" s="100"/>
      <c r="AR58" s="100"/>
      <c r="AS58" s="100"/>
      <c r="AT58" s="100"/>
      <c r="AU58" s="100"/>
      <c r="AV58" s="100"/>
      <c r="AW58" s="100"/>
      <c r="AX58" s="100"/>
      <c r="AY58" s="100"/>
      <c r="AZ58" s="100"/>
      <c r="BA58" s="100"/>
      <c r="BB58" s="100"/>
      <c r="BC58" s="100"/>
      <c r="BD58" s="100"/>
      <c r="BE58" s="100"/>
    </row>
    <row r="59" spans="1:57">
      <c r="A59" s="100"/>
      <c r="B59" s="100"/>
      <c r="C59" s="100"/>
      <c r="D59" s="102"/>
      <c r="E59" s="100"/>
      <c r="F59" s="100"/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  <c r="AE59" s="100"/>
      <c r="AF59" s="100"/>
      <c r="AG59" s="100"/>
      <c r="AH59" s="100"/>
      <c r="AI59" s="100"/>
      <c r="AJ59" s="100"/>
      <c r="AK59" s="100"/>
      <c r="AL59" s="100"/>
      <c r="AM59" s="100"/>
      <c r="AN59" s="100"/>
      <c r="AO59" s="100"/>
      <c r="AP59" s="100"/>
      <c r="AQ59" s="100"/>
      <c r="AR59" s="100"/>
      <c r="AS59" s="100"/>
      <c r="AT59" s="100"/>
      <c r="AU59" s="100"/>
      <c r="AV59" s="100"/>
      <c r="AW59" s="100"/>
      <c r="AX59" s="100"/>
      <c r="AY59" s="100"/>
      <c r="AZ59" s="100"/>
      <c r="BA59" s="100"/>
      <c r="BB59" s="100"/>
      <c r="BC59" s="100"/>
      <c r="BD59" s="100"/>
      <c r="BE59" s="100"/>
    </row>
    <row r="60" spans="1:57">
      <c r="A60" s="100"/>
      <c r="B60" s="100"/>
      <c r="C60" s="100"/>
      <c r="D60" s="102"/>
      <c r="E60" s="100"/>
      <c r="F60" s="100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  <c r="AE60" s="100"/>
      <c r="AF60" s="100"/>
      <c r="AG60" s="100"/>
      <c r="AH60" s="100"/>
      <c r="AI60" s="100"/>
      <c r="AJ60" s="100"/>
      <c r="AK60" s="100"/>
      <c r="AL60" s="100"/>
      <c r="AM60" s="100"/>
      <c r="AN60" s="100"/>
      <c r="AO60" s="100"/>
      <c r="AP60" s="100"/>
      <c r="AQ60" s="100"/>
      <c r="AR60" s="100"/>
      <c r="AS60" s="100"/>
      <c r="AT60" s="100"/>
      <c r="AU60" s="100"/>
      <c r="AV60" s="100"/>
      <c r="AW60" s="100"/>
      <c r="AX60" s="100"/>
      <c r="AY60" s="100"/>
      <c r="AZ60" s="100"/>
      <c r="BA60" s="100"/>
      <c r="BB60" s="100"/>
      <c r="BC60" s="100"/>
      <c r="BD60" s="100"/>
      <c r="BE60" s="100"/>
    </row>
    <row r="61" spans="1:57">
      <c r="A61" s="100"/>
      <c r="B61" s="100"/>
      <c r="C61" s="100"/>
      <c r="D61" s="102"/>
      <c r="E61" s="100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/>
      <c r="AE61" s="100"/>
      <c r="AF61" s="100"/>
      <c r="AG61" s="100"/>
      <c r="AH61" s="100"/>
      <c r="AI61" s="100"/>
      <c r="AJ61" s="100"/>
      <c r="AK61" s="100"/>
      <c r="AL61" s="100"/>
      <c r="AM61" s="100"/>
      <c r="AN61" s="100"/>
      <c r="AO61" s="100"/>
      <c r="AP61" s="100"/>
      <c r="AQ61" s="100"/>
      <c r="AR61" s="100"/>
      <c r="AS61" s="100"/>
      <c r="AT61" s="100"/>
      <c r="AU61" s="100"/>
      <c r="AV61" s="100"/>
      <c r="AW61" s="100"/>
      <c r="AX61" s="100"/>
      <c r="AY61" s="100"/>
      <c r="AZ61" s="100"/>
      <c r="BA61" s="100"/>
      <c r="BB61" s="100"/>
      <c r="BC61" s="100"/>
      <c r="BD61" s="100"/>
      <c r="BE61" s="100"/>
    </row>
    <row r="62" spans="1:57">
      <c r="A62" s="100"/>
      <c r="B62" s="100"/>
      <c r="C62" s="100"/>
      <c r="D62" s="102"/>
      <c r="E62" s="100"/>
      <c r="F62" s="100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100"/>
      <c r="AC62" s="100"/>
      <c r="AD62" s="100"/>
      <c r="AE62" s="100"/>
      <c r="AF62" s="100"/>
      <c r="AG62" s="100"/>
      <c r="AH62" s="100"/>
      <c r="AI62" s="100"/>
      <c r="AJ62" s="100"/>
      <c r="AK62" s="100"/>
      <c r="AL62" s="100"/>
      <c r="AM62" s="100"/>
      <c r="AN62" s="100"/>
      <c r="AO62" s="100"/>
      <c r="AP62" s="100"/>
      <c r="AQ62" s="100"/>
      <c r="AR62" s="100"/>
      <c r="AS62" s="100"/>
      <c r="AT62" s="100"/>
      <c r="AU62" s="100"/>
      <c r="AV62" s="100"/>
      <c r="AW62" s="100"/>
      <c r="AX62" s="100"/>
      <c r="AY62" s="100"/>
      <c r="AZ62" s="100"/>
      <c r="BA62" s="100"/>
      <c r="BB62" s="100"/>
      <c r="BC62" s="100"/>
      <c r="BD62" s="100"/>
      <c r="BE62" s="100"/>
    </row>
    <row r="63" spans="1:57">
      <c r="A63" s="100"/>
      <c r="B63" s="100"/>
      <c r="C63" s="100"/>
      <c r="D63" s="102"/>
      <c r="E63" s="100"/>
      <c r="F63" s="100"/>
      <c r="G63" s="100"/>
      <c r="H63" s="100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  <c r="AA63" s="100"/>
      <c r="AB63" s="100"/>
      <c r="AC63" s="100"/>
      <c r="AD63" s="100"/>
      <c r="AE63" s="100"/>
      <c r="AF63" s="100"/>
      <c r="AG63" s="100"/>
      <c r="AH63" s="100"/>
      <c r="AI63" s="100"/>
      <c r="AJ63" s="100"/>
      <c r="AK63" s="100"/>
      <c r="AL63" s="100"/>
      <c r="AM63" s="100"/>
      <c r="AN63" s="100"/>
      <c r="AO63" s="100"/>
      <c r="AP63" s="100"/>
      <c r="AQ63" s="100"/>
      <c r="AR63" s="100"/>
      <c r="AS63" s="100"/>
      <c r="AT63" s="100"/>
      <c r="AU63" s="100"/>
      <c r="AV63" s="100"/>
      <c r="AW63" s="100"/>
      <c r="AX63" s="100"/>
      <c r="AY63" s="100"/>
      <c r="AZ63" s="100"/>
      <c r="BA63" s="100"/>
      <c r="BB63" s="100"/>
      <c r="BC63" s="100"/>
      <c r="BD63" s="100"/>
      <c r="BE63" s="100"/>
    </row>
    <row r="64" spans="1:57">
      <c r="A64" s="100"/>
      <c r="B64" s="100"/>
      <c r="C64" s="100"/>
      <c r="D64" s="102"/>
      <c r="E64" s="100"/>
      <c r="F64" s="100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  <c r="AE64" s="100"/>
      <c r="AF64" s="100"/>
      <c r="AG64" s="100"/>
      <c r="AH64" s="100"/>
      <c r="AI64" s="100"/>
      <c r="AJ64" s="100"/>
      <c r="AK64" s="100"/>
      <c r="AL64" s="100"/>
      <c r="AM64" s="100"/>
      <c r="AN64" s="100"/>
      <c r="AO64" s="100"/>
      <c r="AP64" s="100"/>
      <c r="AQ64" s="100"/>
      <c r="AR64" s="100"/>
      <c r="AS64" s="100"/>
      <c r="AT64" s="100"/>
      <c r="AU64" s="100"/>
      <c r="AV64" s="100"/>
      <c r="AW64" s="100"/>
      <c r="AX64" s="100"/>
      <c r="AY64" s="100"/>
      <c r="AZ64" s="100"/>
      <c r="BA64" s="100"/>
      <c r="BB64" s="100"/>
      <c r="BC64" s="100"/>
      <c r="BD64" s="100"/>
      <c r="BE64" s="100"/>
    </row>
    <row r="65" spans="1:57">
      <c r="A65" s="100"/>
      <c r="B65" s="100"/>
      <c r="C65" s="100"/>
      <c r="D65" s="102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/>
      <c r="AE65" s="100"/>
      <c r="AF65" s="100"/>
      <c r="AG65" s="100"/>
      <c r="AH65" s="100"/>
      <c r="AI65" s="100"/>
      <c r="AJ65" s="100"/>
      <c r="AK65" s="100"/>
      <c r="AL65" s="100"/>
      <c r="AM65" s="100"/>
      <c r="AN65" s="100"/>
      <c r="AO65" s="100"/>
      <c r="AP65" s="100"/>
      <c r="AQ65" s="100"/>
      <c r="AR65" s="100"/>
      <c r="AS65" s="100"/>
      <c r="AT65" s="100"/>
      <c r="AU65" s="100"/>
      <c r="AV65" s="100"/>
      <c r="AW65" s="100"/>
      <c r="AX65" s="100"/>
      <c r="AY65" s="100"/>
      <c r="AZ65" s="100"/>
      <c r="BA65" s="100"/>
      <c r="BB65" s="100"/>
      <c r="BC65" s="100"/>
      <c r="BD65" s="100"/>
      <c r="BE65" s="100"/>
    </row>
    <row r="66" spans="1:57">
      <c r="A66" s="100"/>
      <c r="B66" s="100"/>
      <c r="C66" s="100"/>
      <c r="D66" s="102"/>
      <c r="E66" s="100"/>
      <c r="F66" s="100"/>
      <c r="G66" s="100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/>
      <c r="AE66" s="100"/>
      <c r="AF66" s="100"/>
      <c r="AG66" s="100"/>
      <c r="AH66" s="100"/>
      <c r="AI66" s="100"/>
      <c r="AJ66" s="100"/>
      <c r="AK66" s="100"/>
      <c r="AL66" s="100"/>
      <c r="AM66" s="100"/>
      <c r="AN66" s="100"/>
      <c r="AO66" s="100"/>
      <c r="AP66" s="100"/>
      <c r="AQ66" s="100"/>
      <c r="AR66" s="100"/>
      <c r="AS66" s="100"/>
      <c r="AT66" s="100"/>
      <c r="AU66" s="100"/>
      <c r="AV66" s="100"/>
      <c r="AW66" s="100"/>
      <c r="AX66" s="100"/>
      <c r="AY66" s="100"/>
      <c r="AZ66" s="100"/>
      <c r="BA66" s="100"/>
      <c r="BB66" s="100"/>
      <c r="BC66" s="100"/>
      <c r="BD66" s="100"/>
      <c r="BE66" s="100"/>
    </row>
    <row r="67" spans="1:57">
      <c r="A67" s="100"/>
      <c r="B67" s="100"/>
      <c r="C67" s="100"/>
      <c r="D67" s="102"/>
      <c r="E67" s="100"/>
      <c r="F67" s="100"/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  <c r="AD67" s="100"/>
      <c r="AE67" s="100"/>
      <c r="AF67" s="100"/>
      <c r="AG67" s="100"/>
      <c r="AH67" s="100"/>
      <c r="AI67" s="100"/>
      <c r="AJ67" s="100"/>
      <c r="AK67" s="100"/>
      <c r="AL67" s="100"/>
      <c r="AM67" s="100"/>
      <c r="AN67" s="100"/>
      <c r="AO67" s="100"/>
      <c r="AP67" s="100"/>
      <c r="AQ67" s="100"/>
      <c r="AR67" s="100"/>
      <c r="AS67" s="100"/>
      <c r="AT67" s="100"/>
      <c r="AU67" s="100"/>
      <c r="AV67" s="100"/>
      <c r="AW67" s="100"/>
      <c r="AX67" s="100"/>
      <c r="AY67" s="100"/>
      <c r="AZ67" s="100"/>
      <c r="BA67" s="100"/>
      <c r="BB67" s="100"/>
      <c r="BC67" s="100"/>
      <c r="BD67" s="100"/>
      <c r="BE67" s="100"/>
    </row>
    <row r="68" spans="1:57">
      <c r="A68" s="100"/>
      <c r="B68" s="100"/>
      <c r="C68" s="100"/>
      <c r="D68" s="102"/>
      <c r="E68" s="100"/>
      <c r="F68" s="100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  <c r="AI68" s="100"/>
      <c r="AJ68" s="100"/>
      <c r="AK68" s="100"/>
      <c r="AL68" s="100"/>
      <c r="AM68" s="100"/>
      <c r="AN68" s="100"/>
      <c r="AO68" s="100"/>
      <c r="AP68" s="100"/>
      <c r="AQ68" s="100"/>
      <c r="AR68" s="100"/>
      <c r="AS68" s="100"/>
      <c r="AT68" s="100"/>
      <c r="AU68" s="100"/>
      <c r="AV68" s="100"/>
      <c r="AW68" s="100"/>
      <c r="AX68" s="100"/>
      <c r="AY68" s="100"/>
      <c r="AZ68" s="100"/>
      <c r="BA68" s="100"/>
      <c r="BB68" s="100"/>
      <c r="BC68" s="100"/>
      <c r="BD68" s="100"/>
      <c r="BE68" s="100"/>
    </row>
    <row r="69" spans="1:57">
      <c r="A69" s="100"/>
      <c r="B69" s="100"/>
      <c r="C69" s="100"/>
      <c r="D69" s="102"/>
      <c r="E69" s="100"/>
      <c r="F69" s="100"/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100"/>
      <c r="AC69" s="100"/>
      <c r="AD69" s="100"/>
      <c r="AE69" s="100"/>
      <c r="AF69" s="100"/>
      <c r="AG69" s="100"/>
      <c r="AH69" s="100"/>
      <c r="AI69" s="100"/>
      <c r="AJ69" s="100"/>
      <c r="AK69" s="100"/>
      <c r="AL69" s="100"/>
      <c r="AM69" s="100"/>
      <c r="AN69" s="100"/>
      <c r="AO69" s="100"/>
      <c r="AP69" s="100"/>
      <c r="AQ69" s="100"/>
      <c r="AR69" s="100"/>
      <c r="AS69" s="100"/>
      <c r="AT69" s="100"/>
      <c r="AU69" s="100"/>
      <c r="AV69" s="100"/>
      <c r="AW69" s="100"/>
      <c r="AX69" s="100"/>
      <c r="AY69" s="100"/>
      <c r="AZ69" s="100"/>
      <c r="BA69" s="100"/>
      <c r="BB69" s="100"/>
      <c r="BC69" s="100"/>
      <c r="BD69" s="100"/>
      <c r="BE69" s="100"/>
    </row>
    <row r="70" spans="1:57">
      <c r="A70" s="100"/>
      <c r="B70" s="100"/>
      <c r="C70" s="100"/>
      <c r="D70" s="102"/>
      <c r="E70" s="100"/>
      <c r="F70" s="100"/>
      <c r="G70" s="100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  <c r="AE70" s="100"/>
      <c r="AF70" s="100"/>
      <c r="AG70" s="100"/>
      <c r="AH70" s="100"/>
      <c r="AI70" s="100"/>
      <c r="AJ70" s="100"/>
      <c r="AK70" s="100"/>
      <c r="AL70" s="100"/>
      <c r="AM70" s="100"/>
      <c r="AN70" s="100"/>
      <c r="AO70" s="100"/>
      <c r="AP70" s="100"/>
      <c r="AQ70" s="100"/>
      <c r="AR70" s="100"/>
      <c r="AS70" s="100"/>
      <c r="AT70" s="100"/>
      <c r="AU70" s="100"/>
      <c r="AV70" s="100"/>
      <c r="AW70" s="100"/>
      <c r="AX70" s="100"/>
      <c r="AY70" s="100"/>
      <c r="AZ70" s="100"/>
      <c r="BA70" s="100"/>
      <c r="BB70" s="100"/>
      <c r="BC70" s="100"/>
      <c r="BD70" s="100"/>
      <c r="BE70" s="100"/>
    </row>
    <row r="71" spans="1:57" ht="18" customHeight="1">
      <c r="A71" s="318" t="s">
        <v>70</v>
      </c>
      <c r="B71" s="319"/>
      <c r="C71" s="318"/>
      <c r="D71" s="318"/>
      <c r="E71" s="318"/>
      <c r="F71" s="318"/>
      <c r="G71" s="318"/>
      <c r="H71" s="318"/>
      <c r="I71" s="318"/>
      <c r="J71" s="320"/>
      <c r="K71" s="320"/>
      <c r="L71" s="605" t="s">
        <v>327</v>
      </c>
      <c r="M71" s="605"/>
      <c r="N71" s="605"/>
      <c r="O71" s="605"/>
      <c r="P71" s="605"/>
      <c r="Q71" s="605"/>
      <c r="R71" s="109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/>
      <c r="AE71" s="100"/>
      <c r="AF71" s="100"/>
      <c r="AG71" s="100"/>
      <c r="AH71" s="100"/>
      <c r="AI71" s="100"/>
      <c r="AJ71" s="100"/>
      <c r="AK71" s="100"/>
      <c r="AL71" s="100"/>
      <c r="AM71" s="100"/>
      <c r="AN71" s="100"/>
      <c r="AO71" s="100"/>
      <c r="AP71" s="100"/>
      <c r="AQ71" s="100"/>
      <c r="AR71" s="100"/>
      <c r="AS71" s="100"/>
      <c r="AT71" s="100"/>
      <c r="AU71" s="100"/>
      <c r="AV71" s="100"/>
      <c r="AW71" s="100"/>
      <c r="AX71" s="100"/>
      <c r="AY71" s="100"/>
      <c r="AZ71" s="100"/>
      <c r="BA71" s="100"/>
      <c r="BB71" s="100"/>
      <c r="BC71" s="100"/>
      <c r="BD71" s="100"/>
      <c r="BE71" s="100"/>
    </row>
    <row r="72" spans="1:57" ht="15">
      <c r="A72" s="118"/>
      <c r="B72" s="118"/>
      <c r="C72" s="119"/>
      <c r="D72" s="120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  <c r="AE72" s="100"/>
      <c r="AF72" s="100"/>
      <c r="AG72" s="100"/>
      <c r="AH72" s="100"/>
      <c r="AI72" s="100"/>
      <c r="AJ72" s="100"/>
      <c r="AK72" s="100"/>
      <c r="AL72" s="100"/>
      <c r="AM72" s="100"/>
      <c r="AN72" s="100"/>
      <c r="AO72" s="100"/>
      <c r="AP72" s="100"/>
      <c r="AQ72" s="100"/>
      <c r="AR72" s="100"/>
      <c r="AS72" s="100"/>
      <c r="AT72" s="100"/>
      <c r="AU72" s="100"/>
      <c r="AV72" s="100"/>
      <c r="AW72" s="100"/>
      <c r="AX72" s="100"/>
      <c r="AY72" s="100"/>
      <c r="AZ72" s="100"/>
      <c r="BA72" s="100"/>
      <c r="BB72" s="100"/>
      <c r="BC72" s="100"/>
      <c r="BD72" s="100"/>
      <c r="BE72" s="100"/>
    </row>
    <row r="73" spans="1:57" ht="15.75">
      <c r="A73" s="100"/>
      <c r="B73" s="100"/>
      <c r="C73" s="100"/>
      <c r="D73" s="102"/>
      <c r="E73" s="100"/>
      <c r="F73" s="100"/>
      <c r="G73" s="100"/>
      <c r="H73" s="100"/>
      <c r="I73" s="100"/>
      <c r="J73" s="100"/>
      <c r="K73" s="100"/>
      <c r="L73" s="111"/>
      <c r="M73" s="111"/>
      <c r="N73" s="111"/>
      <c r="O73" s="111"/>
      <c r="P73" s="111"/>
      <c r="Q73" s="111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00"/>
      <c r="AK73" s="100"/>
      <c r="AL73" s="100"/>
      <c r="AM73" s="100"/>
      <c r="AN73" s="100"/>
      <c r="AO73" s="100"/>
      <c r="AP73" s="100"/>
      <c r="AQ73" s="100"/>
      <c r="AR73" s="100"/>
      <c r="AS73" s="100"/>
      <c r="AT73" s="100"/>
      <c r="AU73" s="100"/>
      <c r="AV73" s="100"/>
      <c r="AW73" s="100"/>
      <c r="AX73" s="100"/>
      <c r="AY73" s="100"/>
      <c r="AZ73" s="100"/>
      <c r="BA73" s="100"/>
      <c r="BB73" s="100"/>
      <c r="BC73" s="100"/>
      <c r="BD73" s="100"/>
      <c r="BE73" s="100"/>
    </row>
    <row r="74" spans="1:57">
      <c r="A74" s="100"/>
      <c r="B74" s="100"/>
      <c r="C74" s="100"/>
      <c r="D74" s="102"/>
      <c r="E74" s="100"/>
      <c r="F74" s="100"/>
      <c r="G74" s="100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00"/>
      <c r="AK74" s="100"/>
      <c r="AL74" s="100"/>
      <c r="AM74" s="100"/>
      <c r="AN74" s="100"/>
      <c r="AO74" s="100"/>
      <c r="AP74" s="100"/>
      <c r="AQ74" s="100"/>
      <c r="AR74" s="100"/>
      <c r="AS74" s="100"/>
      <c r="AT74" s="100"/>
      <c r="AU74" s="100"/>
      <c r="AV74" s="100"/>
      <c r="AW74" s="100"/>
      <c r="AX74" s="100"/>
      <c r="AY74" s="100"/>
      <c r="AZ74" s="100"/>
      <c r="BA74" s="100"/>
      <c r="BB74" s="100"/>
      <c r="BC74" s="100"/>
      <c r="BD74" s="100"/>
      <c r="BE74" s="100"/>
    </row>
    <row r="75" spans="1:57">
      <c r="A75" s="100"/>
      <c r="B75" s="100"/>
      <c r="C75" s="100"/>
      <c r="D75" s="102"/>
      <c r="E75" s="100"/>
      <c r="F75" s="100"/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  <c r="AD75" s="100"/>
      <c r="AE75" s="100"/>
      <c r="AF75" s="100"/>
      <c r="AG75" s="100"/>
      <c r="AH75" s="100"/>
      <c r="AI75" s="100"/>
      <c r="AJ75" s="100"/>
      <c r="AK75" s="100"/>
      <c r="AL75" s="100"/>
      <c r="AM75" s="100"/>
      <c r="AN75" s="100"/>
      <c r="AO75" s="100"/>
      <c r="AP75" s="100"/>
      <c r="AQ75" s="100"/>
      <c r="AR75" s="100"/>
      <c r="AS75" s="100"/>
      <c r="AT75" s="100"/>
      <c r="AU75" s="100"/>
      <c r="AV75" s="100"/>
      <c r="AW75" s="100"/>
      <c r="AX75" s="100"/>
      <c r="AY75" s="100"/>
      <c r="AZ75" s="100"/>
      <c r="BA75" s="100"/>
      <c r="BB75" s="100"/>
      <c r="BC75" s="100"/>
      <c r="BD75" s="100"/>
      <c r="BE75" s="100"/>
    </row>
    <row r="77" spans="1:57">
      <c r="AY77" t="s">
        <v>302</v>
      </c>
    </row>
  </sheetData>
  <sheetProtection selectLockedCells="1" selectUnlockedCells="1"/>
  <mergeCells count="78">
    <mergeCell ref="AE3:AF4"/>
    <mergeCell ref="AG3:AI4"/>
    <mergeCell ref="AI5:AI6"/>
    <mergeCell ref="AY2:BC2"/>
    <mergeCell ref="A3:A6"/>
    <mergeCell ref="B3:G3"/>
    <mergeCell ref="H3:P3"/>
    <mergeCell ref="Q3:U3"/>
    <mergeCell ref="V3:V6"/>
    <mergeCell ref="W3:W6"/>
    <mergeCell ref="X3:X6"/>
    <mergeCell ref="Y3:Y6"/>
    <mergeCell ref="Z3:Z6"/>
    <mergeCell ref="P4:P6"/>
    <mergeCell ref="L4:L6"/>
    <mergeCell ref="M4:M6"/>
    <mergeCell ref="CJ3:CM5"/>
    <mergeCell ref="B4:B6"/>
    <mergeCell ref="C4:C6"/>
    <mergeCell ref="D4:D6"/>
    <mergeCell ref="E4:E6"/>
    <mergeCell ref="F4:F6"/>
    <mergeCell ref="G4:G6"/>
    <mergeCell ref="H4:H6"/>
    <mergeCell ref="I4:I6"/>
    <mergeCell ref="J4:J6"/>
    <mergeCell ref="BD3:BD6"/>
    <mergeCell ref="BE3:BE6"/>
    <mergeCell ref="BK3:BQ5"/>
    <mergeCell ref="BR3:BX5"/>
    <mergeCell ref="BY3:CE5"/>
    <mergeCell ref="K4:K6"/>
    <mergeCell ref="AA3:AA6"/>
    <mergeCell ref="AB3:AB6"/>
    <mergeCell ref="N4:N6"/>
    <mergeCell ref="O4:O6"/>
    <mergeCell ref="DD4:DH4"/>
    <mergeCell ref="AE5:AE6"/>
    <mergeCell ref="AF5:AF6"/>
    <mergeCell ref="AG5:AG6"/>
    <mergeCell ref="AH5:AH6"/>
    <mergeCell ref="CF3:CI5"/>
    <mergeCell ref="AQ3:AQ6"/>
    <mergeCell ref="AS3:AS6"/>
    <mergeCell ref="AT3:AY4"/>
    <mergeCell ref="AZ3:AZ6"/>
    <mergeCell ref="BA3:BB4"/>
    <mergeCell ref="BC3:BC6"/>
    <mergeCell ref="Q4:Q6"/>
    <mergeCell ref="R4:R6"/>
    <mergeCell ref="S4:S6"/>
    <mergeCell ref="T4:T6"/>
    <mergeCell ref="U4:U6"/>
    <mergeCell ref="AC3:AC6"/>
    <mergeCell ref="AD3:AD6"/>
    <mergeCell ref="DA5:DB5"/>
    <mergeCell ref="CO39:CP39"/>
    <mergeCell ref="CQ39:CU39"/>
    <mergeCell ref="CV39:CY39"/>
    <mergeCell ref="AX5:AX6"/>
    <mergeCell ref="AY5:AY6"/>
    <mergeCell ref="AJ3:AK6"/>
    <mergeCell ref="AL3:AL6"/>
    <mergeCell ref="AM3:AM6"/>
    <mergeCell ref="AN3:AN6"/>
    <mergeCell ref="AO3:AO6"/>
    <mergeCell ref="AP3:AP6"/>
    <mergeCell ref="AT5:AT6"/>
    <mergeCell ref="AW5:AW6"/>
    <mergeCell ref="CO40:CU40"/>
    <mergeCell ref="L71:Q71"/>
    <mergeCell ref="N46:O46"/>
    <mergeCell ref="AZ46:BE47"/>
    <mergeCell ref="AZ48:BC49"/>
    <mergeCell ref="BD48:BD49"/>
    <mergeCell ref="AZ51:BC52"/>
    <mergeCell ref="BD51:BD52"/>
    <mergeCell ref="AT42:AV42"/>
  </mergeCells>
  <printOptions horizontalCentered="1" verticalCentered="1"/>
  <pageMargins left="0" right="0" top="0" bottom="0" header="0" footer="0"/>
  <pageSetup paperSize="9" scale="46" firstPageNumber="0" orientation="landscape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J77"/>
  <sheetViews>
    <sheetView showZeros="0" zoomScale="90" zoomScaleNormal="90" workbookViewId="0">
      <pane xSplit="1" ySplit="6" topLeftCell="CT10" activePane="bottomRight" state="frozen"/>
      <selection pane="topRight" activeCell="B1" sqref="B1"/>
      <selection pane="bottomLeft" activeCell="A7" sqref="A7"/>
      <selection pane="bottomRight" activeCell="CZ32" sqref="CZ32"/>
    </sheetView>
  </sheetViews>
  <sheetFormatPr defaultColWidth="8.7109375" defaultRowHeight="12.75"/>
  <cols>
    <col min="1" max="1" width="3.5703125" customWidth="1"/>
    <col min="2" max="2" width="9.7109375" customWidth="1"/>
    <col min="3" max="3" width="6" customWidth="1"/>
    <col min="4" max="4" width="12" style="1" hidden="1" customWidth="1"/>
    <col min="5" max="5" width="7.140625" customWidth="1"/>
    <col min="6" max="6" width="7.5703125" customWidth="1"/>
    <col min="7" max="7" width="8" customWidth="1"/>
    <col min="8" max="8" width="7.28515625" customWidth="1"/>
    <col min="9" max="9" width="7.42578125" hidden="1" customWidth="1"/>
    <col min="10" max="10" width="9.140625" customWidth="1"/>
    <col min="11" max="11" width="5.5703125" hidden="1" customWidth="1"/>
    <col min="12" max="12" width="8.42578125" customWidth="1"/>
    <col min="13" max="13" width="7.42578125" customWidth="1"/>
    <col min="14" max="14" width="8.42578125" customWidth="1"/>
    <col min="15" max="15" width="7.28515625" customWidth="1"/>
    <col min="16" max="16" width="9.85546875" hidden="1" customWidth="1"/>
    <col min="17" max="17" width="9.28515625" customWidth="1"/>
    <col min="18" max="18" width="6" customWidth="1"/>
    <col min="19" max="19" width="6.7109375" customWidth="1"/>
    <col min="20" max="20" width="9.140625" hidden="1" customWidth="1"/>
    <col min="21" max="21" width="7.140625" customWidth="1"/>
    <col min="22" max="22" width="7.85546875" customWidth="1"/>
    <col min="23" max="23" width="8.28515625" customWidth="1"/>
    <col min="24" max="24" width="6" customWidth="1"/>
    <col min="25" max="25" width="5.42578125" customWidth="1"/>
    <col min="26" max="26" width="6.85546875" customWidth="1"/>
    <col min="27" max="27" width="6.5703125" customWidth="1"/>
    <col min="28" max="28" width="7.5703125" customWidth="1"/>
    <col min="29" max="29" width="6.5703125" customWidth="1"/>
    <col min="30" max="30" width="4.28515625" customWidth="1"/>
    <col min="31" max="32" width="6.85546875" customWidth="1"/>
    <col min="33" max="33" width="0" hidden="1" customWidth="1"/>
    <col min="34" max="34" width="8.42578125" customWidth="1"/>
    <col min="35" max="35" width="7" customWidth="1"/>
    <col min="36" max="36" width="7.85546875" customWidth="1"/>
    <col min="37" max="37" width="0" hidden="1" customWidth="1"/>
    <col min="38" max="38" width="6.7109375" customWidth="1"/>
    <col min="39" max="39" width="7.7109375" customWidth="1"/>
    <col min="40" max="40" width="7" hidden="1" customWidth="1"/>
    <col min="41" max="41" width="9.42578125" customWidth="1"/>
    <col min="42" max="42" width="6.28515625" customWidth="1"/>
    <col min="43" max="43" width="6.85546875" customWidth="1"/>
    <col min="44" max="44" width="0" hidden="1" customWidth="1"/>
    <col min="45" max="45" width="6.7109375" customWidth="1"/>
    <col min="46" max="46" width="9.7109375" customWidth="1"/>
    <col min="47" max="47" width="7" customWidth="1"/>
    <col min="48" max="48" width="0" hidden="1" customWidth="1"/>
    <col min="49" max="49" width="6.140625" hidden="1" customWidth="1"/>
    <col min="50" max="50" width="5.140625" hidden="1" customWidth="1"/>
    <col min="51" max="51" width="8.42578125" customWidth="1"/>
    <col min="52" max="52" width="10" customWidth="1"/>
    <col min="53" max="53" width="8.7109375" hidden="1" customWidth="1"/>
    <col min="54" max="54" width="3.85546875" hidden="1" customWidth="1"/>
    <col min="55" max="55" width="6.5703125" customWidth="1"/>
    <col min="56" max="56" width="6.140625" customWidth="1"/>
    <col min="57" max="57" width="6.7109375" customWidth="1"/>
    <col min="58" max="58" width="8.85546875" customWidth="1"/>
    <col min="59" max="59" width="7.85546875" customWidth="1"/>
    <col min="60" max="60" width="9.85546875" customWidth="1"/>
    <col min="61" max="62" width="8.7109375" customWidth="1"/>
    <col min="63" max="63" width="10.28515625" customWidth="1"/>
    <col min="64" max="64" width="10.85546875" customWidth="1"/>
    <col min="65" max="65" width="10.7109375" customWidth="1"/>
    <col min="66" max="66" width="11.28515625" customWidth="1"/>
    <col min="67" max="68" width="8.85546875" customWidth="1"/>
    <col min="69" max="69" width="11.28515625" customWidth="1"/>
    <col min="70" max="70" width="7.7109375" customWidth="1"/>
    <col min="71" max="71" width="10" customWidth="1"/>
    <col min="72" max="72" width="8.85546875" customWidth="1"/>
    <col min="73" max="73" width="10.140625" customWidth="1"/>
    <col min="74" max="75" width="8.85546875" customWidth="1"/>
    <col min="76" max="76" width="10.85546875" customWidth="1"/>
    <col min="77" max="78" width="8.7109375" customWidth="1"/>
    <col min="79" max="79" width="10" customWidth="1"/>
    <col min="80" max="80" width="10.42578125" customWidth="1"/>
    <col min="81" max="82" width="8.42578125" customWidth="1"/>
    <col min="83" max="83" width="9.85546875" customWidth="1"/>
    <col min="84" max="85" width="11.42578125" customWidth="1"/>
    <col min="86" max="86" width="11.140625" customWidth="1"/>
    <col min="87" max="87" width="11.28515625" customWidth="1"/>
    <col min="88" max="89" width="10" customWidth="1"/>
    <col min="90" max="90" width="8.7109375" customWidth="1"/>
    <col min="91" max="91" width="11.85546875" customWidth="1"/>
    <col min="92" max="92" width="8.7109375" customWidth="1"/>
    <col min="93" max="93" width="12.140625" customWidth="1"/>
    <col min="94" max="94" width="12.5703125" customWidth="1"/>
    <col min="95" max="95" width="11.7109375" customWidth="1"/>
    <col min="96" max="98" width="12.28515625" customWidth="1"/>
    <col min="99" max="99" width="13.28515625" customWidth="1"/>
    <col min="100" max="100" width="12.85546875" customWidth="1"/>
    <col min="101" max="101" width="13.42578125" customWidth="1"/>
    <col min="102" max="103" width="12.5703125" customWidth="1"/>
    <col min="104" max="104" width="9.5703125" customWidth="1"/>
    <col min="105" max="105" width="19.140625" customWidth="1"/>
    <col min="106" max="106" width="19.42578125" customWidth="1"/>
    <col min="111" max="111" width="8.7109375" hidden="1" customWidth="1"/>
    <col min="112" max="112" width="9" bestFit="1" customWidth="1"/>
    <col min="114" max="114" width="9.5703125" bestFit="1" customWidth="1"/>
  </cols>
  <sheetData>
    <row r="1" spans="1:114" ht="17.25" customHeight="1">
      <c r="A1" s="310" t="s">
        <v>0</v>
      </c>
      <c r="B1" s="310"/>
      <c r="C1" s="310"/>
      <c r="D1" s="311"/>
      <c r="E1" s="310"/>
      <c r="F1" s="310"/>
      <c r="G1" s="310"/>
      <c r="H1" s="310"/>
      <c r="I1" s="310"/>
      <c r="J1" s="310"/>
      <c r="K1" s="310"/>
      <c r="L1" s="310"/>
      <c r="M1" s="310"/>
      <c r="N1" s="310"/>
      <c r="O1" s="310"/>
      <c r="P1" s="77"/>
      <c r="Q1" s="77"/>
      <c r="R1" s="77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</row>
    <row r="2" spans="1:114" ht="19.5" customHeight="1" thickBot="1">
      <c r="A2" s="22"/>
      <c r="B2" s="78"/>
      <c r="C2" s="78"/>
      <c r="D2" s="79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80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80"/>
      <c r="AT2" s="312" t="s">
        <v>1</v>
      </c>
      <c r="AU2" s="313">
        <v>31</v>
      </c>
      <c r="AV2" s="314"/>
      <c r="AW2" s="314"/>
      <c r="AX2" s="315" t="s">
        <v>81</v>
      </c>
      <c r="AY2" s="556" t="s">
        <v>326</v>
      </c>
      <c r="AZ2" s="556"/>
      <c r="BA2" s="556"/>
      <c r="BB2" s="556"/>
      <c r="BC2" s="556"/>
      <c r="BD2" s="316" t="s">
        <v>107</v>
      </c>
      <c r="BE2" s="317"/>
    </row>
    <row r="3" spans="1:114" ht="39.75" customHeight="1" thickBot="1">
      <c r="A3" s="557" t="s">
        <v>3</v>
      </c>
      <c r="B3" s="558" t="s">
        <v>71</v>
      </c>
      <c r="C3" s="558"/>
      <c r="D3" s="558"/>
      <c r="E3" s="558"/>
      <c r="F3" s="558"/>
      <c r="G3" s="558"/>
      <c r="H3" s="554" t="s">
        <v>4</v>
      </c>
      <c r="I3" s="554"/>
      <c r="J3" s="554"/>
      <c r="K3" s="554"/>
      <c r="L3" s="554"/>
      <c r="M3" s="554"/>
      <c r="N3" s="554"/>
      <c r="O3" s="554"/>
      <c r="P3" s="559"/>
      <c r="Q3" s="560" t="s">
        <v>5</v>
      </c>
      <c r="R3" s="561"/>
      <c r="S3" s="561"/>
      <c r="T3" s="561"/>
      <c r="U3" s="562"/>
      <c r="V3" s="563" t="s">
        <v>6</v>
      </c>
      <c r="W3" s="563" t="s">
        <v>7</v>
      </c>
      <c r="X3" s="564" t="s">
        <v>8</v>
      </c>
      <c r="Y3" s="564" t="s">
        <v>9</v>
      </c>
      <c r="Z3" s="564" t="s">
        <v>10</v>
      </c>
      <c r="AA3" s="564" t="s">
        <v>11</v>
      </c>
      <c r="AB3" s="564" t="s">
        <v>12</v>
      </c>
      <c r="AC3" s="564" t="s">
        <v>13</v>
      </c>
      <c r="AD3" s="564" t="s">
        <v>14</v>
      </c>
      <c r="AE3" s="554" t="s">
        <v>15</v>
      </c>
      <c r="AF3" s="554"/>
      <c r="AG3" s="554" t="s">
        <v>16</v>
      </c>
      <c r="AH3" s="554"/>
      <c r="AI3" s="554"/>
      <c r="AJ3" s="593" t="s">
        <v>17</v>
      </c>
      <c r="AK3" s="593"/>
      <c r="AL3" s="564" t="s">
        <v>18</v>
      </c>
      <c r="AM3" s="599" t="s">
        <v>19</v>
      </c>
      <c r="AN3" s="600" t="s">
        <v>95</v>
      </c>
      <c r="AO3" s="603" t="s">
        <v>20</v>
      </c>
      <c r="AP3" s="564" t="s">
        <v>105</v>
      </c>
      <c r="AQ3" s="564" t="s">
        <v>21</v>
      </c>
      <c r="AR3" s="81"/>
      <c r="AS3" s="593" t="s">
        <v>22</v>
      </c>
      <c r="AT3" s="554" t="s">
        <v>23</v>
      </c>
      <c r="AU3" s="554"/>
      <c r="AV3" s="554"/>
      <c r="AW3" s="554"/>
      <c r="AX3" s="554"/>
      <c r="AY3" s="554"/>
      <c r="AZ3" s="564" t="s">
        <v>24</v>
      </c>
      <c r="BA3" s="594" t="s">
        <v>25</v>
      </c>
      <c r="BB3" s="594"/>
      <c r="BC3" s="564" t="s">
        <v>26</v>
      </c>
      <c r="BD3" s="564" t="s">
        <v>27</v>
      </c>
      <c r="BE3" s="572" t="s">
        <v>28</v>
      </c>
      <c r="BF3" s="3"/>
      <c r="BG3" s="3"/>
      <c r="BH3" s="3"/>
      <c r="BI3" s="3"/>
      <c r="BJ3" s="3"/>
      <c r="BK3" s="573" t="s">
        <v>29</v>
      </c>
      <c r="BL3" s="574"/>
      <c r="BM3" s="574"/>
      <c r="BN3" s="574"/>
      <c r="BO3" s="575"/>
      <c r="BP3" s="575"/>
      <c r="BQ3" s="576"/>
      <c r="BR3" s="573" t="s">
        <v>30</v>
      </c>
      <c r="BS3" s="585"/>
      <c r="BT3" s="585"/>
      <c r="BU3" s="585"/>
      <c r="BV3" s="585"/>
      <c r="BW3" s="585"/>
      <c r="BX3" s="586"/>
      <c r="BY3" s="566" t="s">
        <v>31</v>
      </c>
      <c r="BZ3" s="566"/>
      <c r="CA3" s="566"/>
      <c r="CB3" s="566"/>
      <c r="CC3" s="566"/>
      <c r="CD3" s="566"/>
      <c r="CE3" s="566"/>
      <c r="CF3" s="566" t="s">
        <v>87</v>
      </c>
      <c r="CG3" s="566"/>
      <c r="CH3" s="566"/>
      <c r="CI3" s="566"/>
      <c r="CJ3" s="566" t="s">
        <v>32</v>
      </c>
      <c r="CK3" s="566"/>
      <c r="CL3" s="566"/>
      <c r="CM3" s="566"/>
      <c r="CN3" s="4"/>
      <c r="CO3" s="5"/>
      <c r="CP3" s="6"/>
      <c r="CQ3" s="6"/>
    </row>
    <row r="4" spans="1:114" s="7" customFormat="1" ht="30.75" customHeight="1" thickBot="1">
      <c r="A4" s="557"/>
      <c r="B4" s="565" t="s">
        <v>72</v>
      </c>
      <c r="C4" s="613" t="s">
        <v>73</v>
      </c>
      <c r="D4" s="615" t="s">
        <v>33</v>
      </c>
      <c r="E4" s="613" t="s">
        <v>74</v>
      </c>
      <c r="F4" s="569" t="s">
        <v>75</v>
      </c>
      <c r="G4" s="569" t="s">
        <v>34</v>
      </c>
      <c r="H4" s="555" t="s">
        <v>76</v>
      </c>
      <c r="I4" s="570" t="s">
        <v>101</v>
      </c>
      <c r="J4" s="555" t="s">
        <v>89</v>
      </c>
      <c r="K4" s="565" t="s">
        <v>35</v>
      </c>
      <c r="L4" s="565" t="s">
        <v>77</v>
      </c>
      <c r="M4" s="565" t="s">
        <v>78</v>
      </c>
      <c r="N4" s="565" t="s">
        <v>101</v>
      </c>
      <c r="O4" s="565" t="s">
        <v>96</v>
      </c>
      <c r="P4" s="555" t="s">
        <v>79</v>
      </c>
      <c r="Q4" s="555" t="s">
        <v>36</v>
      </c>
      <c r="R4" s="555" t="s">
        <v>32</v>
      </c>
      <c r="S4" s="555" t="s">
        <v>37</v>
      </c>
      <c r="T4" s="555" t="s">
        <v>38</v>
      </c>
      <c r="U4" s="555" t="s">
        <v>39</v>
      </c>
      <c r="V4" s="563"/>
      <c r="W4" s="563"/>
      <c r="X4" s="564"/>
      <c r="Y4" s="564"/>
      <c r="Z4" s="564"/>
      <c r="AA4" s="564"/>
      <c r="AB4" s="564"/>
      <c r="AC4" s="564"/>
      <c r="AD4" s="564"/>
      <c r="AE4" s="554"/>
      <c r="AF4" s="554"/>
      <c r="AG4" s="554"/>
      <c r="AH4" s="554"/>
      <c r="AI4" s="554"/>
      <c r="AJ4" s="593"/>
      <c r="AK4" s="593"/>
      <c r="AL4" s="564"/>
      <c r="AM4" s="599"/>
      <c r="AN4" s="601"/>
      <c r="AO4" s="603"/>
      <c r="AP4" s="564"/>
      <c r="AQ4" s="564"/>
      <c r="AR4" s="82"/>
      <c r="AS4" s="593"/>
      <c r="AT4" s="554"/>
      <c r="AU4" s="554"/>
      <c r="AV4" s="554"/>
      <c r="AW4" s="554"/>
      <c r="AX4" s="554"/>
      <c r="AY4" s="554"/>
      <c r="AZ4" s="564"/>
      <c r="BA4" s="594"/>
      <c r="BB4" s="594"/>
      <c r="BC4" s="564"/>
      <c r="BD4" s="564"/>
      <c r="BE4" s="572"/>
      <c r="BF4" s="3"/>
      <c r="BG4" s="3"/>
      <c r="BH4" s="3"/>
      <c r="BI4" s="3"/>
      <c r="BJ4" s="3"/>
      <c r="BK4" s="577"/>
      <c r="BL4" s="578"/>
      <c r="BM4" s="578"/>
      <c r="BN4" s="578"/>
      <c r="BO4" s="579"/>
      <c r="BP4" s="579"/>
      <c r="BQ4" s="580"/>
      <c r="BR4" s="577"/>
      <c r="BS4" s="566"/>
      <c r="BT4" s="566"/>
      <c r="BU4" s="566"/>
      <c r="BV4" s="566"/>
      <c r="BW4" s="566"/>
      <c r="BX4" s="587"/>
      <c r="BY4" s="566"/>
      <c r="BZ4" s="566"/>
      <c r="CA4" s="566"/>
      <c r="CB4" s="566"/>
      <c r="CC4" s="566"/>
      <c r="CD4" s="566"/>
      <c r="CE4" s="566"/>
      <c r="CF4" s="566"/>
      <c r="CG4" s="566"/>
      <c r="CH4" s="566"/>
      <c r="CI4" s="566"/>
      <c r="CJ4" s="566"/>
      <c r="CK4" s="566"/>
      <c r="CL4" s="566"/>
      <c r="CM4" s="566"/>
      <c r="CN4" s="4"/>
      <c r="CO4" s="6"/>
      <c r="CP4" s="6"/>
      <c r="CQ4" s="262"/>
      <c r="CR4" s="231"/>
      <c r="CS4" s="231"/>
      <c r="CT4" s="231"/>
      <c r="CU4" s="231"/>
      <c r="CV4" s="231"/>
      <c r="CW4" s="231"/>
      <c r="CX4" s="231"/>
      <c r="CY4" s="231"/>
      <c r="DD4" s="590" t="s">
        <v>90</v>
      </c>
      <c r="DE4" s="591"/>
      <c r="DF4" s="591"/>
      <c r="DG4" s="591"/>
      <c r="DH4" s="592"/>
    </row>
    <row r="5" spans="1:114" s="7" customFormat="1" ht="8.25" hidden="1" customHeight="1">
      <c r="A5" s="557"/>
      <c r="B5" s="565"/>
      <c r="C5" s="614"/>
      <c r="D5" s="616"/>
      <c r="E5" s="614"/>
      <c r="F5" s="569"/>
      <c r="G5" s="569"/>
      <c r="H5" s="555"/>
      <c r="I5" s="570"/>
      <c r="J5" s="565"/>
      <c r="K5" s="565"/>
      <c r="L5" s="565"/>
      <c r="M5" s="565"/>
      <c r="N5" s="565"/>
      <c r="O5" s="565"/>
      <c r="P5" s="555"/>
      <c r="Q5" s="555"/>
      <c r="R5" s="555"/>
      <c r="S5" s="555"/>
      <c r="T5" s="555"/>
      <c r="U5" s="555"/>
      <c r="V5" s="563"/>
      <c r="W5" s="563"/>
      <c r="X5" s="564"/>
      <c r="Y5" s="564"/>
      <c r="Z5" s="564"/>
      <c r="AA5" s="564"/>
      <c r="AB5" s="564"/>
      <c r="AC5" s="564"/>
      <c r="AD5" s="564"/>
      <c r="AE5" s="555" t="s">
        <v>40</v>
      </c>
      <c r="AF5" s="555" t="s">
        <v>41</v>
      </c>
      <c r="AG5" s="555" t="s">
        <v>42</v>
      </c>
      <c r="AH5" s="555" t="s">
        <v>40</v>
      </c>
      <c r="AI5" s="555" t="s">
        <v>41</v>
      </c>
      <c r="AJ5" s="593"/>
      <c r="AK5" s="593"/>
      <c r="AL5" s="564"/>
      <c r="AM5" s="599"/>
      <c r="AN5" s="601"/>
      <c r="AO5" s="603"/>
      <c r="AP5" s="564"/>
      <c r="AQ5" s="564"/>
      <c r="AR5" s="83"/>
      <c r="AS5" s="593"/>
      <c r="AT5" s="555" t="s">
        <v>43</v>
      </c>
      <c r="AU5" s="84"/>
      <c r="AV5" s="85"/>
      <c r="AW5" s="598" t="s">
        <v>44</v>
      </c>
      <c r="AX5" s="598" t="s">
        <v>45</v>
      </c>
      <c r="AY5" s="555" t="s">
        <v>46</v>
      </c>
      <c r="AZ5" s="564"/>
      <c r="BA5" s="86" t="s">
        <v>47</v>
      </c>
      <c r="BB5" s="86" t="s">
        <v>48</v>
      </c>
      <c r="BC5" s="564"/>
      <c r="BD5" s="564"/>
      <c r="BE5" s="572"/>
      <c r="BF5" s="3"/>
      <c r="BG5" s="3"/>
      <c r="BH5" s="3"/>
      <c r="BI5" s="3"/>
      <c r="BJ5" s="3"/>
      <c r="BK5" s="581"/>
      <c r="BL5" s="582"/>
      <c r="BM5" s="582"/>
      <c r="BN5" s="582"/>
      <c r="BO5" s="583"/>
      <c r="BP5" s="583"/>
      <c r="BQ5" s="584"/>
      <c r="BR5" s="581"/>
      <c r="BS5" s="588"/>
      <c r="BT5" s="588"/>
      <c r="BU5" s="588"/>
      <c r="BV5" s="588"/>
      <c r="BW5" s="588"/>
      <c r="BX5" s="589"/>
      <c r="BY5" s="567"/>
      <c r="BZ5" s="566"/>
      <c r="CA5" s="566"/>
      <c r="CB5" s="566"/>
      <c r="CC5" s="566"/>
      <c r="CD5" s="566"/>
      <c r="CE5" s="566"/>
      <c r="CF5" s="567"/>
      <c r="CG5" s="567"/>
      <c r="CH5" s="567"/>
      <c r="CI5" s="567"/>
      <c r="CJ5" s="567"/>
      <c r="CK5" s="567"/>
      <c r="CL5" s="567"/>
      <c r="CM5" s="567"/>
      <c r="CN5" s="4"/>
      <c r="CO5"/>
      <c r="CP5"/>
      <c r="CQ5" s="255"/>
      <c r="CR5" s="256"/>
      <c r="CS5" s="256"/>
      <c r="CT5" s="256"/>
      <c r="CU5" s="256"/>
      <c r="CV5" s="257"/>
      <c r="CW5" s="257"/>
      <c r="CX5" s="257"/>
      <c r="CY5" s="258"/>
      <c r="DA5" s="595" t="s">
        <v>49</v>
      </c>
      <c r="DB5" s="595"/>
    </row>
    <row r="6" spans="1:114" s="7" customFormat="1" ht="106.5" customHeight="1" thickBot="1">
      <c r="A6" s="557"/>
      <c r="B6" s="565"/>
      <c r="C6" s="565"/>
      <c r="D6" s="568"/>
      <c r="E6" s="565"/>
      <c r="F6" s="569"/>
      <c r="G6" s="569"/>
      <c r="H6" s="555"/>
      <c r="I6" s="570"/>
      <c r="J6" s="571"/>
      <c r="K6" s="565"/>
      <c r="L6" s="565"/>
      <c r="M6" s="565"/>
      <c r="N6" s="565"/>
      <c r="O6" s="565"/>
      <c r="P6" s="565"/>
      <c r="Q6" s="565"/>
      <c r="R6" s="565"/>
      <c r="S6" s="565"/>
      <c r="T6" s="555"/>
      <c r="U6" s="555"/>
      <c r="V6" s="563"/>
      <c r="W6" s="563"/>
      <c r="X6" s="564"/>
      <c r="Y6" s="564"/>
      <c r="Z6" s="564"/>
      <c r="AA6" s="564"/>
      <c r="AB6" s="564"/>
      <c r="AC6" s="564"/>
      <c r="AD6" s="564"/>
      <c r="AE6" s="555"/>
      <c r="AF6" s="555"/>
      <c r="AG6" s="555"/>
      <c r="AH6" s="555"/>
      <c r="AI6" s="555"/>
      <c r="AJ6" s="593"/>
      <c r="AK6" s="593"/>
      <c r="AL6" s="564"/>
      <c r="AM6" s="599"/>
      <c r="AN6" s="602"/>
      <c r="AO6" s="603"/>
      <c r="AP6" s="564"/>
      <c r="AQ6" s="564"/>
      <c r="AR6" s="492"/>
      <c r="AS6" s="593"/>
      <c r="AT6" s="555"/>
      <c r="AU6" s="491" t="s">
        <v>50</v>
      </c>
      <c r="AV6" s="491" t="s">
        <v>51</v>
      </c>
      <c r="AW6" s="598"/>
      <c r="AX6" s="598"/>
      <c r="AY6" s="555"/>
      <c r="AZ6" s="555"/>
      <c r="BA6" s="87"/>
      <c r="BB6" s="88">
        <v>0.04</v>
      </c>
      <c r="BC6" s="564"/>
      <c r="BD6" s="564"/>
      <c r="BE6" s="572"/>
      <c r="BF6" s="8" t="s">
        <v>52</v>
      </c>
      <c r="BG6" s="8" t="s">
        <v>53</v>
      </c>
      <c r="BH6" s="8" t="s">
        <v>54</v>
      </c>
      <c r="BI6" s="3"/>
      <c r="BJ6" s="3"/>
      <c r="BK6" s="308" t="s">
        <v>100</v>
      </c>
      <c r="BL6" s="280" t="s">
        <v>82</v>
      </c>
      <c r="BM6" s="279" t="s">
        <v>262</v>
      </c>
      <c r="BN6" s="307" t="s">
        <v>102</v>
      </c>
      <c r="BO6" s="308" t="s">
        <v>97</v>
      </c>
      <c r="BP6" s="326" t="s">
        <v>99</v>
      </c>
      <c r="BQ6" s="306" t="s">
        <v>86</v>
      </c>
      <c r="BR6" s="308" t="s">
        <v>100</v>
      </c>
      <c r="BS6" s="280" t="s">
        <v>82</v>
      </c>
      <c r="BT6" s="279" t="s">
        <v>262</v>
      </c>
      <c r="BU6" s="327"/>
      <c r="BV6" s="308" t="s">
        <v>97</v>
      </c>
      <c r="BW6" s="326" t="s">
        <v>99</v>
      </c>
      <c r="BX6" s="306"/>
      <c r="BY6" s="308" t="s">
        <v>100</v>
      </c>
      <c r="BZ6" s="280" t="s">
        <v>82</v>
      </c>
      <c r="CA6" s="279" t="s">
        <v>262</v>
      </c>
      <c r="CB6" s="307" t="s">
        <v>102</v>
      </c>
      <c r="CC6" s="308" t="s">
        <v>97</v>
      </c>
      <c r="CD6" s="326" t="s">
        <v>99</v>
      </c>
      <c r="CE6" s="306" t="s">
        <v>86</v>
      </c>
      <c r="CF6" s="267" t="s">
        <v>106</v>
      </c>
      <c r="CG6" s="268" t="s">
        <v>85</v>
      </c>
      <c r="CH6" s="244" t="s">
        <v>109</v>
      </c>
      <c r="CI6" s="245" t="s">
        <v>103</v>
      </c>
      <c r="CJ6" s="267" t="s">
        <v>106</v>
      </c>
      <c r="CK6" s="268" t="s">
        <v>85</v>
      </c>
      <c r="CL6" s="244" t="s">
        <v>109</v>
      </c>
      <c r="CM6" s="245" t="s">
        <v>103</v>
      </c>
      <c r="CN6" s="243"/>
      <c r="CO6" s="248" t="s">
        <v>100</v>
      </c>
      <c r="CP6" s="10" t="s">
        <v>82</v>
      </c>
      <c r="CQ6" s="264" t="s">
        <v>263</v>
      </c>
      <c r="CR6" s="23" t="s">
        <v>102</v>
      </c>
      <c r="CS6" s="248" t="s">
        <v>98</v>
      </c>
      <c r="CT6" s="248" t="s">
        <v>99</v>
      </c>
      <c r="CU6" s="9" t="s">
        <v>83</v>
      </c>
      <c r="CV6" s="259" t="s">
        <v>106</v>
      </c>
      <c r="CW6" s="248" t="s">
        <v>84</v>
      </c>
      <c r="CX6" s="232" t="s">
        <v>108</v>
      </c>
      <c r="CY6" s="263" t="s">
        <v>103</v>
      </c>
      <c r="CZ6" s="253"/>
      <c r="DA6" s="321" t="s">
        <v>80</v>
      </c>
      <c r="DB6" s="321" t="s">
        <v>55</v>
      </c>
      <c r="DD6" s="288" t="s">
        <v>91</v>
      </c>
      <c r="DE6" s="289" t="s">
        <v>92</v>
      </c>
      <c r="DF6" s="290" t="s">
        <v>93</v>
      </c>
      <c r="DG6" s="290"/>
      <c r="DH6" s="289" t="s">
        <v>94</v>
      </c>
    </row>
    <row r="7" spans="1:114" s="76" customFormat="1" ht="16.5" customHeight="1" thickBot="1">
      <c r="A7" s="121">
        <v>1</v>
      </c>
      <c r="B7" s="122">
        <f>'[1]июль 20'!K6</f>
        <v>219.99700000000001</v>
      </c>
      <c r="C7" s="123">
        <f>IF(B7=0,0,(BK7*BR7+BL7*BS7+BM7*BT7+BN7*BU7+BQ7*BX7+BO7*BV7+BP7*BW7)/B7)</f>
        <v>0.97164089512585616</v>
      </c>
      <c r="D7" s="124">
        <f>B7*((100-C7)/100)</f>
        <v>217.85941917994998</v>
      </c>
      <c r="E7" s="125">
        <f>IF(B7=0,0,(BK7*BY7+BL7*BZ7+BM7*CA7+BQ7*CE7+BN7*CB7+BO7*CC7+BP7*CD7)/B7)</f>
        <v>38.086876957413068</v>
      </c>
      <c r="F7" s="126">
        <f t="shared" ref="F7:F37" si="0">IF(AY7=0,0,D7/AY7)</f>
        <v>2.212444594089062</v>
      </c>
      <c r="G7" s="127"/>
      <c r="H7" s="126">
        <f>IF(AY7=0,0,(CP7+CO7+CS7+CQ7+CT7)/AY7)</f>
        <v>1.9889755397583015</v>
      </c>
      <c r="I7" s="230">
        <f>'[1]июль 20'!AI6</f>
        <v>0</v>
      </c>
      <c r="J7" s="246">
        <f>'[1]июль 20'!AA6</f>
        <v>8.7469999999999999</v>
      </c>
      <c r="K7" s="437">
        <f>'[1]сентябрь 20'!AM6</f>
        <v>0</v>
      </c>
      <c r="L7" s="438">
        <f>'[1]июль 20'!AE6</f>
        <v>22.004999999999999</v>
      </c>
      <c r="M7" s="399">
        <f>IF(AY7=0,0,(CR7+CU7)/AY7)</f>
        <v>0.22346908479689234</v>
      </c>
      <c r="N7" s="399">
        <f>'[1]июль 20'!W6</f>
        <v>0</v>
      </c>
      <c r="O7" s="402">
        <f>'[1]июль 20'!AU6</f>
        <v>0</v>
      </c>
      <c r="P7" s="125">
        <f t="shared" ref="P7:P37" si="1">CF7+CH7+CI7+CG7</f>
        <v>133.10400200000001</v>
      </c>
      <c r="Q7" s="122">
        <f>'[1]июль 20'!S6</f>
        <v>133.10400000000001</v>
      </c>
      <c r="R7" s="123">
        <f>IF(Q7=0,0,(CI7*CM7+CG7*CK7+CH7*CL7+CF7*CJ7)/Q7)</f>
        <v>1.5000000000000149</v>
      </c>
      <c r="S7" s="129">
        <v>8.5399999999999991</v>
      </c>
      <c r="T7" s="125">
        <f t="shared" ref="T7:T37" si="2">Q7*((100-R7)/100)</f>
        <v>131.10744</v>
      </c>
      <c r="U7" s="128">
        <f t="shared" ref="U7:U37" si="3">IF(AY7=0,0,T7/AY7)</f>
        <v>1.331445516400934</v>
      </c>
      <c r="V7" s="130">
        <v>98.47</v>
      </c>
      <c r="W7" s="130">
        <v>98.47</v>
      </c>
      <c r="X7" s="129">
        <v>0.56000000000000005</v>
      </c>
      <c r="Y7" s="131">
        <v>550</v>
      </c>
      <c r="Z7" s="131">
        <v>1154</v>
      </c>
      <c r="AA7" s="132" t="s">
        <v>329</v>
      </c>
      <c r="AB7" s="129">
        <v>76.069999999999993</v>
      </c>
      <c r="AC7" s="131">
        <v>88</v>
      </c>
      <c r="AD7" s="133">
        <v>4</v>
      </c>
      <c r="AE7" s="129"/>
      <c r="AF7" s="134">
        <f t="shared" ref="AF7:AF37" si="4">IF(AY7=0,0,AE7/AY7*1000)</f>
        <v>0</v>
      </c>
      <c r="AG7" s="135"/>
      <c r="AH7" s="129">
        <v>61.05</v>
      </c>
      <c r="AI7" s="134">
        <f t="shared" ref="AI7:AI37" si="5">IF(AY7=0,0,AH7/AY7*1000)</f>
        <v>619.98578247181865</v>
      </c>
      <c r="AJ7" s="136">
        <v>12.54</v>
      </c>
      <c r="AK7" s="127"/>
      <c r="AL7" s="137">
        <v>6.32</v>
      </c>
      <c r="AM7" s="478">
        <v>26.52</v>
      </c>
      <c r="AN7" s="126">
        <f>IF(AM7=0,0,AM7/AT7)</f>
        <v>0.2071875</v>
      </c>
      <c r="AO7" s="139" t="s">
        <v>304</v>
      </c>
      <c r="AP7" s="138">
        <v>8.4</v>
      </c>
      <c r="AQ7" s="138">
        <v>7.77</v>
      </c>
      <c r="AR7" s="129"/>
      <c r="AS7" s="129">
        <v>8.0500000000000007</v>
      </c>
      <c r="AT7" s="129">
        <v>128</v>
      </c>
      <c r="AU7" s="129">
        <v>3.31</v>
      </c>
      <c r="AV7" s="129"/>
      <c r="AW7" s="129"/>
      <c r="AX7" s="140">
        <f t="shared" ref="AX7:AX37" si="6">IF(AY7=0,0,AW7/AY7*100)</f>
        <v>0</v>
      </c>
      <c r="AY7" s="125">
        <f t="shared" ref="AY7:AY37" si="7">AT7-AL7-AM7+AV7+AW7+AU7</f>
        <v>98.470000000000013</v>
      </c>
      <c r="AZ7" s="125">
        <f>IF(AB7=0,0,((D7*0.97)*(E7/100)*0.9)/(AB7/100))+DH7</f>
        <v>97.108693133239939</v>
      </c>
      <c r="BA7" s="141">
        <f t="shared" ref="BA7:BA37" si="8">(AH7*AS7)/100*(55/71)</f>
        <v>3.8070264084507044</v>
      </c>
      <c r="BB7" s="142">
        <f t="shared" ref="BB7:BB37" si="9">AY7*$BB$6</f>
        <v>3.9388000000000005</v>
      </c>
      <c r="BC7" s="122">
        <f t="shared" ref="BC7:BC37" si="10">IF((D7*E7)=0,0,(AY7*AB7)/(D7*E7))</f>
        <v>0.90274616014267972</v>
      </c>
      <c r="BD7" s="142">
        <f>BA7+BB7</f>
        <v>7.7458264084507054</v>
      </c>
      <c r="BE7" s="143">
        <v>0.90300000000000002</v>
      </c>
      <c r="BF7" s="25">
        <f>AY7</f>
        <v>98.470000000000013</v>
      </c>
      <c r="BG7" s="25">
        <f t="shared" ref="BG7:BG38" si="11">IF(A7&lt;=$BE$43,$AT$43,0)</f>
        <v>108.06451612903226</v>
      </c>
      <c r="BH7" s="25">
        <f>BG7</f>
        <v>108.06451612903226</v>
      </c>
      <c r="BI7" s="26">
        <f t="shared" ref="BI7:BI37" si="12">IF(AY7&lt;&gt;0,1,0)</f>
        <v>1</v>
      </c>
      <c r="BJ7" s="27">
        <f>BG7*BI7</f>
        <v>108.06451612903226</v>
      </c>
      <c r="BK7" s="28">
        <v>136.31899999999999</v>
      </c>
      <c r="BL7" s="28">
        <v>9.9999999999999995E-7</v>
      </c>
      <c r="BM7" s="28">
        <v>48.4</v>
      </c>
      <c r="BN7" s="28">
        <v>9.9999999999999995E-7</v>
      </c>
      <c r="BO7" s="28">
        <v>9.9999999999999995E-7</v>
      </c>
      <c r="BP7" s="28">
        <v>13.273</v>
      </c>
      <c r="BQ7" s="28">
        <v>22.004999999999999</v>
      </c>
      <c r="BR7" s="28">
        <v>0.81</v>
      </c>
      <c r="BS7" s="28">
        <v>9.9999999999999995E-7</v>
      </c>
      <c r="BT7" s="28">
        <v>1.37</v>
      </c>
      <c r="BU7" s="28">
        <v>9.9999999999999995E-7</v>
      </c>
      <c r="BV7" s="28">
        <v>9.9999999999999995E-7</v>
      </c>
      <c r="BW7" s="28">
        <v>2.79</v>
      </c>
      <c r="BX7" s="28">
        <v>9.9999999999999995E-7</v>
      </c>
      <c r="BY7" s="28">
        <v>37.04</v>
      </c>
      <c r="BZ7" s="28">
        <v>9.9999999999999995E-7</v>
      </c>
      <c r="CA7" s="28">
        <v>39.74</v>
      </c>
      <c r="CB7" s="28">
        <v>9.9999999999999995E-7</v>
      </c>
      <c r="CC7" s="28">
        <v>9.9999999999999995E-7</v>
      </c>
      <c r="CD7" s="28">
        <v>33.770000000000003</v>
      </c>
      <c r="CE7" s="28">
        <v>43.54</v>
      </c>
      <c r="CF7" s="28">
        <v>89.138000000000005</v>
      </c>
      <c r="CG7" s="28">
        <v>43.966000000000001</v>
      </c>
      <c r="CH7" s="28">
        <v>9.9999999999999995E-7</v>
      </c>
      <c r="CI7" s="28">
        <v>9.9999999999999995E-7</v>
      </c>
      <c r="CJ7" s="28">
        <v>1.5</v>
      </c>
      <c r="CK7" s="28">
        <v>1.5</v>
      </c>
      <c r="CL7" s="28">
        <v>9.9999999999999995E-7</v>
      </c>
      <c r="CM7" s="28">
        <v>9.9999999999999995E-7</v>
      </c>
      <c r="CN7" s="286"/>
      <c r="CO7" s="252">
        <f t="shared" ref="CO7:CU22" si="13">BK7*((100-BR7)/100)</f>
        <v>135.21481609999998</v>
      </c>
      <c r="CP7" s="11">
        <f t="shared" si="13"/>
        <v>9.9999998999999992E-7</v>
      </c>
      <c r="CQ7" s="11">
        <f t="shared" si="13"/>
        <v>47.736919999999998</v>
      </c>
      <c r="CR7" s="11">
        <f t="shared" si="13"/>
        <v>9.9999998999999992E-7</v>
      </c>
      <c r="CS7" s="11">
        <f t="shared" si="13"/>
        <v>9.9999998999999992E-7</v>
      </c>
      <c r="CT7" s="11">
        <f t="shared" si="13"/>
        <v>12.9026833</v>
      </c>
      <c r="CU7" s="271">
        <f t="shared" si="13"/>
        <v>22.004999779950001</v>
      </c>
      <c r="CV7" s="260">
        <f t="shared" ref="CV7:CY37" si="14">CF7*((100-CJ7)/100)</f>
        <v>87.800930000000008</v>
      </c>
      <c r="CW7" s="250">
        <f t="shared" si="14"/>
        <v>43.306510000000003</v>
      </c>
      <c r="CX7" s="260">
        <f t="shared" si="14"/>
        <v>9.9999998999999992E-7</v>
      </c>
      <c r="CY7" s="271">
        <f t="shared" si="14"/>
        <v>9.9999998999999992E-7</v>
      </c>
      <c r="CZ7" s="13"/>
      <c r="DA7" s="240">
        <f>(D7+'[2]июль 20'!D7)/(AY7+'[2]июль 20'!BA7)</f>
        <v>2.2941863807181018</v>
      </c>
      <c r="DB7" s="241">
        <f>(T7+'[2]июль 20'!R7)/(AY7+'[2]июль 20'!BA7)</f>
        <v>1.4261088775558908</v>
      </c>
      <c r="DD7" s="292">
        <f t="shared" ref="DD7:DD37" si="15">J7</f>
        <v>8.7469999999999999</v>
      </c>
      <c r="DE7" s="291">
        <v>0.25</v>
      </c>
      <c r="DF7" s="291">
        <v>16.420000000000002</v>
      </c>
      <c r="DG7" s="145">
        <f t="shared" ref="DG7:DG37" si="16">DD7*((100-DE7)/100)</f>
        <v>8.7251325000000008</v>
      </c>
      <c r="DH7" s="293">
        <f>IF(AB7=0,0,(DG7*DF7%)/(AB7/100))</f>
        <v>1.8833531701064814</v>
      </c>
      <c r="DJ7" s="322"/>
    </row>
    <row r="8" spans="1:114" s="76" customFormat="1" ht="16.5" customHeight="1" thickBot="1">
      <c r="A8" s="144">
        <v>2</v>
      </c>
      <c r="B8" s="122">
        <f>'[1]июль 20'!K7</f>
        <v>217.72300000000001</v>
      </c>
      <c r="C8" s="123">
        <f t="shared" ref="C8:C37" si="17">IF(B8=0,0,(BK8*BR8+BL8*BS8+BM8*BT8+BN8*BU8+BQ8*BX8+BO8*BV8+BP8*BW8)/B8)</f>
        <v>0.52162881275749451</v>
      </c>
      <c r="D8" s="145">
        <f t="shared" ref="D8:D37" si="18">B8*((100-C8)/100)</f>
        <v>216.58729410000001</v>
      </c>
      <c r="E8" s="125">
        <f t="shared" ref="E8:E37" si="19">IF(B8=0,0,(BK8*BY8+BL8*BZ8+BM8*CA8+BQ8*CE8+BN8*CB8+BO8*CC8+BP8*CD8)/B8)</f>
        <v>38.053021407935773</v>
      </c>
      <c r="F8" s="146">
        <f t="shared" si="0"/>
        <v>2.3092791779507409</v>
      </c>
      <c r="G8" s="127"/>
      <c r="H8" s="126">
        <f t="shared" ref="H8:H37" si="20">IF(AY8=0,0,(CP8+CO8+CS8+CQ8+CT8)/AY8)</f>
        <v>2.0771009073461988</v>
      </c>
      <c r="I8" s="230">
        <f>'[1]июль 20'!AI7</f>
        <v>0</v>
      </c>
      <c r="J8" s="247">
        <f>'[1]июль 20'!AA7</f>
        <v>8.6479999999999997</v>
      </c>
      <c r="K8" s="464">
        <f>'[1]сентябрь 20'!AM7</f>
        <v>0</v>
      </c>
      <c r="L8" s="247">
        <f>'[1]июль 20'!AE7</f>
        <v>21.776</v>
      </c>
      <c r="M8" s="468">
        <f t="shared" ref="M8:M37" si="21">IF(AY8=0,0,(CR8+CU8)/AY8)</f>
        <v>0.23217827060454205</v>
      </c>
      <c r="N8" s="403">
        <f>'[1]июль 20'!W7</f>
        <v>0</v>
      </c>
      <c r="O8" s="403">
        <f>'[1]июль 20'!AU7</f>
        <v>0</v>
      </c>
      <c r="P8" s="401">
        <f t="shared" si="1"/>
        <v>130.73400000000001</v>
      </c>
      <c r="Q8" s="122">
        <f>'[1]июль 20'!S7</f>
        <v>130.73400000000001</v>
      </c>
      <c r="R8" s="123">
        <f t="shared" ref="R8:R24" si="22">IF(Q8=0,0,(CI8*CM8+CG8*CK8+CH8*CL8+CF8*CJ8)/Q8)</f>
        <v>1.47</v>
      </c>
      <c r="S8" s="129">
        <v>23.81</v>
      </c>
      <c r="T8" s="125">
        <f t="shared" si="2"/>
        <v>128.81221020000001</v>
      </c>
      <c r="U8" s="147">
        <f t="shared" si="3"/>
        <v>1.3734109201407401</v>
      </c>
      <c r="V8" s="130">
        <v>48.51</v>
      </c>
      <c r="W8" s="130">
        <v>48.51</v>
      </c>
      <c r="X8" s="129">
        <v>0.85</v>
      </c>
      <c r="Y8" s="131">
        <v>563</v>
      </c>
      <c r="Z8" s="131">
        <v>1159</v>
      </c>
      <c r="AA8" s="148" t="s">
        <v>330</v>
      </c>
      <c r="AB8" s="149">
        <v>74.989999999999995</v>
      </c>
      <c r="AC8" s="150">
        <v>87</v>
      </c>
      <c r="AD8" s="151">
        <v>4</v>
      </c>
      <c r="AE8" s="149"/>
      <c r="AF8" s="134">
        <f t="shared" si="4"/>
        <v>0</v>
      </c>
      <c r="AG8" s="152"/>
      <c r="AH8" s="129">
        <v>59.45</v>
      </c>
      <c r="AI8" s="134">
        <f t="shared" si="5"/>
        <v>633.86288516899458</v>
      </c>
      <c r="AJ8" s="153">
        <v>15.18</v>
      </c>
      <c r="AK8" s="154"/>
      <c r="AL8" s="155">
        <v>5.16</v>
      </c>
      <c r="AM8" s="478">
        <v>29.8</v>
      </c>
      <c r="AN8" s="126">
        <f t="shared" ref="AN8:AN37" si="23">IF(AM8=0,0,AM8/AT8)</f>
        <v>0.23446105428796224</v>
      </c>
      <c r="AO8" s="157" t="s">
        <v>331</v>
      </c>
      <c r="AP8" s="156">
        <v>8.92</v>
      </c>
      <c r="AQ8" s="156">
        <v>8.16</v>
      </c>
      <c r="AR8" s="149"/>
      <c r="AS8" s="149">
        <v>7.27</v>
      </c>
      <c r="AT8" s="149">
        <v>127.1</v>
      </c>
      <c r="AU8" s="149">
        <v>1.65</v>
      </c>
      <c r="AV8" s="149"/>
      <c r="AW8" s="149"/>
      <c r="AX8" s="158">
        <f t="shared" si="6"/>
        <v>0</v>
      </c>
      <c r="AY8" s="125">
        <f t="shared" si="7"/>
        <v>93.79</v>
      </c>
      <c r="AZ8" s="125">
        <f t="shared" ref="AZ8:AZ37" si="24">IF(AB8=0,0,((D8*0.97)*(E8/100)*0.9)/(AB8/100))+DH8</f>
        <v>97.52866917802055</v>
      </c>
      <c r="BA8" s="159">
        <f t="shared" si="8"/>
        <v>3.3480397887323945</v>
      </c>
      <c r="BB8" s="160">
        <f t="shared" si="9"/>
        <v>3.7516000000000003</v>
      </c>
      <c r="BC8" s="161">
        <f t="shared" si="10"/>
        <v>0.85337078048745829</v>
      </c>
      <c r="BD8" s="160">
        <f t="shared" ref="BD8:BD37" si="25">BA8+BB8</f>
        <v>7.0996397887323948</v>
      </c>
      <c r="BE8" s="162">
        <v>0.878</v>
      </c>
      <c r="BF8" s="25">
        <f t="shared" ref="BF8:BF37" si="26">BF7+AY8</f>
        <v>192.26000000000002</v>
      </c>
      <c r="BG8" s="25">
        <f t="shared" si="11"/>
        <v>108.06451612903226</v>
      </c>
      <c r="BH8" s="25">
        <f t="shared" ref="BH8:BH37" si="27">BG8+BH7</f>
        <v>216.12903225806451</v>
      </c>
      <c r="BI8" s="26">
        <f t="shared" si="12"/>
        <v>1</v>
      </c>
      <c r="BJ8" s="27">
        <f t="shared" ref="BJ8:BJ37" si="28">BG8*BI8+BJ7</f>
        <v>216.12903225806451</v>
      </c>
      <c r="BK8" s="30">
        <v>134.928</v>
      </c>
      <c r="BL8" s="31"/>
      <c r="BM8" s="31">
        <v>47.84</v>
      </c>
      <c r="BN8" s="31"/>
      <c r="BO8" s="40"/>
      <c r="BP8" s="40">
        <v>13.179</v>
      </c>
      <c r="BQ8" s="32">
        <v>21.776</v>
      </c>
      <c r="BR8" s="33">
        <v>0.51</v>
      </c>
      <c r="BS8" s="34"/>
      <c r="BT8" s="35">
        <v>0.47</v>
      </c>
      <c r="BU8" s="28"/>
      <c r="BV8" s="287"/>
      <c r="BW8" s="28">
        <v>1.69</v>
      </c>
      <c r="BX8" s="36"/>
      <c r="BY8" s="33">
        <v>37.51</v>
      </c>
      <c r="BZ8" s="34"/>
      <c r="CA8" s="35">
        <v>37.979999999999997</v>
      </c>
      <c r="CB8" s="35"/>
      <c r="CC8" s="235"/>
      <c r="CD8" s="235">
        <v>34.58</v>
      </c>
      <c r="CE8" s="36">
        <v>43.68</v>
      </c>
      <c r="CF8" s="30">
        <v>87.227000000000004</v>
      </c>
      <c r="CG8" s="30">
        <v>43.506999999999998</v>
      </c>
      <c r="CH8" s="31"/>
      <c r="CI8" s="32"/>
      <c r="CJ8" s="33">
        <v>1.47</v>
      </c>
      <c r="CK8" s="33">
        <v>1.47</v>
      </c>
      <c r="CL8" s="35"/>
      <c r="CM8" s="28"/>
      <c r="CN8" s="286"/>
      <c r="CO8" s="249">
        <f t="shared" si="13"/>
        <v>134.23986719999999</v>
      </c>
      <c r="CP8" s="12">
        <f t="shared" si="13"/>
        <v>0</v>
      </c>
      <c r="CQ8" s="12">
        <f t="shared" si="13"/>
        <v>47.615152000000002</v>
      </c>
      <c r="CR8" s="12">
        <f t="shared" si="13"/>
        <v>0</v>
      </c>
      <c r="CS8" s="11">
        <f t="shared" si="13"/>
        <v>0</v>
      </c>
      <c r="CT8" s="11">
        <f t="shared" si="13"/>
        <v>12.9562749</v>
      </c>
      <c r="CU8" s="272">
        <f t="shared" si="13"/>
        <v>21.776</v>
      </c>
      <c r="CV8" s="249">
        <f t="shared" si="14"/>
        <v>85.944763100000003</v>
      </c>
      <c r="CW8" s="12">
        <f t="shared" si="14"/>
        <v>42.8674471</v>
      </c>
      <c r="CX8" s="254">
        <f t="shared" si="14"/>
        <v>0</v>
      </c>
      <c r="CY8" s="272">
        <f t="shared" si="14"/>
        <v>0</v>
      </c>
      <c r="CZ8" s="13"/>
      <c r="DA8" s="240">
        <f>(D8+'[2]июль 20'!D8)/(AY8+'[2]июль 20'!BA8)</f>
        <v>2.2578623586365936</v>
      </c>
      <c r="DB8" s="241">
        <f>(T8+'[2]июль 20'!R8)/(AY8+'[2]июль 20'!BA8)</f>
        <v>1.3908745980224919</v>
      </c>
      <c r="DD8" s="292">
        <f t="shared" si="15"/>
        <v>8.6479999999999997</v>
      </c>
      <c r="DE8" s="291">
        <v>0.13</v>
      </c>
      <c r="DF8" s="291">
        <v>13.73</v>
      </c>
      <c r="DG8" s="145">
        <f t="shared" si="16"/>
        <v>8.6367575999999993</v>
      </c>
      <c r="DH8" s="293">
        <f t="shared" ref="DH8:DH37" si="29">IF(AB8=0,0,(DG8*DF8%)/(AB8/100))</f>
        <v>1.5813132664088547</v>
      </c>
      <c r="DJ8" s="322"/>
    </row>
    <row r="9" spans="1:114" s="76" customFormat="1" ht="16.5" customHeight="1" thickBot="1">
      <c r="A9" s="144">
        <v>3</v>
      </c>
      <c r="B9" s="122">
        <f>'[1]июль 20'!K8</f>
        <v>217.70599999999999</v>
      </c>
      <c r="C9" s="123">
        <f t="shared" si="17"/>
        <v>0.43761021744922052</v>
      </c>
      <c r="D9" s="145">
        <f>B9*((100-C9)/100)</f>
        <v>216.75329630000002</v>
      </c>
      <c r="E9" s="125">
        <f t="shared" si="19"/>
        <v>37.892721606202862</v>
      </c>
      <c r="F9" s="146">
        <f t="shared" si="0"/>
        <v>2.1384500424230466</v>
      </c>
      <c r="G9" s="127"/>
      <c r="H9" s="126">
        <f t="shared" si="20"/>
        <v>1.9200700108524069</v>
      </c>
      <c r="I9" s="230">
        <f>'[1]июль 20'!AI8</f>
        <v>0</v>
      </c>
      <c r="J9" s="247">
        <f>'[1]июль 20'!AA8</f>
        <v>8.1340000000000003</v>
      </c>
      <c r="K9" s="465">
        <f>'[1]сентябрь 20'!AM8</f>
        <v>0</v>
      </c>
      <c r="L9" s="247">
        <f>'[1]июль 20'!AE8</f>
        <v>22.135000000000002</v>
      </c>
      <c r="M9" s="469">
        <f t="shared" si="21"/>
        <v>0.21838003157063932</v>
      </c>
      <c r="N9" s="403">
        <f>'[1]июль 20'!W8</f>
        <v>0</v>
      </c>
      <c r="O9" s="403">
        <f>'[1]июль 20'!AU8</f>
        <v>0</v>
      </c>
      <c r="P9" s="401">
        <f t="shared" si="1"/>
        <v>130.684</v>
      </c>
      <c r="Q9" s="122">
        <f>'[1]июль 20'!S8</f>
        <v>130.684</v>
      </c>
      <c r="R9" s="123">
        <f t="shared" si="22"/>
        <v>1.4900000000000002</v>
      </c>
      <c r="S9" s="129">
        <v>2.4700000000000002</v>
      </c>
      <c r="T9" s="125">
        <f t="shared" si="2"/>
        <v>128.7368084</v>
      </c>
      <c r="U9" s="147">
        <f>IF(AY9=0,0,T9/AY9)</f>
        <v>1.2700947947908445</v>
      </c>
      <c r="V9" s="130">
        <v>101.36</v>
      </c>
      <c r="W9" s="130">
        <v>101.36</v>
      </c>
      <c r="X9" s="129">
        <v>0.64</v>
      </c>
      <c r="Y9" s="131">
        <v>530</v>
      </c>
      <c r="Z9" s="131">
        <v>1151</v>
      </c>
      <c r="AA9" s="148" t="s">
        <v>310</v>
      </c>
      <c r="AB9" s="149">
        <v>76.05</v>
      </c>
      <c r="AC9" s="150">
        <v>87</v>
      </c>
      <c r="AD9" s="151">
        <v>4</v>
      </c>
      <c r="AE9" s="149"/>
      <c r="AF9" s="134">
        <f t="shared" si="4"/>
        <v>0</v>
      </c>
      <c r="AG9" s="152"/>
      <c r="AH9" s="129">
        <v>72.55</v>
      </c>
      <c r="AI9" s="134">
        <f t="shared" si="5"/>
        <v>715.76558800315706</v>
      </c>
      <c r="AJ9" s="153">
        <v>13.5</v>
      </c>
      <c r="AK9" s="154"/>
      <c r="AL9" s="155">
        <v>8.7100000000000009</v>
      </c>
      <c r="AM9" s="478">
        <v>24.13</v>
      </c>
      <c r="AN9" s="126">
        <f t="shared" si="23"/>
        <v>0.18211320754716981</v>
      </c>
      <c r="AO9" s="157" t="s">
        <v>332</v>
      </c>
      <c r="AP9" s="156">
        <v>8.18</v>
      </c>
      <c r="AQ9" s="156">
        <v>8.4700000000000006</v>
      </c>
      <c r="AR9" s="149"/>
      <c r="AS9" s="149">
        <v>8.0500000000000007</v>
      </c>
      <c r="AT9" s="149">
        <v>132.5</v>
      </c>
      <c r="AU9" s="149">
        <v>1.7</v>
      </c>
      <c r="AV9" s="149"/>
      <c r="AW9" s="149"/>
      <c r="AX9" s="158">
        <f t="shared" si="6"/>
        <v>0</v>
      </c>
      <c r="AY9" s="125">
        <f t="shared" si="7"/>
        <v>101.36</v>
      </c>
      <c r="AZ9" s="125">
        <f t="shared" si="24"/>
        <v>95.940744193037702</v>
      </c>
      <c r="BA9" s="159">
        <f t="shared" si="8"/>
        <v>4.5241566901408445</v>
      </c>
      <c r="BB9" s="160">
        <f t="shared" si="9"/>
        <v>4.0544000000000002</v>
      </c>
      <c r="BC9" s="161">
        <f t="shared" si="10"/>
        <v>0.93852168212723563</v>
      </c>
      <c r="BD9" s="160">
        <f t="shared" si="25"/>
        <v>8.5785566901408448</v>
      </c>
      <c r="BE9" s="162">
        <v>0.89800000000000002</v>
      </c>
      <c r="BF9" s="25">
        <f t="shared" si="26"/>
        <v>293.62</v>
      </c>
      <c r="BG9" s="25">
        <f t="shared" si="11"/>
        <v>108.06451612903226</v>
      </c>
      <c r="BH9" s="25">
        <f t="shared" si="27"/>
        <v>324.19354838709677</v>
      </c>
      <c r="BI9" s="26">
        <f t="shared" si="12"/>
        <v>1</v>
      </c>
      <c r="BJ9" s="37">
        <f t="shared" si="28"/>
        <v>324.19354838709677</v>
      </c>
      <c r="BK9" s="38">
        <v>134.77799999999999</v>
      </c>
      <c r="BL9" s="31"/>
      <c r="BM9" s="31">
        <v>47.908000000000001</v>
      </c>
      <c r="BN9" s="31"/>
      <c r="BO9" s="40"/>
      <c r="BP9" s="40">
        <v>12.885</v>
      </c>
      <c r="BQ9" s="32">
        <v>22.135000000000002</v>
      </c>
      <c r="BR9" s="33">
        <v>0.51</v>
      </c>
      <c r="BS9" s="34"/>
      <c r="BT9" s="35">
        <v>0.18</v>
      </c>
      <c r="BU9" s="28"/>
      <c r="BV9" s="287"/>
      <c r="BW9" s="287">
        <v>1.39</v>
      </c>
      <c r="BX9" s="36"/>
      <c r="BY9" s="33">
        <v>37.47</v>
      </c>
      <c r="BZ9" s="34"/>
      <c r="CA9" s="35">
        <v>38.28</v>
      </c>
      <c r="CB9" s="35"/>
      <c r="CC9" s="235"/>
      <c r="CD9" s="235">
        <v>31.07</v>
      </c>
      <c r="CE9" s="36">
        <v>43.6</v>
      </c>
      <c r="CF9" s="30">
        <v>87.159000000000006</v>
      </c>
      <c r="CG9" s="30">
        <v>43.524999999999999</v>
      </c>
      <c r="CH9" s="31"/>
      <c r="CI9" s="32"/>
      <c r="CJ9" s="33">
        <v>1.49</v>
      </c>
      <c r="CK9" s="33">
        <v>1.49</v>
      </c>
      <c r="CL9" s="35"/>
      <c r="CM9" s="36"/>
      <c r="CN9" s="286"/>
      <c r="CO9" s="249">
        <f t="shared" si="13"/>
        <v>134.09063219999999</v>
      </c>
      <c r="CP9" s="12">
        <f t="shared" si="13"/>
        <v>0</v>
      </c>
      <c r="CQ9" s="12">
        <f t="shared" si="13"/>
        <v>47.821765599999999</v>
      </c>
      <c r="CR9" s="12">
        <f t="shared" si="13"/>
        <v>0</v>
      </c>
      <c r="CS9" s="11">
        <f t="shared" si="13"/>
        <v>0</v>
      </c>
      <c r="CT9" s="11">
        <f t="shared" si="13"/>
        <v>12.7058985</v>
      </c>
      <c r="CU9" s="272">
        <f t="shared" si="13"/>
        <v>22.135000000000002</v>
      </c>
      <c r="CV9" s="249">
        <f t="shared" si="14"/>
        <v>85.860330900000008</v>
      </c>
      <c r="CW9" s="251">
        <f t="shared" si="14"/>
        <v>42.8764775</v>
      </c>
      <c r="CX9" s="249">
        <f t="shared" si="14"/>
        <v>0</v>
      </c>
      <c r="CY9" s="272">
        <f t="shared" si="14"/>
        <v>0</v>
      </c>
      <c r="CZ9" s="13"/>
      <c r="DA9" s="240">
        <f>(D9+'[2]июль 20'!D9)/(AY9+'[2]июль 20'!BA9)</f>
        <v>2.1769445550599138</v>
      </c>
      <c r="DB9" s="241">
        <f>(T9+'[2]июль 20'!R9)/(AY9+'[2]июль 20'!BA9)</f>
        <v>1.3606018067726615</v>
      </c>
      <c r="DD9" s="292">
        <f t="shared" si="15"/>
        <v>8.1340000000000003</v>
      </c>
      <c r="DE9" s="291">
        <v>0.11</v>
      </c>
      <c r="DF9" s="291">
        <v>15.51</v>
      </c>
      <c r="DG9" s="145">
        <f t="shared" si="16"/>
        <v>8.1250526000000001</v>
      </c>
      <c r="DH9" s="293">
        <f t="shared" si="29"/>
        <v>1.6570620095463513</v>
      </c>
      <c r="DJ9" s="322"/>
    </row>
    <row r="10" spans="1:114" s="76" customFormat="1" ht="16.5" customHeight="1" thickBot="1">
      <c r="A10" s="144">
        <v>4</v>
      </c>
      <c r="B10" s="122">
        <f>'[1]июль 20'!K9</f>
        <v>227.625</v>
      </c>
      <c r="C10" s="123">
        <f t="shared" si="17"/>
        <v>0.28554091158704009</v>
      </c>
      <c r="D10" s="145">
        <f t="shared" si="18"/>
        <v>226.97503750000001</v>
      </c>
      <c r="E10" s="125">
        <f>IF(B10=0,0,(BK10*BY10+BL10*BZ10+BM10*CA10+BQ10*CE10+BN10*CB10+BO10*CC10+BP10*CD10)/B10)</f>
        <v>38.003250785282816</v>
      </c>
      <c r="F10" s="146">
        <f t="shared" si="0"/>
        <v>2.361371592800666</v>
      </c>
      <c r="G10" s="127"/>
      <c r="H10" s="126">
        <f t="shared" si="20"/>
        <v>2.1243553630878069</v>
      </c>
      <c r="I10" s="230">
        <f>'[1]июль 20'!AI9</f>
        <v>0</v>
      </c>
      <c r="J10" s="247">
        <f>'[1]июль 20'!AA9</f>
        <v>8.9819999999999993</v>
      </c>
      <c r="K10" s="466">
        <f>'[1]сентябрь 20'!AM9</f>
        <v>0</v>
      </c>
      <c r="L10" s="247">
        <f>'[1]июль 20'!AE9</f>
        <v>22.782</v>
      </c>
      <c r="M10" s="470">
        <f t="shared" si="21"/>
        <v>0.23701622971285891</v>
      </c>
      <c r="N10" s="403">
        <f>'[1]июль 20'!W9</f>
        <v>0</v>
      </c>
      <c r="O10" s="403">
        <f>'[1]июль 20'!AU9</f>
        <v>0</v>
      </c>
      <c r="P10" s="401">
        <f t="shared" si="1"/>
        <v>137.465</v>
      </c>
      <c r="Q10" s="122">
        <f>'[1]июль 20'!S9</f>
        <v>137.465</v>
      </c>
      <c r="R10" s="123">
        <f t="shared" si="22"/>
        <v>1.47</v>
      </c>
      <c r="S10" s="129">
        <v>18.04</v>
      </c>
      <c r="T10" s="125">
        <f t="shared" si="2"/>
        <v>135.4442645</v>
      </c>
      <c r="U10" s="147">
        <f t="shared" si="3"/>
        <v>1.4091163597586349</v>
      </c>
      <c r="V10" s="130">
        <v>96.12</v>
      </c>
      <c r="W10" s="130">
        <v>96.12</v>
      </c>
      <c r="X10" s="129">
        <v>0.63</v>
      </c>
      <c r="Y10" s="131">
        <v>552</v>
      </c>
      <c r="Z10" s="131">
        <v>1157</v>
      </c>
      <c r="AA10" s="148" t="s">
        <v>333</v>
      </c>
      <c r="AB10" s="149">
        <v>76.59</v>
      </c>
      <c r="AC10" s="150">
        <v>91</v>
      </c>
      <c r="AD10" s="151">
        <v>4</v>
      </c>
      <c r="AE10" s="149"/>
      <c r="AF10" s="134">
        <f t="shared" si="4"/>
        <v>0</v>
      </c>
      <c r="AG10" s="152"/>
      <c r="AH10" s="129">
        <v>67.25</v>
      </c>
      <c r="AI10" s="134">
        <f t="shared" si="5"/>
        <v>699.64627548897204</v>
      </c>
      <c r="AJ10" s="153">
        <v>13.73</v>
      </c>
      <c r="AK10" s="154"/>
      <c r="AL10" s="155">
        <v>3.07</v>
      </c>
      <c r="AM10" s="478">
        <v>26.08</v>
      </c>
      <c r="AN10" s="126">
        <f t="shared" si="23"/>
        <v>0.21125961927906034</v>
      </c>
      <c r="AO10" s="157" t="s">
        <v>164</v>
      </c>
      <c r="AP10" s="156">
        <v>8.2799999999999994</v>
      </c>
      <c r="AQ10" s="156">
        <v>7.79</v>
      </c>
      <c r="AR10" s="149"/>
      <c r="AS10" s="149">
        <v>7.76</v>
      </c>
      <c r="AT10" s="149">
        <v>123.45</v>
      </c>
      <c r="AU10" s="149">
        <v>1.82</v>
      </c>
      <c r="AV10" s="149"/>
      <c r="AW10" s="149"/>
      <c r="AX10" s="158">
        <f t="shared" si="6"/>
        <v>0</v>
      </c>
      <c r="AY10" s="125">
        <f>AT10-AL10-AM10+AV10+AW10+AU10</f>
        <v>96.12</v>
      </c>
      <c r="AZ10" s="125">
        <f t="shared" si="24"/>
        <v>99.894706098567895</v>
      </c>
      <c r="BA10" s="159">
        <f t="shared" si="8"/>
        <v>4.0425774647887325</v>
      </c>
      <c r="BB10" s="160">
        <f t="shared" si="9"/>
        <v>3.8448000000000002</v>
      </c>
      <c r="BC10" s="161">
        <f t="shared" si="10"/>
        <v>0.85346749935127142</v>
      </c>
      <c r="BD10" s="160">
        <f t="shared" si="25"/>
        <v>7.8873774647887327</v>
      </c>
      <c r="BE10" s="162">
        <v>0.88700000000000001</v>
      </c>
      <c r="BF10" s="25">
        <f t="shared" si="26"/>
        <v>389.74</v>
      </c>
      <c r="BG10" s="25">
        <f t="shared" si="11"/>
        <v>108.06451612903226</v>
      </c>
      <c r="BH10" s="25">
        <f t="shared" si="27"/>
        <v>432.25806451612902</v>
      </c>
      <c r="BI10" s="26">
        <f t="shared" si="12"/>
        <v>1</v>
      </c>
      <c r="BJ10" s="37">
        <f t="shared" si="28"/>
        <v>432.25806451612902</v>
      </c>
      <c r="BK10" s="38">
        <v>140.99</v>
      </c>
      <c r="BL10" s="31"/>
      <c r="BM10" s="31">
        <v>50.064</v>
      </c>
      <c r="BN10" s="31"/>
      <c r="BO10" s="40"/>
      <c r="BP10" s="40">
        <v>13.789</v>
      </c>
      <c r="BQ10" s="32">
        <v>22.782</v>
      </c>
      <c r="BR10" s="33">
        <v>0.19</v>
      </c>
      <c r="BS10" s="34"/>
      <c r="BT10" s="35">
        <v>0.16</v>
      </c>
      <c r="BU10" s="28"/>
      <c r="BV10" s="287"/>
      <c r="BW10" s="287">
        <v>2.19</v>
      </c>
      <c r="BX10" s="36"/>
      <c r="BY10" s="33">
        <v>37.39</v>
      </c>
      <c r="BZ10" s="34"/>
      <c r="CA10" s="35">
        <v>38.270000000000003</v>
      </c>
      <c r="CB10" s="35"/>
      <c r="CC10" s="235"/>
      <c r="CD10" s="235">
        <v>33.86</v>
      </c>
      <c r="CE10" s="36">
        <v>43.72</v>
      </c>
      <c r="CF10" s="30">
        <v>91.965000000000003</v>
      </c>
      <c r="CG10" s="30">
        <v>45.5</v>
      </c>
      <c r="CH10" s="31"/>
      <c r="CI10" s="32"/>
      <c r="CJ10" s="33">
        <v>1.47</v>
      </c>
      <c r="CK10" s="33">
        <v>1.47</v>
      </c>
      <c r="CL10" s="35"/>
      <c r="CM10" s="36"/>
      <c r="CN10" s="286"/>
      <c r="CO10" s="249">
        <f t="shared" si="13"/>
        <v>140.72211900000002</v>
      </c>
      <c r="CP10" s="12">
        <f t="shared" si="13"/>
        <v>0</v>
      </c>
      <c r="CQ10" s="12">
        <f t="shared" si="13"/>
        <v>49.983897600000006</v>
      </c>
      <c r="CR10" s="14">
        <f t="shared" si="13"/>
        <v>0</v>
      </c>
      <c r="CS10" s="11">
        <f t="shared" si="13"/>
        <v>0</v>
      </c>
      <c r="CT10" s="11">
        <f t="shared" si="13"/>
        <v>13.487020899999999</v>
      </c>
      <c r="CU10" s="272">
        <f t="shared" si="13"/>
        <v>22.782</v>
      </c>
      <c r="CV10" s="249">
        <f t="shared" si="14"/>
        <v>90.613114500000009</v>
      </c>
      <c r="CW10" s="12">
        <f t="shared" si="14"/>
        <v>44.831150000000001</v>
      </c>
      <c r="CX10" s="249">
        <f t="shared" si="14"/>
        <v>0</v>
      </c>
      <c r="CY10" s="272">
        <f t="shared" si="14"/>
        <v>0</v>
      </c>
      <c r="CZ10" s="13"/>
      <c r="DA10" s="240">
        <f>(D10+'[2]июль 20'!D10)/(AY10+'[2]июль 20'!BA10)</f>
        <v>2.2414009363838754</v>
      </c>
      <c r="DB10" s="241">
        <f>(T10+'[2]июль 20'!R10)/(AY10+'[2]июль 20'!BA10)</f>
        <v>1.3813244829709626</v>
      </c>
      <c r="DD10" s="292">
        <f t="shared" si="15"/>
        <v>8.9819999999999993</v>
      </c>
      <c r="DE10" s="291">
        <v>0.08</v>
      </c>
      <c r="DF10" s="291">
        <v>13.44</v>
      </c>
      <c r="DG10" s="145">
        <f t="shared" si="16"/>
        <v>8.9748143999999996</v>
      </c>
      <c r="DH10" s="293">
        <f t="shared" si="29"/>
        <v>1.5748988841363101</v>
      </c>
      <c r="DJ10" s="322"/>
    </row>
    <row r="11" spans="1:114" s="76" customFormat="1" ht="16.5" customHeight="1" thickBot="1">
      <c r="A11" s="144">
        <v>5</v>
      </c>
      <c r="B11" s="122">
        <f>'[1]июль 20'!K10</f>
        <v>200.10499999999999</v>
      </c>
      <c r="C11" s="123">
        <f t="shared" si="17"/>
        <v>0.57839244396691736</v>
      </c>
      <c r="D11" s="145">
        <f t="shared" si="18"/>
        <v>198.94760779999999</v>
      </c>
      <c r="E11" s="125">
        <f t="shared" si="19"/>
        <v>38.128170510482001</v>
      </c>
      <c r="F11" s="146">
        <f t="shared" si="0"/>
        <v>2.2348641631094135</v>
      </c>
      <c r="G11" s="127"/>
      <c r="H11" s="126">
        <f t="shared" si="20"/>
        <v>2.0005909660750398</v>
      </c>
      <c r="I11" s="230">
        <f>'[1]июль 20'!AI10</f>
        <v>0</v>
      </c>
      <c r="J11" s="247">
        <f>'[1]июль 20'!AA10</f>
        <v>8.0210000000000008</v>
      </c>
      <c r="K11" s="464">
        <f>'[1]сентябрь 20'!AM10</f>
        <v>0</v>
      </c>
      <c r="L11" s="247">
        <f>'[1]июль 20'!AE10</f>
        <v>20.855</v>
      </c>
      <c r="M11" s="468">
        <f t="shared" si="21"/>
        <v>0.23427319703437433</v>
      </c>
      <c r="N11" s="403">
        <f>'[1]июль 20'!W10</f>
        <v>0</v>
      </c>
      <c r="O11" s="403">
        <f>'[1]июль 20'!AU10</f>
        <v>0</v>
      </c>
      <c r="P11" s="401">
        <f t="shared" si="1"/>
        <v>123.333</v>
      </c>
      <c r="Q11" s="122">
        <f>'[1]июль 20'!S10</f>
        <v>123.333</v>
      </c>
      <c r="R11" s="123">
        <f t="shared" si="22"/>
        <v>1.54</v>
      </c>
      <c r="S11" s="129"/>
      <c r="T11" s="125">
        <f t="shared" si="2"/>
        <v>121.43367179999998</v>
      </c>
      <c r="U11" s="147">
        <f t="shared" si="3"/>
        <v>1.3641167355650414</v>
      </c>
      <c r="V11" s="130">
        <v>89.02</v>
      </c>
      <c r="W11" s="130">
        <v>89.02</v>
      </c>
      <c r="X11" s="129">
        <v>0.39</v>
      </c>
      <c r="Y11" s="131">
        <v>520</v>
      </c>
      <c r="Z11" s="131">
        <v>1148</v>
      </c>
      <c r="AA11" s="148" t="s">
        <v>329</v>
      </c>
      <c r="AB11" s="149">
        <v>76.89</v>
      </c>
      <c r="AC11" s="150">
        <v>80</v>
      </c>
      <c r="AD11" s="151">
        <v>4</v>
      </c>
      <c r="AE11" s="149"/>
      <c r="AF11" s="134">
        <f t="shared" si="4"/>
        <v>0</v>
      </c>
      <c r="AG11" s="152"/>
      <c r="AH11" s="129">
        <v>71.900000000000006</v>
      </c>
      <c r="AI11" s="134">
        <f t="shared" si="5"/>
        <v>807.6836665917773</v>
      </c>
      <c r="AJ11" s="163">
        <v>12.46</v>
      </c>
      <c r="AK11" s="154"/>
      <c r="AL11" s="155">
        <v>3.44</v>
      </c>
      <c r="AM11" s="478">
        <v>24.96</v>
      </c>
      <c r="AN11" s="126">
        <f t="shared" si="23"/>
        <v>0.21379014989293363</v>
      </c>
      <c r="AO11" s="157" t="s">
        <v>334</v>
      </c>
      <c r="AP11" s="156">
        <v>7.74</v>
      </c>
      <c r="AQ11" s="156">
        <v>8.19</v>
      </c>
      <c r="AR11" s="149"/>
      <c r="AS11" s="149">
        <v>9.5</v>
      </c>
      <c r="AT11" s="149">
        <v>116.75</v>
      </c>
      <c r="AU11" s="149">
        <v>0.67</v>
      </c>
      <c r="AV11" s="149"/>
      <c r="AW11" s="149"/>
      <c r="AX11" s="158">
        <f t="shared" si="6"/>
        <v>0</v>
      </c>
      <c r="AY11" s="125">
        <f t="shared" si="7"/>
        <v>89.02</v>
      </c>
      <c r="AZ11" s="125">
        <f t="shared" si="24"/>
        <v>87.584184535034893</v>
      </c>
      <c r="BA11" s="159">
        <f t="shared" si="8"/>
        <v>5.2912323943661974</v>
      </c>
      <c r="BB11" s="160">
        <f t="shared" si="9"/>
        <v>3.5608</v>
      </c>
      <c r="BC11" s="161">
        <f t="shared" si="10"/>
        <v>0.90234530339964847</v>
      </c>
      <c r="BD11" s="160">
        <f t="shared" si="25"/>
        <v>8.8520323943661978</v>
      </c>
      <c r="BE11" s="162">
        <v>0.89</v>
      </c>
      <c r="BF11" s="25">
        <f t="shared" si="26"/>
        <v>478.76</v>
      </c>
      <c r="BG11" s="25">
        <f t="shared" si="11"/>
        <v>108.06451612903226</v>
      </c>
      <c r="BH11" s="25">
        <f t="shared" si="27"/>
        <v>540.32258064516122</v>
      </c>
      <c r="BI11" s="26">
        <f t="shared" si="12"/>
        <v>1</v>
      </c>
      <c r="BJ11" s="37">
        <f t="shared" si="28"/>
        <v>540.32258064516122</v>
      </c>
      <c r="BK11" s="38">
        <v>123.17700000000001</v>
      </c>
      <c r="BL11" s="31"/>
      <c r="BM11" s="31">
        <v>44.018000000000001</v>
      </c>
      <c r="BN11" s="31"/>
      <c r="BO11" s="40"/>
      <c r="BP11" s="40">
        <v>12.055</v>
      </c>
      <c r="BQ11" s="32">
        <v>20.855</v>
      </c>
      <c r="BR11" s="33">
        <v>0.61</v>
      </c>
      <c r="BS11" s="34"/>
      <c r="BT11" s="35">
        <v>0.35</v>
      </c>
      <c r="BU11" s="28"/>
      <c r="BV11" s="287"/>
      <c r="BW11" s="287">
        <v>2.09</v>
      </c>
      <c r="BX11" s="36"/>
      <c r="BY11" s="33">
        <v>37.520000000000003</v>
      </c>
      <c r="BZ11" s="34"/>
      <c r="CA11" s="35">
        <v>38.64</v>
      </c>
      <c r="CB11" s="35"/>
      <c r="CC11" s="235"/>
      <c r="CD11" s="235">
        <v>32.99</v>
      </c>
      <c r="CE11" s="36">
        <v>43.61</v>
      </c>
      <c r="CF11" s="30">
        <v>83.331999999999994</v>
      </c>
      <c r="CG11" s="30">
        <v>40.000999999999998</v>
      </c>
      <c r="CH11" s="31"/>
      <c r="CI11" s="32"/>
      <c r="CJ11" s="33">
        <v>1.54</v>
      </c>
      <c r="CK11" s="33">
        <v>1.54</v>
      </c>
      <c r="CL11" s="35"/>
      <c r="CM11" s="36"/>
      <c r="CN11" s="286"/>
      <c r="CO11" s="249">
        <f t="shared" si="13"/>
        <v>122.42562030000001</v>
      </c>
      <c r="CP11" s="12">
        <f t="shared" si="13"/>
        <v>0</v>
      </c>
      <c r="CQ11" s="15">
        <f t="shared" si="13"/>
        <v>43.863937</v>
      </c>
      <c r="CR11" s="16">
        <f t="shared" si="13"/>
        <v>0</v>
      </c>
      <c r="CS11" s="11">
        <f t="shared" si="13"/>
        <v>0</v>
      </c>
      <c r="CT11" s="11">
        <f t="shared" si="13"/>
        <v>11.803050499999999</v>
      </c>
      <c r="CU11" s="272">
        <f t="shared" si="13"/>
        <v>20.855</v>
      </c>
      <c r="CV11" s="249">
        <f t="shared" si="14"/>
        <v>82.048687199999989</v>
      </c>
      <c r="CW11" s="12">
        <f t="shared" si="14"/>
        <v>39.384984599999996</v>
      </c>
      <c r="CX11" s="249">
        <f t="shared" si="14"/>
        <v>0</v>
      </c>
      <c r="CY11" s="272">
        <f t="shared" si="14"/>
        <v>0</v>
      </c>
      <c r="CZ11" s="13"/>
      <c r="DA11" s="240">
        <f>(D11+'[2]июль 20'!D11)/(AY11+'[2]июль 20'!BA11)</f>
        <v>2.2845396008544494</v>
      </c>
      <c r="DB11" s="241">
        <f>(T11+'[2]июль 20'!R11)/(AY11+'[2]июль 20'!BA11)</f>
        <v>1.436295691728313</v>
      </c>
      <c r="DD11" s="292">
        <f t="shared" si="15"/>
        <v>8.0210000000000008</v>
      </c>
      <c r="DE11" s="291">
        <v>0.44</v>
      </c>
      <c r="DF11" s="407">
        <v>14.05</v>
      </c>
      <c r="DG11" s="145">
        <f t="shared" si="16"/>
        <v>7.9857076000000013</v>
      </c>
      <c r="DH11" s="293">
        <f t="shared" si="29"/>
        <v>1.4592169564312658</v>
      </c>
      <c r="DJ11" s="322"/>
    </row>
    <row r="12" spans="1:114" s="76" customFormat="1" ht="16.5" customHeight="1" thickBot="1">
      <c r="A12" s="144">
        <v>6</v>
      </c>
      <c r="B12" s="122">
        <f>'[1]июль 20'!K11</f>
        <v>217.577</v>
      </c>
      <c r="C12" s="123">
        <f t="shared" si="17"/>
        <v>0.34290550012179599</v>
      </c>
      <c r="D12" s="145">
        <f t="shared" si="18"/>
        <v>216.83091649999997</v>
      </c>
      <c r="E12" s="125">
        <f t="shared" si="19"/>
        <v>37.778507241114646</v>
      </c>
      <c r="F12" s="146">
        <f t="shared" si="0"/>
        <v>2.6855451634877379</v>
      </c>
      <c r="G12" s="127"/>
      <c r="H12" s="126">
        <f t="shared" si="20"/>
        <v>2.3613316385930143</v>
      </c>
      <c r="I12" s="230">
        <f>'[1]июль 20'!AI11</f>
        <v>0</v>
      </c>
      <c r="J12" s="247">
        <f>'[1]июль 20'!AA11</f>
        <v>8.968</v>
      </c>
      <c r="K12" s="465">
        <f>'[1]сентябрь 20'!AM11</f>
        <v>0</v>
      </c>
      <c r="L12" s="247">
        <f>'[1]июль 20'!AE11</f>
        <v>26.177</v>
      </c>
      <c r="M12" s="469">
        <f t="shared" si="21"/>
        <v>0.32421352489472377</v>
      </c>
      <c r="N12" s="403">
        <f>'[1]июль 20'!W11</f>
        <v>0</v>
      </c>
      <c r="O12" s="403">
        <f>'[1]июль 20'!AU11</f>
        <v>0</v>
      </c>
      <c r="P12" s="401">
        <f t="shared" si="1"/>
        <v>135.46800000000002</v>
      </c>
      <c r="Q12" s="122">
        <f>'[1]июль 20'!S11</f>
        <v>135.46799999999999</v>
      </c>
      <c r="R12" s="123">
        <f t="shared" si="22"/>
        <v>1.6300000000000001</v>
      </c>
      <c r="S12" s="129">
        <v>11.03</v>
      </c>
      <c r="T12" s="125">
        <f t="shared" si="2"/>
        <v>133.2598716</v>
      </c>
      <c r="U12" s="147">
        <f t="shared" si="3"/>
        <v>1.6504814416646023</v>
      </c>
      <c r="V12" s="130">
        <v>80.739999999999995</v>
      </c>
      <c r="W12" s="130">
        <v>58.26</v>
      </c>
      <c r="X12" s="129">
        <v>0.56999999999999995</v>
      </c>
      <c r="Y12" s="131">
        <v>545</v>
      </c>
      <c r="Z12" s="150">
        <v>1140</v>
      </c>
      <c r="AA12" s="148" t="s">
        <v>335</v>
      </c>
      <c r="AB12" s="149">
        <v>75.930000000000007</v>
      </c>
      <c r="AC12" s="150">
        <v>87</v>
      </c>
      <c r="AD12" s="151">
        <v>4</v>
      </c>
      <c r="AE12" s="149"/>
      <c r="AF12" s="134">
        <f t="shared" si="4"/>
        <v>0</v>
      </c>
      <c r="AG12" s="152"/>
      <c r="AH12" s="129">
        <v>58.8</v>
      </c>
      <c r="AI12" s="134">
        <f t="shared" si="5"/>
        <v>728.26356205102786</v>
      </c>
      <c r="AJ12" s="153">
        <v>14.29</v>
      </c>
      <c r="AK12" s="154"/>
      <c r="AL12" s="155">
        <v>3.83</v>
      </c>
      <c r="AM12" s="478">
        <v>25</v>
      </c>
      <c r="AN12" s="126">
        <f t="shared" si="23"/>
        <v>0.23009664058904739</v>
      </c>
      <c r="AO12" s="157" t="s">
        <v>325</v>
      </c>
      <c r="AP12" s="156">
        <v>8.1</v>
      </c>
      <c r="AQ12" s="156">
        <v>7.5</v>
      </c>
      <c r="AR12" s="149"/>
      <c r="AS12" s="149">
        <v>9.6300000000000008</v>
      </c>
      <c r="AT12" s="149">
        <v>108.65</v>
      </c>
      <c r="AU12" s="149">
        <v>0.92</v>
      </c>
      <c r="AV12" s="164"/>
      <c r="AW12" s="164"/>
      <c r="AX12" s="158">
        <f t="shared" si="6"/>
        <v>0</v>
      </c>
      <c r="AY12" s="125">
        <f t="shared" si="7"/>
        <v>80.740000000000009</v>
      </c>
      <c r="AZ12" s="125">
        <f t="shared" si="24"/>
        <v>95.483212379691693</v>
      </c>
      <c r="BA12" s="159">
        <f t="shared" si="8"/>
        <v>4.3863971830985911</v>
      </c>
      <c r="BB12" s="160">
        <f t="shared" si="9"/>
        <v>3.2296000000000005</v>
      </c>
      <c r="BC12" s="161">
        <f t="shared" si="10"/>
        <v>0.74840407927018737</v>
      </c>
      <c r="BD12" s="160">
        <f t="shared" si="25"/>
        <v>7.6159971830985915</v>
      </c>
      <c r="BE12" s="162">
        <v>0.86599999999999999</v>
      </c>
      <c r="BF12" s="25">
        <f t="shared" si="26"/>
        <v>559.5</v>
      </c>
      <c r="BG12" s="25">
        <f t="shared" si="11"/>
        <v>108.06451612903226</v>
      </c>
      <c r="BH12" s="25">
        <f t="shared" si="27"/>
        <v>648.38709677419342</v>
      </c>
      <c r="BI12" s="26">
        <f t="shared" si="12"/>
        <v>1</v>
      </c>
      <c r="BJ12" s="37">
        <f t="shared" si="28"/>
        <v>648.38709677419342</v>
      </c>
      <c r="BK12" s="38">
        <v>130.56899999999999</v>
      </c>
      <c r="BL12" s="31"/>
      <c r="BM12" s="31">
        <v>47.877000000000002</v>
      </c>
      <c r="BN12" s="31"/>
      <c r="BO12" s="40"/>
      <c r="BP12" s="40">
        <v>12.954000000000001</v>
      </c>
      <c r="BQ12" s="32">
        <v>26.177</v>
      </c>
      <c r="BR12" s="33">
        <v>0.31</v>
      </c>
      <c r="BS12" s="34"/>
      <c r="BT12" s="33">
        <v>0.28000000000000003</v>
      </c>
      <c r="BU12" s="28"/>
      <c r="BV12" s="287"/>
      <c r="BW12" s="287">
        <v>1.6</v>
      </c>
      <c r="BX12" s="36"/>
      <c r="BY12" s="33">
        <v>37.21</v>
      </c>
      <c r="BZ12" s="34"/>
      <c r="CA12" s="33">
        <v>38.200000000000003</v>
      </c>
      <c r="CB12" s="35"/>
      <c r="CC12" s="235"/>
      <c r="CD12" s="235">
        <v>29.5</v>
      </c>
      <c r="CE12" s="36">
        <v>43.94</v>
      </c>
      <c r="CF12" s="30">
        <v>91.971000000000004</v>
      </c>
      <c r="CG12" s="30">
        <v>43.497</v>
      </c>
      <c r="CH12" s="31"/>
      <c r="CI12" s="32"/>
      <c r="CJ12" s="33">
        <v>1.63</v>
      </c>
      <c r="CK12" s="33">
        <v>1.63</v>
      </c>
      <c r="CL12" s="35"/>
      <c r="CM12" s="36"/>
      <c r="CN12" s="286"/>
      <c r="CO12" s="249">
        <f t="shared" si="13"/>
        <v>130.16423609999998</v>
      </c>
      <c r="CP12" s="12">
        <f t="shared" si="13"/>
        <v>0</v>
      </c>
      <c r="CQ12" s="12">
        <f t="shared" si="13"/>
        <v>47.742944399999999</v>
      </c>
      <c r="CR12" s="12">
        <f t="shared" si="13"/>
        <v>0</v>
      </c>
      <c r="CS12" s="11">
        <f t="shared" si="13"/>
        <v>0</v>
      </c>
      <c r="CT12" s="11">
        <f t="shared" si="13"/>
        <v>12.746736000000002</v>
      </c>
      <c r="CU12" s="272">
        <f t="shared" si="13"/>
        <v>26.177</v>
      </c>
      <c r="CV12" s="249">
        <f t="shared" si="14"/>
        <v>90.471872700000006</v>
      </c>
      <c r="CW12" s="12">
        <f t="shared" si="14"/>
        <v>42.787998899999998</v>
      </c>
      <c r="CX12" s="252">
        <f t="shared" si="14"/>
        <v>0</v>
      </c>
      <c r="CY12" s="272">
        <f t="shared" si="14"/>
        <v>0</v>
      </c>
      <c r="CZ12" s="13"/>
      <c r="DA12" s="240">
        <f>(D12+'[2]июль 20'!D12)/(AY12+'[2]июль 20'!BA12)</f>
        <v>2.458721197026966</v>
      </c>
      <c r="DB12" s="241">
        <f>(T12+'[2]июль 20'!R12)/(AY12+'[2]июль 20'!BA12)</f>
        <v>1.567897766708664</v>
      </c>
      <c r="DD12" s="292">
        <f t="shared" si="15"/>
        <v>8.968</v>
      </c>
      <c r="DE12" s="291">
        <v>0.19</v>
      </c>
      <c r="DF12" s="291">
        <v>11.04</v>
      </c>
      <c r="DG12" s="145">
        <f t="shared" si="16"/>
        <v>8.9509608000000007</v>
      </c>
      <c r="DH12" s="293">
        <f t="shared" si="29"/>
        <v>1.3014435299881471</v>
      </c>
      <c r="DJ12" s="322"/>
    </row>
    <row r="13" spans="1:114" s="76" customFormat="1" ht="16.5" customHeight="1" thickBot="1">
      <c r="A13" s="144">
        <v>7</v>
      </c>
      <c r="B13" s="122">
        <f>'[1]июль 20'!K12</f>
        <v>227.46199999999999</v>
      </c>
      <c r="C13" s="123">
        <f t="shared" si="17"/>
        <v>0.43197092261564568</v>
      </c>
      <c r="D13" s="145">
        <f t="shared" si="18"/>
        <v>226.47943029999999</v>
      </c>
      <c r="E13" s="125">
        <f t="shared" si="19"/>
        <v>37.715918527050675</v>
      </c>
      <c r="F13" s="146">
        <f t="shared" si="0"/>
        <v>2.2050377791841105</v>
      </c>
      <c r="G13" s="127"/>
      <c r="H13" s="126">
        <f t="shared" si="20"/>
        <v>1.9392895560315446</v>
      </c>
      <c r="I13" s="230">
        <f>'[1]июль 20'!AI12</f>
        <v>0</v>
      </c>
      <c r="J13" s="247">
        <f>'[1]июль 20'!AA12</f>
        <v>8.9909999999999997</v>
      </c>
      <c r="K13" s="464">
        <f>'[1]сентябрь 20'!AM12</f>
        <v>0</v>
      </c>
      <c r="L13" s="247">
        <f>'[1]июль 20'!AE12</f>
        <v>27.295000000000002</v>
      </c>
      <c r="M13" s="468">
        <f t="shared" si="21"/>
        <v>0.26574822315256547</v>
      </c>
      <c r="N13" s="403">
        <f>'[1]июль 20'!W12</f>
        <v>0</v>
      </c>
      <c r="O13" s="403">
        <f>'[1]июль 20'!AU12</f>
        <v>0</v>
      </c>
      <c r="P13" s="401">
        <f t="shared" si="1"/>
        <v>141.24099999999999</v>
      </c>
      <c r="Q13" s="122">
        <f>'[1]июль 20'!S12</f>
        <v>141.24100000000001</v>
      </c>
      <c r="R13" s="123">
        <f t="shared" si="22"/>
        <v>1.5499999999999998</v>
      </c>
      <c r="S13" s="129">
        <v>15.35</v>
      </c>
      <c r="T13" s="125">
        <f t="shared" si="2"/>
        <v>139.05176450000002</v>
      </c>
      <c r="U13" s="147">
        <f t="shared" si="3"/>
        <v>1.3538288822899427</v>
      </c>
      <c r="V13" s="130">
        <v>78.739999999999995</v>
      </c>
      <c r="W13" s="130">
        <v>77.45</v>
      </c>
      <c r="X13" s="129">
        <v>0.99</v>
      </c>
      <c r="Y13" s="165">
        <v>549</v>
      </c>
      <c r="Z13" s="166">
        <v>1150</v>
      </c>
      <c r="AA13" s="148" t="s">
        <v>336</v>
      </c>
      <c r="AB13" s="149">
        <v>75.48</v>
      </c>
      <c r="AC13" s="150">
        <v>91</v>
      </c>
      <c r="AD13" s="151">
        <v>4</v>
      </c>
      <c r="AE13" s="149"/>
      <c r="AF13" s="134">
        <f t="shared" si="4"/>
        <v>0</v>
      </c>
      <c r="AG13" s="152"/>
      <c r="AH13" s="129">
        <v>66.8</v>
      </c>
      <c r="AI13" s="134">
        <f t="shared" si="5"/>
        <v>650.3748417875571</v>
      </c>
      <c r="AJ13" s="136">
        <v>15.73</v>
      </c>
      <c r="AK13" s="154"/>
      <c r="AL13" s="155">
        <v>4.28</v>
      </c>
      <c r="AM13" s="478">
        <v>23.87</v>
      </c>
      <c r="AN13" s="126">
        <f t="shared" si="23"/>
        <v>0.18354479046520569</v>
      </c>
      <c r="AO13" s="157" t="s">
        <v>170</v>
      </c>
      <c r="AP13" s="156">
        <v>8.39</v>
      </c>
      <c r="AQ13" s="156">
        <v>7.69</v>
      </c>
      <c r="AR13" s="149"/>
      <c r="AS13" s="149">
        <v>9.5</v>
      </c>
      <c r="AT13" s="149">
        <v>130.05000000000001</v>
      </c>
      <c r="AU13" s="149">
        <v>0.81</v>
      </c>
      <c r="AV13" s="149"/>
      <c r="AW13" s="149"/>
      <c r="AX13" s="158">
        <f t="shared" si="6"/>
        <v>0</v>
      </c>
      <c r="AY13" s="125">
        <f t="shared" si="7"/>
        <v>102.71000000000001</v>
      </c>
      <c r="AZ13" s="125">
        <f t="shared" si="24"/>
        <v>100.30809467182299</v>
      </c>
      <c r="BA13" s="159">
        <f t="shared" si="8"/>
        <v>4.9159154929577467</v>
      </c>
      <c r="BB13" s="160">
        <f t="shared" si="9"/>
        <v>4.1084000000000005</v>
      </c>
      <c r="BC13" s="161">
        <f t="shared" si="10"/>
        <v>0.90759306321814825</v>
      </c>
      <c r="BD13" s="160">
        <f t="shared" si="25"/>
        <v>9.0243154929577472</v>
      </c>
      <c r="BE13" s="162">
        <v>0.872</v>
      </c>
      <c r="BF13" s="25">
        <f t="shared" si="26"/>
        <v>662.21</v>
      </c>
      <c r="BG13" s="25">
        <f t="shared" si="11"/>
        <v>108.06451612903226</v>
      </c>
      <c r="BH13" s="25">
        <f t="shared" si="27"/>
        <v>756.45161290322562</v>
      </c>
      <c r="BI13" s="26">
        <f t="shared" si="12"/>
        <v>1</v>
      </c>
      <c r="BJ13" s="37">
        <f t="shared" si="28"/>
        <v>756.45161290322562</v>
      </c>
      <c r="BK13" s="39">
        <v>137.465</v>
      </c>
      <c r="BL13" s="40"/>
      <c r="BM13" s="325">
        <v>50.076000000000001</v>
      </c>
      <c r="BN13" s="31"/>
      <c r="BO13" s="40"/>
      <c r="BP13" s="40">
        <v>12.625999999999999</v>
      </c>
      <c r="BQ13" s="32">
        <v>27.295000000000002</v>
      </c>
      <c r="BR13" s="33">
        <v>0.43</v>
      </c>
      <c r="BS13" s="34"/>
      <c r="BT13" s="33">
        <v>0.28000000000000003</v>
      </c>
      <c r="BU13" s="28"/>
      <c r="BV13" s="287"/>
      <c r="BW13" s="287">
        <v>1.99</v>
      </c>
      <c r="BX13" s="36"/>
      <c r="BY13" s="33">
        <v>37.42</v>
      </c>
      <c r="BZ13" s="34"/>
      <c r="CA13" s="33">
        <v>37.44</v>
      </c>
      <c r="CB13" s="35"/>
      <c r="CC13" s="235"/>
      <c r="CD13" s="235">
        <v>28.62</v>
      </c>
      <c r="CE13" s="36">
        <v>43.92</v>
      </c>
      <c r="CF13" s="30">
        <v>95.731999999999999</v>
      </c>
      <c r="CG13" s="30">
        <v>45.509</v>
      </c>
      <c r="CH13" s="30"/>
      <c r="CI13" s="32"/>
      <c r="CJ13" s="33">
        <v>1.55</v>
      </c>
      <c r="CK13" s="33">
        <v>1.55</v>
      </c>
      <c r="CL13" s="33"/>
      <c r="CM13" s="36"/>
      <c r="CN13" s="286"/>
      <c r="CO13" s="249">
        <f t="shared" si="13"/>
        <v>136.87390049999999</v>
      </c>
      <c r="CP13" s="12">
        <f t="shared" si="13"/>
        <v>0</v>
      </c>
      <c r="CQ13" s="12">
        <f t="shared" si="13"/>
        <v>49.9357872</v>
      </c>
      <c r="CR13" s="12">
        <f t="shared" si="13"/>
        <v>0</v>
      </c>
      <c r="CS13" s="11">
        <f t="shared" si="13"/>
        <v>0</v>
      </c>
      <c r="CT13" s="11">
        <f t="shared" si="13"/>
        <v>12.374742600000001</v>
      </c>
      <c r="CU13" s="272">
        <f t="shared" si="13"/>
        <v>27.295000000000002</v>
      </c>
      <c r="CV13" s="249">
        <f t="shared" si="14"/>
        <v>94.248154</v>
      </c>
      <c r="CW13" s="251">
        <f t="shared" si="14"/>
        <v>44.803610500000005</v>
      </c>
      <c r="CX13" s="249">
        <f t="shared" si="14"/>
        <v>0</v>
      </c>
      <c r="CY13" s="272">
        <f t="shared" si="14"/>
        <v>0</v>
      </c>
      <c r="CZ13" s="13"/>
      <c r="DA13" s="240">
        <f>(D13+'[2]июль 20'!D13)/(AY13+'[2]июль 20'!BA13)</f>
        <v>2.2236278050391123</v>
      </c>
      <c r="DB13" s="241">
        <f>(T13+'[2]июль 20'!R13)/(AY13+'[2]июль 20'!BA13)</f>
        <v>1.4196582441436914</v>
      </c>
      <c r="DD13" s="292">
        <f t="shared" si="15"/>
        <v>8.9909999999999997</v>
      </c>
      <c r="DE13" s="291">
        <v>0.15</v>
      </c>
      <c r="DF13" s="291">
        <v>12.72</v>
      </c>
      <c r="DG13" s="145">
        <f t="shared" si="16"/>
        <v>8.9775134999999988</v>
      </c>
      <c r="DH13" s="293">
        <f t="shared" si="29"/>
        <v>1.5129037058823527</v>
      </c>
      <c r="DJ13" s="322"/>
    </row>
    <row r="14" spans="1:114" s="76" customFormat="1" ht="16.5" customHeight="1" thickBot="1">
      <c r="A14" s="144">
        <v>8</v>
      </c>
      <c r="B14" s="122">
        <f>'[1]июль 20'!K13</f>
        <v>210.447</v>
      </c>
      <c r="C14" s="123">
        <f t="shared" si="17"/>
        <v>0.34188878910129394</v>
      </c>
      <c r="D14" s="145">
        <f t="shared" si="18"/>
        <v>209.72750530000002</v>
      </c>
      <c r="E14" s="125">
        <f t="shared" si="19"/>
        <v>38.304240402571672</v>
      </c>
      <c r="F14" s="146">
        <f t="shared" si="0"/>
        <v>2.0943429728380267</v>
      </c>
      <c r="G14" s="127"/>
      <c r="H14" s="126">
        <f t="shared" si="20"/>
        <v>1.8665019502696225</v>
      </c>
      <c r="I14" s="230">
        <f>'[1]июль 20'!AI13</f>
        <v>0</v>
      </c>
      <c r="J14" s="247">
        <f>'[1]июль 20'!AA13</f>
        <v>8.4329999999999998</v>
      </c>
      <c r="K14" s="467">
        <f>'[1]сентябрь 20'!AM13</f>
        <v>0</v>
      </c>
      <c r="L14" s="247">
        <f>'[1]июль 20'!AE13</f>
        <v>22.815999999999999</v>
      </c>
      <c r="M14" s="471">
        <f t="shared" si="21"/>
        <v>0.22784102256840419</v>
      </c>
      <c r="N14" s="403">
        <f>'[1]июль 20'!W13</f>
        <v>0</v>
      </c>
      <c r="O14" s="403">
        <f>'[1]июль 20'!AU13</f>
        <v>0</v>
      </c>
      <c r="P14" s="401">
        <f t="shared" si="1"/>
        <v>128.49799999999999</v>
      </c>
      <c r="Q14" s="122">
        <f>'[1]июль 20'!S13</f>
        <v>128.49799999999999</v>
      </c>
      <c r="R14" s="123">
        <f t="shared" si="22"/>
        <v>1.49</v>
      </c>
      <c r="S14" s="129">
        <v>9.57</v>
      </c>
      <c r="T14" s="125">
        <f t="shared" si="2"/>
        <v>126.5833798</v>
      </c>
      <c r="U14" s="147">
        <f t="shared" si="3"/>
        <v>1.2640641082484521</v>
      </c>
      <c r="V14" s="130"/>
      <c r="W14" s="130">
        <v>48.93</v>
      </c>
      <c r="X14" s="129">
        <v>0.98</v>
      </c>
      <c r="Y14" s="131">
        <v>578</v>
      </c>
      <c r="Z14" s="150">
        <v>1152</v>
      </c>
      <c r="AA14" s="148" t="s">
        <v>337</v>
      </c>
      <c r="AB14" s="149">
        <v>73.459999999999994</v>
      </c>
      <c r="AC14" s="150">
        <v>84</v>
      </c>
      <c r="AD14" s="151">
        <v>4</v>
      </c>
      <c r="AE14" s="149"/>
      <c r="AF14" s="134">
        <f t="shared" si="4"/>
        <v>0</v>
      </c>
      <c r="AG14" s="152"/>
      <c r="AH14" s="129">
        <v>72.150000000000006</v>
      </c>
      <c r="AI14" s="134">
        <f t="shared" si="5"/>
        <v>720.49131216297178</v>
      </c>
      <c r="AJ14" s="153">
        <v>11.29</v>
      </c>
      <c r="AK14" s="154"/>
      <c r="AL14" s="155">
        <v>4.3499999999999996</v>
      </c>
      <c r="AM14" s="478">
        <v>25.1</v>
      </c>
      <c r="AN14" s="126">
        <f t="shared" si="23"/>
        <v>0.1954828660436137</v>
      </c>
      <c r="AO14" s="157" t="s">
        <v>338</v>
      </c>
      <c r="AP14" s="156">
        <v>8.58</v>
      </c>
      <c r="AQ14" s="156">
        <v>7.89</v>
      </c>
      <c r="AR14" s="149"/>
      <c r="AS14" s="149">
        <v>7.98</v>
      </c>
      <c r="AT14" s="149">
        <v>128.4</v>
      </c>
      <c r="AU14" s="149">
        <v>1.19</v>
      </c>
      <c r="AV14" s="149"/>
      <c r="AW14" s="149"/>
      <c r="AX14" s="158">
        <f t="shared" si="6"/>
        <v>0</v>
      </c>
      <c r="AY14" s="125">
        <f t="shared" si="7"/>
        <v>100.14000000000001</v>
      </c>
      <c r="AZ14" s="125">
        <f t="shared" si="24"/>
        <v>96.883295554633619</v>
      </c>
      <c r="BA14" s="159">
        <f t="shared" si="8"/>
        <v>4.4600894366197181</v>
      </c>
      <c r="BB14" s="160">
        <f t="shared" si="9"/>
        <v>4.0056000000000003</v>
      </c>
      <c r="BC14" s="161">
        <f t="shared" si="10"/>
        <v>0.91570643403089413</v>
      </c>
      <c r="BD14" s="159">
        <f t="shared" si="25"/>
        <v>8.4656894366197193</v>
      </c>
      <c r="BE14" s="167">
        <v>0.877</v>
      </c>
      <c r="BF14" s="25">
        <f t="shared" si="26"/>
        <v>762.35</v>
      </c>
      <c r="BG14" s="25">
        <f t="shared" si="11"/>
        <v>108.06451612903226</v>
      </c>
      <c r="BH14" s="25">
        <f t="shared" si="27"/>
        <v>864.51612903225782</v>
      </c>
      <c r="BI14" s="26">
        <f t="shared" si="12"/>
        <v>1</v>
      </c>
      <c r="BJ14" s="37">
        <f t="shared" si="28"/>
        <v>864.51612903225782</v>
      </c>
      <c r="BK14" s="39">
        <v>132.65700000000001</v>
      </c>
      <c r="BL14" s="40"/>
      <c r="BM14" s="325">
        <v>46.225000000000001</v>
      </c>
      <c r="BN14" s="31"/>
      <c r="BO14" s="40"/>
      <c r="BP14" s="40">
        <v>8.7490000000000006</v>
      </c>
      <c r="BQ14" s="32">
        <v>22.815999999999999</v>
      </c>
      <c r="BR14" s="33">
        <v>0.35</v>
      </c>
      <c r="BS14" s="34"/>
      <c r="BT14" s="33">
        <v>0.13</v>
      </c>
      <c r="BU14" s="28"/>
      <c r="BV14" s="287"/>
      <c r="BW14" s="287">
        <v>2.23</v>
      </c>
      <c r="BX14" s="36"/>
      <c r="BY14" s="33">
        <v>37.79</v>
      </c>
      <c r="BZ14" s="34"/>
      <c r="CA14" s="33">
        <v>37.840000000000003</v>
      </c>
      <c r="CB14" s="35"/>
      <c r="CC14" s="235"/>
      <c r="CD14" s="235">
        <v>34.17</v>
      </c>
      <c r="CE14" s="36">
        <v>43.82</v>
      </c>
      <c r="CF14" s="30">
        <v>86.495999999999995</v>
      </c>
      <c r="CG14" s="30">
        <v>42.002000000000002</v>
      </c>
      <c r="CH14" s="30"/>
      <c r="CI14" s="32"/>
      <c r="CJ14" s="33">
        <v>1.49</v>
      </c>
      <c r="CK14" s="33">
        <v>1.49</v>
      </c>
      <c r="CL14" s="33"/>
      <c r="CM14" s="36"/>
      <c r="CN14" s="286"/>
      <c r="CO14" s="249">
        <f t="shared" si="13"/>
        <v>132.19270050000003</v>
      </c>
      <c r="CP14" s="12">
        <f t="shared" si="13"/>
        <v>0</v>
      </c>
      <c r="CQ14" s="12">
        <f t="shared" si="13"/>
        <v>46.164907500000005</v>
      </c>
      <c r="CR14" s="12">
        <f t="shared" si="13"/>
        <v>0</v>
      </c>
      <c r="CS14" s="11">
        <f t="shared" si="13"/>
        <v>0</v>
      </c>
      <c r="CT14" s="11">
        <f t="shared" si="13"/>
        <v>8.5538973000000009</v>
      </c>
      <c r="CU14" s="272">
        <f t="shared" si="13"/>
        <v>22.815999999999999</v>
      </c>
      <c r="CV14" s="249">
        <f t="shared" si="14"/>
        <v>85.207209599999999</v>
      </c>
      <c r="CW14" s="12">
        <f t="shared" si="14"/>
        <v>41.376170200000004</v>
      </c>
      <c r="CX14" s="252">
        <f t="shared" si="14"/>
        <v>0</v>
      </c>
      <c r="CY14" s="272">
        <f t="shared" si="14"/>
        <v>0</v>
      </c>
      <c r="CZ14" s="13"/>
      <c r="DA14" s="240">
        <f>(D14+'[2]июль 20'!D14)/(AY14+'[2]июль 20'!BA14)</f>
        <v>2.1685570066534292</v>
      </c>
      <c r="DB14" s="241">
        <f>(T14+'[2]июль 20'!R14)/(AY14+'[2]июль 20'!BA14)</f>
        <v>1.3730079067823175</v>
      </c>
      <c r="DD14" s="292">
        <f t="shared" si="15"/>
        <v>8.4329999999999998</v>
      </c>
      <c r="DE14" s="291">
        <v>0.05</v>
      </c>
      <c r="DF14" s="291">
        <v>12.32</v>
      </c>
      <c r="DG14" s="145">
        <f t="shared" si="16"/>
        <v>8.4287834999999998</v>
      </c>
      <c r="DH14" s="293">
        <f t="shared" si="29"/>
        <v>1.4135939656956167</v>
      </c>
      <c r="DJ14" s="322"/>
    </row>
    <row r="15" spans="1:114" s="76" customFormat="1" ht="16.5" customHeight="1" thickBot="1">
      <c r="A15" s="144">
        <v>9</v>
      </c>
      <c r="B15" s="122">
        <f>'[1]июль 20'!K14</f>
        <v>220.28</v>
      </c>
      <c r="C15" s="123">
        <f t="shared" si="17"/>
        <v>0.35178037043762483</v>
      </c>
      <c r="D15" s="145">
        <f t="shared" si="18"/>
        <v>219.50509819999999</v>
      </c>
      <c r="E15" s="125">
        <f t="shared" si="19"/>
        <v>37.840935082622117</v>
      </c>
      <c r="F15" s="146">
        <f t="shared" si="0"/>
        <v>2.301374483120151</v>
      </c>
      <c r="G15" s="127"/>
      <c r="H15" s="126">
        <f t="shared" si="20"/>
        <v>2.0826284147620049</v>
      </c>
      <c r="I15" s="230">
        <f>'[1]июль 20'!AI14</f>
        <v>0</v>
      </c>
      <c r="J15" s="247">
        <f>'[1]июль 20'!AA14</f>
        <v>8.8379999999999992</v>
      </c>
      <c r="K15" s="465">
        <f>'[1]сентябрь 20'!AM14</f>
        <v>0</v>
      </c>
      <c r="L15" s="247">
        <f>'[1]июль 20'!AE14</f>
        <v>20.864000000000001</v>
      </c>
      <c r="M15" s="469">
        <f t="shared" si="21"/>
        <v>0.21874606835814639</v>
      </c>
      <c r="N15" s="403">
        <f>'[1]июль 20'!W14</f>
        <v>0</v>
      </c>
      <c r="O15" s="403">
        <f>'[1]июль 20'!AU14</f>
        <v>0</v>
      </c>
      <c r="P15" s="401">
        <f t="shared" si="1"/>
        <v>134.661</v>
      </c>
      <c r="Q15" s="122">
        <f>'[1]июль 20'!S14</f>
        <v>134.661</v>
      </c>
      <c r="R15" s="123">
        <f t="shared" si="22"/>
        <v>1.45</v>
      </c>
      <c r="S15" s="129">
        <v>9.94</v>
      </c>
      <c r="T15" s="125">
        <f t="shared" si="2"/>
        <v>132.7084155</v>
      </c>
      <c r="U15" s="147">
        <f t="shared" si="3"/>
        <v>1.3913652285594464</v>
      </c>
      <c r="V15" s="130">
        <v>23.12</v>
      </c>
      <c r="W15" s="130">
        <v>95.38</v>
      </c>
      <c r="X15" s="129">
        <v>0.46</v>
      </c>
      <c r="Y15" s="131">
        <v>562</v>
      </c>
      <c r="Z15" s="150">
        <v>1152</v>
      </c>
      <c r="AA15" s="148" t="s">
        <v>297</v>
      </c>
      <c r="AB15" s="149">
        <v>74.62</v>
      </c>
      <c r="AC15" s="150">
        <v>88</v>
      </c>
      <c r="AD15" s="151">
        <v>4</v>
      </c>
      <c r="AE15" s="149"/>
      <c r="AF15" s="134">
        <f t="shared" si="4"/>
        <v>0</v>
      </c>
      <c r="AG15" s="152"/>
      <c r="AH15" s="129">
        <v>60.6</v>
      </c>
      <c r="AI15" s="134">
        <f t="shared" si="5"/>
        <v>635.35332354791365</v>
      </c>
      <c r="AJ15" s="136">
        <v>15.63</v>
      </c>
      <c r="AK15" s="154"/>
      <c r="AL15" s="155">
        <v>4.8600000000000003</v>
      </c>
      <c r="AM15" s="478">
        <v>23.59</v>
      </c>
      <c r="AN15" s="126">
        <f t="shared" si="23"/>
        <v>0.19241435562805873</v>
      </c>
      <c r="AO15" s="157" t="s">
        <v>339</v>
      </c>
      <c r="AP15" s="156">
        <v>8.6199999999999992</v>
      </c>
      <c r="AQ15" s="156">
        <v>7.71</v>
      </c>
      <c r="AR15" s="149"/>
      <c r="AS15" s="149">
        <v>7.6</v>
      </c>
      <c r="AT15" s="149">
        <v>122.6</v>
      </c>
      <c r="AU15" s="149">
        <v>1.23</v>
      </c>
      <c r="AV15" s="149"/>
      <c r="AW15" s="149"/>
      <c r="AX15" s="158">
        <f t="shared" si="6"/>
        <v>0</v>
      </c>
      <c r="AY15" s="125">
        <f t="shared" si="7"/>
        <v>95.38</v>
      </c>
      <c r="AZ15" s="125">
        <f t="shared" si="24"/>
        <v>98.499493422874068</v>
      </c>
      <c r="BA15" s="159">
        <f t="shared" si="8"/>
        <v>3.5677183098591545</v>
      </c>
      <c r="BB15" s="160">
        <f t="shared" si="9"/>
        <v>3.8151999999999999</v>
      </c>
      <c r="BC15" s="161">
        <f t="shared" si="10"/>
        <v>0.85685254613787887</v>
      </c>
      <c r="BD15" s="159">
        <f t="shared" si="25"/>
        <v>7.3829183098591544</v>
      </c>
      <c r="BE15" s="167">
        <v>0.875</v>
      </c>
      <c r="BF15" s="25">
        <f t="shared" si="26"/>
        <v>857.73</v>
      </c>
      <c r="BG15" s="25">
        <f t="shared" si="11"/>
        <v>108.06451612903226</v>
      </c>
      <c r="BH15" s="25">
        <f t="shared" si="27"/>
        <v>972.58064516129002</v>
      </c>
      <c r="BI15" s="26">
        <f t="shared" si="12"/>
        <v>1</v>
      </c>
      <c r="BJ15" s="37">
        <f t="shared" si="28"/>
        <v>972.58064516129002</v>
      </c>
      <c r="BK15" s="38">
        <v>142.22399999999999</v>
      </c>
      <c r="BL15" s="42"/>
      <c r="BM15" s="31">
        <v>48.424999999999997</v>
      </c>
      <c r="BN15" s="31"/>
      <c r="BO15" s="40"/>
      <c r="BP15" s="40">
        <v>8.7669999999999995</v>
      </c>
      <c r="BQ15" s="32">
        <v>20.864000000000001</v>
      </c>
      <c r="BR15" s="33">
        <v>0.38</v>
      </c>
      <c r="BS15" s="35"/>
      <c r="BT15" s="35">
        <v>0.18</v>
      </c>
      <c r="BU15" s="28"/>
      <c r="BV15" s="287"/>
      <c r="BW15" s="287">
        <v>1.68</v>
      </c>
      <c r="BX15" s="36"/>
      <c r="BY15" s="33">
        <v>37.51</v>
      </c>
      <c r="BZ15" s="34"/>
      <c r="CA15" s="35">
        <v>37.65</v>
      </c>
      <c r="CB15" s="35"/>
      <c r="CC15" s="35"/>
      <c r="CD15" s="35">
        <v>30.63</v>
      </c>
      <c r="CE15" s="35">
        <v>43.57</v>
      </c>
      <c r="CF15" s="38">
        <v>90.637</v>
      </c>
      <c r="CG15" s="30">
        <v>44.024000000000001</v>
      </c>
      <c r="CH15" s="30"/>
      <c r="CI15" s="32"/>
      <c r="CJ15" s="33">
        <v>1.45</v>
      </c>
      <c r="CK15" s="33">
        <v>1.45</v>
      </c>
      <c r="CL15" s="33"/>
      <c r="CM15" s="36"/>
      <c r="CN15" s="286"/>
      <c r="CO15" s="249">
        <f t="shared" si="13"/>
        <v>141.68354880000001</v>
      </c>
      <c r="CP15" s="12">
        <f t="shared" si="13"/>
        <v>0</v>
      </c>
      <c r="CQ15" s="12">
        <f t="shared" si="13"/>
        <v>48.337834999999998</v>
      </c>
      <c r="CR15" s="17">
        <f t="shared" si="13"/>
        <v>0</v>
      </c>
      <c r="CS15" s="11">
        <f t="shared" si="13"/>
        <v>0</v>
      </c>
      <c r="CT15" s="11">
        <f t="shared" si="13"/>
        <v>8.6197143999999994</v>
      </c>
      <c r="CU15" s="272">
        <f t="shared" si="13"/>
        <v>20.864000000000001</v>
      </c>
      <c r="CV15" s="249">
        <f t="shared" si="14"/>
        <v>89.322763499999994</v>
      </c>
      <c r="CW15" s="12">
        <f t="shared" si="14"/>
        <v>43.385652</v>
      </c>
      <c r="CX15" s="249">
        <f t="shared" si="14"/>
        <v>0</v>
      </c>
      <c r="CY15" s="274">
        <f t="shared" si="14"/>
        <v>0</v>
      </c>
      <c r="CZ15" s="13"/>
      <c r="DA15" s="240">
        <f>(D15+'[2]июль 20'!D15)/(AY15+'[2]июль 20'!BA15)</f>
        <v>2.2730247624280233</v>
      </c>
      <c r="DB15" s="241">
        <f>(T15+'[2]июль 20'!R15)/(AY15+'[2]июль 20'!BA15)</f>
        <v>1.4394545351035413</v>
      </c>
      <c r="DD15" s="292">
        <f t="shared" si="15"/>
        <v>8.8379999999999992</v>
      </c>
      <c r="DE15" s="291">
        <v>7.0000000000000007E-2</v>
      </c>
      <c r="DF15" s="291">
        <v>11.17</v>
      </c>
      <c r="DG15" s="145">
        <f t="shared" si="16"/>
        <v>8.8318133999999997</v>
      </c>
      <c r="DH15" s="293">
        <f t="shared" si="29"/>
        <v>1.322049794666309</v>
      </c>
      <c r="DJ15" s="322"/>
    </row>
    <row r="16" spans="1:114" s="76" customFormat="1" ht="16.5" customHeight="1" thickBot="1">
      <c r="A16" s="144">
        <v>10</v>
      </c>
      <c r="B16" s="122">
        <f>'[1]июль 20'!K15</f>
        <v>222.732</v>
      </c>
      <c r="C16" s="123">
        <f t="shared" si="17"/>
        <v>0.46579732593430667</v>
      </c>
      <c r="D16" s="145">
        <f t="shared" si="18"/>
        <v>221.69452030000002</v>
      </c>
      <c r="E16" s="125">
        <f t="shared" si="19"/>
        <v>37.826998186160949</v>
      </c>
      <c r="F16" s="146">
        <f t="shared" si="0"/>
        <v>2.4521017619732333</v>
      </c>
      <c r="G16" s="127"/>
      <c r="H16" s="126">
        <f t="shared" si="20"/>
        <v>2.2545904247317776</v>
      </c>
      <c r="I16" s="230">
        <f>'[1]июль 20'!AI15</f>
        <v>0</v>
      </c>
      <c r="J16" s="247">
        <f>'[1]июль 20'!AA15</f>
        <v>8.7919999999999998</v>
      </c>
      <c r="K16" s="464">
        <f>'[1]сентябрь 20'!AM15</f>
        <v>0</v>
      </c>
      <c r="L16" s="247">
        <f>'[1]июль 20'!AE15</f>
        <v>17.856999999999999</v>
      </c>
      <c r="M16" s="468">
        <f t="shared" si="21"/>
        <v>0.19751133724145559</v>
      </c>
      <c r="N16" s="403">
        <f>'[1]июль 20'!W15</f>
        <v>0</v>
      </c>
      <c r="O16" s="403">
        <f>'[1]июль 20'!AU15</f>
        <v>0</v>
      </c>
      <c r="P16" s="401">
        <f t="shared" si="1"/>
        <v>136.70099999999999</v>
      </c>
      <c r="Q16" s="122">
        <f>'[1]июль 20'!S15</f>
        <v>136.70099999999999</v>
      </c>
      <c r="R16" s="123">
        <f t="shared" si="22"/>
        <v>1.49</v>
      </c>
      <c r="S16" s="129">
        <v>10.46</v>
      </c>
      <c r="T16" s="125">
        <f t="shared" si="2"/>
        <v>134.66415510000002</v>
      </c>
      <c r="U16" s="147">
        <f t="shared" si="3"/>
        <v>1.4894829675920807</v>
      </c>
      <c r="V16" s="130">
        <v>90.41</v>
      </c>
      <c r="W16" s="130">
        <v>90.41</v>
      </c>
      <c r="X16" s="129">
        <v>0.41</v>
      </c>
      <c r="Y16" s="131">
        <v>561</v>
      </c>
      <c r="Z16" s="150">
        <v>1152</v>
      </c>
      <c r="AA16" s="148" t="s">
        <v>329</v>
      </c>
      <c r="AB16" s="149">
        <v>76.41</v>
      </c>
      <c r="AC16" s="150">
        <v>89</v>
      </c>
      <c r="AD16" s="151">
        <v>4</v>
      </c>
      <c r="AE16" s="149">
        <v>2.4500000000000002</v>
      </c>
      <c r="AF16" s="134">
        <f t="shared" si="4"/>
        <v>27.09877225970579</v>
      </c>
      <c r="AG16" s="152"/>
      <c r="AH16" s="129">
        <v>68.95</v>
      </c>
      <c r="AI16" s="134">
        <f t="shared" si="5"/>
        <v>762.63687645172001</v>
      </c>
      <c r="AJ16" s="153">
        <v>13.28</v>
      </c>
      <c r="AK16" s="154"/>
      <c r="AL16" s="155">
        <v>4.3</v>
      </c>
      <c r="AM16" s="478">
        <v>29.15</v>
      </c>
      <c r="AN16" s="126">
        <f t="shared" si="23"/>
        <v>0.23786209710322317</v>
      </c>
      <c r="AO16" s="157" t="s">
        <v>320</v>
      </c>
      <c r="AP16" s="156">
        <v>7.97</v>
      </c>
      <c r="AQ16" s="156">
        <v>8.27</v>
      </c>
      <c r="AR16" s="149"/>
      <c r="AS16" s="149">
        <v>7.48</v>
      </c>
      <c r="AT16" s="149">
        <v>122.55</v>
      </c>
      <c r="AU16" s="149">
        <v>1.31</v>
      </c>
      <c r="AV16" s="149"/>
      <c r="AW16" s="149"/>
      <c r="AX16" s="158">
        <f t="shared" si="6"/>
        <v>0</v>
      </c>
      <c r="AY16" s="125">
        <f t="shared" si="7"/>
        <v>90.41</v>
      </c>
      <c r="AZ16" s="125">
        <f t="shared" si="24"/>
        <v>97.189297153731744</v>
      </c>
      <c r="BA16" s="159">
        <f t="shared" si="8"/>
        <v>3.9952154929577475</v>
      </c>
      <c r="BB16" s="160">
        <f t="shared" si="9"/>
        <v>3.6164000000000001</v>
      </c>
      <c r="BC16" s="161">
        <f t="shared" si="10"/>
        <v>0.82377732142615667</v>
      </c>
      <c r="BD16" s="160">
        <f t="shared" si="25"/>
        <v>7.611615492957748</v>
      </c>
      <c r="BE16" s="162">
        <v>0.87</v>
      </c>
      <c r="BF16" s="25">
        <f t="shared" si="26"/>
        <v>948.14</v>
      </c>
      <c r="BG16" s="25">
        <f t="shared" si="11"/>
        <v>108.06451612903226</v>
      </c>
      <c r="BH16" s="25">
        <f t="shared" si="27"/>
        <v>1080.6451612903222</v>
      </c>
      <c r="BI16" s="26">
        <f t="shared" si="12"/>
        <v>1</v>
      </c>
      <c r="BJ16" s="37">
        <f t="shared" si="28"/>
        <v>1080.6451612903222</v>
      </c>
      <c r="BK16" s="38">
        <v>146.91200000000001</v>
      </c>
      <c r="BL16" s="31"/>
      <c r="BM16" s="31">
        <v>48.968000000000004</v>
      </c>
      <c r="BN16" s="234"/>
      <c r="BO16" s="42"/>
      <c r="BP16" s="40">
        <v>8.9949999999999992</v>
      </c>
      <c r="BQ16" s="32">
        <v>17.856999999999999</v>
      </c>
      <c r="BR16" s="33">
        <v>0.59</v>
      </c>
      <c r="BS16" s="34"/>
      <c r="BT16" s="35">
        <v>0.13</v>
      </c>
      <c r="BU16" s="28"/>
      <c r="BV16" s="287"/>
      <c r="BW16" s="287">
        <v>1.19</v>
      </c>
      <c r="BX16" s="36"/>
      <c r="BY16" s="33">
        <v>37.32</v>
      </c>
      <c r="BZ16" s="34"/>
      <c r="CA16" s="35">
        <v>38.33</v>
      </c>
      <c r="CB16" s="405"/>
      <c r="CC16" s="404"/>
      <c r="CD16" s="235">
        <v>31.73</v>
      </c>
      <c r="CE16" s="36">
        <v>43.69</v>
      </c>
      <c r="CF16" s="38">
        <v>92.224000000000004</v>
      </c>
      <c r="CG16" s="30">
        <v>44.476999999999997</v>
      </c>
      <c r="CH16" s="30"/>
      <c r="CI16" s="32"/>
      <c r="CJ16" s="33">
        <v>1.49</v>
      </c>
      <c r="CK16" s="33">
        <v>1.49</v>
      </c>
      <c r="CL16" s="33"/>
      <c r="CM16" s="36"/>
      <c r="CN16" s="286"/>
      <c r="CO16" s="249">
        <f t="shared" si="13"/>
        <v>146.04521919999999</v>
      </c>
      <c r="CP16" s="12">
        <f t="shared" si="13"/>
        <v>0</v>
      </c>
      <c r="CQ16" s="12">
        <f t="shared" si="13"/>
        <v>48.904341600000002</v>
      </c>
      <c r="CR16" s="11">
        <f t="shared" si="13"/>
        <v>0</v>
      </c>
      <c r="CS16" s="11">
        <f t="shared" si="13"/>
        <v>0</v>
      </c>
      <c r="CT16" s="11">
        <f t="shared" si="13"/>
        <v>8.8879594999999991</v>
      </c>
      <c r="CU16" s="272">
        <f t="shared" si="13"/>
        <v>17.856999999999999</v>
      </c>
      <c r="CV16" s="249">
        <f t="shared" si="14"/>
        <v>90.849862400000006</v>
      </c>
      <c r="CW16" s="12">
        <f t="shared" si="14"/>
        <v>43.814292700000003</v>
      </c>
      <c r="CX16" s="249">
        <f t="shared" si="14"/>
        <v>0</v>
      </c>
      <c r="CY16" s="272">
        <f t="shared" si="14"/>
        <v>0</v>
      </c>
      <c r="CZ16" s="13"/>
      <c r="DA16" s="240">
        <f>(D16+'[2]июль 20'!D16)/(AY16+'[2]июль 20'!BA16)</f>
        <v>2.2897897270906675</v>
      </c>
      <c r="DB16" s="241">
        <f>(T16+'[2]июль 20'!R16)/(AY16+'[2]июль 20'!BA16)</f>
        <v>1.4577115091807999</v>
      </c>
      <c r="DD16" s="292">
        <f t="shared" si="15"/>
        <v>8.7919999999999998</v>
      </c>
      <c r="DE16" s="291">
        <v>0.1</v>
      </c>
      <c r="DF16" s="291">
        <v>11.98</v>
      </c>
      <c r="DG16" s="145">
        <f t="shared" si="16"/>
        <v>8.7832080000000001</v>
      </c>
      <c r="DH16" s="293">
        <f t="shared" si="29"/>
        <v>1.3770819505300353</v>
      </c>
      <c r="DJ16" s="322"/>
    </row>
    <row r="17" spans="1:114" s="76" customFormat="1" ht="16.5" customHeight="1" thickBot="1">
      <c r="A17" s="144">
        <v>11</v>
      </c>
      <c r="B17" s="122">
        <f>'[1]июль 20'!K16</f>
        <v>224.952</v>
      </c>
      <c r="C17" s="123">
        <f t="shared" si="17"/>
        <v>0.34391616878267367</v>
      </c>
      <c r="D17" s="145">
        <f t="shared" si="18"/>
        <v>224.17835370000003</v>
      </c>
      <c r="E17" s="125">
        <f t="shared" si="19"/>
        <v>37.045961983000815</v>
      </c>
      <c r="F17" s="146">
        <f t="shared" si="0"/>
        <v>2.3625076794182744</v>
      </c>
      <c r="G17" s="127"/>
      <c r="H17" s="126">
        <f t="shared" si="20"/>
        <v>2.1728143503003481</v>
      </c>
      <c r="I17" s="230">
        <f>'[1]июль 20'!AI16</f>
        <v>0</v>
      </c>
      <c r="J17" s="247">
        <f>'[1]июль 20'!AA16</f>
        <v>8.9190000000000005</v>
      </c>
      <c r="K17" s="465">
        <f>'[1]сентябрь 20'!AM16</f>
        <v>0</v>
      </c>
      <c r="L17" s="247">
        <f>'[1]июль 20'!AE16</f>
        <v>18</v>
      </c>
      <c r="M17" s="469">
        <f t="shared" si="21"/>
        <v>0.18969332911792605</v>
      </c>
      <c r="N17" s="403">
        <f>'[1]июль 20'!W16</f>
        <v>0</v>
      </c>
      <c r="O17" s="403">
        <f>'[1]июль 20'!AU16</f>
        <v>0</v>
      </c>
      <c r="P17" s="401">
        <f t="shared" si="1"/>
        <v>139.12299999999999</v>
      </c>
      <c r="Q17" s="122">
        <f>'[1]июль 20'!S16</f>
        <v>139.12299999999999</v>
      </c>
      <c r="R17" s="123">
        <f t="shared" si="22"/>
        <v>1.4500000000000002</v>
      </c>
      <c r="S17" s="129">
        <v>8.19</v>
      </c>
      <c r="T17" s="125">
        <f t="shared" si="2"/>
        <v>137.10571649999997</v>
      </c>
      <c r="U17" s="147">
        <f t="shared" si="3"/>
        <v>1.4448911002213087</v>
      </c>
      <c r="V17" s="130">
        <v>94.89</v>
      </c>
      <c r="W17" s="130">
        <v>94.89</v>
      </c>
      <c r="X17" s="129">
        <v>0.39</v>
      </c>
      <c r="Y17" s="131">
        <v>559</v>
      </c>
      <c r="Z17" s="150">
        <v>1146</v>
      </c>
      <c r="AA17" s="148" t="s">
        <v>301</v>
      </c>
      <c r="AB17" s="149">
        <v>76.709999999999994</v>
      </c>
      <c r="AC17" s="150">
        <v>90</v>
      </c>
      <c r="AD17" s="151">
        <v>4</v>
      </c>
      <c r="AE17" s="149"/>
      <c r="AF17" s="134">
        <f t="shared" si="4"/>
        <v>0</v>
      </c>
      <c r="AG17" s="152"/>
      <c r="AH17" s="129">
        <v>68.2</v>
      </c>
      <c r="AI17" s="134">
        <f t="shared" si="5"/>
        <v>718.72694699125316</v>
      </c>
      <c r="AJ17" s="136">
        <v>16.649999999999999</v>
      </c>
      <c r="AK17" s="154"/>
      <c r="AL17" s="155">
        <v>4.68</v>
      </c>
      <c r="AM17" s="478">
        <v>23.89</v>
      </c>
      <c r="AN17" s="126">
        <f t="shared" si="23"/>
        <v>0.19502040816326532</v>
      </c>
      <c r="AO17" s="157" t="s">
        <v>320</v>
      </c>
      <c r="AP17" s="156">
        <v>7.9</v>
      </c>
      <c r="AQ17" s="156">
        <v>8.33</v>
      </c>
      <c r="AR17" s="149"/>
      <c r="AS17" s="149">
        <v>8.43</v>
      </c>
      <c r="AT17" s="149">
        <v>122.5</v>
      </c>
      <c r="AU17" s="149">
        <v>0.96</v>
      </c>
      <c r="AV17" s="149"/>
      <c r="AW17" s="149"/>
      <c r="AX17" s="158">
        <f t="shared" si="6"/>
        <v>0</v>
      </c>
      <c r="AY17" s="125">
        <f t="shared" si="7"/>
        <v>94.889999999999986</v>
      </c>
      <c r="AZ17" s="125">
        <f t="shared" si="24"/>
        <v>95.749516615148082</v>
      </c>
      <c r="BA17" s="159">
        <f t="shared" si="8"/>
        <v>4.4536521126760569</v>
      </c>
      <c r="BB17" s="160">
        <f t="shared" si="9"/>
        <v>3.7955999999999994</v>
      </c>
      <c r="BC17" s="161">
        <f t="shared" si="10"/>
        <v>0.87647165810743299</v>
      </c>
      <c r="BD17" s="160">
        <f t="shared" si="25"/>
        <v>8.2492521126760572</v>
      </c>
      <c r="BE17" s="162">
        <v>0.871</v>
      </c>
      <c r="BF17" s="25">
        <f t="shared" si="26"/>
        <v>1043.03</v>
      </c>
      <c r="BG17" s="25">
        <f t="shared" si="11"/>
        <v>108.06451612903226</v>
      </c>
      <c r="BH17" s="25">
        <f t="shared" si="27"/>
        <v>1188.7096774193544</v>
      </c>
      <c r="BI17" s="26">
        <f t="shared" si="12"/>
        <v>1</v>
      </c>
      <c r="BJ17" s="37">
        <f t="shared" si="28"/>
        <v>1188.7096774193544</v>
      </c>
      <c r="BK17" s="39">
        <v>148.501</v>
      </c>
      <c r="BL17" s="31"/>
      <c r="BM17" s="31">
        <v>49.427</v>
      </c>
      <c r="BN17" s="234"/>
      <c r="BO17" s="42"/>
      <c r="BP17" s="40">
        <v>9.0239999999999991</v>
      </c>
      <c r="BQ17" s="32">
        <v>18</v>
      </c>
      <c r="BR17" s="33">
        <v>0.42</v>
      </c>
      <c r="BS17" s="34"/>
      <c r="BT17" s="35">
        <v>0.15</v>
      </c>
      <c r="BU17" s="28"/>
      <c r="BV17" s="287"/>
      <c r="BW17" s="287">
        <v>0.84</v>
      </c>
      <c r="BX17" s="36"/>
      <c r="BY17" s="33">
        <v>36.68</v>
      </c>
      <c r="BZ17" s="34"/>
      <c r="CA17" s="35">
        <v>37.119999999999997</v>
      </c>
      <c r="CB17" s="405"/>
      <c r="CC17" s="404"/>
      <c r="CD17" s="235">
        <v>29.43</v>
      </c>
      <c r="CE17" s="36">
        <v>43.68</v>
      </c>
      <c r="CF17" s="38">
        <v>94.102000000000004</v>
      </c>
      <c r="CG17" s="42">
        <v>45.021000000000001</v>
      </c>
      <c r="CH17" s="234"/>
      <c r="CI17" s="233"/>
      <c r="CJ17" s="33">
        <v>1.45</v>
      </c>
      <c r="CK17" s="33">
        <v>1.45</v>
      </c>
      <c r="CL17" s="33"/>
      <c r="CM17" s="36"/>
      <c r="CN17" s="286"/>
      <c r="CO17" s="249">
        <f t="shared" si="13"/>
        <v>147.87729580000001</v>
      </c>
      <c r="CP17" s="12">
        <f t="shared" si="13"/>
        <v>0</v>
      </c>
      <c r="CQ17" s="12">
        <f t="shared" si="13"/>
        <v>49.352859499999994</v>
      </c>
      <c r="CR17" s="12">
        <f t="shared" si="13"/>
        <v>0</v>
      </c>
      <c r="CS17" s="11">
        <f t="shared" si="13"/>
        <v>0</v>
      </c>
      <c r="CT17" s="11">
        <f t="shared" si="13"/>
        <v>8.948198399999999</v>
      </c>
      <c r="CU17" s="272">
        <f t="shared" si="13"/>
        <v>18</v>
      </c>
      <c r="CV17" s="249">
        <f t="shared" si="14"/>
        <v>92.737521000000001</v>
      </c>
      <c r="CW17" s="12">
        <f t="shared" si="14"/>
        <v>44.368195499999999</v>
      </c>
      <c r="CX17" s="254">
        <f t="shared" si="14"/>
        <v>0</v>
      </c>
      <c r="CY17" s="272">
        <f t="shared" si="14"/>
        <v>0</v>
      </c>
      <c r="CZ17" s="13"/>
      <c r="DA17" s="240">
        <f>(D17+'[2]июль 20'!D17)/(AY17+'[2]июль 20'!BA17)</f>
        <v>2.3072667188471532</v>
      </c>
      <c r="DB17" s="241">
        <f>(T17+'[2]июль 20'!R17)/(AY17+'[2]июль 20'!BA17)</f>
        <v>1.4705413719322629</v>
      </c>
      <c r="DD17" s="292">
        <f t="shared" si="15"/>
        <v>8.9190000000000005</v>
      </c>
      <c r="DE17" s="291">
        <v>0.14000000000000001</v>
      </c>
      <c r="DF17" s="291">
        <v>10.64</v>
      </c>
      <c r="DG17" s="145">
        <f t="shared" si="16"/>
        <v>8.9065134000000015</v>
      </c>
      <c r="DH17" s="293">
        <f t="shared" si="29"/>
        <v>1.2353709109112245</v>
      </c>
      <c r="DJ17" s="322"/>
    </row>
    <row r="18" spans="1:114" s="76" customFormat="1" ht="16.5" customHeight="1" thickBot="1">
      <c r="A18" s="144">
        <v>12</v>
      </c>
      <c r="B18" s="122">
        <f>'[1]июль 20'!K17</f>
        <v>220.04499999999999</v>
      </c>
      <c r="C18" s="123">
        <f t="shared" si="17"/>
        <v>0.23275557272376107</v>
      </c>
      <c r="D18" s="145">
        <f t="shared" si="18"/>
        <v>219.53283299999998</v>
      </c>
      <c r="E18" s="125">
        <f t="shared" si="19"/>
        <v>37.918873275920838</v>
      </c>
      <c r="F18" s="146">
        <f t="shared" si="0"/>
        <v>2.3065017125446521</v>
      </c>
      <c r="G18" s="127"/>
      <c r="H18" s="126">
        <f t="shared" si="20"/>
        <v>2.1214523324227779</v>
      </c>
      <c r="I18" s="230">
        <f>'[1]июль 20'!AI17</f>
        <v>0</v>
      </c>
      <c r="J18" s="247">
        <f>'[1]июль 20'!AA17</f>
        <v>8.5830000000000002</v>
      </c>
      <c r="K18" s="464">
        <f>'[1]сентябрь 20'!AM17</f>
        <v>0</v>
      </c>
      <c r="L18" s="247">
        <f>'[1]июль 20'!AE17</f>
        <v>17.613</v>
      </c>
      <c r="M18" s="468">
        <f t="shared" si="21"/>
        <v>0.18504938012187433</v>
      </c>
      <c r="N18" s="403">
        <f>'[1]июль 20'!W17</f>
        <v>0</v>
      </c>
      <c r="O18" s="403">
        <f>'[1]июль 20'!AU17</f>
        <v>0</v>
      </c>
      <c r="P18" s="401">
        <f t="shared" si="1"/>
        <v>136.309</v>
      </c>
      <c r="Q18" s="122">
        <f>'[1]июль 20'!S17</f>
        <v>136.309</v>
      </c>
      <c r="R18" s="123">
        <f t="shared" si="22"/>
        <v>1.52</v>
      </c>
      <c r="S18" s="129">
        <v>8.83</v>
      </c>
      <c r="T18" s="125">
        <f t="shared" si="2"/>
        <v>134.23710320000001</v>
      </c>
      <c r="U18" s="147">
        <f t="shared" si="3"/>
        <v>1.4103498970371926</v>
      </c>
      <c r="V18" s="130">
        <v>95.18</v>
      </c>
      <c r="W18" s="130">
        <v>71.78</v>
      </c>
      <c r="X18" s="129">
        <v>0.59</v>
      </c>
      <c r="Y18" s="131">
        <v>572</v>
      </c>
      <c r="Z18" s="150">
        <v>1145</v>
      </c>
      <c r="AA18" s="148" t="s">
        <v>345</v>
      </c>
      <c r="AB18" s="149">
        <v>76.680000000000007</v>
      </c>
      <c r="AC18" s="150">
        <v>88</v>
      </c>
      <c r="AD18" s="151">
        <v>4</v>
      </c>
      <c r="AE18" s="149"/>
      <c r="AF18" s="134">
        <f t="shared" si="4"/>
        <v>0</v>
      </c>
      <c r="AG18" s="152"/>
      <c r="AH18" s="129">
        <v>70.400000000000006</v>
      </c>
      <c r="AI18" s="134">
        <f t="shared" si="5"/>
        <v>739.65118722420675</v>
      </c>
      <c r="AJ18" s="153">
        <v>14.9</v>
      </c>
      <c r="AK18" s="154"/>
      <c r="AL18" s="155">
        <v>3.69</v>
      </c>
      <c r="AM18" s="478">
        <v>24.87</v>
      </c>
      <c r="AN18" s="126">
        <f t="shared" si="23"/>
        <v>0.20318627450980392</v>
      </c>
      <c r="AO18" s="157" t="s">
        <v>346</v>
      </c>
      <c r="AP18" s="156">
        <v>8.19</v>
      </c>
      <c r="AQ18" s="156">
        <v>8.31</v>
      </c>
      <c r="AR18" s="151"/>
      <c r="AS18" s="149">
        <v>8.4499999999999993</v>
      </c>
      <c r="AT18" s="149">
        <v>122.4</v>
      </c>
      <c r="AU18" s="149">
        <v>1.34</v>
      </c>
      <c r="AV18" s="149"/>
      <c r="AW18" s="149"/>
      <c r="AX18" s="158">
        <f t="shared" si="6"/>
        <v>0</v>
      </c>
      <c r="AY18" s="125">
        <f t="shared" si="7"/>
        <v>95.18</v>
      </c>
      <c r="AZ18" s="125">
        <f t="shared" si="24"/>
        <v>96.276463086634962</v>
      </c>
      <c r="BA18" s="159">
        <f t="shared" si="8"/>
        <v>4.6082253521126759</v>
      </c>
      <c r="BB18" s="160">
        <f t="shared" si="9"/>
        <v>3.8072000000000004</v>
      </c>
      <c r="BC18" s="161">
        <f t="shared" si="10"/>
        <v>0.87674419407542303</v>
      </c>
      <c r="BD18" s="160">
        <f t="shared" si="25"/>
        <v>8.4154253521126758</v>
      </c>
      <c r="BE18" s="162">
        <v>0.871</v>
      </c>
      <c r="BF18" s="25">
        <f t="shared" si="26"/>
        <v>1138.21</v>
      </c>
      <c r="BG18" s="25">
        <f t="shared" si="11"/>
        <v>108.06451612903226</v>
      </c>
      <c r="BH18" s="25">
        <f t="shared" si="27"/>
        <v>1296.7741935483866</v>
      </c>
      <c r="BI18" s="26">
        <f t="shared" si="12"/>
        <v>1</v>
      </c>
      <c r="BJ18" s="37">
        <f t="shared" si="28"/>
        <v>1296.7741935483866</v>
      </c>
      <c r="BK18" s="38">
        <v>145.19200000000001</v>
      </c>
      <c r="BL18" s="31"/>
      <c r="BM18" s="31">
        <v>48.386000000000003</v>
      </c>
      <c r="BN18" s="234"/>
      <c r="BO18" s="42"/>
      <c r="BP18" s="40">
        <v>8.8539999999999992</v>
      </c>
      <c r="BQ18" s="411">
        <v>17.613</v>
      </c>
      <c r="BR18" s="41">
        <v>0.22</v>
      </c>
      <c r="BS18" s="34"/>
      <c r="BT18" s="35">
        <v>0.23</v>
      </c>
      <c r="BU18" s="28"/>
      <c r="BV18" s="287"/>
      <c r="BW18" s="287">
        <v>0.92</v>
      </c>
      <c r="BX18" s="36"/>
      <c r="BY18" s="34">
        <v>37.43</v>
      </c>
      <c r="BZ18" s="34"/>
      <c r="CA18" s="35">
        <v>38.31</v>
      </c>
      <c r="CB18" s="405"/>
      <c r="CC18" s="404"/>
      <c r="CD18" s="235">
        <v>31.92</v>
      </c>
      <c r="CE18" s="405">
        <v>43.89</v>
      </c>
      <c r="CF18" s="38">
        <v>92.31</v>
      </c>
      <c r="CG18" s="42">
        <v>43.999000000000002</v>
      </c>
      <c r="CH18" s="234"/>
      <c r="CI18" s="233"/>
      <c r="CJ18" s="33">
        <v>1.52</v>
      </c>
      <c r="CK18" s="33">
        <v>1.52</v>
      </c>
      <c r="CL18" s="33"/>
      <c r="CM18" s="36"/>
      <c r="CN18" s="286"/>
      <c r="CO18" s="249">
        <f t="shared" si="13"/>
        <v>144.8725776</v>
      </c>
      <c r="CP18" s="12">
        <f t="shared" si="13"/>
        <v>0</v>
      </c>
      <c r="CQ18" s="12">
        <f t="shared" si="13"/>
        <v>48.274712199999996</v>
      </c>
      <c r="CR18" s="12">
        <f t="shared" si="13"/>
        <v>0</v>
      </c>
      <c r="CS18" s="11">
        <f t="shared" si="13"/>
        <v>0</v>
      </c>
      <c r="CT18" s="11">
        <f t="shared" si="13"/>
        <v>8.7725431999999994</v>
      </c>
      <c r="CU18" s="272">
        <f t="shared" si="13"/>
        <v>17.613</v>
      </c>
      <c r="CV18" s="249">
        <f t="shared" si="14"/>
        <v>90.906888000000009</v>
      </c>
      <c r="CW18" s="11">
        <f t="shared" si="14"/>
        <v>43.330215200000005</v>
      </c>
      <c r="CX18" s="249">
        <f t="shared" si="14"/>
        <v>0</v>
      </c>
      <c r="CY18" s="272">
        <f t="shared" si="14"/>
        <v>0</v>
      </c>
      <c r="CZ18" s="13"/>
      <c r="DA18" s="240">
        <f>(D18+'[2]июль 20'!D18)/(AY18+'[2]июль 20'!BA18)</f>
        <v>2.2222282183500552</v>
      </c>
      <c r="DB18" s="241">
        <f>(T18+'[2]июль 20'!R18)/(AY18+'[2]июль 20'!BA18)</f>
        <v>1.416242697433914</v>
      </c>
      <c r="DD18" s="292">
        <f t="shared" si="15"/>
        <v>8.5830000000000002</v>
      </c>
      <c r="DE18" s="291">
        <v>0.17</v>
      </c>
      <c r="DF18" s="291">
        <v>13.45</v>
      </c>
      <c r="DG18" s="145">
        <f t="shared" si="16"/>
        <v>8.5684088999999997</v>
      </c>
      <c r="DH18" s="293">
        <f t="shared" si="29"/>
        <v>1.5029355725743347</v>
      </c>
      <c r="DJ18" s="322"/>
    </row>
    <row r="19" spans="1:114" s="76" customFormat="1" ht="16.5" customHeight="1" thickBot="1">
      <c r="A19" s="144">
        <v>13</v>
      </c>
      <c r="B19" s="122">
        <f>'[1]июль 20'!K18</f>
        <v>202.53200000000001</v>
      </c>
      <c r="C19" s="123">
        <f t="shared" si="17"/>
        <v>0.39040813303576716</v>
      </c>
      <c r="D19" s="145">
        <f t="shared" si="18"/>
        <v>201.74129860000002</v>
      </c>
      <c r="E19" s="125">
        <f t="shared" si="19"/>
        <v>38.027373205221885</v>
      </c>
      <c r="F19" s="146">
        <f t="shared" si="0"/>
        <v>2.2079599277662258</v>
      </c>
      <c r="G19" s="127">
        <v>14.76</v>
      </c>
      <c r="H19" s="126">
        <f t="shared" si="20"/>
        <v>2.0306150662142941</v>
      </c>
      <c r="I19" s="230">
        <f>'[1]июль 20'!AI18</f>
        <v>0</v>
      </c>
      <c r="J19" s="247">
        <f>'[1]июль 20'!AA18</f>
        <v>8.1920000000000002</v>
      </c>
      <c r="K19" s="465">
        <f>'[1]сентябрь 20'!AM18</f>
        <v>0</v>
      </c>
      <c r="L19" s="247">
        <f>'[1]июль 20'!AE18</f>
        <v>16.204000000000001</v>
      </c>
      <c r="M19" s="469">
        <f t="shared" si="21"/>
        <v>0.17734486155193174</v>
      </c>
      <c r="N19" s="403">
        <f>'[1]июль 20'!W18</f>
        <v>0</v>
      </c>
      <c r="O19" s="403">
        <f>'[1]июль 20'!AU18</f>
        <v>0</v>
      </c>
      <c r="P19" s="401">
        <f t="shared" si="1"/>
        <v>126.36099999999999</v>
      </c>
      <c r="Q19" s="122">
        <f>'[1]июль 20'!S18</f>
        <v>126.361</v>
      </c>
      <c r="R19" s="123">
        <f t="shared" si="22"/>
        <v>1.39</v>
      </c>
      <c r="S19" s="129">
        <v>13.24</v>
      </c>
      <c r="T19" s="125">
        <f t="shared" si="2"/>
        <v>124.6045821</v>
      </c>
      <c r="U19" s="147">
        <f t="shared" si="3"/>
        <v>1.3637362602604794</v>
      </c>
      <c r="V19" s="130">
        <v>91.37</v>
      </c>
      <c r="W19" s="130">
        <v>67.790000000000006</v>
      </c>
      <c r="X19" s="129">
        <v>0.87</v>
      </c>
      <c r="Y19" s="131">
        <v>570</v>
      </c>
      <c r="Z19" s="150">
        <v>1150</v>
      </c>
      <c r="AA19" s="148" t="s">
        <v>287</v>
      </c>
      <c r="AB19" s="149">
        <v>76.86</v>
      </c>
      <c r="AC19" s="150">
        <v>81</v>
      </c>
      <c r="AD19" s="151">
        <v>4</v>
      </c>
      <c r="AE19" s="149"/>
      <c r="AF19" s="134">
        <f t="shared" si="4"/>
        <v>0</v>
      </c>
      <c r="AG19" s="152"/>
      <c r="AH19" s="129">
        <v>54.35</v>
      </c>
      <c r="AI19" s="134">
        <f t="shared" si="5"/>
        <v>594.8341906533874</v>
      </c>
      <c r="AJ19" s="136">
        <v>17.489999999999998</v>
      </c>
      <c r="AK19" s="154"/>
      <c r="AL19" s="155">
        <v>5.09</v>
      </c>
      <c r="AM19" s="478">
        <v>24</v>
      </c>
      <c r="AN19" s="126">
        <f t="shared" si="23"/>
        <v>0.20075282308657466</v>
      </c>
      <c r="AO19" s="157" t="s">
        <v>347</v>
      </c>
      <c r="AP19" s="156">
        <v>9.02</v>
      </c>
      <c r="AQ19" s="156">
        <v>7.69</v>
      </c>
      <c r="AR19" s="151"/>
      <c r="AS19" s="149">
        <v>6.93</v>
      </c>
      <c r="AT19" s="149">
        <v>119.55</v>
      </c>
      <c r="AU19" s="149">
        <v>0.91</v>
      </c>
      <c r="AV19" s="164"/>
      <c r="AW19" s="149"/>
      <c r="AX19" s="158">
        <f t="shared" si="6"/>
        <v>0</v>
      </c>
      <c r="AY19" s="125">
        <f t="shared" si="7"/>
        <v>91.36999999999999</v>
      </c>
      <c r="AZ19" s="125">
        <f t="shared" si="24"/>
        <v>88.435303751479751</v>
      </c>
      <c r="BA19" s="159">
        <f t="shared" si="8"/>
        <v>2.9176764084507036</v>
      </c>
      <c r="BB19" s="160">
        <f t="shared" si="9"/>
        <v>3.6547999999999998</v>
      </c>
      <c r="BC19" s="161">
        <f t="shared" si="10"/>
        <v>0.91540412699797158</v>
      </c>
      <c r="BD19" s="160">
        <f t="shared" si="25"/>
        <v>6.5724764084507035</v>
      </c>
      <c r="BE19" s="162">
        <v>0.874</v>
      </c>
      <c r="BF19" s="25">
        <f t="shared" si="26"/>
        <v>1229.58</v>
      </c>
      <c r="BG19" s="25">
        <f t="shared" si="11"/>
        <v>108.06451612903226</v>
      </c>
      <c r="BH19" s="25">
        <f t="shared" si="27"/>
        <v>1404.8387096774188</v>
      </c>
      <c r="BI19" s="26">
        <f t="shared" si="12"/>
        <v>1</v>
      </c>
      <c r="BJ19" s="37">
        <f t="shared" si="28"/>
        <v>1404.8387096774188</v>
      </c>
      <c r="BK19" s="38">
        <v>133.62200000000001</v>
      </c>
      <c r="BL19" s="31"/>
      <c r="BM19" s="31">
        <v>44.570999999999998</v>
      </c>
      <c r="BN19" s="234"/>
      <c r="BO19" s="42"/>
      <c r="BP19" s="40">
        <v>8.1349999999999998</v>
      </c>
      <c r="BQ19" s="411">
        <v>16.204000000000001</v>
      </c>
      <c r="BR19" s="33">
        <v>0.47</v>
      </c>
      <c r="BS19" s="34"/>
      <c r="BT19" s="35">
        <v>0.25</v>
      </c>
      <c r="BU19" s="28"/>
      <c r="BV19" s="287"/>
      <c r="BW19" s="287">
        <v>0.63</v>
      </c>
      <c r="BX19" s="36"/>
      <c r="BY19" s="33">
        <v>37.65</v>
      </c>
      <c r="BZ19" s="34"/>
      <c r="CA19" s="35">
        <v>38.72</v>
      </c>
      <c r="CB19" s="405"/>
      <c r="CC19" s="404"/>
      <c r="CD19" s="235">
        <v>29.59</v>
      </c>
      <c r="CE19" s="413">
        <v>43.47</v>
      </c>
      <c r="CF19" s="41">
        <v>85.866</v>
      </c>
      <c r="CG19" s="41">
        <v>40.494999999999997</v>
      </c>
      <c r="CH19" s="30"/>
      <c r="CI19" s="32"/>
      <c r="CJ19" s="33">
        <v>1.39</v>
      </c>
      <c r="CK19" s="33">
        <v>1.39</v>
      </c>
      <c r="CL19" s="33"/>
      <c r="CM19" s="36"/>
      <c r="CN19" s="286"/>
      <c r="CO19" s="249">
        <f t="shared" si="13"/>
        <v>132.9939766</v>
      </c>
      <c r="CP19" s="12">
        <f t="shared" si="13"/>
        <v>0</v>
      </c>
      <c r="CQ19" s="12">
        <f t="shared" si="13"/>
        <v>44.4595725</v>
      </c>
      <c r="CR19" s="12">
        <f t="shared" si="13"/>
        <v>0</v>
      </c>
      <c r="CS19" s="11">
        <f t="shared" si="13"/>
        <v>0</v>
      </c>
      <c r="CT19" s="11">
        <f t="shared" si="13"/>
        <v>8.0837494999999997</v>
      </c>
      <c r="CU19" s="272">
        <f t="shared" si="13"/>
        <v>16.204000000000001</v>
      </c>
      <c r="CV19" s="249">
        <f t="shared" si="14"/>
        <v>84.672462600000003</v>
      </c>
      <c r="CW19" s="251">
        <f t="shared" si="14"/>
        <v>39.932119499999999</v>
      </c>
      <c r="CX19" s="249">
        <f t="shared" si="14"/>
        <v>0</v>
      </c>
      <c r="CY19" s="272">
        <f t="shared" si="14"/>
        <v>0</v>
      </c>
      <c r="CZ19" s="13"/>
      <c r="DA19" s="240">
        <f>(D19+'[2]июль 20'!D19)/(AY19+'[2]июль 20'!BA19)</f>
        <v>2.1538320209797974</v>
      </c>
      <c r="DB19" s="241">
        <f>(T19+'[2]июль 20'!R19)/(AY19+'[2]июль 20'!BA19)</f>
        <v>1.3765509949718278</v>
      </c>
      <c r="DD19" s="292">
        <f t="shared" si="15"/>
        <v>8.1920000000000002</v>
      </c>
      <c r="DE19" s="291">
        <v>0.11</v>
      </c>
      <c r="DF19" s="291">
        <v>12.19</v>
      </c>
      <c r="DG19" s="145">
        <f t="shared" si="16"/>
        <v>8.1829888000000004</v>
      </c>
      <c r="DH19" s="293">
        <f t="shared" si="29"/>
        <v>1.2978224495446267</v>
      </c>
      <c r="DJ19" s="322"/>
    </row>
    <row r="20" spans="1:114" s="76" customFormat="1" ht="16.5" customHeight="1" thickBot="1">
      <c r="A20" s="144">
        <v>14</v>
      </c>
      <c r="B20" s="122">
        <f>'[1]июль 20'!K19</f>
        <v>207.80799999999999</v>
      </c>
      <c r="C20" s="123">
        <f t="shared" si="17"/>
        <v>0.3221823991376655</v>
      </c>
      <c r="D20" s="145">
        <f t="shared" si="18"/>
        <v>207.13847920000001</v>
      </c>
      <c r="E20" s="125">
        <f t="shared" si="19"/>
        <v>37.942613181398215</v>
      </c>
      <c r="F20" s="146">
        <f t="shared" si="0"/>
        <v>2.2260986480386888</v>
      </c>
      <c r="G20" s="127"/>
      <c r="H20" s="126">
        <f t="shared" si="20"/>
        <v>2.0476784438473943</v>
      </c>
      <c r="I20" s="230">
        <f>'[1]июль 20'!AI19</f>
        <v>0</v>
      </c>
      <c r="J20" s="247">
        <f>'[1]июль 20'!AA19</f>
        <v>8.2249999999999996</v>
      </c>
      <c r="K20" s="464">
        <f>'[1]сентябрь 20'!AM19</f>
        <v>0</v>
      </c>
      <c r="L20" s="247">
        <f>'[1]июль 20'!AE19</f>
        <v>16.602</v>
      </c>
      <c r="M20" s="468">
        <f t="shared" si="21"/>
        <v>0.17842020419129501</v>
      </c>
      <c r="N20" s="403">
        <f>'[1]июль 20'!W19</f>
        <v>0</v>
      </c>
      <c r="O20" s="403">
        <f>'[1]июль 20'!AU19</f>
        <v>0</v>
      </c>
      <c r="P20" s="401">
        <f t="shared" si="1"/>
        <v>128.89500000000001</v>
      </c>
      <c r="Q20" s="122">
        <f>'[1]июль 20'!S19</f>
        <v>128.89500000000001</v>
      </c>
      <c r="R20" s="123">
        <f t="shared" si="22"/>
        <v>1.41</v>
      </c>
      <c r="S20" s="129">
        <v>2.3199999999999998</v>
      </c>
      <c r="T20" s="125">
        <f t="shared" si="2"/>
        <v>127.07758050000001</v>
      </c>
      <c r="U20" s="147">
        <f t="shared" si="3"/>
        <v>1.3656913541106934</v>
      </c>
      <c r="V20" s="130">
        <v>93.05</v>
      </c>
      <c r="W20" s="130">
        <v>93.05</v>
      </c>
      <c r="X20" s="129">
        <v>0.42</v>
      </c>
      <c r="Y20" s="131">
        <v>565</v>
      </c>
      <c r="Z20" s="150">
        <v>1164</v>
      </c>
      <c r="AA20" s="168" t="s">
        <v>330</v>
      </c>
      <c r="AB20" s="149">
        <v>76.67</v>
      </c>
      <c r="AC20" s="150">
        <v>83</v>
      </c>
      <c r="AD20" s="151">
        <v>4</v>
      </c>
      <c r="AE20" s="149"/>
      <c r="AF20" s="134">
        <f t="shared" si="4"/>
        <v>0</v>
      </c>
      <c r="AG20" s="152"/>
      <c r="AH20" s="129">
        <v>71.400000000000006</v>
      </c>
      <c r="AI20" s="134">
        <f t="shared" si="5"/>
        <v>767.3293927995702</v>
      </c>
      <c r="AJ20" s="153">
        <v>16.309999999999999</v>
      </c>
      <c r="AK20" s="154"/>
      <c r="AL20" s="155">
        <v>5.18</v>
      </c>
      <c r="AM20" s="478">
        <v>30.57</v>
      </c>
      <c r="AN20" s="126">
        <f t="shared" si="23"/>
        <v>0.24023575638506878</v>
      </c>
      <c r="AO20" s="157" t="s">
        <v>348</v>
      </c>
      <c r="AP20" s="156">
        <v>8.09</v>
      </c>
      <c r="AQ20" s="156">
        <v>8.59</v>
      </c>
      <c r="AR20" s="149"/>
      <c r="AS20" s="149">
        <v>7.42</v>
      </c>
      <c r="AT20" s="149">
        <v>127.25</v>
      </c>
      <c r="AU20" s="149">
        <v>1.55</v>
      </c>
      <c r="AV20" s="149"/>
      <c r="AW20" s="149"/>
      <c r="AX20" s="158">
        <f t="shared" si="6"/>
        <v>0</v>
      </c>
      <c r="AY20" s="125">
        <f t="shared" si="7"/>
        <v>93.05</v>
      </c>
      <c r="AZ20" s="125">
        <f t="shared" si="24"/>
        <v>90.883691365300308</v>
      </c>
      <c r="BA20" s="159">
        <f t="shared" si="8"/>
        <v>4.1039915492957748</v>
      </c>
      <c r="BB20" s="160">
        <f t="shared" si="9"/>
        <v>3.722</v>
      </c>
      <c r="BC20" s="161">
        <f t="shared" si="10"/>
        <v>0.90772400176614676</v>
      </c>
      <c r="BD20" s="160">
        <f t="shared" si="25"/>
        <v>7.8259915492957752</v>
      </c>
      <c r="BE20" s="162">
        <v>0.877</v>
      </c>
      <c r="BF20" s="25">
        <f t="shared" si="26"/>
        <v>1322.6299999999999</v>
      </c>
      <c r="BG20" s="25">
        <f t="shared" si="11"/>
        <v>108.06451612903226</v>
      </c>
      <c r="BH20" s="25">
        <f t="shared" si="27"/>
        <v>1512.903225806451</v>
      </c>
      <c r="BI20" s="26">
        <f t="shared" si="12"/>
        <v>1</v>
      </c>
      <c r="BJ20" s="37">
        <f t="shared" si="28"/>
        <v>1512.903225806451</v>
      </c>
      <c r="BK20" s="38">
        <v>136.923</v>
      </c>
      <c r="BL20" s="31"/>
      <c r="BM20" s="31">
        <v>45.698999999999998</v>
      </c>
      <c r="BN20" s="234"/>
      <c r="BO20" s="42"/>
      <c r="BP20" s="40">
        <v>8.5839999999999996</v>
      </c>
      <c r="BQ20" s="411">
        <v>16.602</v>
      </c>
      <c r="BR20" s="33">
        <v>0.38</v>
      </c>
      <c r="BS20" s="34"/>
      <c r="BT20" s="35">
        <v>0.18</v>
      </c>
      <c r="BU20" s="28"/>
      <c r="BV20" s="287"/>
      <c r="BW20" s="287">
        <v>0.78</v>
      </c>
      <c r="BX20" s="36"/>
      <c r="BY20" s="33">
        <v>37.71</v>
      </c>
      <c r="BZ20" s="34"/>
      <c r="CA20" s="35">
        <v>37.770000000000003</v>
      </c>
      <c r="CB20" s="405"/>
      <c r="CC20" s="404"/>
      <c r="CD20" s="235">
        <v>31.05</v>
      </c>
      <c r="CE20" s="413">
        <v>43.9</v>
      </c>
      <c r="CF20" s="30">
        <v>87.397000000000006</v>
      </c>
      <c r="CG20" s="30">
        <v>41.497999999999998</v>
      </c>
      <c r="CH20" s="31"/>
      <c r="CI20" s="32"/>
      <c r="CJ20" s="33">
        <v>1.41</v>
      </c>
      <c r="CK20" s="33">
        <v>1.41</v>
      </c>
      <c r="CL20" s="35"/>
      <c r="CM20" s="36"/>
      <c r="CN20" s="286"/>
      <c r="CO20" s="249">
        <f t="shared" si="13"/>
        <v>136.40269260000002</v>
      </c>
      <c r="CP20" s="12">
        <f t="shared" si="13"/>
        <v>0</v>
      </c>
      <c r="CQ20" s="12">
        <f t="shared" si="13"/>
        <v>45.6167418</v>
      </c>
      <c r="CR20" s="12">
        <f t="shared" si="13"/>
        <v>0</v>
      </c>
      <c r="CS20" s="11">
        <f t="shared" si="13"/>
        <v>0</v>
      </c>
      <c r="CT20" s="11">
        <f t="shared" si="13"/>
        <v>8.517044799999999</v>
      </c>
      <c r="CU20" s="272">
        <f t="shared" si="13"/>
        <v>16.602</v>
      </c>
      <c r="CV20" s="249">
        <f t="shared" si="14"/>
        <v>86.164702300000002</v>
      </c>
      <c r="CW20" s="12">
        <f t="shared" si="14"/>
        <v>40.912878199999994</v>
      </c>
      <c r="CX20" s="249">
        <f t="shared" si="14"/>
        <v>0</v>
      </c>
      <c r="CY20" s="272">
        <f t="shared" si="14"/>
        <v>0</v>
      </c>
      <c r="CZ20" s="13"/>
      <c r="DA20" s="240">
        <f>(D20+'[2]июль 20'!D20)/(AY20+'[2]июль 20'!BA20)</f>
        <v>2.1377014424852496</v>
      </c>
      <c r="DB20" s="241">
        <f>(T20+'[2]июль 20'!R20)/(AY20+'[2]июль 20'!BA20)</f>
        <v>1.358750026316212</v>
      </c>
      <c r="DD20" s="292">
        <f t="shared" si="15"/>
        <v>8.2249999999999996</v>
      </c>
      <c r="DE20" s="291">
        <v>0.1</v>
      </c>
      <c r="DF20" s="407">
        <v>13</v>
      </c>
      <c r="DG20" s="145">
        <f t="shared" si="16"/>
        <v>8.2167750000000002</v>
      </c>
      <c r="DH20" s="293">
        <f t="shared" si="29"/>
        <v>1.3932186644058953</v>
      </c>
      <c r="DJ20" s="322"/>
    </row>
    <row r="21" spans="1:114" s="76" customFormat="1" ht="16.5" customHeight="1" thickBot="1">
      <c r="A21" s="144">
        <v>15</v>
      </c>
      <c r="B21" s="122">
        <f>'[1]июль 20'!K20</f>
        <v>222.01300000000001</v>
      </c>
      <c r="C21" s="123">
        <f t="shared" si="17"/>
        <v>0.41802353916212109</v>
      </c>
      <c r="D21" s="145">
        <f t="shared" si="18"/>
        <v>221.08493340000001</v>
      </c>
      <c r="E21" s="125">
        <f t="shared" si="19"/>
        <v>37.208199745059972</v>
      </c>
      <c r="F21" s="146">
        <f t="shared" si="0"/>
        <v>2.428170602965404</v>
      </c>
      <c r="G21" s="127"/>
      <c r="H21" s="126">
        <f t="shared" si="20"/>
        <v>2.2318059681493683</v>
      </c>
      <c r="I21" s="230">
        <f>'[1]июль 20'!AI20</f>
        <v>0</v>
      </c>
      <c r="J21" s="247">
        <f>'[1]июль 20'!AA20</f>
        <v>9.0169999999999995</v>
      </c>
      <c r="K21" s="465">
        <f>'[1]сентябрь 20'!AM20</f>
        <v>0</v>
      </c>
      <c r="L21" s="247">
        <f>'[1]июль 20'!AE20</f>
        <v>17.879000000000001</v>
      </c>
      <c r="M21" s="469">
        <f t="shared" si="21"/>
        <v>0.19636463481603517</v>
      </c>
      <c r="N21" s="403">
        <f>'[1]июль 20'!W20</f>
        <v>0</v>
      </c>
      <c r="O21" s="403">
        <f>'[1]июль 20'!AU20</f>
        <v>0</v>
      </c>
      <c r="P21" s="401">
        <f t="shared" si="1"/>
        <v>138.80000000000001</v>
      </c>
      <c r="Q21" s="122">
        <f>'[1]июль 20'!S20</f>
        <v>138.80000000000001</v>
      </c>
      <c r="R21" s="123">
        <f t="shared" si="22"/>
        <v>1.39</v>
      </c>
      <c r="S21" s="129">
        <v>2.15</v>
      </c>
      <c r="T21" s="125">
        <f t="shared" si="2"/>
        <v>136.87068000000002</v>
      </c>
      <c r="U21" s="147">
        <f t="shared" si="3"/>
        <v>1.5032474464579904</v>
      </c>
      <c r="V21" s="130">
        <v>91.05</v>
      </c>
      <c r="W21" s="130">
        <v>72</v>
      </c>
      <c r="X21" s="129">
        <v>0.73</v>
      </c>
      <c r="Y21" s="131">
        <v>568</v>
      </c>
      <c r="Z21" s="150">
        <v>1150</v>
      </c>
      <c r="AA21" s="168" t="s">
        <v>280</v>
      </c>
      <c r="AB21" s="149">
        <v>76.27</v>
      </c>
      <c r="AC21" s="150">
        <v>89</v>
      </c>
      <c r="AD21" s="151">
        <v>4</v>
      </c>
      <c r="AE21" s="149"/>
      <c r="AF21" s="134">
        <f t="shared" si="4"/>
        <v>0</v>
      </c>
      <c r="AG21" s="152"/>
      <c r="AH21" s="129">
        <v>55.5</v>
      </c>
      <c r="AI21" s="134">
        <f t="shared" si="5"/>
        <v>609.55518945634265</v>
      </c>
      <c r="AJ21" s="136">
        <v>15.44</v>
      </c>
      <c r="AK21" s="154"/>
      <c r="AL21" s="155">
        <v>4.8</v>
      </c>
      <c r="AM21" s="478">
        <v>24.37</v>
      </c>
      <c r="AN21" s="126">
        <f t="shared" si="23"/>
        <v>0.20487599831862127</v>
      </c>
      <c r="AO21" s="157" t="s">
        <v>349</v>
      </c>
      <c r="AP21" s="156">
        <v>8.35</v>
      </c>
      <c r="AQ21" s="156">
        <v>8.06</v>
      </c>
      <c r="AR21" s="149"/>
      <c r="AS21" s="149">
        <v>6.74</v>
      </c>
      <c r="AT21" s="149">
        <v>118.95</v>
      </c>
      <c r="AU21" s="149">
        <v>1.27</v>
      </c>
      <c r="AV21" s="149"/>
      <c r="AW21" s="149"/>
      <c r="AX21" s="158">
        <f t="shared" si="6"/>
        <v>0</v>
      </c>
      <c r="AY21" s="125">
        <f t="shared" si="7"/>
        <v>91.05</v>
      </c>
      <c r="AZ21" s="125">
        <f t="shared" si="24"/>
        <v>95.551406153258569</v>
      </c>
      <c r="BA21" s="159">
        <f t="shared" si="8"/>
        <v>2.8977253521126758</v>
      </c>
      <c r="BB21" s="160">
        <f t="shared" si="9"/>
        <v>3.6419999999999999</v>
      </c>
      <c r="BC21" s="161">
        <f t="shared" si="10"/>
        <v>0.84418161861004881</v>
      </c>
      <c r="BD21" s="160">
        <f t="shared" si="25"/>
        <v>6.5397253521126757</v>
      </c>
      <c r="BE21" s="162">
        <v>0.874</v>
      </c>
      <c r="BF21" s="25">
        <f t="shared" si="26"/>
        <v>1413.6799999999998</v>
      </c>
      <c r="BG21" s="25">
        <f t="shared" si="11"/>
        <v>108.06451612903226</v>
      </c>
      <c r="BH21" s="25">
        <f t="shared" si="27"/>
        <v>1620.9677419354832</v>
      </c>
      <c r="BI21" s="26">
        <f t="shared" si="12"/>
        <v>1</v>
      </c>
      <c r="BJ21" s="37">
        <f t="shared" si="28"/>
        <v>1620.9677419354832</v>
      </c>
      <c r="BK21" s="38">
        <v>146.46199999999999</v>
      </c>
      <c r="BL21" s="31"/>
      <c r="BM21" s="31">
        <v>48.963999999999999</v>
      </c>
      <c r="BN21" s="234"/>
      <c r="BO21" s="42"/>
      <c r="BP21" s="40">
        <v>8.7080000000000002</v>
      </c>
      <c r="BQ21" s="411">
        <v>17.879000000000001</v>
      </c>
      <c r="BR21" s="33">
        <v>0.53</v>
      </c>
      <c r="BS21" s="34"/>
      <c r="BT21" s="35">
        <v>0.15</v>
      </c>
      <c r="BU21" s="35"/>
      <c r="BV21" s="235"/>
      <c r="BW21" s="235">
        <v>0.9</v>
      </c>
      <c r="BX21" s="36"/>
      <c r="BY21" s="33">
        <v>37.1</v>
      </c>
      <c r="BZ21" s="34"/>
      <c r="CA21" s="35">
        <v>36.5</v>
      </c>
      <c r="CB21" s="405"/>
      <c r="CC21" s="404"/>
      <c r="CD21" s="235">
        <v>30.4</v>
      </c>
      <c r="CE21" s="413">
        <v>43.35</v>
      </c>
      <c r="CF21" s="30">
        <v>94.299000000000007</v>
      </c>
      <c r="CG21" s="30">
        <v>44.500999999999998</v>
      </c>
      <c r="CH21" s="31"/>
      <c r="CI21" s="32"/>
      <c r="CJ21" s="33">
        <v>1.39</v>
      </c>
      <c r="CK21" s="33">
        <v>1.39</v>
      </c>
      <c r="CL21" s="35"/>
      <c r="CM21" s="36"/>
      <c r="CN21" s="286"/>
      <c r="CO21" s="249">
        <f t="shared" si="13"/>
        <v>145.68575139999999</v>
      </c>
      <c r="CP21" s="12">
        <f t="shared" si="13"/>
        <v>0</v>
      </c>
      <c r="CQ21" s="12">
        <f t="shared" si="13"/>
        <v>48.890553999999995</v>
      </c>
      <c r="CR21" s="12">
        <f t="shared" si="13"/>
        <v>0</v>
      </c>
      <c r="CS21" s="11">
        <f t="shared" si="13"/>
        <v>0</v>
      </c>
      <c r="CT21" s="11">
        <f t="shared" si="13"/>
        <v>8.6296280000000003</v>
      </c>
      <c r="CU21" s="272">
        <f t="shared" si="13"/>
        <v>17.879000000000001</v>
      </c>
      <c r="CV21" s="249">
        <f t="shared" si="14"/>
        <v>92.988243900000001</v>
      </c>
      <c r="CW21" s="12">
        <f t="shared" si="14"/>
        <v>43.8824361</v>
      </c>
      <c r="CX21" s="249">
        <f t="shared" si="14"/>
        <v>0</v>
      </c>
      <c r="CY21" s="272">
        <f t="shared" si="14"/>
        <v>0</v>
      </c>
      <c r="CZ21" s="13"/>
      <c r="DA21" s="240">
        <f>(D21+'[2]июль 20'!D21)/(AY21+'[2]июль 20'!BA21)</f>
        <v>2.3700335229619172</v>
      </c>
      <c r="DB21" s="241">
        <f>(T21+'[2]июль 20'!R21)/(AY21+'[2]июль 20'!BA21)</f>
        <v>1.5065727680739938</v>
      </c>
      <c r="DD21" s="292">
        <f t="shared" si="15"/>
        <v>9.0169999999999995</v>
      </c>
      <c r="DE21" s="291">
        <v>0.05</v>
      </c>
      <c r="DF21" s="291">
        <v>11.79</v>
      </c>
      <c r="DG21" s="145">
        <f t="shared" si="16"/>
        <v>9.0124914999999994</v>
      </c>
      <c r="DH21" s="293">
        <f t="shared" si="29"/>
        <v>1.3931726076438966</v>
      </c>
      <c r="DJ21" s="322"/>
    </row>
    <row r="22" spans="1:114" s="76" customFormat="1" ht="16.5" customHeight="1" thickBot="1">
      <c r="A22" s="144">
        <v>16</v>
      </c>
      <c r="B22" s="122">
        <f>'[1]июль 20'!K21</f>
        <v>212.93100000000001</v>
      </c>
      <c r="C22" s="123">
        <f t="shared" si="17"/>
        <v>0.220372984675787</v>
      </c>
      <c r="D22" s="145">
        <f t="shared" si="18"/>
        <v>212.4617576</v>
      </c>
      <c r="E22" s="125">
        <f t="shared" si="19"/>
        <v>37.987184909665572</v>
      </c>
      <c r="F22" s="146">
        <f t="shared" si="0"/>
        <v>2.211300557868443</v>
      </c>
      <c r="G22" s="127"/>
      <c r="H22" s="126">
        <f t="shared" si="20"/>
        <v>2.0300661698584515</v>
      </c>
      <c r="I22" s="230">
        <f>'[1]июль 20'!AI21</f>
        <v>0</v>
      </c>
      <c r="J22" s="247">
        <f>'[1]июль 20'!AA21</f>
        <v>8.4280000000000008</v>
      </c>
      <c r="K22" s="464">
        <f>'[1]сентябрь 20'!AM21</f>
        <v>0</v>
      </c>
      <c r="L22" s="247">
        <f>'[1]июль 20'!AE21</f>
        <v>17.413</v>
      </c>
      <c r="M22" s="468">
        <f t="shared" si="21"/>
        <v>0.18123438800999167</v>
      </c>
      <c r="N22" s="403">
        <f>'[1]июль 20'!W21</f>
        <v>0</v>
      </c>
      <c r="O22" s="403">
        <f>'[1]июль 20'!AU21</f>
        <v>0</v>
      </c>
      <c r="P22" s="401">
        <f t="shared" si="1"/>
        <v>131.417</v>
      </c>
      <c r="Q22" s="122">
        <f>'[1]июль 20'!S21</f>
        <v>131.417</v>
      </c>
      <c r="R22" s="123">
        <f t="shared" si="22"/>
        <v>1.39</v>
      </c>
      <c r="S22" s="129">
        <v>1.65</v>
      </c>
      <c r="T22" s="125">
        <f t="shared" si="2"/>
        <v>129.59030369999999</v>
      </c>
      <c r="U22" s="147">
        <f t="shared" si="3"/>
        <v>1.3487750176935887</v>
      </c>
      <c r="V22" s="130">
        <v>96.08</v>
      </c>
      <c r="W22" s="130">
        <v>70.989999999999995</v>
      </c>
      <c r="X22" s="129">
        <v>0.63</v>
      </c>
      <c r="Y22" s="131">
        <v>573</v>
      </c>
      <c r="Z22" s="150">
        <v>1157</v>
      </c>
      <c r="AA22" s="148" t="s">
        <v>330</v>
      </c>
      <c r="AB22" s="149">
        <v>76.456000000000003</v>
      </c>
      <c r="AC22" s="150">
        <v>85</v>
      </c>
      <c r="AD22" s="151">
        <v>4</v>
      </c>
      <c r="AE22" s="149"/>
      <c r="AF22" s="134">
        <f t="shared" si="4"/>
        <v>0</v>
      </c>
      <c r="AG22" s="152"/>
      <c r="AH22" s="129">
        <v>69.2</v>
      </c>
      <c r="AI22" s="134">
        <f t="shared" si="5"/>
        <v>720.23313905079101</v>
      </c>
      <c r="AJ22" s="153">
        <v>16.07</v>
      </c>
      <c r="AK22" s="154"/>
      <c r="AL22" s="155">
        <v>5.17</v>
      </c>
      <c r="AM22" s="478">
        <v>23.42</v>
      </c>
      <c r="AN22" s="126">
        <f t="shared" si="23"/>
        <v>0.1899432278994323</v>
      </c>
      <c r="AO22" s="157" t="s">
        <v>350</v>
      </c>
      <c r="AP22" s="156">
        <v>8.1300000000000008</v>
      </c>
      <c r="AQ22" s="156">
        <v>8.35</v>
      </c>
      <c r="AR22" s="151"/>
      <c r="AS22" s="149">
        <v>7.42</v>
      </c>
      <c r="AT22" s="149">
        <v>123.3</v>
      </c>
      <c r="AU22" s="149">
        <v>1.37</v>
      </c>
      <c r="AV22" s="149"/>
      <c r="AW22" s="149"/>
      <c r="AX22" s="158">
        <f t="shared" si="6"/>
        <v>0</v>
      </c>
      <c r="AY22" s="125">
        <f t="shared" si="7"/>
        <v>96.08</v>
      </c>
      <c r="AZ22" s="125">
        <f t="shared" si="24"/>
        <v>92.862764621643947</v>
      </c>
      <c r="BA22" s="159">
        <f t="shared" si="8"/>
        <v>3.9775380281690147</v>
      </c>
      <c r="BB22" s="160">
        <f t="shared" si="9"/>
        <v>3.8431999999999999</v>
      </c>
      <c r="BC22" s="161">
        <f t="shared" si="10"/>
        <v>0.91017873940751159</v>
      </c>
      <c r="BD22" s="160">
        <f t="shared" si="25"/>
        <v>7.8207380281690142</v>
      </c>
      <c r="BE22" s="162">
        <v>0.877</v>
      </c>
      <c r="BF22" s="25">
        <f t="shared" si="26"/>
        <v>1509.7599999999998</v>
      </c>
      <c r="BG22" s="25">
        <f t="shared" si="11"/>
        <v>108.06451612903226</v>
      </c>
      <c r="BH22" s="25">
        <f t="shared" si="27"/>
        <v>1729.0322580645154</v>
      </c>
      <c r="BI22" s="26">
        <f t="shared" si="12"/>
        <v>1</v>
      </c>
      <c r="BJ22" s="37">
        <f t="shared" si="28"/>
        <v>1729.0322580645154</v>
      </c>
      <c r="BK22" s="38">
        <v>140.24600000000001</v>
      </c>
      <c r="BL22" s="31"/>
      <c r="BM22" s="31">
        <v>46.786000000000001</v>
      </c>
      <c r="BN22" s="234"/>
      <c r="BO22" s="42"/>
      <c r="BP22" s="40">
        <v>8.4860000000000007</v>
      </c>
      <c r="BQ22" s="411">
        <v>17.413</v>
      </c>
      <c r="BR22" s="33">
        <v>0.16</v>
      </c>
      <c r="BS22" s="34"/>
      <c r="BT22" s="35">
        <v>0.4</v>
      </c>
      <c r="BU22" s="35"/>
      <c r="BV22" s="235"/>
      <c r="BW22" s="235">
        <v>0.68</v>
      </c>
      <c r="BX22" s="36"/>
      <c r="BY22" s="33">
        <v>37.43</v>
      </c>
      <c r="BZ22" s="34"/>
      <c r="CA22" s="35">
        <v>38.21</v>
      </c>
      <c r="CB22" s="405"/>
      <c r="CC22" s="404"/>
      <c r="CD22" s="235">
        <v>34.06</v>
      </c>
      <c r="CE22" s="413">
        <v>43.79</v>
      </c>
      <c r="CF22" s="30">
        <v>88.918999999999997</v>
      </c>
      <c r="CG22" s="30">
        <v>42.497999999999998</v>
      </c>
      <c r="CH22" s="31"/>
      <c r="CI22" s="32"/>
      <c r="CJ22" s="33">
        <v>1.39</v>
      </c>
      <c r="CK22" s="33">
        <v>1.39</v>
      </c>
      <c r="CL22" s="35"/>
      <c r="CM22" s="36"/>
      <c r="CN22" s="286"/>
      <c r="CO22" s="249">
        <f t="shared" si="13"/>
        <v>140.02160640000002</v>
      </c>
      <c r="CP22" s="12">
        <f t="shared" si="13"/>
        <v>0</v>
      </c>
      <c r="CQ22" s="12">
        <f t="shared" si="13"/>
        <v>46.598855999999998</v>
      </c>
      <c r="CR22" s="12">
        <f t="shared" si="13"/>
        <v>0</v>
      </c>
      <c r="CS22" s="11">
        <f t="shared" si="13"/>
        <v>0</v>
      </c>
      <c r="CT22" s="11">
        <f t="shared" si="13"/>
        <v>8.4282952000000009</v>
      </c>
      <c r="CU22" s="272">
        <f t="shared" si="13"/>
        <v>17.413</v>
      </c>
      <c r="CV22" s="249">
        <f t="shared" si="14"/>
        <v>87.68302589999999</v>
      </c>
      <c r="CW22" s="12">
        <f t="shared" si="14"/>
        <v>41.907277799999996</v>
      </c>
      <c r="CX22" s="249">
        <f t="shared" si="14"/>
        <v>0</v>
      </c>
      <c r="CY22" s="272">
        <f t="shared" si="14"/>
        <v>0</v>
      </c>
      <c r="CZ22" s="13"/>
      <c r="DA22" s="240">
        <f>(D22+'[2]июль 20'!D22)/(AY22+'[2]июль 20'!BA22)</f>
        <v>2.2401387548417295</v>
      </c>
      <c r="DB22" s="241">
        <f>(T22+'[2]июль 20'!R22)/(AY22+'[2]июль 20'!BA22)</f>
        <v>1.4050958531578577</v>
      </c>
      <c r="DD22" s="292">
        <f t="shared" si="15"/>
        <v>8.4280000000000008</v>
      </c>
      <c r="DE22" s="291">
        <v>0.04</v>
      </c>
      <c r="DF22" s="291">
        <v>6.42</v>
      </c>
      <c r="DG22" s="145">
        <f t="shared" si="16"/>
        <v>8.4246288000000007</v>
      </c>
      <c r="DH22" s="293">
        <f t="shared" si="29"/>
        <v>0.70741494318300724</v>
      </c>
      <c r="DJ22" s="322"/>
    </row>
    <row r="23" spans="1:114" s="76" customFormat="1" ht="16.5" customHeight="1" thickBot="1">
      <c r="A23" s="144">
        <v>17</v>
      </c>
      <c r="B23" s="122">
        <f>'[1]июль 20'!K22</f>
        <v>195.047</v>
      </c>
      <c r="C23" s="123">
        <f t="shared" si="17"/>
        <v>0.32827820986736528</v>
      </c>
      <c r="D23" s="145">
        <f t="shared" si="18"/>
        <v>194.40670320000001</v>
      </c>
      <c r="E23" s="125">
        <f t="shared" si="19"/>
        <v>37.660274139053669</v>
      </c>
      <c r="F23" s="146">
        <f t="shared" si="0"/>
        <v>1.9744739305301644</v>
      </c>
      <c r="G23" s="127"/>
      <c r="H23" s="126">
        <f t="shared" si="20"/>
        <v>1.8156175421490959</v>
      </c>
      <c r="I23" s="230">
        <f>'[1]июль 20'!AI22</f>
        <v>0</v>
      </c>
      <c r="J23" s="247">
        <f>'[1]июль 20'!AA22</f>
        <v>8.0190000000000001</v>
      </c>
      <c r="K23" s="465">
        <f>'[1]сентябрь 20'!AM22</f>
        <v>0</v>
      </c>
      <c r="L23" s="247">
        <f>'[1]июль 20'!AE22</f>
        <v>15.641</v>
      </c>
      <c r="M23" s="469">
        <f t="shared" si="21"/>
        <v>0.15885638838106844</v>
      </c>
      <c r="N23" s="403">
        <f>'[1]июль 20'!W22</f>
        <v>0</v>
      </c>
      <c r="O23" s="403">
        <f>'[1]июль 20'!AU22</f>
        <v>0</v>
      </c>
      <c r="P23" s="401">
        <f t="shared" si="1"/>
        <v>120.92000000000002</v>
      </c>
      <c r="Q23" s="122">
        <f>'[1]июль 20'!S22</f>
        <v>120.92</v>
      </c>
      <c r="R23" s="123">
        <f t="shared" si="22"/>
        <v>1.45</v>
      </c>
      <c r="S23" s="129">
        <v>16.78</v>
      </c>
      <c r="T23" s="125">
        <f t="shared" si="2"/>
        <v>119.16665999999999</v>
      </c>
      <c r="U23" s="147">
        <f t="shared" si="3"/>
        <v>1.210305301645338</v>
      </c>
      <c r="V23" s="130">
        <v>98.46</v>
      </c>
      <c r="W23" s="130">
        <v>98.46</v>
      </c>
      <c r="X23" s="129">
        <v>0.7</v>
      </c>
      <c r="Y23" s="131">
        <v>545</v>
      </c>
      <c r="Z23" s="150">
        <v>1150</v>
      </c>
      <c r="AA23" s="148" t="s">
        <v>280</v>
      </c>
      <c r="AB23" s="149">
        <v>76.19</v>
      </c>
      <c r="AC23" s="150">
        <v>78</v>
      </c>
      <c r="AD23" s="151">
        <v>4</v>
      </c>
      <c r="AE23" s="149"/>
      <c r="AF23" s="134">
        <f t="shared" si="4"/>
        <v>0</v>
      </c>
      <c r="AG23" s="152"/>
      <c r="AH23" s="129">
        <v>61.6</v>
      </c>
      <c r="AI23" s="134">
        <f t="shared" si="5"/>
        <v>625.63477554336794</v>
      </c>
      <c r="AJ23" s="136">
        <v>15.31</v>
      </c>
      <c r="AK23" s="154"/>
      <c r="AL23" s="155">
        <v>5.74</v>
      </c>
      <c r="AM23" s="478">
        <v>23.17</v>
      </c>
      <c r="AN23" s="126">
        <f t="shared" si="23"/>
        <v>0.18367023384859296</v>
      </c>
      <c r="AO23" s="157" t="s">
        <v>351</v>
      </c>
      <c r="AP23" s="156">
        <v>8.31</v>
      </c>
      <c r="AQ23" s="156">
        <v>8.24</v>
      </c>
      <c r="AR23" s="151"/>
      <c r="AS23" s="149">
        <v>6.64</v>
      </c>
      <c r="AT23" s="149">
        <v>126.15</v>
      </c>
      <c r="AU23" s="149">
        <v>1.22</v>
      </c>
      <c r="AV23" s="149"/>
      <c r="AW23" s="149"/>
      <c r="AX23" s="158">
        <f t="shared" si="6"/>
        <v>0</v>
      </c>
      <c r="AY23" s="125">
        <f t="shared" si="7"/>
        <v>98.460000000000008</v>
      </c>
      <c r="AZ23" s="125">
        <f t="shared" si="24"/>
        <v>84.813970315513501</v>
      </c>
      <c r="BA23" s="159">
        <f t="shared" si="8"/>
        <v>3.1684957746478868</v>
      </c>
      <c r="BB23" s="160">
        <f t="shared" si="9"/>
        <v>3.9384000000000006</v>
      </c>
      <c r="BC23" s="161">
        <f t="shared" si="10"/>
        <v>1.0246206221880803</v>
      </c>
      <c r="BD23" s="160">
        <f t="shared" si="25"/>
        <v>7.1068957746478869</v>
      </c>
      <c r="BE23" s="162">
        <v>0.88500000000000001</v>
      </c>
      <c r="BF23" s="25">
        <f t="shared" si="26"/>
        <v>1608.2199999999998</v>
      </c>
      <c r="BG23" s="25">
        <f t="shared" si="11"/>
        <v>108.06451612903226</v>
      </c>
      <c r="BH23" s="25">
        <f t="shared" si="27"/>
        <v>1837.0967741935476</v>
      </c>
      <c r="BI23" s="26">
        <f t="shared" si="12"/>
        <v>1</v>
      </c>
      <c r="BJ23" s="37">
        <f t="shared" si="28"/>
        <v>1837.0967741935476</v>
      </c>
      <c r="BK23" s="38">
        <v>128.59700000000001</v>
      </c>
      <c r="BL23" s="31"/>
      <c r="BM23" s="31">
        <v>42.984000000000002</v>
      </c>
      <c r="BN23" s="234"/>
      <c r="BO23" s="42"/>
      <c r="BP23" s="40">
        <v>7.8250000000000002</v>
      </c>
      <c r="BQ23" s="411">
        <v>15.641</v>
      </c>
      <c r="BR23" s="33">
        <v>0.3</v>
      </c>
      <c r="BS23" s="34"/>
      <c r="BT23" s="35">
        <v>0.37</v>
      </c>
      <c r="BU23" s="35"/>
      <c r="BV23" s="235"/>
      <c r="BW23" s="235">
        <v>1.22</v>
      </c>
      <c r="BX23" s="36"/>
      <c r="BY23" s="33">
        <v>37.49</v>
      </c>
      <c r="BZ23" s="34"/>
      <c r="CA23" s="35">
        <v>37.369999999999997</v>
      </c>
      <c r="CB23" s="405"/>
      <c r="CC23" s="404"/>
      <c r="CD23" s="235">
        <v>31.02</v>
      </c>
      <c r="CE23" s="413">
        <v>43.18</v>
      </c>
      <c r="CF23" s="30">
        <v>81.912000000000006</v>
      </c>
      <c r="CG23" s="30">
        <v>39.008000000000003</v>
      </c>
      <c r="CH23" s="31"/>
      <c r="CI23" s="32"/>
      <c r="CJ23" s="33">
        <v>1.45</v>
      </c>
      <c r="CK23" s="33">
        <v>1.45</v>
      </c>
      <c r="CL23" s="35"/>
      <c r="CM23" s="36"/>
      <c r="CN23" s="286"/>
      <c r="CO23" s="249">
        <f t="shared" ref="CO23:CU37" si="30">BK23*((100-BR23)/100)</f>
        <v>128.211209</v>
      </c>
      <c r="CP23" s="12">
        <f t="shared" si="30"/>
        <v>0</v>
      </c>
      <c r="CQ23" s="12">
        <f t="shared" si="30"/>
        <v>42.824959200000002</v>
      </c>
      <c r="CR23" s="12">
        <f t="shared" si="30"/>
        <v>0</v>
      </c>
      <c r="CS23" s="11">
        <f t="shared" si="30"/>
        <v>0</v>
      </c>
      <c r="CT23" s="11">
        <f t="shared" si="30"/>
        <v>7.7295350000000003</v>
      </c>
      <c r="CU23" s="272">
        <f t="shared" si="30"/>
        <v>15.641</v>
      </c>
      <c r="CV23" s="249">
        <f t="shared" si="14"/>
        <v>80.724276000000003</v>
      </c>
      <c r="CW23" s="11">
        <f t="shared" si="14"/>
        <v>38.442383999999997</v>
      </c>
      <c r="CX23" s="249">
        <f t="shared" si="14"/>
        <v>0</v>
      </c>
      <c r="CY23" s="272">
        <f t="shared" si="14"/>
        <v>0</v>
      </c>
      <c r="CZ23" s="13"/>
      <c r="DA23" s="240">
        <f>(D23+'[2]июль 20'!D23)/(AY23+'[2]июль 20'!BA23)</f>
        <v>2.0891925526475661</v>
      </c>
      <c r="DB23" s="241">
        <f>(T23+'[2]июль 20'!R23)/(AY23+'[2]июль 20'!BA23)</f>
        <v>1.310903127766881</v>
      </c>
      <c r="DD23" s="292">
        <f t="shared" si="15"/>
        <v>8.0190000000000001</v>
      </c>
      <c r="DE23" s="291">
        <v>0.03</v>
      </c>
      <c r="DF23" s="291">
        <v>8.7799999999999994</v>
      </c>
      <c r="DG23" s="145">
        <f t="shared" si="16"/>
        <v>8.0165942999999995</v>
      </c>
      <c r="DH23" s="293">
        <f t="shared" si="29"/>
        <v>0.92381805950912166</v>
      </c>
      <c r="DJ23" s="322"/>
    </row>
    <row r="24" spans="1:114" s="76" customFormat="1" ht="16.5" customHeight="1" thickBot="1">
      <c r="A24" s="144">
        <v>18</v>
      </c>
      <c r="B24" s="122">
        <f>'[1]июль 20'!K23</f>
        <v>227.7</v>
      </c>
      <c r="C24" s="123">
        <f t="shared" si="17"/>
        <v>0.368122178304787</v>
      </c>
      <c r="D24" s="145">
        <f t="shared" si="18"/>
        <v>226.86178579999998</v>
      </c>
      <c r="E24" s="125">
        <f t="shared" si="19"/>
        <v>37.739286693017135</v>
      </c>
      <c r="F24" s="146">
        <f t="shared" si="0"/>
        <v>2.4726080196185278</v>
      </c>
      <c r="G24" s="127"/>
      <c r="H24" s="126">
        <f t="shared" si="20"/>
        <v>2.2722919433242503</v>
      </c>
      <c r="I24" s="230">
        <f>'[1]июль 20'!AI23</f>
        <v>0</v>
      </c>
      <c r="J24" s="247">
        <f>'[1]июль 20'!AA23</f>
        <v>8.9920000000000009</v>
      </c>
      <c r="K24" s="464">
        <f>'[1]сентябрь 20'!AM23</f>
        <v>0</v>
      </c>
      <c r="L24" s="247">
        <f>'[1]июль 20'!AE23</f>
        <v>18.379000000000001</v>
      </c>
      <c r="M24" s="468">
        <f t="shared" si="21"/>
        <v>0.20031607629427792</v>
      </c>
      <c r="N24" s="403">
        <f>'[1]июль 20'!W23</f>
        <v>0</v>
      </c>
      <c r="O24" s="403">
        <f>'[1]июль 20'!AU23</f>
        <v>0</v>
      </c>
      <c r="P24" s="401">
        <f t="shared" si="1"/>
        <v>141.13200000000001</v>
      </c>
      <c r="Q24" s="122">
        <f>'[1]июль 20'!S23</f>
        <v>141.13200000000001</v>
      </c>
      <c r="R24" s="123">
        <f t="shared" si="22"/>
        <v>1.4899999999999998</v>
      </c>
      <c r="S24" s="129">
        <v>19.72</v>
      </c>
      <c r="T24" s="125">
        <f t="shared" si="2"/>
        <v>139.02913320000002</v>
      </c>
      <c r="U24" s="147">
        <f t="shared" si="3"/>
        <v>1.5153039040871934</v>
      </c>
      <c r="V24" s="130">
        <v>91.75</v>
      </c>
      <c r="W24" s="130">
        <v>91.75</v>
      </c>
      <c r="X24" s="129">
        <v>0.55000000000000004</v>
      </c>
      <c r="Y24" s="150">
        <v>547</v>
      </c>
      <c r="Z24" s="150">
        <v>1150</v>
      </c>
      <c r="AA24" s="148" t="s">
        <v>352</v>
      </c>
      <c r="AB24" s="149">
        <v>76.22</v>
      </c>
      <c r="AC24" s="150">
        <v>91</v>
      </c>
      <c r="AD24" s="151">
        <v>4</v>
      </c>
      <c r="AE24" s="149"/>
      <c r="AF24" s="134">
        <f t="shared" si="4"/>
        <v>0</v>
      </c>
      <c r="AG24" s="152"/>
      <c r="AH24" s="129">
        <v>68.5</v>
      </c>
      <c r="AI24" s="134">
        <f t="shared" si="5"/>
        <v>746.59400544959124</v>
      </c>
      <c r="AJ24" s="153">
        <v>15.63</v>
      </c>
      <c r="AK24" s="154"/>
      <c r="AL24" s="155">
        <v>4.83</v>
      </c>
      <c r="AM24" s="478">
        <v>29.4</v>
      </c>
      <c r="AN24" s="126">
        <f t="shared" si="23"/>
        <v>0.2363344051446945</v>
      </c>
      <c r="AO24" s="157" t="s">
        <v>353</v>
      </c>
      <c r="AP24" s="156">
        <v>8.31</v>
      </c>
      <c r="AQ24" s="156">
        <v>8.83</v>
      </c>
      <c r="AR24" s="151"/>
      <c r="AS24" s="149">
        <v>6.96</v>
      </c>
      <c r="AT24" s="149">
        <v>124.4</v>
      </c>
      <c r="AU24" s="149">
        <v>1.58</v>
      </c>
      <c r="AV24" s="164"/>
      <c r="AW24" s="149"/>
      <c r="AX24" s="158">
        <f t="shared" si="6"/>
        <v>0</v>
      </c>
      <c r="AY24" s="125">
        <f t="shared" si="7"/>
        <v>91.750000000000014</v>
      </c>
      <c r="AZ24" s="125">
        <f t="shared" si="24"/>
        <v>99.226326978989064</v>
      </c>
      <c r="BA24" s="159">
        <f t="shared" si="8"/>
        <v>3.6932112676056335</v>
      </c>
      <c r="BB24" s="160">
        <f t="shared" si="9"/>
        <v>3.6700000000000008</v>
      </c>
      <c r="BC24" s="161">
        <f t="shared" si="10"/>
        <v>0.81680800173147983</v>
      </c>
      <c r="BD24" s="160">
        <f t="shared" si="25"/>
        <v>7.3632112676056343</v>
      </c>
      <c r="BE24" s="162">
        <v>0.88100000000000001</v>
      </c>
      <c r="BF24" s="25">
        <f t="shared" si="26"/>
        <v>1699.9699999999998</v>
      </c>
      <c r="BG24" s="25">
        <f t="shared" si="11"/>
        <v>108.06451612903226</v>
      </c>
      <c r="BH24" s="25">
        <f t="shared" si="27"/>
        <v>1945.1612903225798</v>
      </c>
      <c r="BI24" s="26">
        <f t="shared" si="12"/>
        <v>1</v>
      </c>
      <c r="BJ24" s="37">
        <f t="shared" si="28"/>
        <v>1945.1612903225798</v>
      </c>
      <c r="BK24" s="38">
        <v>150.179</v>
      </c>
      <c r="BL24" s="31"/>
      <c r="BM24" s="31">
        <v>50.040999999999997</v>
      </c>
      <c r="BN24" s="234"/>
      <c r="BO24" s="42"/>
      <c r="BP24" s="40">
        <v>9.1010000000000009</v>
      </c>
      <c r="BQ24" s="411">
        <v>18.379000000000001</v>
      </c>
      <c r="BR24" s="33">
        <v>0.41</v>
      </c>
      <c r="BS24" s="34"/>
      <c r="BT24" s="35">
        <v>0.27</v>
      </c>
      <c r="BU24" s="35"/>
      <c r="BV24" s="235"/>
      <c r="BW24" s="235">
        <v>0.96</v>
      </c>
      <c r="BX24" s="36"/>
      <c r="BY24" s="33">
        <v>37.159999999999997</v>
      </c>
      <c r="BZ24" s="34"/>
      <c r="CA24" s="35">
        <v>38.17</v>
      </c>
      <c r="CB24" s="405"/>
      <c r="CC24" s="404"/>
      <c r="CD24" s="235">
        <v>32.61</v>
      </c>
      <c r="CE24" s="413">
        <v>43.84</v>
      </c>
      <c r="CF24" s="30">
        <v>95.625</v>
      </c>
      <c r="CG24" s="30">
        <v>45.506999999999998</v>
      </c>
      <c r="CH24" s="31"/>
      <c r="CI24" s="32"/>
      <c r="CJ24" s="33">
        <v>1.49</v>
      </c>
      <c r="CK24" s="33">
        <v>1.49</v>
      </c>
      <c r="CL24" s="35"/>
      <c r="CM24" s="36"/>
      <c r="CN24" s="286"/>
      <c r="CO24" s="249">
        <f t="shared" si="30"/>
        <v>149.56326609999999</v>
      </c>
      <c r="CP24" s="12">
        <f t="shared" si="30"/>
        <v>0</v>
      </c>
      <c r="CQ24" s="12">
        <f t="shared" si="30"/>
        <v>49.905889299999998</v>
      </c>
      <c r="CR24" s="12">
        <f t="shared" si="30"/>
        <v>0</v>
      </c>
      <c r="CS24" s="11">
        <f t="shared" si="30"/>
        <v>0</v>
      </c>
      <c r="CT24" s="11">
        <f t="shared" si="30"/>
        <v>9.013630400000002</v>
      </c>
      <c r="CU24" s="272">
        <f t="shared" si="30"/>
        <v>18.379000000000001</v>
      </c>
      <c r="CV24" s="249">
        <f t="shared" si="14"/>
        <v>94.200187500000013</v>
      </c>
      <c r="CW24" s="12">
        <f t="shared" si="14"/>
        <v>44.828945699999998</v>
      </c>
      <c r="CX24" s="249">
        <f t="shared" si="14"/>
        <v>0</v>
      </c>
      <c r="CY24" s="272">
        <f t="shared" si="14"/>
        <v>0</v>
      </c>
      <c r="CZ24" s="13"/>
      <c r="DA24" s="240">
        <f>(D24+'[2]июль 20'!D24)/(AY24+'[2]июль 20'!BA24)</f>
        <v>2.2224308341313548</v>
      </c>
      <c r="DB24" s="241">
        <f>(T24+'[2]июль 20'!R24)/(AY24+'[2]июль 20'!BA24)</f>
        <v>1.3937022146434892</v>
      </c>
      <c r="DD24" s="292">
        <f t="shared" si="15"/>
        <v>8.9920000000000009</v>
      </c>
      <c r="DE24" s="291">
        <v>0.1</v>
      </c>
      <c r="DF24" s="291">
        <v>9.8800000000000008</v>
      </c>
      <c r="DG24" s="145">
        <f t="shared" si="16"/>
        <v>8.9830080000000017</v>
      </c>
      <c r="DH24" s="293">
        <f t="shared" si="29"/>
        <v>1.1644203495145635</v>
      </c>
      <c r="DJ24" s="322"/>
    </row>
    <row r="25" spans="1:114" s="76" customFormat="1" ht="16.5" customHeight="1" thickBot="1">
      <c r="A25" s="144">
        <v>19</v>
      </c>
      <c r="B25" s="122">
        <f>'[1]июль 20'!K24</f>
        <v>153.10599999999999</v>
      </c>
      <c r="C25" s="123">
        <f t="shared" si="17"/>
        <v>0.27366399749193371</v>
      </c>
      <c r="D25" s="145">
        <f t="shared" si="18"/>
        <v>152.687004</v>
      </c>
      <c r="E25" s="125">
        <f t="shared" si="19"/>
        <v>37.777555223178716</v>
      </c>
      <c r="F25" s="146">
        <f t="shared" si="0"/>
        <v>2.0269083233771403</v>
      </c>
      <c r="G25" s="127"/>
      <c r="H25" s="126">
        <f t="shared" si="20"/>
        <v>1.8612240010619936</v>
      </c>
      <c r="I25" s="230">
        <f>'[1]июль 20'!AI24</f>
        <v>0</v>
      </c>
      <c r="J25" s="247">
        <f>'[1]июль 20'!AA24</f>
        <v>6.2140000000000004</v>
      </c>
      <c r="K25" s="465">
        <f>'[1]сентябрь 20'!AM24</f>
        <v>0</v>
      </c>
      <c r="L25" s="247">
        <f>'[1]июль 20'!AE24</f>
        <v>12.481</v>
      </c>
      <c r="M25" s="469">
        <f t="shared" si="21"/>
        <v>0.16568432231514665</v>
      </c>
      <c r="N25" s="403">
        <f>'[1]июль 20'!W24</f>
        <v>0</v>
      </c>
      <c r="O25" s="403">
        <f>'[1]июль 20'!AU24</f>
        <v>0</v>
      </c>
      <c r="P25" s="401">
        <f t="shared" si="1"/>
        <v>96.51400000000001</v>
      </c>
      <c r="Q25" s="122">
        <f>'[1]июль 20'!S24</f>
        <v>96.513999999999996</v>
      </c>
      <c r="R25" s="123">
        <f>IF(Q25=0,0,(CI25*CM25+CG25*CK25+CH25*CL25+CF25*CJ25)/Q25)</f>
        <v>1.3600000000000003</v>
      </c>
      <c r="S25" s="129">
        <v>11.97</v>
      </c>
      <c r="T25" s="125">
        <f t="shared" si="2"/>
        <v>95.201409600000005</v>
      </c>
      <c r="U25" s="147">
        <f t="shared" si="3"/>
        <v>1.2637914456391874</v>
      </c>
      <c r="V25" s="130">
        <v>75.33</v>
      </c>
      <c r="W25" s="130">
        <v>75.33</v>
      </c>
      <c r="X25" s="129">
        <v>0.47</v>
      </c>
      <c r="Y25" s="150">
        <v>531</v>
      </c>
      <c r="Z25" s="150">
        <v>1082</v>
      </c>
      <c r="AA25" s="148" t="s">
        <v>273</v>
      </c>
      <c r="AB25" s="149">
        <v>75.37</v>
      </c>
      <c r="AC25" s="150">
        <v>59</v>
      </c>
      <c r="AD25" s="151">
        <v>4</v>
      </c>
      <c r="AE25" s="149"/>
      <c r="AF25" s="134">
        <f t="shared" si="4"/>
        <v>0</v>
      </c>
      <c r="AG25" s="152"/>
      <c r="AH25" s="129">
        <v>46.45</v>
      </c>
      <c r="AI25" s="134">
        <f t="shared" si="5"/>
        <v>616.62020443382448</v>
      </c>
      <c r="AJ25" s="136">
        <v>17.98</v>
      </c>
      <c r="AK25" s="154"/>
      <c r="AL25" s="155">
        <v>3.85</v>
      </c>
      <c r="AM25" s="478">
        <v>11.77</v>
      </c>
      <c r="AN25" s="126">
        <f t="shared" si="23"/>
        <v>0.13092324805339264</v>
      </c>
      <c r="AO25" s="157" t="s">
        <v>354</v>
      </c>
      <c r="AP25" s="156">
        <v>8.09</v>
      </c>
      <c r="AQ25" s="156">
        <v>8.19</v>
      </c>
      <c r="AR25" s="152"/>
      <c r="AS25" s="149">
        <v>6.62</v>
      </c>
      <c r="AT25" s="149">
        <v>89.9</v>
      </c>
      <c r="AU25" s="149">
        <v>1.05</v>
      </c>
      <c r="AV25" s="164"/>
      <c r="AW25" s="149"/>
      <c r="AX25" s="158">
        <f t="shared" si="6"/>
        <v>0</v>
      </c>
      <c r="AY25" s="125">
        <f t="shared" si="7"/>
        <v>75.330000000000013</v>
      </c>
      <c r="AZ25" s="125">
        <f t="shared" si="24"/>
        <v>67.515403321862834</v>
      </c>
      <c r="BA25" s="159">
        <f t="shared" si="8"/>
        <v>2.3820345070422535</v>
      </c>
      <c r="BB25" s="160">
        <f t="shared" si="9"/>
        <v>3.0132000000000008</v>
      </c>
      <c r="BC25" s="161">
        <f t="shared" si="10"/>
        <v>0.98430696924938921</v>
      </c>
      <c r="BD25" s="160">
        <f t="shared" si="25"/>
        <v>5.3952345070422538</v>
      </c>
      <c r="BE25" s="162">
        <v>0.88500000000000001</v>
      </c>
      <c r="BF25" s="25">
        <f t="shared" si="26"/>
        <v>1775.2999999999997</v>
      </c>
      <c r="BG25" s="25">
        <f t="shared" si="11"/>
        <v>108.06451612903226</v>
      </c>
      <c r="BH25" s="25">
        <f t="shared" si="27"/>
        <v>2053.2258064516122</v>
      </c>
      <c r="BI25" s="26">
        <f t="shared" si="12"/>
        <v>1</v>
      </c>
      <c r="BJ25" s="37">
        <f t="shared" si="28"/>
        <v>2053.2258064516122</v>
      </c>
      <c r="BK25" s="38">
        <v>100.676</v>
      </c>
      <c r="BL25" s="31"/>
      <c r="BM25" s="31">
        <v>33.582999999999998</v>
      </c>
      <c r="BN25" s="234"/>
      <c r="BO25" s="42"/>
      <c r="BP25" s="40">
        <v>6.3659999999999997</v>
      </c>
      <c r="BQ25" s="411">
        <v>12.481</v>
      </c>
      <c r="BR25" s="33">
        <v>0.25</v>
      </c>
      <c r="BS25" s="34"/>
      <c r="BT25" s="35">
        <v>0.32</v>
      </c>
      <c r="BU25" s="35"/>
      <c r="BV25" s="235"/>
      <c r="BW25" s="235">
        <v>0.94</v>
      </c>
      <c r="BX25" s="36"/>
      <c r="BY25" s="33">
        <v>37.299999999999997</v>
      </c>
      <c r="BZ25" s="34"/>
      <c r="CA25" s="35">
        <v>37.520000000000003</v>
      </c>
      <c r="CB25" s="405"/>
      <c r="CC25" s="404"/>
      <c r="CD25" s="235">
        <v>34.94</v>
      </c>
      <c r="CE25" s="413">
        <v>43.77</v>
      </c>
      <c r="CF25" s="30">
        <v>65.974000000000004</v>
      </c>
      <c r="CG25" s="30">
        <v>30.54</v>
      </c>
      <c r="CH25" s="31"/>
      <c r="CI25" s="32"/>
      <c r="CJ25" s="33">
        <v>1.36</v>
      </c>
      <c r="CK25" s="33">
        <v>1.36</v>
      </c>
      <c r="CL25" s="35"/>
      <c r="CM25" s="36"/>
      <c r="CN25" s="286"/>
      <c r="CO25" s="249">
        <f t="shared" si="30"/>
        <v>100.42431000000001</v>
      </c>
      <c r="CP25" s="12">
        <f t="shared" si="30"/>
        <v>0</v>
      </c>
      <c r="CQ25" s="12">
        <f t="shared" si="30"/>
        <v>33.475534400000001</v>
      </c>
      <c r="CR25" s="12">
        <f t="shared" si="30"/>
        <v>0</v>
      </c>
      <c r="CS25" s="11">
        <f t="shared" si="30"/>
        <v>0</v>
      </c>
      <c r="CT25" s="11">
        <f t="shared" si="30"/>
        <v>6.3061596</v>
      </c>
      <c r="CU25" s="272">
        <f t="shared" si="30"/>
        <v>12.481</v>
      </c>
      <c r="CV25" s="249">
        <f t="shared" si="14"/>
        <v>65.076753600000004</v>
      </c>
      <c r="CW25" s="251">
        <f t="shared" si="14"/>
        <v>30.124656000000002</v>
      </c>
      <c r="CX25" s="249">
        <f t="shared" si="14"/>
        <v>0</v>
      </c>
      <c r="CY25" s="272">
        <f t="shared" si="14"/>
        <v>0</v>
      </c>
      <c r="CZ25" s="13"/>
      <c r="DA25" s="240">
        <f>(D25+'[2]июль 20'!D25)/(AY25+'[2]июль 20'!BA25)</f>
        <v>2.1357016216955431</v>
      </c>
      <c r="DB25" s="241">
        <f>(T25+'[2]июль 20'!R25)/(AY25+'[2]июль 20'!BA25)</f>
        <v>1.3472282628597909</v>
      </c>
      <c r="DD25" s="292">
        <f t="shared" si="15"/>
        <v>6.2140000000000004</v>
      </c>
      <c r="DE25" s="291">
        <v>0.27</v>
      </c>
      <c r="DF25" s="291">
        <v>8.56</v>
      </c>
      <c r="DG25" s="145">
        <f t="shared" si="16"/>
        <v>6.1972222000000006</v>
      </c>
      <c r="DH25" s="293">
        <f t="shared" si="29"/>
        <v>0.70383736277033315</v>
      </c>
      <c r="DJ25" s="322"/>
    </row>
    <row r="26" spans="1:114" s="76" customFormat="1" ht="16.5" customHeight="1" thickBot="1">
      <c r="A26" s="144">
        <v>20</v>
      </c>
      <c r="B26" s="122">
        <f>'[1]июль 20'!K25</f>
        <v>220.232</v>
      </c>
      <c r="C26" s="123">
        <f t="shared" si="17"/>
        <v>1.0833737149914635</v>
      </c>
      <c r="D26" s="145">
        <f t="shared" si="18"/>
        <v>217.84606439999999</v>
      </c>
      <c r="E26" s="125">
        <f t="shared" si="19"/>
        <v>37.699766609756985</v>
      </c>
      <c r="F26" s="146">
        <f t="shared" si="0"/>
        <v>2.6877984503392969</v>
      </c>
      <c r="G26" s="127"/>
      <c r="H26" s="126">
        <f t="shared" si="20"/>
        <v>2.4670951807526222</v>
      </c>
      <c r="I26" s="230">
        <f>'[1]июль 20'!AI25</f>
        <v>0</v>
      </c>
      <c r="J26" s="247">
        <f>'[1]июль 20'!AA25</f>
        <v>8.7110000000000003</v>
      </c>
      <c r="K26" s="464">
        <f>'[1]сентябрь 20'!AM25</f>
        <v>0</v>
      </c>
      <c r="L26" s="247">
        <f>'[1]июль 20'!AE25</f>
        <v>17.888000000000002</v>
      </c>
      <c r="M26" s="468">
        <f t="shared" si="21"/>
        <v>0.22070326958667491</v>
      </c>
      <c r="N26" s="403">
        <f>'[1]июль 20'!W25</f>
        <v>0</v>
      </c>
      <c r="O26" s="403">
        <f>'[1]июль 20'!AU25</f>
        <v>0</v>
      </c>
      <c r="P26" s="401">
        <f t="shared" si="1"/>
        <v>139.00399999999999</v>
      </c>
      <c r="Q26" s="122">
        <f>'[1]июль 20'!S25</f>
        <v>139.00399999999999</v>
      </c>
      <c r="R26" s="123">
        <f t="shared" ref="R26:R37" si="31">IF(Q26=0,0,(CI26*CM26+CG26*CK26+CH26*CL26+CF26*CJ26)/Q26)</f>
        <v>1.18</v>
      </c>
      <c r="S26" s="129"/>
      <c r="T26" s="125">
        <f t="shared" si="2"/>
        <v>137.36375279999999</v>
      </c>
      <c r="U26" s="147">
        <f t="shared" si="3"/>
        <v>1.6948026255397901</v>
      </c>
      <c r="V26" s="169">
        <v>81.05</v>
      </c>
      <c r="W26" s="169">
        <v>81.05</v>
      </c>
      <c r="X26" s="170">
        <v>0.47</v>
      </c>
      <c r="Y26" s="166">
        <v>530</v>
      </c>
      <c r="Z26" s="166">
        <v>1138</v>
      </c>
      <c r="AA26" s="148" t="s">
        <v>310</v>
      </c>
      <c r="AB26" s="164">
        <v>76.36</v>
      </c>
      <c r="AC26" s="166">
        <v>88</v>
      </c>
      <c r="AD26" s="171">
        <v>4</v>
      </c>
      <c r="AE26" s="164">
        <v>2.4</v>
      </c>
      <c r="AF26" s="172">
        <f t="shared" si="4"/>
        <v>29.61135101789019</v>
      </c>
      <c r="AG26" s="173"/>
      <c r="AH26" s="170">
        <v>64.75</v>
      </c>
      <c r="AI26" s="134">
        <f t="shared" si="5"/>
        <v>798.88957433682913</v>
      </c>
      <c r="AJ26" s="174">
        <v>14.59</v>
      </c>
      <c r="AK26" s="175"/>
      <c r="AL26" s="176">
        <v>2.73</v>
      </c>
      <c r="AM26" s="478">
        <v>23.3</v>
      </c>
      <c r="AN26" s="126">
        <f t="shared" si="23"/>
        <v>0.22022684310018906</v>
      </c>
      <c r="AO26" s="178" t="s">
        <v>353</v>
      </c>
      <c r="AP26" s="177">
        <v>7.86</v>
      </c>
      <c r="AQ26" s="177">
        <v>8.2100000000000009</v>
      </c>
      <c r="AR26" s="171"/>
      <c r="AS26" s="164">
        <v>8.42</v>
      </c>
      <c r="AT26" s="149">
        <v>105.8</v>
      </c>
      <c r="AU26" s="164">
        <v>1.28</v>
      </c>
      <c r="AV26" s="164"/>
      <c r="AW26" s="164"/>
      <c r="AX26" s="179">
        <f t="shared" si="6"/>
        <v>0</v>
      </c>
      <c r="AY26" s="125">
        <f t="shared" si="7"/>
        <v>81.05</v>
      </c>
      <c r="AZ26" s="125">
        <f t="shared" si="24"/>
        <v>94.722110286574903</v>
      </c>
      <c r="BA26" s="159">
        <f t="shared" si="8"/>
        <v>4.2233415492957747</v>
      </c>
      <c r="BB26" s="159">
        <f t="shared" si="9"/>
        <v>3.242</v>
      </c>
      <c r="BC26" s="180">
        <f t="shared" si="10"/>
        <v>0.75358207379365327</v>
      </c>
      <c r="BD26" s="159">
        <f t="shared" si="25"/>
        <v>7.4653415492957746</v>
      </c>
      <c r="BE26" s="167">
        <v>0.878</v>
      </c>
      <c r="BF26" s="25">
        <f t="shared" si="26"/>
        <v>1856.3499999999997</v>
      </c>
      <c r="BG26" s="25">
        <f t="shared" si="11"/>
        <v>108.06451612903226</v>
      </c>
      <c r="BH26" s="25">
        <f t="shared" si="27"/>
        <v>2161.2903225806444</v>
      </c>
      <c r="BI26" s="26">
        <f t="shared" si="12"/>
        <v>1</v>
      </c>
      <c r="BJ26" s="37">
        <f t="shared" si="28"/>
        <v>2161.2903225806444</v>
      </c>
      <c r="BK26" s="38">
        <v>145.142</v>
      </c>
      <c r="BL26" s="43"/>
      <c r="BM26" s="31">
        <v>48.427999999999997</v>
      </c>
      <c r="BN26" s="406"/>
      <c r="BO26" s="42"/>
      <c r="BP26" s="40">
        <v>8.7739999999999991</v>
      </c>
      <c r="BQ26" s="412">
        <v>17.888000000000002</v>
      </c>
      <c r="BR26" s="33">
        <v>1.19</v>
      </c>
      <c r="BS26" s="34"/>
      <c r="BT26" s="35">
        <v>0.92</v>
      </c>
      <c r="BU26" s="35"/>
      <c r="BV26" s="235"/>
      <c r="BW26" s="235">
        <v>2.4300000000000002</v>
      </c>
      <c r="BX26" s="36"/>
      <c r="BY26" s="33">
        <v>37.19</v>
      </c>
      <c r="BZ26" s="34"/>
      <c r="CA26" s="35">
        <v>38.26</v>
      </c>
      <c r="CB26" s="405"/>
      <c r="CC26" s="404"/>
      <c r="CD26" s="235">
        <v>30.95</v>
      </c>
      <c r="CE26" s="413">
        <v>43.63</v>
      </c>
      <c r="CF26" s="30">
        <v>139.00399999999999</v>
      </c>
      <c r="CG26" s="30"/>
      <c r="CH26" s="43"/>
      <c r="CI26" s="32"/>
      <c r="CJ26" s="33">
        <v>1.18</v>
      </c>
      <c r="CK26" s="33"/>
      <c r="CL26" s="35"/>
      <c r="CM26" s="36"/>
      <c r="CN26" s="286"/>
      <c r="CO26" s="249">
        <f t="shared" si="30"/>
        <v>143.41481020000001</v>
      </c>
      <c r="CP26" s="12">
        <f t="shared" si="30"/>
        <v>0</v>
      </c>
      <c r="CQ26" s="12">
        <f t="shared" si="30"/>
        <v>47.982462399999996</v>
      </c>
      <c r="CR26" s="12">
        <f t="shared" si="30"/>
        <v>0</v>
      </c>
      <c r="CS26" s="11">
        <f t="shared" si="30"/>
        <v>0</v>
      </c>
      <c r="CT26" s="11">
        <f t="shared" si="30"/>
        <v>8.5607917999999987</v>
      </c>
      <c r="CU26" s="272">
        <f t="shared" si="30"/>
        <v>17.888000000000002</v>
      </c>
      <c r="CV26" s="249">
        <f t="shared" si="14"/>
        <v>137.36375279999999</v>
      </c>
      <c r="CW26" s="12">
        <f t="shared" si="14"/>
        <v>0</v>
      </c>
      <c r="CX26" s="249">
        <f t="shared" si="14"/>
        <v>0</v>
      </c>
      <c r="CY26" s="274">
        <f t="shared" si="14"/>
        <v>0</v>
      </c>
      <c r="CZ26" s="13"/>
      <c r="DA26" s="240">
        <f>(D26+'[2]июль 20'!D26)/(AY26+'[2]июль 20'!BA26)</f>
        <v>2.2826606493589559</v>
      </c>
      <c r="DB26" s="241">
        <f>(T26+'[2]июль 20'!R26)/(AY26+'[2]июль 20'!BA26)</f>
        <v>1.4450519970435227</v>
      </c>
      <c r="DD26" s="292">
        <f t="shared" si="15"/>
        <v>8.7110000000000003</v>
      </c>
      <c r="DE26" s="291">
        <v>0.53</v>
      </c>
      <c r="DF26" s="291">
        <v>7.3</v>
      </c>
      <c r="DG26" s="145">
        <f t="shared" si="16"/>
        <v>8.6648317000000006</v>
      </c>
      <c r="DH26" s="293">
        <f t="shared" si="29"/>
        <v>0.8283560949449974</v>
      </c>
      <c r="DJ26" s="322"/>
    </row>
    <row r="27" spans="1:114" s="76" customFormat="1" ht="16.5" customHeight="1" thickBot="1">
      <c r="A27" s="144">
        <v>21</v>
      </c>
      <c r="B27" s="122">
        <f>'[1]июль 20'!K26</f>
        <v>197.74199999999999</v>
      </c>
      <c r="C27" s="123">
        <f t="shared" si="17"/>
        <v>1.1630067461641937</v>
      </c>
      <c r="D27" s="145">
        <f t="shared" si="18"/>
        <v>195.4422472</v>
      </c>
      <c r="E27" s="125">
        <f t="shared" si="19"/>
        <v>37.399627747266642</v>
      </c>
      <c r="F27" s="146">
        <f t="shared" si="0"/>
        <v>2.0061819667419418</v>
      </c>
      <c r="G27" s="127"/>
      <c r="H27" s="126">
        <f t="shared" si="20"/>
        <v>1.8410413385341822</v>
      </c>
      <c r="I27" s="230">
        <f>'[1]июль 20'!AI26</f>
        <v>0</v>
      </c>
      <c r="J27" s="247">
        <f>'[1]июль 20'!AA26</f>
        <v>7.8360000000000003</v>
      </c>
      <c r="K27" s="465">
        <f>'[1]сентябрь 20'!AM26</f>
        <v>0</v>
      </c>
      <c r="L27" s="247">
        <f>'[1]июль 20'!AE26</f>
        <v>16.088000000000001</v>
      </c>
      <c r="M27" s="469">
        <f t="shared" si="21"/>
        <v>0.16514062820776021</v>
      </c>
      <c r="N27" s="403">
        <f>'[1]июль 20'!W26</f>
        <v>0</v>
      </c>
      <c r="O27" s="403">
        <f>'[1]июль 20'!AU26</f>
        <v>0</v>
      </c>
      <c r="P27" s="401">
        <f t="shared" si="1"/>
        <v>125.651</v>
      </c>
      <c r="Q27" s="122">
        <f>'[1]июль 20'!S26</f>
        <v>125.651</v>
      </c>
      <c r="R27" s="123">
        <f t="shared" si="31"/>
        <v>1.52</v>
      </c>
      <c r="S27" s="129">
        <v>13.18</v>
      </c>
      <c r="T27" s="125">
        <f t="shared" si="2"/>
        <v>123.7411048</v>
      </c>
      <c r="U27" s="147">
        <f t="shared" si="3"/>
        <v>1.2701817368096899</v>
      </c>
      <c r="V27" s="130">
        <v>97.42</v>
      </c>
      <c r="W27" s="130">
        <v>72.06</v>
      </c>
      <c r="X27" s="129">
        <v>0.71</v>
      </c>
      <c r="Y27" s="150">
        <v>572</v>
      </c>
      <c r="Z27" s="150">
        <v>1144</v>
      </c>
      <c r="AA27" s="148" t="s">
        <v>301</v>
      </c>
      <c r="AB27" s="149">
        <v>76.25</v>
      </c>
      <c r="AC27" s="150">
        <v>78</v>
      </c>
      <c r="AD27" s="151">
        <v>4</v>
      </c>
      <c r="AE27" s="149">
        <v>0.25</v>
      </c>
      <c r="AF27" s="134">
        <f t="shared" si="4"/>
        <v>2.5662081708068158</v>
      </c>
      <c r="AG27" s="152"/>
      <c r="AH27" s="129">
        <v>67.400000000000006</v>
      </c>
      <c r="AI27" s="134">
        <f t="shared" si="5"/>
        <v>691.84972284951766</v>
      </c>
      <c r="AJ27" s="136">
        <v>15.62</v>
      </c>
      <c r="AK27" s="154"/>
      <c r="AL27" s="155">
        <v>5.73</v>
      </c>
      <c r="AM27" s="478">
        <v>24.25</v>
      </c>
      <c r="AN27" s="126">
        <f t="shared" si="23"/>
        <v>0.19246031746031747</v>
      </c>
      <c r="AO27" s="157" t="s">
        <v>355</v>
      </c>
      <c r="AP27" s="156">
        <v>8.59</v>
      </c>
      <c r="AQ27" s="156">
        <v>8.3800000000000008</v>
      </c>
      <c r="AR27" s="151"/>
      <c r="AS27" s="149">
        <v>6.82</v>
      </c>
      <c r="AT27" s="149">
        <v>126</v>
      </c>
      <c r="AU27" s="149">
        <v>1.4</v>
      </c>
      <c r="AV27" s="164"/>
      <c r="AW27" s="149"/>
      <c r="AX27" s="158">
        <f t="shared" si="6"/>
        <v>0</v>
      </c>
      <c r="AY27" s="125">
        <f t="shared" si="7"/>
        <v>97.42</v>
      </c>
      <c r="AZ27" s="125">
        <f t="shared" si="24"/>
        <v>84.514888355899913</v>
      </c>
      <c r="BA27" s="159">
        <f t="shared" si="8"/>
        <v>3.5608084507042261</v>
      </c>
      <c r="BB27" s="160">
        <f t="shared" si="9"/>
        <v>3.8968000000000003</v>
      </c>
      <c r="BC27" s="161">
        <f t="shared" si="10"/>
        <v>1.0162539490081608</v>
      </c>
      <c r="BD27" s="160">
        <f t="shared" si="25"/>
        <v>7.4576084507042264</v>
      </c>
      <c r="BE27" s="162">
        <v>0.88400000000000001</v>
      </c>
      <c r="BF27" s="25">
        <f t="shared" si="26"/>
        <v>1953.7699999999998</v>
      </c>
      <c r="BG27" s="25">
        <f t="shared" si="11"/>
        <v>108.06451612903226</v>
      </c>
      <c r="BH27" s="25">
        <f t="shared" si="27"/>
        <v>2269.3548387096766</v>
      </c>
      <c r="BI27" s="26">
        <f t="shared" si="12"/>
        <v>1</v>
      </c>
      <c r="BJ27" s="37">
        <f t="shared" si="28"/>
        <v>2269.3548387096766</v>
      </c>
      <c r="BK27" s="38">
        <v>130.36799999999999</v>
      </c>
      <c r="BL27" s="31"/>
      <c r="BM27" s="31">
        <v>43.478999999999999</v>
      </c>
      <c r="BN27" s="234"/>
      <c r="BO27" s="42"/>
      <c r="BP27" s="40">
        <v>7.8070000000000004</v>
      </c>
      <c r="BQ27" s="411">
        <v>16.088000000000001</v>
      </c>
      <c r="BR27" s="33">
        <v>1.32</v>
      </c>
      <c r="BS27" s="34"/>
      <c r="BT27" s="35">
        <v>0.94</v>
      </c>
      <c r="BU27" s="35"/>
      <c r="BV27" s="235"/>
      <c r="BW27" s="235">
        <v>2.1800000000000002</v>
      </c>
      <c r="BX27" s="36"/>
      <c r="BY27" s="33">
        <v>37</v>
      </c>
      <c r="BZ27" s="34"/>
      <c r="CA27" s="35">
        <v>37.299999999999997</v>
      </c>
      <c r="CB27" s="405"/>
      <c r="CC27" s="404"/>
      <c r="CD27" s="235">
        <v>31.83</v>
      </c>
      <c r="CE27" s="413">
        <v>43.61</v>
      </c>
      <c r="CF27" s="30">
        <v>125.651</v>
      </c>
      <c r="CG27" s="30"/>
      <c r="CH27" s="31"/>
      <c r="CI27" s="32"/>
      <c r="CJ27" s="33">
        <v>1.52</v>
      </c>
      <c r="CK27" s="33"/>
      <c r="CL27" s="35"/>
      <c r="CM27" s="36"/>
      <c r="CN27" s="286"/>
      <c r="CO27" s="249">
        <f t="shared" si="30"/>
        <v>128.64714240000001</v>
      </c>
      <c r="CP27" s="12">
        <f t="shared" si="30"/>
        <v>0</v>
      </c>
      <c r="CQ27" s="12">
        <f t="shared" si="30"/>
        <v>43.070297400000001</v>
      </c>
      <c r="CR27" s="12">
        <f t="shared" si="30"/>
        <v>0</v>
      </c>
      <c r="CS27" s="11">
        <f t="shared" si="30"/>
        <v>0</v>
      </c>
      <c r="CT27" s="11">
        <f t="shared" si="30"/>
        <v>7.6368074000000004</v>
      </c>
      <c r="CU27" s="272">
        <f t="shared" si="30"/>
        <v>16.088000000000001</v>
      </c>
      <c r="CV27" s="249">
        <f t="shared" si="14"/>
        <v>123.7411048</v>
      </c>
      <c r="CW27" s="11">
        <f t="shared" si="14"/>
        <v>0</v>
      </c>
      <c r="CX27" s="249">
        <f t="shared" si="14"/>
        <v>0</v>
      </c>
      <c r="CY27" s="272">
        <f t="shared" si="14"/>
        <v>0</v>
      </c>
      <c r="CZ27" s="13"/>
      <c r="DA27" s="240">
        <f>(D27+'[2]июль 20'!D27)/(AY27+'[2]июль 20'!BA27)</f>
        <v>2.1184889365058726</v>
      </c>
      <c r="DB27" s="241">
        <f>(T27+'[2]июль 20'!R27)/(AY27+'[2]июль 20'!BA27)</f>
        <v>1.3366414590213669</v>
      </c>
      <c r="DD27" s="292">
        <f t="shared" si="15"/>
        <v>7.8360000000000003</v>
      </c>
      <c r="DE27" s="291">
        <v>0.47</v>
      </c>
      <c r="DF27" s="291">
        <v>8.09</v>
      </c>
      <c r="DG27" s="145">
        <f t="shared" si="16"/>
        <v>7.7991707999999997</v>
      </c>
      <c r="DH27" s="293">
        <f t="shared" si="29"/>
        <v>0.82747923635409837</v>
      </c>
      <c r="DJ27" s="322"/>
    </row>
    <row r="28" spans="1:114" s="76" customFormat="1" ht="16.5" customHeight="1" thickBot="1">
      <c r="A28" s="144">
        <v>22</v>
      </c>
      <c r="B28" s="122">
        <f>'[1]июль 20'!K27</f>
        <v>205.09200000000001</v>
      </c>
      <c r="C28" s="123">
        <f t="shared" si="17"/>
        <v>0.63345386460710307</v>
      </c>
      <c r="D28" s="145">
        <f t="shared" si="18"/>
        <v>203.7928368</v>
      </c>
      <c r="E28" s="125">
        <f t="shared" si="19"/>
        <v>37.186760624500224</v>
      </c>
      <c r="F28" s="146">
        <f t="shared" si="0"/>
        <v>2.4287073864855206</v>
      </c>
      <c r="G28" s="127"/>
      <c r="H28" s="126">
        <f t="shared" si="20"/>
        <v>2.2322111405076872</v>
      </c>
      <c r="I28" s="230">
        <f>'[1]июль 20'!AI27</f>
        <v>0</v>
      </c>
      <c r="J28" s="247">
        <f>'[1]июль 20'!AA27</f>
        <v>8.2119999999999997</v>
      </c>
      <c r="K28" s="464">
        <f>'[1]сентябрь 20'!AM27</f>
        <v>0</v>
      </c>
      <c r="L28" s="247">
        <f>'[1]июль 20'!AE27</f>
        <v>16.488</v>
      </c>
      <c r="M28" s="468">
        <f t="shared" si="21"/>
        <v>0.19649624597783344</v>
      </c>
      <c r="N28" s="403">
        <f>'[1]июль 20'!W27</f>
        <v>0</v>
      </c>
      <c r="O28" s="403">
        <f>'[1]июль 20'!AU27</f>
        <v>0</v>
      </c>
      <c r="P28" s="401">
        <f t="shared" si="1"/>
        <v>130.11000000000001</v>
      </c>
      <c r="Q28" s="122">
        <f>'[1]июль 20'!S27</f>
        <v>130.11000000000001</v>
      </c>
      <c r="R28" s="123">
        <f t="shared" si="31"/>
        <v>1.25</v>
      </c>
      <c r="S28" s="129"/>
      <c r="T28" s="125">
        <f t="shared" si="2"/>
        <v>128.48362500000002</v>
      </c>
      <c r="U28" s="147">
        <f t="shared" si="3"/>
        <v>1.5312075437969259</v>
      </c>
      <c r="V28" s="130">
        <v>23.08</v>
      </c>
      <c r="W28" s="130">
        <v>21.79</v>
      </c>
      <c r="X28" s="129">
        <v>1.24</v>
      </c>
      <c r="Y28" s="150">
        <v>580</v>
      </c>
      <c r="Z28" s="150">
        <v>1155</v>
      </c>
      <c r="AA28" s="148" t="s">
        <v>333</v>
      </c>
      <c r="AB28" s="149">
        <v>74.72</v>
      </c>
      <c r="AC28" s="150">
        <v>82</v>
      </c>
      <c r="AD28" s="151">
        <v>4</v>
      </c>
      <c r="AE28" s="149"/>
      <c r="AF28" s="134">
        <f t="shared" si="4"/>
        <v>0</v>
      </c>
      <c r="AG28" s="152"/>
      <c r="AH28" s="129">
        <v>51.15</v>
      </c>
      <c r="AI28" s="134">
        <f t="shared" si="5"/>
        <v>609.58169467286393</v>
      </c>
      <c r="AJ28" s="153">
        <v>14.3</v>
      </c>
      <c r="AK28" s="154"/>
      <c r="AL28" s="155">
        <v>5.4</v>
      </c>
      <c r="AM28" s="478">
        <v>29.51</v>
      </c>
      <c r="AN28" s="126">
        <f t="shared" si="23"/>
        <v>0.25093537414965988</v>
      </c>
      <c r="AO28" s="157" t="s">
        <v>356</v>
      </c>
      <c r="AP28" s="156">
        <v>9.7100000000000009</v>
      </c>
      <c r="AQ28" s="156">
        <v>8.3699999999999992</v>
      </c>
      <c r="AR28" s="151"/>
      <c r="AS28" s="149">
        <v>6.04</v>
      </c>
      <c r="AT28" s="149">
        <v>117.6</v>
      </c>
      <c r="AU28" s="149">
        <v>1.22</v>
      </c>
      <c r="AV28" s="164"/>
      <c r="AW28" s="149"/>
      <c r="AX28" s="158">
        <f t="shared" si="6"/>
        <v>0</v>
      </c>
      <c r="AY28" s="125">
        <f t="shared" si="7"/>
        <v>83.909999999999982</v>
      </c>
      <c r="AZ28" s="125">
        <f t="shared" si="24"/>
        <v>89.681758775583816</v>
      </c>
      <c r="BA28" s="159">
        <f t="shared" si="8"/>
        <v>2.3932436619718307</v>
      </c>
      <c r="BB28" s="160">
        <f t="shared" si="9"/>
        <v>3.3563999999999994</v>
      </c>
      <c r="BC28" s="161">
        <f t="shared" si="10"/>
        <v>0.8273196153999941</v>
      </c>
      <c r="BD28" s="160">
        <f t="shared" si="25"/>
        <v>5.7496436619718301</v>
      </c>
      <c r="BE28" s="162">
        <v>0.88100000000000001</v>
      </c>
      <c r="BF28" s="25">
        <f t="shared" si="26"/>
        <v>2037.6799999999998</v>
      </c>
      <c r="BG28" s="25">
        <f t="shared" si="11"/>
        <v>108.06451612903226</v>
      </c>
      <c r="BH28" s="25">
        <f t="shared" si="27"/>
        <v>2377.4193548387088</v>
      </c>
      <c r="BI28" s="26">
        <f t="shared" si="12"/>
        <v>1</v>
      </c>
      <c r="BJ28" s="37">
        <f t="shared" si="28"/>
        <v>2377.4193548387088</v>
      </c>
      <c r="BK28" s="38">
        <v>135.30500000000001</v>
      </c>
      <c r="BL28" s="31"/>
      <c r="BM28" s="31">
        <v>45.125999999999998</v>
      </c>
      <c r="BN28" s="234"/>
      <c r="BO28" s="42"/>
      <c r="BP28" s="40">
        <v>8.173</v>
      </c>
      <c r="BQ28" s="411">
        <v>16.488</v>
      </c>
      <c r="BR28" s="33">
        <v>0.61</v>
      </c>
      <c r="BS28" s="34"/>
      <c r="BT28" s="35">
        <v>0.56999999999999995</v>
      </c>
      <c r="BU28" s="35"/>
      <c r="BV28" s="235"/>
      <c r="BW28" s="235">
        <v>2.65</v>
      </c>
      <c r="BX28" s="36"/>
      <c r="BY28" s="33">
        <v>37.15</v>
      </c>
      <c r="BZ28" s="34"/>
      <c r="CA28" s="35">
        <v>36.11</v>
      </c>
      <c r="CB28" s="405"/>
      <c r="CC28" s="404"/>
      <c r="CD28" s="235">
        <v>30.5</v>
      </c>
      <c r="CE28" s="36">
        <v>43.75</v>
      </c>
      <c r="CF28" s="30">
        <v>130.11000000000001</v>
      </c>
      <c r="CG28" s="30"/>
      <c r="CH28" s="31"/>
      <c r="CI28" s="32"/>
      <c r="CJ28" s="33">
        <v>1.25</v>
      </c>
      <c r="CK28" s="33"/>
      <c r="CL28" s="35"/>
      <c r="CM28" s="36"/>
      <c r="CN28" s="286"/>
      <c r="CO28" s="249">
        <f t="shared" si="30"/>
        <v>134.47963950000002</v>
      </c>
      <c r="CP28" s="12">
        <f t="shared" si="30"/>
        <v>0</v>
      </c>
      <c r="CQ28" s="12">
        <f t="shared" si="30"/>
        <v>44.868781800000001</v>
      </c>
      <c r="CR28" s="12">
        <f t="shared" si="30"/>
        <v>0</v>
      </c>
      <c r="CS28" s="11">
        <f t="shared" si="30"/>
        <v>0</v>
      </c>
      <c r="CT28" s="11">
        <f t="shared" si="30"/>
        <v>7.9564154999999994</v>
      </c>
      <c r="CU28" s="272">
        <f t="shared" si="30"/>
        <v>16.488</v>
      </c>
      <c r="CV28" s="249">
        <f t="shared" si="14"/>
        <v>128.48362500000002</v>
      </c>
      <c r="CW28" s="12">
        <f t="shared" si="14"/>
        <v>0</v>
      </c>
      <c r="CX28" s="249">
        <f t="shared" si="14"/>
        <v>0</v>
      </c>
      <c r="CY28" s="272">
        <f t="shared" si="14"/>
        <v>0</v>
      </c>
      <c r="CZ28" s="13"/>
      <c r="DA28" s="240">
        <f>(D28+'[2]июль 20'!D28)/(AY28+'[2]июль 20'!BA28)</f>
        <v>2.2668431073402067</v>
      </c>
      <c r="DB28" s="241">
        <f>(T28+'[2]июль 20'!R28)/(AY28+'[2]июль 20'!BA28)</f>
        <v>1.4236582940634366</v>
      </c>
      <c r="DD28" s="292">
        <f t="shared" si="15"/>
        <v>8.2119999999999997</v>
      </c>
      <c r="DE28" s="305">
        <v>0.09</v>
      </c>
      <c r="DF28" s="291">
        <v>10.37</v>
      </c>
      <c r="DG28" s="145">
        <f t="shared" si="16"/>
        <v>8.2046092000000002</v>
      </c>
      <c r="DH28" s="293">
        <f t="shared" si="29"/>
        <v>1.1386750187901498</v>
      </c>
      <c r="DJ28" s="322"/>
    </row>
    <row r="29" spans="1:114" s="76" customFormat="1" ht="16.5" customHeight="1" thickBot="1">
      <c r="A29" s="144">
        <v>23</v>
      </c>
      <c r="B29" s="122">
        <f>'[1]июль 20'!K28</f>
        <v>198.309</v>
      </c>
      <c r="C29" s="123">
        <f t="shared" si="17"/>
        <v>0.73563171616013401</v>
      </c>
      <c r="D29" s="145">
        <f t="shared" si="18"/>
        <v>196.85017610000003</v>
      </c>
      <c r="E29" s="125">
        <f t="shared" si="19"/>
        <v>37.409611616215102</v>
      </c>
      <c r="F29" s="146">
        <f t="shared" si="0"/>
        <v>2.1541932162398774</v>
      </c>
      <c r="G29" s="127"/>
      <c r="H29" s="126">
        <f t="shared" si="20"/>
        <v>1.9743945732107682</v>
      </c>
      <c r="I29" s="230">
        <f>'[1]июль 20'!AI28</f>
        <v>0</v>
      </c>
      <c r="J29" s="247">
        <f>'[1]июль 20'!AA28</f>
        <v>8.0530000000000008</v>
      </c>
      <c r="K29" s="465">
        <f>'[1]сентябрь 20'!AM28</f>
        <v>0</v>
      </c>
      <c r="L29" s="247">
        <f>'[1]июль 20'!AE28</f>
        <v>16.43</v>
      </c>
      <c r="M29" s="469">
        <f t="shared" si="21"/>
        <v>0.1797986430291092</v>
      </c>
      <c r="N29" s="403">
        <f>'[1]июль 20'!W28</f>
        <v>0</v>
      </c>
      <c r="O29" s="403">
        <f>'[1]июль 20'!AU28</f>
        <v>0</v>
      </c>
      <c r="P29" s="401">
        <f t="shared" si="1"/>
        <v>123.967</v>
      </c>
      <c r="Q29" s="122">
        <f>'[1]июль 20'!S28</f>
        <v>123.967</v>
      </c>
      <c r="R29" s="123">
        <f t="shared" si="31"/>
        <v>1.58</v>
      </c>
      <c r="S29" s="129"/>
      <c r="T29" s="125">
        <f t="shared" si="2"/>
        <v>122.0083214</v>
      </c>
      <c r="U29" s="147">
        <f t="shared" si="3"/>
        <v>1.3351753272050775</v>
      </c>
      <c r="V29" s="130">
        <v>91.38</v>
      </c>
      <c r="W29" s="130">
        <v>91.38</v>
      </c>
      <c r="X29" s="129">
        <v>0.78</v>
      </c>
      <c r="Y29" s="150">
        <v>562</v>
      </c>
      <c r="Z29" s="150">
        <v>1147</v>
      </c>
      <c r="AA29" s="148" t="s">
        <v>276</v>
      </c>
      <c r="AB29" s="149">
        <v>75.89</v>
      </c>
      <c r="AC29" s="150">
        <v>79</v>
      </c>
      <c r="AD29" s="151">
        <v>4</v>
      </c>
      <c r="AE29" s="149"/>
      <c r="AF29" s="134">
        <f t="shared" si="4"/>
        <v>0</v>
      </c>
      <c r="AG29" s="152"/>
      <c r="AH29" s="129">
        <v>61.05</v>
      </c>
      <c r="AI29" s="134">
        <f t="shared" si="5"/>
        <v>668.08929743926444</v>
      </c>
      <c r="AJ29" s="136">
        <v>16.579999999999998</v>
      </c>
      <c r="AK29" s="154"/>
      <c r="AL29" s="155">
        <v>4.1100000000000003</v>
      </c>
      <c r="AM29" s="478">
        <v>24.71</v>
      </c>
      <c r="AN29" s="126">
        <f t="shared" si="23"/>
        <v>0.20782169890664423</v>
      </c>
      <c r="AO29" s="157" t="s">
        <v>357</v>
      </c>
      <c r="AP29" s="156">
        <v>8.39</v>
      </c>
      <c r="AQ29" s="156">
        <v>9.2799999999999994</v>
      </c>
      <c r="AR29" s="149"/>
      <c r="AS29" s="149">
        <v>7.87</v>
      </c>
      <c r="AT29" s="149">
        <v>118.9</v>
      </c>
      <c r="AU29" s="149">
        <v>1.3</v>
      </c>
      <c r="AV29" s="164"/>
      <c r="AW29" s="149"/>
      <c r="AX29" s="158">
        <f t="shared" si="6"/>
        <v>0</v>
      </c>
      <c r="AY29" s="125">
        <f t="shared" si="7"/>
        <v>91.38000000000001</v>
      </c>
      <c r="AZ29" s="125">
        <f t="shared" si="24"/>
        <v>85.702118145118078</v>
      </c>
      <c r="BA29" s="159">
        <f t="shared" si="8"/>
        <v>3.7219003521126761</v>
      </c>
      <c r="BB29" s="160">
        <f t="shared" si="9"/>
        <v>3.6552000000000007</v>
      </c>
      <c r="BC29" s="161">
        <f t="shared" si="10"/>
        <v>0.94170895330151128</v>
      </c>
      <c r="BD29" s="160">
        <f t="shared" si="25"/>
        <v>7.3771003521126772</v>
      </c>
      <c r="BE29" s="162">
        <v>0.88400000000000001</v>
      </c>
      <c r="BF29" s="25">
        <f t="shared" si="26"/>
        <v>2129.06</v>
      </c>
      <c r="BG29" s="25">
        <f t="shared" si="11"/>
        <v>108.06451612903226</v>
      </c>
      <c r="BH29" s="25">
        <f t="shared" si="27"/>
        <v>2485.483870967741</v>
      </c>
      <c r="BI29" s="26">
        <f t="shared" si="12"/>
        <v>1</v>
      </c>
      <c r="BJ29" s="37">
        <f t="shared" si="28"/>
        <v>2485.483870967741</v>
      </c>
      <c r="BK29" s="328">
        <v>130.36500000000001</v>
      </c>
      <c r="BL29" s="31"/>
      <c r="BM29" s="31">
        <v>43.49</v>
      </c>
      <c r="BN29" s="31"/>
      <c r="BO29" s="40"/>
      <c r="BP29" s="40">
        <v>8.0239999999999991</v>
      </c>
      <c r="BQ29" s="32">
        <v>16.43</v>
      </c>
      <c r="BR29" s="33">
        <v>0.75</v>
      </c>
      <c r="BS29" s="34"/>
      <c r="BT29" s="35">
        <v>0.68</v>
      </c>
      <c r="BU29" s="35"/>
      <c r="BV29" s="235"/>
      <c r="BW29" s="235">
        <v>2.31</v>
      </c>
      <c r="BX29" s="36"/>
      <c r="BY29" s="33">
        <v>37.21</v>
      </c>
      <c r="BZ29" s="34"/>
      <c r="CA29" s="35">
        <v>37.15</v>
      </c>
      <c r="CB29" s="35"/>
      <c r="CC29" s="235"/>
      <c r="CD29" s="235">
        <v>29.63</v>
      </c>
      <c r="CE29" s="36">
        <v>43.48</v>
      </c>
      <c r="CF29" s="30">
        <v>123.967</v>
      </c>
      <c r="CG29" s="30"/>
      <c r="CH29" s="31"/>
      <c r="CI29" s="32"/>
      <c r="CJ29" s="33">
        <v>1.58</v>
      </c>
      <c r="CK29" s="33"/>
      <c r="CL29" s="35"/>
      <c r="CM29" s="36"/>
      <c r="CN29" s="286"/>
      <c r="CO29" s="249">
        <f t="shared" si="30"/>
        <v>129.38726250000002</v>
      </c>
      <c r="CP29" s="12">
        <f t="shared" si="30"/>
        <v>0</v>
      </c>
      <c r="CQ29" s="12">
        <f t="shared" si="30"/>
        <v>43.194268000000001</v>
      </c>
      <c r="CR29" s="12">
        <f t="shared" si="30"/>
        <v>0</v>
      </c>
      <c r="CS29" s="11">
        <f t="shared" si="30"/>
        <v>0</v>
      </c>
      <c r="CT29" s="11">
        <f t="shared" si="30"/>
        <v>7.8386455999999987</v>
      </c>
      <c r="CU29" s="272">
        <f t="shared" si="30"/>
        <v>16.43</v>
      </c>
      <c r="CV29" s="249">
        <f t="shared" si="14"/>
        <v>122.0083214</v>
      </c>
      <c r="CW29" s="12">
        <f t="shared" si="14"/>
        <v>0</v>
      </c>
      <c r="CX29" s="249">
        <f t="shared" si="14"/>
        <v>0</v>
      </c>
      <c r="CY29" s="272">
        <f t="shared" si="14"/>
        <v>0</v>
      </c>
      <c r="CZ29" s="13"/>
      <c r="DA29" s="240">
        <f>(D29+'[2]июль 20'!D29)/(AY29+'[2]июль 20'!BA29)</f>
        <v>2.1587937845069409</v>
      </c>
      <c r="DB29" s="241">
        <f>(T29+'[2]июль 20'!R29)/(AY29+'[2]июль 20'!BA29)</f>
        <v>1.3428962167705263</v>
      </c>
      <c r="DD29" s="292">
        <f t="shared" si="15"/>
        <v>8.0530000000000008</v>
      </c>
      <c r="DE29" s="291">
        <v>1.44</v>
      </c>
      <c r="DF29" s="291">
        <v>9.4600000000000009</v>
      </c>
      <c r="DG29" s="145">
        <f t="shared" si="16"/>
        <v>7.9370368000000013</v>
      </c>
      <c r="DH29" s="293">
        <f t="shared" si="29"/>
        <v>0.98938421568059043</v>
      </c>
      <c r="DJ29" s="322"/>
    </row>
    <row r="30" spans="1:114" s="76" customFormat="1" ht="16.5" customHeight="1" thickBot="1">
      <c r="A30" s="144">
        <v>24</v>
      </c>
      <c r="B30" s="122">
        <f>'[1]июль 20'!K29</f>
        <v>207.40799999999999</v>
      </c>
      <c r="C30" s="123">
        <f t="shared" si="17"/>
        <v>2.1954371576795495</v>
      </c>
      <c r="D30" s="145">
        <f t="shared" si="18"/>
        <v>202.85448769999999</v>
      </c>
      <c r="E30" s="125">
        <f t="shared" si="19"/>
        <v>37.919601702923714</v>
      </c>
      <c r="F30" s="146">
        <f t="shared" si="0"/>
        <v>2.1247982371425578</v>
      </c>
      <c r="G30" s="127"/>
      <c r="H30" s="126">
        <f t="shared" si="20"/>
        <v>1.950932101183618</v>
      </c>
      <c r="I30" s="230">
        <f>'[1]июль 20'!AI29</f>
        <v>0</v>
      </c>
      <c r="J30" s="247">
        <f>'[1]июль 20'!AA29</f>
        <v>8.1929999999999996</v>
      </c>
      <c r="K30" s="464">
        <f>'[1]сентябрь 20'!AM29</f>
        <v>0</v>
      </c>
      <c r="L30" s="247">
        <f>'[1]июль 20'!AE29</f>
        <v>16.599</v>
      </c>
      <c r="M30" s="468">
        <f t="shared" si="21"/>
        <v>0.17386613595893999</v>
      </c>
      <c r="N30" s="403">
        <f>'[1]июль 20'!W29</f>
        <v>0</v>
      </c>
      <c r="O30" s="403">
        <f>'[1]июль 20'!AU29</f>
        <v>0</v>
      </c>
      <c r="P30" s="401">
        <f t="shared" si="1"/>
        <v>130.316</v>
      </c>
      <c r="Q30" s="122">
        <f>'[1]июль 20'!S29</f>
        <v>130.316</v>
      </c>
      <c r="R30" s="123">
        <f t="shared" si="31"/>
        <v>1.19</v>
      </c>
      <c r="S30" s="170">
        <v>19.760000000000002</v>
      </c>
      <c r="T30" s="125">
        <f t="shared" si="2"/>
        <v>128.7652396</v>
      </c>
      <c r="U30" s="147">
        <f t="shared" si="3"/>
        <v>1.3487508075835342</v>
      </c>
      <c r="V30" s="169">
        <v>95.47</v>
      </c>
      <c r="W30" s="169">
        <v>95.47</v>
      </c>
      <c r="X30" s="170">
        <v>0.56999999999999995</v>
      </c>
      <c r="Y30" s="166">
        <v>557</v>
      </c>
      <c r="Z30" s="166">
        <v>1149</v>
      </c>
      <c r="AA30" s="148" t="s">
        <v>330</v>
      </c>
      <c r="AB30" s="164">
        <v>75.930000000000007</v>
      </c>
      <c r="AC30" s="166">
        <v>83</v>
      </c>
      <c r="AD30" s="171">
        <v>4</v>
      </c>
      <c r="AE30" s="164"/>
      <c r="AF30" s="172">
        <f t="shared" si="4"/>
        <v>0</v>
      </c>
      <c r="AG30" s="173"/>
      <c r="AH30" s="170">
        <v>66.25</v>
      </c>
      <c r="AI30" s="134">
        <f t="shared" si="5"/>
        <v>693.93526762333727</v>
      </c>
      <c r="AJ30" s="174">
        <v>14.67</v>
      </c>
      <c r="AK30" s="175"/>
      <c r="AL30" s="176">
        <v>4.1500000000000004</v>
      </c>
      <c r="AM30" s="478">
        <v>24.21</v>
      </c>
      <c r="AN30" s="126">
        <f t="shared" si="23"/>
        <v>0.19731051344743278</v>
      </c>
      <c r="AO30" s="178" t="s">
        <v>358</v>
      </c>
      <c r="AP30" s="177">
        <v>7.99</v>
      </c>
      <c r="AQ30" s="177">
        <v>9.3699999999999992</v>
      </c>
      <c r="AR30" s="171"/>
      <c r="AS30" s="164">
        <v>7.51</v>
      </c>
      <c r="AT30" s="149">
        <v>122.7</v>
      </c>
      <c r="AU30" s="164">
        <v>1.1299999999999999</v>
      </c>
      <c r="AV30" s="164"/>
      <c r="AW30" s="164"/>
      <c r="AX30" s="179">
        <f t="shared" si="6"/>
        <v>0</v>
      </c>
      <c r="AY30" s="125">
        <f t="shared" si="7"/>
        <v>95.47</v>
      </c>
      <c r="AZ30" s="125">
        <f t="shared" si="24"/>
        <v>90.429873895190795</v>
      </c>
      <c r="BA30" s="159">
        <f t="shared" si="8"/>
        <v>3.8541637323943658</v>
      </c>
      <c r="BB30" s="159">
        <f t="shared" si="9"/>
        <v>3.8188</v>
      </c>
      <c r="BC30" s="180">
        <f t="shared" si="10"/>
        <v>0.94239274821429431</v>
      </c>
      <c r="BD30" s="159">
        <f t="shared" si="25"/>
        <v>7.6729637323943658</v>
      </c>
      <c r="BE30" s="167">
        <v>0.88600000000000001</v>
      </c>
      <c r="BF30" s="25">
        <f t="shared" si="26"/>
        <v>2224.5299999999997</v>
      </c>
      <c r="BG30" s="25">
        <f t="shared" si="11"/>
        <v>108.06451612903226</v>
      </c>
      <c r="BH30" s="25">
        <f t="shared" si="27"/>
        <v>2593.5483870967732</v>
      </c>
      <c r="BI30" s="26">
        <f t="shared" si="12"/>
        <v>1</v>
      </c>
      <c r="BJ30" s="37">
        <f t="shared" si="28"/>
        <v>2593.5483870967732</v>
      </c>
      <c r="BK30" s="38">
        <v>136.934</v>
      </c>
      <c r="BL30" s="31"/>
      <c r="BM30" s="31">
        <v>45.664999999999999</v>
      </c>
      <c r="BN30" s="31"/>
      <c r="BO30" s="40"/>
      <c r="BP30" s="40">
        <v>8.2100000000000009</v>
      </c>
      <c r="BQ30" s="44">
        <v>16.599</v>
      </c>
      <c r="BR30" s="45">
        <v>2.72</v>
      </c>
      <c r="BS30" s="46"/>
      <c r="BT30" s="47">
        <v>1.47</v>
      </c>
      <c r="BU30" s="47"/>
      <c r="BV30" s="283"/>
      <c r="BW30" s="283">
        <v>1.92</v>
      </c>
      <c r="BX30" s="48"/>
      <c r="BY30" s="45">
        <v>37.39</v>
      </c>
      <c r="BZ30" s="46"/>
      <c r="CA30" s="47">
        <v>38.11</v>
      </c>
      <c r="CB30" s="47"/>
      <c r="CC30" s="283"/>
      <c r="CD30" s="283">
        <v>34.29</v>
      </c>
      <c r="CE30" s="48">
        <v>43.56</v>
      </c>
      <c r="CF30" s="49">
        <v>130.316</v>
      </c>
      <c r="CG30" s="49"/>
      <c r="CH30" s="43"/>
      <c r="CI30" s="32"/>
      <c r="CJ30" s="33">
        <v>1.19</v>
      </c>
      <c r="CK30" s="33"/>
      <c r="CL30" s="35"/>
      <c r="CM30" s="36"/>
      <c r="CN30" s="286"/>
      <c r="CO30" s="249">
        <f t="shared" si="30"/>
        <v>133.20939519999999</v>
      </c>
      <c r="CP30" s="12">
        <f t="shared" si="30"/>
        <v>0</v>
      </c>
      <c r="CQ30" s="12">
        <f t="shared" si="30"/>
        <v>44.993724499999999</v>
      </c>
      <c r="CR30" s="12">
        <f t="shared" si="30"/>
        <v>0</v>
      </c>
      <c r="CS30" s="11">
        <f t="shared" si="30"/>
        <v>0</v>
      </c>
      <c r="CT30" s="11">
        <f t="shared" si="30"/>
        <v>8.0523680000000013</v>
      </c>
      <c r="CU30" s="272">
        <f t="shared" si="30"/>
        <v>16.599</v>
      </c>
      <c r="CV30" s="249">
        <f t="shared" si="14"/>
        <v>128.7652396</v>
      </c>
      <c r="CW30" s="11">
        <f t="shared" si="14"/>
        <v>0</v>
      </c>
      <c r="CX30" s="252">
        <f t="shared" si="14"/>
        <v>0</v>
      </c>
      <c r="CY30" s="272">
        <f t="shared" si="14"/>
        <v>0</v>
      </c>
      <c r="CZ30" s="13"/>
      <c r="DA30" s="240">
        <f>(D30+'[2]июль 20'!D30)/(AY30+'[2]июль 20'!BA30)</f>
        <v>2.0763532263909954</v>
      </c>
      <c r="DB30" s="241">
        <f>(T30+'[2]июль 20'!R30)/(AY30+'[2]июль 20'!BA30)</f>
        <v>1.3089595802999969</v>
      </c>
      <c r="DD30" s="292">
        <f t="shared" si="15"/>
        <v>8.1929999999999996</v>
      </c>
      <c r="DE30" s="291">
        <v>1.07</v>
      </c>
      <c r="DF30" s="291">
        <v>18.64</v>
      </c>
      <c r="DG30" s="145">
        <f t="shared" si="16"/>
        <v>8.1053349000000008</v>
      </c>
      <c r="DH30" s="293">
        <f t="shared" si="29"/>
        <v>1.9897727187672856</v>
      </c>
      <c r="DJ30" s="322"/>
    </row>
    <row r="31" spans="1:114" s="76" customFormat="1" ht="16.5" customHeight="1" thickBot="1">
      <c r="A31" s="144">
        <v>25</v>
      </c>
      <c r="B31" s="122">
        <f>'[1]июль 20'!K30</f>
        <v>191.203</v>
      </c>
      <c r="C31" s="123">
        <f t="shared" si="17"/>
        <v>0.95844573568406355</v>
      </c>
      <c r="D31" s="145">
        <f t="shared" si="18"/>
        <v>189.37042299999999</v>
      </c>
      <c r="E31" s="125">
        <f t="shared" si="19"/>
        <v>37.670741463261557</v>
      </c>
      <c r="F31" s="146">
        <f t="shared" si="0"/>
        <v>2.1234629176945505</v>
      </c>
      <c r="G31" s="127"/>
      <c r="H31" s="126">
        <f t="shared" si="20"/>
        <v>1.9528080623458175</v>
      </c>
      <c r="I31" s="230">
        <f>'[1]июль 20'!AI30</f>
        <v>0</v>
      </c>
      <c r="J31" s="247">
        <f>'[1]июль 20'!AA30</f>
        <v>7.7619999999999996</v>
      </c>
      <c r="K31" s="465">
        <f>'[1]сентябрь 20'!AM30</f>
        <v>0</v>
      </c>
      <c r="L31" s="247">
        <f>'[1]июль 20'!AE30</f>
        <v>15.218999999999999</v>
      </c>
      <c r="M31" s="469">
        <f t="shared" si="21"/>
        <v>0.1706548553487329</v>
      </c>
      <c r="N31" s="403">
        <f>'[1]июль 20'!W30</f>
        <v>0</v>
      </c>
      <c r="O31" s="403">
        <f>'[1]июль 20'!AU30</f>
        <v>0</v>
      </c>
      <c r="P31" s="401">
        <f t="shared" si="1"/>
        <v>120.575</v>
      </c>
      <c r="Q31" s="122">
        <f>'[1]июль 20'!S30</f>
        <v>120.575</v>
      </c>
      <c r="R31" s="123">
        <f t="shared" si="31"/>
        <v>1.61</v>
      </c>
      <c r="S31" s="129"/>
      <c r="T31" s="125">
        <f t="shared" si="2"/>
        <v>118.6337425</v>
      </c>
      <c r="U31" s="147">
        <f t="shared" si="3"/>
        <v>1.3302729591836735</v>
      </c>
      <c r="V31" s="130">
        <v>89.18</v>
      </c>
      <c r="W31" s="130">
        <v>89.18</v>
      </c>
      <c r="X31" s="129">
        <v>0.77</v>
      </c>
      <c r="Y31" s="150">
        <v>563</v>
      </c>
      <c r="Z31" s="150">
        <v>1144</v>
      </c>
      <c r="AA31" s="148" t="s">
        <v>297</v>
      </c>
      <c r="AB31" s="149">
        <v>75.83</v>
      </c>
      <c r="AC31" s="150">
        <v>77</v>
      </c>
      <c r="AD31" s="151">
        <v>4</v>
      </c>
      <c r="AE31" s="149"/>
      <c r="AF31" s="134">
        <f t="shared" si="4"/>
        <v>0</v>
      </c>
      <c r="AG31" s="152"/>
      <c r="AH31" s="129">
        <v>58.4</v>
      </c>
      <c r="AI31" s="134">
        <f t="shared" si="5"/>
        <v>654.85534873289976</v>
      </c>
      <c r="AJ31" s="136">
        <v>14.93</v>
      </c>
      <c r="AK31" s="154"/>
      <c r="AL31" s="155">
        <v>6.4</v>
      </c>
      <c r="AM31" s="478">
        <v>23.79</v>
      </c>
      <c r="AN31" s="126">
        <f t="shared" si="23"/>
        <v>0.20084423807513718</v>
      </c>
      <c r="AO31" s="157" t="s">
        <v>359</v>
      </c>
      <c r="AP31" s="156">
        <v>8.7100000000000009</v>
      </c>
      <c r="AQ31" s="156">
        <v>9.14</v>
      </c>
      <c r="AR31" s="151"/>
      <c r="AS31" s="149">
        <v>7.54</v>
      </c>
      <c r="AT31" s="149">
        <v>118.45</v>
      </c>
      <c r="AU31" s="149">
        <v>0.92</v>
      </c>
      <c r="AV31" s="164"/>
      <c r="AW31" s="149"/>
      <c r="AX31" s="158">
        <f t="shared" si="6"/>
        <v>0</v>
      </c>
      <c r="AY31" s="125">
        <f t="shared" si="7"/>
        <v>89.179999999999993</v>
      </c>
      <c r="AZ31" s="125">
        <f t="shared" si="24"/>
        <v>83.513491674502859</v>
      </c>
      <c r="BA31" s="159">
        <f t="shared" si="8"/>
        <v>3.4110535211267607</v>
      </c>
      <c r="BB31" s="160">
        <f t="shared" si="9"/>
        <v>3.5671999999999997</v>
      </c>
      <c r="BC31" s="161">
        <f t="shared" si="10"/>
        <v>0.94796478910026305</v>
      </c>
      <c r="BD31" s="160">
        <f t="shared" si="25"/>
        <v>6.97825352112676</v>
      </c>
      <c r="BE31" s="162">
        <v>0.88800000000000001</v>
      </c>
      <c r="BF31" s="25">
        <f t="shared" si="26"/>
        <v>2313.7099999999996</v>
      </c>
      <c r="BG31" s="25">
        <f t="shared" si="11"/>
        <v>108.06451612903226</v>
      </c>
      <c r="BH31" s="25">
        <f t="shared" si="27"/>
        <v>2701.6129032258054</v>
      </c>
      <c r="BI31" s="26">
        <f t="shared" si="12"/>
        <v>1</v>
      </c>
      <c r="BJ31" s="37">
        <f t="shared" si="28"/>
        <v>2701.6129032258054</v>
      </c>
      <c r="BK31" s="38">
        <v>125.937</v>
      </c>
      <c r="BL31" s="31"/>
      <c r="BM31" s="31">
        <v>42.429000000000002</v>
      </c>
      <c r="BN31" s="31"/>
      <c r="BO31" s="40"/>
      <c r="BP31" s="40">
        <v>7.6180000000000003</v>
      </c>
      <c r="BQ31" s="32">
        <v>15.218999999999999</v>
      </c>
      <c r="BR31" s="33">
        <v>1.02</v>
      </c>
      <c r="BS31" s="34"/>
      <c r="BT31" s="35">
        <v>1.06</v>
      </c>
      <c r="BU31" s="35"/>
      <c r="BV31" s="235"/>
      <c r="BW31" s="235">
        <v>1.29</v>
      </c>
      <c r="BX31" s="36"/>
      <c r="BY31" s="33">
        <v>37.369999999999997</v>
      </c>
      <c r="BZ31" s="34"/>
      <c r="CA31" s="35">
        <v>37.549999999999997</v>
      </c>
      <c r="CB31" s="35"/>
      <c r="CC31" s="235"/>
      <c r="CD31" s="235">
        <v>31.15</v>
      </c>
      <c r="CE31" s="36">
        <v>43.76</v>
      </c>
      <c r="CF31" s="30">
        <v>120.575</v>
      </c>
      <c r="CG31" s="30"/>
      <c r="CH31" s="31"/>
      <c r="CI31" s="32"/>
      <c r="CJ31" s="33">
        <v>1.61</v>
      </c>
      <c r="CK31" s="33"/>
      <c r="CL31" s="35"/>
      <c r="CM31" s="36"/>
      <c r="CN31" s="286"/>
      <c r="CO31" s="249">
        <f t="shared" si="30"/>
        <v>124.6524426</v>
      </c>
      <c r="CP31" s="12">
        <f t="shared" si="30"/>
        <v>0</v>
      </c>
      <c r="CQ31" s="12">
        <f t="shared" si="30"/>
        <v>41.979252600000002</v>
      </c>
      <c r="CR31" s="12">
        <f t="shared" si="30"/>
        <v>0</v>
      </c>
      <c r="CS31" s="11">
        <f t="shared" si="30"/>
        <v>0</v>
      </c>
      <c r="CT31" s="11">
        <f t="shared" si="30"/>
        <v>7.5197278000000001</v>
      </c>
      <c r="CU31" s="272">
        <f t="shared" si="30"/>
        <v>15.218999999999999</v>
      </c>
      <c r="CV31" s="249">
        <f t="shared" si="14"/>
        <v>118.6337425</v>
      </c>
      <c r="CW31" s="12">
        <f t="shared" si="14"/>
        <v>0</v>
      </c>
      <c r="CX31" s="249">
        <f t="shared" si="14"/>
        <v>0</v>
      </c>
      <c r="CY31" s="272">
        <f t="shared" si="14"/>
        <v>0</v>
      </c>
      <c r="CZ31" s="13"/>
      <c r="DA31" s="240">
        <f>(D31+'[2]июль 20'!D31)/(AY31+'[2]июль 20'!BA31)</f>
        <v>2.2542566683710903</v>
      </c>
      <c r="DB31" s="241">
        <f>(T31+'[2]июль 20'!R31)/(AY31+'[2]июль 20'!BA31)</f>
        <v>1.4113245685215239</v>
      </c>
      <c r="DD31" s="292">
        <f t="shared" si="15"/>
        <v>7.7619999999999996</v>
      </c>
      <c r="DE31" s="291">
        <v>1.25</v>
      </c>
      <c r="DF31" s="291">
        <v>13.71</v>
      </c>
      <c r="DG31" s="145">
        <f t="shared" si="16"/>
        <v>7.6649750000000001</v>
      </c>
      <c r="DH31" s="293">
        <f t="shared" si="29"/>
        <v>1.3858210108136622</v>
      </c>
      <c r="DJ31" s="322"/>
    </row>
    <row r="32" spans="1:114" s="76" customFormat="1" ht="16.5" customHeight="1" thickBot="1">
      <c r="A32" s="144">
        <v>26</v>
      </c>
      <c r="B32" s="122">
        <f>'[1]июль 20'!K31</f>
        <v>217.48699999999999</v>
      </c>
      <c r="C32" s="123">
        <f t="shared" si="17"/>
        <v>2.7186112273377261</v>
      </c>
      <c r="D32" s="145">
        <f t="shared" si="18"/>
        <v>211.57437399999998</v>
      </c>
      <c r="E32" s="125">
        <f t="shared" si="19"/>
        <v>37.679659565859112</v>
      </c>
      <c r="F32" s="146">
        <f t="shared" si="0"/>
        <v>2.2912537795105044</v>
      </c>
      <c r="G32" s="127"/>
      <c r="H32" s="126">
        <f t="shared" si="20"/>
        <v>2.1029280268572661</v>
      </c>
      <c r="I32" s="230">
        <f>'[1]июль 20'!AI31</f>
        <v>0</v>
      </c>
      <c r="J32" s="247">
        <f>'[1]июль 20'!AA31</f>
        <v>8.6020000000000003</v>
      </c>
      <c r="K32" s="464">
        <f>'[1]сентябрь 20'!AM31</f>
        <v>0</v>
      </c>
      <c r="L32" s="247">
        <f>'[1]июль 20'!AE31</f>
        <v>17.39</v>
      </c>
      <c r="M32" s="468">
        <f t="shared" si="21"/>
        <v>0.18832575265323803</v>
      </c>
      <c r="N32" s="403">
        <f>'[1]июль 20'!W31</f>
        <v>0</v>
      </c>
      <c r="O32" s="403">
        <f>'[1]июль 20'!AU31</f>
        <v>0</v>
      </c>
      <c r="P32" s="401">
        <f t="shared" si="1"/>
        <v>136.46</v>
      </c>
      <c r="Q32" s="122">
        <f>'[1]июль 20'!S31</f>
        <v>136.46</v>
      </c>
      <c r="R32" s="123">
        <f t="shared" si="31"/>
        <v>1.9500000000000002</v>
      </c>
      <c r="S32" s="129"/>
      <c r="T32" s="125">
        <f t="shared" si="2"/>
        <v>133.79902999999999</v>
      </c>
      <c r="U32" s="147">
        <f t="shared" si="3"/>
        <v>1.4489823478449209</v>
      </c>
      <c r="V32" s="130">
        <v>92.34</v>
      </c>
      <c r="W32" s="130">
        <v>92.34</v>
      </c>
      <c r="X32" s="129">
        <v>0.51</v>
      </c>
      <c r="Y32" s="150">
        <v>537</v>
      </c>
      <c r="Z32" s="150">
        <v>1144</v>
      </c>
      <c r="AA32" s="148" t="s">
        <v>360</v>
      </c>
      <c r="AB32" s="149">
        <v>75.849999999999994</v>
      </c>
      <c r="AC32" s="150">
        <v>87</v>
      </c>
      <c r="AD32" s="151">
        <v>4</v>
      </c>
      <c r="AE32" s="149"/>
      <c r="AF32" s="134">
        <f t="shared" si="4"/>
        <v>0</v>
      </c>
      <c r="AG32" s="152"/>
      <c r="AH32" s="129">
        <v>59.4</v>
      </c>
      <c r="AI32" s="134">
        <f t="shared" si="5"/>
        <v>643.27485380116957</v>
      </c>
      <c r="AJ32" s="153">
        <v>15.66</v>
      </c>
      <c r="AK32" s="154"/>
      <c r="AL32" s="155">
        <v>4.4400000000000004</v>
      </c>
      <c r="AM32" s="478">
        <v>30.91</v>
      </c>
      <c r="AN32" s="126">
        <f t="shared" si="23"/>
        <v>0.2461967343687774</v>
      </c>
      <c r="AO32" s="157" t="s">
        <v>359</v>
      </c>
      <c r="AP32" s="156">
        <v>8.7200000000000006</v>
      </c>
      <c r="AQ32" s="156">
        <v>9.06</v>
      </c>
      <c r="AR32" s="151"/>
      <c r="AS32" s="149">
        <v>7.01</v>
      </c>
      <c r="AT32" s="149">
        <v>125.55</v>
      </c>
      <c r="AU32" s="149">
        <v>2.14</v>
      </c>
      <c r="AV32" s="149"/>
      <c r="AW32" s="149"/>
      <c r="AX32" s="158">
        <f t="shared" si="6"/>
        <v>0</v>
      </c>
      <c r="AY32" s="125">
        <f t="shared" si="7"/>
        <v>92.34</v>
      </c>
      <c r="AZ32" s="125">
        <f t="shared" si="24"/>
        <v>93.128568401238297</v>
      </c>
      <c r="BA32" s="159">
        <f t="shared" si="8"/>
        <v>3.2255873239436621</v>
      </c>
      <c r="BB32" s="160">
        <f t="shared" si="9"/>
        <v>3.6936</v>
      </c>
      <c r="BC32" s="161">
        <f t="shared" si="10"/>
        <v>0.87856807992842045</v>
      </c>
      <c r="BD32" s="160">
        <f t="shared" si="25"/>
        <v>6.9191873239436621</v>
      </c>
      <c r="BE32" s="162">
        <v>0.88800000000000001</v>
      </c>
      <c r="BF32" s="25">
        <f t="shared" si="26"/>
        <v>2406.0499999999997</v>
      </c>
      <c r="BG32" s="25">
        <f t="shared" si="11"/>
        <v>108.06451612903226</v>
      </c>
      <c r="BH32" s="25">
        <f t="shared" si="27"/>
        <v>2809.6774193548376</v>
      </c>
      <c r="BI32" s="26">
        <f t="shared" si="12"/>
        <v>1</v>
      </c>
      <c r="BJ32" s="37">
        <f t="shared" si="28"/>
        <v>2809.6774193548376</v>
      </c>
      <c r="BK32" s="38">
        <v>143.523</v>
      </c>
      <c r="BL32" s="31"/>
      <c r="BM32" s="31">
        <v>47.869</v>
      </c>
      <c r="BN32" s="31"/>
      <c r="BO32" s="40"/>
      <c r="BP32" s="40">
        <v>8.7050000000000001</v>
      </c>
      <c r="BQ32" s="32">
        <v>17.39</v>
      </c>
      <c r="BR32" s="33">
        <v>3.23</v>
      </c>
      <c r="BS32" s="34"/>
      <c r="BT32" s="35">
        <v>2.2400000000000002</v>
      </c>
      <c r="BU32" s="35"/>
      <c r="BV32" s="235"/>
      <c r="BW32" s="235">
        <v>2.35</v>
      </c>
      <c r="BX32" s="36"/>
      <c r="BY32" s="33">
        <v>37.24</v>
      </c>
      <c r="BZ32" s="34"/>
      <c r="CA32" s="35">
        <v>37.4</v>
      </c>
      <c r="CB32" s="35"/>
      <c r="CC32" s="235"/>
      <c r="CD32" s="235">
        <v>34.020000000000003</v>
      </c>
      <c r="CE32" s="36">
        <v>43.91</v>
      </c>
      <c r="CF32" s="30">
        <v>136.46</v>
      </c>
      <c r="CG32" s="30"/>
      <c r="CH32" s="31"/>
      <c r="CI32" s="50"/>
      <c r="CJ32" s="33">
        <v>1.95</v>
      </c>
      <c r="CK32" s="33"/>
      <c r="CL32" s="35"/>
      <c r="CM32" s="36"/>
      <c r="CN32" s="286"/>
      <c r="CO32" s="249">
        <f t="shared" si="30"/>
        <v>138.88720709999998</v>
      </c>
      <c r="CP32" s="12">
        <f t="shared" si="30"/>
        <v>0</v>
      </c>
      <c r="CQ32" s="12">
        <f t="shared" si="30"/>
        <v>46.796734399999998</v>
      </c>
      <c r="CR32" s="12">
        <f t="shared" si="30"/>
        <v>0</v>
      </c>
      <c r="CS32" s="11">
        <f t="shared" si="30"/>
        <v>0</v>
      </c>
      <c r="CT32" s="11">
        <f t="shared" si="30"/>
        <v>8.5004325000000005</v>
      </c>
      <c r="CU32" s="272">
        <f t="shared" si="30"/>
        <v>17.39</v>
      </c>
      <c r="CV32" s="249">
        <f t="shared" si="14"/>
        <v>133.79902999999999</v>
      </c>
      <c r="CW32" s="11">
        <f t="shared" si="14"/>
        <v>0</v>
      </c>
      <c r="CX32" s="249">
        <f t="shared" si="14"/>
        <v>0</v>
      </c>
      <c r="CY32" s="272">
        <f t="shared" si="14"/>
        <v>0</v>
      </c>
      <c r="CZ32" s="13"/>
      <c r="DA32" s="240">
        <f>(D32+'[2]июль 20'!D32)/(AY32+'[2]июль 20'!BA32)</f>
        <v>2.209949074952688</v>
      </c>
      <c r="DB32" s="241">
        <f>(T32+'[2]июль 20'!R32)/(AY32+'[2]июль 20'!BA32)</f>
        <v>1.4123046279857188</v>
      </c>
      <c r="DD32" s="292">
        <f t="shared" si="15"/>
        <v>8.6020000000000003</v>
      </c>
      <c r="DE32" s="291">
        <v>0.87</v>
      </c>
      <c r="DF32" s="291">
        <v>12.22</v>
      </c>
      <c r="DG32" s="145">
        <f t="shared" si="16"/>
        <v>8.5271626000000005</v>
      </c>
      <c r="DH32" s="293">
        <f t="shared" si="29"/>
        <v>1.3737894129466055</v>
      </c>
      <c r="DJ32" s="322"/>
    </row>
    <row r="33" spans="1:114" s="76" customFormat="1" ht="16.5" customHeight="1" thickBot="1">
      <c r="A33" s="144">
        <v>27</v>
      </c>
      <c r="B33" s="122">
        <f>'[1]июль 20'!K32</f>
        <v>217.703</v>
      </c>
      <c r="C33" s="123">
        <f t="shared" si="17"/>
        <v>1.3225968865840161</v>
      </c>
      <c r="D33" s="145">
        <f t="shared" si="18"/>
        <v>214.82366689999998</v>
      </c>
      <c r="E33" s="125">
        <f t="shared" si="19"/>
        <v>37.911860929798856</v>
      </c>
      <c r="F33" s="146">
        <f t="shared" si="0"/>
        <v>2.2511125107408572</v>
      </c>
      <c r="G33" s="127"/>
      <c r="H33" s="126">
        <f t="shared" si="20"/>
        <v>2.0671242470921096</v>
      </c>
      <c r="I33" s="230">
        <f>'[1]июль 20'!AI32</f>
        <v>0</v>
      </c>
      <c r="J33" s="247">
        <f>'[1]июль 20'!AA32</f>
        <v>8.8119999999999994</v>
      </c>
      <c r="K33" s="465">
        <f>'[1]сентябрь 20'!AM32</f>
        <v>0</v>
      </c>
      <c r="L33" s="247">
        <f>'[1]июль 20'!AE32</f>
        <v>17.558</v>
      </c>
      <c r="M33" s="469">
        <f t="shared" si="21"/>
        <v>0.18398826364874779</v>
      </c>
      <c r="N33" s="403">
        <f>'[1]июль 20'!W32</f>
        <v>0</v>
      </c>
      <c r="O33" s="403">
        <f>'[1]июль 20'!AU32</f>
        <v>0</v>
      </c>
      <c r="P33" s="401">
        <f t="shared" si="1"/>
        <v>136.57900000000001</v>
      </c>
      <c r="Q33" s="122">
        <f>'[1]июль 20'!S32</f>
        <v>136.57900000000001</v>
      </c>
      <c r="R33" s="123">
        <f t="shared" si="31"/>
        <v>1.72</v>
      </c>
      <c r="S33" s="129">
        <v>6.83</v>
      </c>
      <c r="T33" s="125">
        <f t="shared" si="2"/>
        <v>134.22984120000001</v>
      </c>
      <c r="U33" s="147">
        <f t="shared" si="3"/>
        <v>1.4065790757623391</v>
      </c>
      <c r="V33" s="130">
        <v>95.43</v>
      </c>
      <c r="W33" s="130">
        <v>95.43</v>
      </c>
      <c r="X33" s="129">
        <v>0.7</v>
      </c>
      <c r="Y33" s="150">
        <v>547</v>
      </c>
      <c r="Z33" s="150">
        <v>1152</v>
      </c>
      <c r="AA33" s="148" t="s">
        <v>303</v>
      </c>
      <c r="AB33" s="149">
        <v>76.42</v>
      </c>
      <c r="AC33" s="150">
        <v>87</v>
      </c>
      <c r="AD33" s="151">
        <v>4</v>
      </c>
      <c r="AE33" s="149"/>
      <c r="AF33" s="134">
        <f t="shared" si="4"/>
        <v>0</v>
      </c>
      <c r="AG33" s="152"/>
      <c r="AH33" s="129">
        <v>59.1</v>
      </c>
      <c r="AI33" s="134">
        <f t="shared" si="5"/>
        <v>619.30210625589439</v>
      </c>
      <c r="AJ33" s="136">
        <v>14.51</v>
      </c>
      <c r="AK33" s="154"/>
      <c r="AL33" s="155">
        <v>5.5</v>
      </c>
      <c r="AM33" s="478">
        <v>24.28</v>
      </c>
      <c r="AN33" s="126">
        <f t="shared" si="23"/>
        <v>0.19572752922208789</v>
      </c>
      <c r="AO33" s="157" t="s">
        <v>361</v>
      </c>
      <c r="AP33" s="156">
        <v>8.99</v>
      </c>
      <c r="AQ33" s="156">
        <v>8.84</v>
      </c>
      <c r="AR33" s="151"/>
      <c r="AS33" s="149">
        <v>7.8</v>
      </c>
      <c r="AT33" s="149">
        <v>124.05</v>
      </c>
      <c r="AU33" s="149">
        <v>1.1599999999999999</v>
      </c>
      <c r="AV33" s="149"/>
      <c r="AW33" s="149"/>
      <c r="AX33" s="158">
        <f t="shared" si="6"/>
        <v>0</v>
      </c>
      <c r="AY33" s="125">
        <f t="shared" si="7"/>
        <v>95.429999999999993</v>
      </c>
      <c r="AZ33" s="125">
        <f t="shared" si="24"/>
        <v>94.180918698214725</v>
      </c>
      <c r="BA33" s="159">
        <f t="shared" si="8"/>
        <v>3.5709718309859153</v>
      </c>
      <c r="BB33" s="160">
        <f t="shared" si="9"/>
        <v>3.8171999999999997</v>
      </c>
      <c r="BC33" s="161">
        <f t="shared" si="10"/>
        <v>0.89543636789101533</v>
      </c>
      <c r="BD33" s="160">
        <f t="shared" si="25"/>
        <v>7.3881718309859146</v>
      </c>
      <c r="BE33" s="162">
        <v>0.88800000000000001</v>
      </c>
      <c r="BF33" s="25">
        <f t="shared" si="26"/>
        <v>2501.4799999999996</v>
      </c>
      <c r="BG33" s="25">
        <f t="shared" si="11"/>
        <v>108.06451612903226</v>
      </c>
      <c r="BH33" s="25">
        <f t="shared" si="27"/>
        <v>2917.7419354838698</v>
      </c>
      <c r="BI33" s="26">
        <f t="shared" si="12"/>
        <v>1</v>
      </c>
      <c r="BJ33" s="37">
        <f t="shared" si="28"/>
        <v>2917.7419354838698</v>
      </c>
      <c r="BK33" s="38">
        <v>143.64500000000001</v>
      </c>
      <c r="BL33" s="31"/>
      <c r="BM33" s="31">
        <v>47.796999999999997</v>
      </c>
      <c r="BN33" s="31"/>
      <c r="BO33" s="40"/>
      <c r="BP33" s="40">
        <v>8.7029999999999994</v>
      </c>
      <c r="BQ33" s="32">
        <v>17.558</v>
      </c>
      <c r="BR33" s="33">
        <v>1.53</v>
      </c>
      <c r="BS33" s="34"/>
      <c r="BT33" s="35">
        <v>1.08</v>
      </c>
      <c r="BU33" s="35"/>
      <c r="BV33" s="235"/>
      <c r="BW33" s="235">
        <v>1.9</v>
      </c>
      <c r="BX33" s="36"/>
      <c r="BY33" s="33">
        <v>37.4</v>
      </c>
      <c r="BZ33" s="34"/>
      <c r="CA33" s="35">
        <v>38.28</v>
      </c>
      <c r="CB33" s="35"/>
      <c r="CC33" s="235"/>
      <c r="CD33" s="235">
        <v>32.54</v>
      </c>
      <c r="CE33" s="36">
        <v>43.76</v>
      </c>
      <c r="CF33" s="30">
        <v>136.57900000000001</v>
      </c>
      <c r="CG33" s="30"/>
      <c r="CH33" s="31"/>
      <c r="CI33" s="32"/>
      <c r="CJ33" s="33">
        <v>1.72</v>
      </c>
      <c r="CK33" s="33"/>
      <c r="CL33" s="35"/>
      <c r="CM33" s="36"/>
      <c r="CN33" s="270"/>
      <c r="CO33" s="249">
        <f t="shared" si="30"/>
        <v>141.44723150000002</v>
      </c>
      <c r="CP33" s="12">
        <f t="shared" si="30"/>
        <v>0</v>
      </c>
      <c r="CQ33" s="12">
        <f t="shared" si="30"/>
        <v>47.280792399999996</v>
      </c>
      <c r="CR33" s="12">
        <f t="shared" si="30"/>
        <v>0</v>
      </c>
      <c r="CS33" s="11">
        <f t="shared" si="30"/>
        <v>0</v>
      </c>
      <c r="CT33" s="11">
        <f t="shared" si="30"/>
        <v>8.5376429999999992</v>
      </c>
      <c r="CU33" s="272">
        <f t="shared" si="30"/>
        <v>17.558</v>
      </c>
      <c r="CV33" s="249">
        <f t="shared" si="14"/>
        <v>134.22984120000001</v>
      </c>
      <c r="CW33" s="12">
        <f t="shared" si="14"/>
        <v>0</v>
      </c>
      <c r="CX33" s="254">
        <f t="shared" si="14"/>
        <v>0</v>
      </c>
      <c r="CY33" s="275">
        <f t="shared" si="14"/>
        <v>0</v>
      </c>
      <c r="CZ33" s="13"/>
      <c r="DA33" s="240">
        <f>(D33+'[2]июль 20'!D33)/(AY33+'[2]июль 20'!BA33)</f>
        <v>2.175580030810004</v>
      </c>
      <c r="DB33" s="241">
        <f>(T33+'[2]июль 20'!R33)/(AY33+'[2]июль 20'!BA33)</f>
        <v>1.3601343594072113</v>
      </c>
      <c r="DD33" s="292">
        <f t="shared" si="15"/>
        <v>8.8119999999999994</v>
      </c>
      <c r="DE33" s="291">
        <v>3.28</v>
      </c>
      <c r="DF33" s="291">
        <v>10.24</v>
      </c>
      <c r="DG33" s="145">
        <f t="shared" si="16"/>
        <v>8.5229663999999996</v>
      </c>
      <c r="DH33" s="293">
        <f t="shared" si="29"/>
        <v>1.1420462697723111</v>
      </c>
      <c r="DJ33" s="322"/>
    </row>
    <row r="34" spans="1:114" s="76" customFormat="1" ht="16.5" customHeight="1" thickBot="1">
      <c r="A34" s="144">
        <v>28</v>
      </c>
      <c r="B34" s="122">
        <f>'[1]июль 20'!K33</f>
        <v>217.517</v>
      </c>
      <c r="C34" s="123">
        <f t="shared" si="17"/>
        <v>0.37233742649999768</v>
      </c>
      <c r="D34" s="145">
        <f t="shared" si="18"/>
        <v>216.7071028</v>
      </c>
      <c r="E34" s="125">
        <f t="shared" si="19"/>
        <v>37.638696147887295</v>
      </c>
      <c r="F34" s="146">
        <f t="shared" si="0"/>
        <v>2.3231893524871357</v>
      </c>
      <c r="G34" s="127">
        <v>12.59</v>
      </c>
      <c r="H34" s="126">
        <f t="shared" si="20"/>
        <v>2.136793554888508</v>
      </c>
      <c r="I34" s="230">
        <f>'[1]июль 20'!AI33</f>
        <v>0</v>
      </c>
      <c r="J34" s="247">
        <f>'[1]июль 20'!AA33</f>
        <v>8.6310000000000002</v>
      </c>
      <c r="K34" s="464">
        <f>'[1]сентябрь 20'!AM33</f>
        <v>0</v>
      </c>
      <c r="L34" s="247">
        <f>'[1]июль 20'!AE33</f>
        <v>17.387</v>
      </c>
      <c r="M34" s="468">
        <f t="shared" si="21"/>
        <v>0.18639579759862782</v>
      </c>
      <c r="N34" s="403">
        <f>'[1]июль 20'!W33</f>
        <v>0</v>
      </c>
      <c r="O34" s="403">
        <f>'[1]июль 20'!AU33</f>
        <v>0</v>
      </c>
      <c r="P34" s="401">
        <f t="shared" si="1"/>
        <v>135.77799999999999</v>
      </c>
      <c r="Q34" s="122">
        <f>'[1]июль 20'!S33</f>
        <v>135.77799999999999</v>
      </c>
      <c r="R34" s="123">
        <f t="shared" si="31"/>
        <v>1.73</v>
      </c>
      <c r="S34" s="170">
        <v>0.71</v>
      </c>
      <c r="T34" s="125">
        <f t="shared" si="2"/>
        <v>133.42904059999998</v>
      </c>
      <c r="U34" s="147">
        <f t="shared" si="3"/>
        <v>1.4304142431389366</v>
      </c>
      <c r="V34" s="169">
        <v>93.28</v>
      </c>
      <c r="W34" s="169">
        <v>70.27</v>
      </c>
      <c r="X34" s="170">
        <v>0.78</v>
      </c>
      <c r="Y34" s="166">
        <v>578</v>
      </c>
      <c r="Z34" s="166">
        <v>1152</v>
      </c>
      <c r="AA34" s="148" t="s">
        <v>337</v>
      </c>
      <c r="AB34" s="164">
        <v>76.349999999999994</v>
      </c>
      <c r="AC34" s="166">
        <v>87</v>
      </c>
      <c r="AD34" s="171">
        <v>4</v>
      </c>
      <c r="AE34" s="164"/>
      <c r="AF34" s="172">
        <f t="shared" si="4"/>
        <v>0</v>
      </c>
      <c r="AG34" s="173"/>
      <c r="AH34" s="170">
        <v>62.55</v>
      </c>
      <c r="AI34" s="134">
        <f t="shared" si="5"/>
        <v>670.56174957118367</v>
      </c>
      <c r="AJ34" s="174">
        <v>13.25</v>
      </c>
      <c r="AK34" s="175"/>
      <c r="AL34" s="176">
        <v>6.09</v>
      </c>
      <c r="AM34" s="478">
        <v>25.01</v>
      </c>
      <c r="AN34" s="126">
        <f t="shared" si="23"/>
        <v>0.2035816035816036</v>
      </c>
      <c r="AO34" s="178" t="s">
        <v>362</v>
      </c>
      <c r="AP34" s="177">
        <v>8.73</v>
      </c>
      <c r="AQ34" s="177">
        <v>9.09</v>
      </c>
      <c r="AR34" s="171"/>
      <c r="AS34" s="164">
        <v>8.27</v>
      </c>
      <c r="AT34" s="149">
        <v>122.85</v>
      </c>
      <c r="AU34" s="164">
        <v>1.53</v>
      </c>
      <c r="AV34" s="164"/>
      <c r="AW34" s="164"/>
      <c r="AX34" s="179">
        <f t="shared" si="6"/>
        <v>0</v>
      </c>
      <c r="AY34" s="125">
        <f t="shared" si="7"/>
        <v>93.279999999999987</v>
      </c>
      <c r="AZ34" s="125">
        <f t="shared" si="24"/>
        <v>95.299424027939068</v>
      </c>
      <c r="BA34" s="159">
        <f t="shared" si="8"/>
        <v>4.0071644366197177</v>
      </c>
      <c r="BB34" s="159">
        <f t="shared" si="9"/>
        <v>3.7311999999999994</v>
      </c>
      <c r="BC34" s="180">
        <f t="shared" si="10"/>
        <v>0.87315201845995327</v>
      </c>
      <c r="BD34" s="159">
        <f t="shared" si="25"/>
        <v>7.7383644366197171</v>
      </c>
      <c r="BE34" s="167">
        <v>0.88800000000000001</v>
      </c>
      <c r="BF34" s="25">
        <f t="shared" si="26"/>
        <v>2594.7599999999998</v>
      </c>
      <c r="BG34" s="25">
        <f t="shared" si="11"/>
        <v>108.06451612903226</v>
      </c>
      <c r="BH34" s="25">
        <f t="shared" si="27"/>
        <v>3025.806451612902</v>
      </c>
      <c r="BI34" s="26">
        <f t="shared" si="12"/>
        <v>1</v>
      </c>
      <c r="BJ34" s="37">
        <f t="shared" si="28"/>
        <v>3025.806451612902</v>
      </c>
      <c r="BK34" s="38">
        <v>143.547</v>
      </c>
      <c r="BL34" s="30"/>
      <c r="BM34" s="43">
        <v>47.902000000000001</v>
      </c>
      <c r="BN34" s="43"/>
      <c r="BO34" s="281"/>
      <c r="BP34" s="281">
        <v>8.6809999999999992</v>
      </c>
      <c r="BQ34" s="44">
        <v>17.387</v>
      </c>
      <c r="BR34" s="45">
        <v>0.39</v>
      </c>
      <c r="BS34" s="46"/>
      <c r="BT34" s="47">
        <v>0.31</v>
      </c>
      <c r="BU34" s="47"/>
      <c r="BV34" s="283"/>
      <c r="BW34" s="283">
        <v>1.17</v>
      </c>
      <c r="BX34" s="48"/>
      <c r="BY34" s="45">
        <v>37.17</v>
      </c>
      <c r="BZ34" s="46"/>
      <c r="CA34" s="47">
        <v>37.409999999999997</v>
      </c>
      <c r="CB34" s="47"/>
      <c r="CC34" s="283"/>
      <c r="CD34" s="283">
        <v>33.93</v>
      </c>
      <c r="CE34" s="48">
        <v>43.99</v>
      </c>
      <c r="CF34" s="49">
        <v>135.77799999999999</v>
      </c>
      <c r="CG34" s="49"/>
      <c r="CH34" s="43"/>
      <c r="CI34" s="32"/>
      <c r="CJ34" s="33">
        <v>1.73</v>
      </c>
      <c r="CK34" s="33"/>
      <c r="CL34" s="35"/>
      <c r="CM34" s="36"/>
      <c r="CN34" s="270"/>
      <c r="CO34" s="249">
        <f t="shared" si="30"/>
        <v>142.98716669999999</v>
      </c>
      <c r="CP34" s="12">
        <f t="shared" si="30"/>
        <v>0</v>
      </c>
      <c r="CQ34" s="12">
        <f t="shared" si="30"/>
        <v>47.753503800000004</v>
      </c>
      <c r="CR34" s="12">
        <f t="shared" si="30"/>
        <v>0</v>
      </c>
      <c r="CS34" s="11">
        <f t="shared" si="30"/>
        <v>0</v>
      </c>
      <c r="CT34" s="11">
        <f t="shared" si="30"/>
        <v>8.5794322999999988</v>
      </c>
      <c r="CU34" s="272">
        <f t="shared" si="30"/>
        <v>17.387</v>
      </c>
      <c r="CV34" s="249">
        <f t="shared" si="14"/>
        <v>133.42904059999998</v>
      </c>
      <c r="CW34" s="12">
        <f t="shared" si="14"/>
        <v>0</v>
      </c>
      <c r="CX34" s="249">
        <f t="shared" si="14"/>
        <v>0</v>
      </c>
      <c r="CY34" s="272">
        <f t="shared" si="14"/>
        <v>0</v>
      </c>
      <c r="CZ34" s="13"/>
      <c r="DA34" s="240">
        <f>(D34+'[2]июль 20'!D34)/(AY34+'[2]июль 20'!BA34)</f>
        <v>2.3766212524632193</v>
      </c>
      <c r="DB34" s="241">
        <f>(T34+'[2]июль 20'!R34)/(AY34+'[2]июль 20'!BA34)</f>
        <v>1.4632249508274398</v>
      </c>
      <c r="DD34" s="292">
        <f t="shared" si="15"/>
        <v>8.6310000000000002</v>
      </c>
      <c r="DE34" s="291">
        <v>0.18</v>
      </c>
      <c r="DF34" s="291">
        <v>18.04</v>
      </c>
      <c r="DG34" s="145">
        <f t="shared" si="16"/>
        <v>8.6154641999999999</v>
      </c>
      <c r="DH34" s="293">
        <f t="shared" si="29"/>
        <v>2.0356643636935168</v>
      </c>
      <c r="DJ34" s="322"/>
    </row>
    <row r="35" spans="1:114" s="76" customFormat="1" ht="16.5" customHeight="1" thickBot="1">
      <c r="A35" s="144">
        <v>29</v>
      </c>
      <c r="B35" s="122">
        <f>'[1]июль 20'!K34</f>
        <v>187.45099999999999</v>
      </c>
      <c r="C35" s="123">
        <f t="shared" si="17"/>
        <v>0.70064390160628642</v>
      </c>
      <c r="D35" s="145">
        <f t="shared" si="18"/>
        <v>186.13763600000001</v>
      </c>
      <c r="E35" s="125">
        <f t="shared" si="19"/>
        <v>37.815332220153543</v>
      </c>
      <c r="F35" s="146">
        <f t="shared" si="0"/>
        <v>1.8062846773410968</v>
      </c>
      <c r="G35" s="127"/>
      <c r="H35" s="126">
        <f t="shared" si="20"/>
        <v>1.66053018922853</v>
      </c>
      <c r="I35" s="230">
        <f>'[1]июль 20'!AI34</f>
        <v>0</v>
      </c>
      <c r="J35" s="247">
        <f>'[1]июль 20'!AA34</f>
        <v>7.6059999999999999</v>
      </c>
      <c r="K35" s="465">
        <f>'[1]сентябрь 20'!AM34</f>
        <v>0</v>
      </c>
      <c r="L35" s="247">
        <f>'[1]июль 20'!AE34</f>
        <v>15.02</v>
      </c>
      <c r="M35" s="469">
        <f t="shared" si="21"/>
        <v>0.14575448811256672</v>
      </c>
      <c r="N35" s="403">
        <f>'[1]июль 20'!W34</f>
        <v>0</v>
      </c>
      <c r="O35" s="403">
        <f>'[1]июль 20'!AU34</f>
        <v>0</v>
      </c>
      <c r="P35" s="401">
        <f t="shared" si="1"/>
        <v>116.355</v>
      </c>
      <c r="Q35" s="122">
        <f>'[1]июль 20'!S34</f>
        <v>116.355</v>
      </c>
      <c r="R35" s="123">
        <f t="shared" si="31"/>
        <v>1.63</v>
      </c>
      <c r="S35" s="129"/>
      <c r="T35" s="125">
        <f t="shared" si="2"/>
        <v>114.45841350000001</v>
      </c>
      <c r="U35" s="147">
        <f t="shared" si="3"/>
        <v>1.110707554585153</v>
      </c>
      <c r="V35" s="130">
        <v>39.4</v>
      </c>
      <c r="W35" s="130">
        <v>63.62</v>
      </c>
      <c r="X35" s="129">
        <v>1.03</v>
      </c>
      <c r="Y35" s="150">
        <v>612</v>
      </c>
      <c r="Z35" s="150">
        <v>1147</v>
      </c>
      <c r="AA35" s="148" t="s">
        <v>310</v>
      </c>
      <c r="AB35" s="149">
        <v>74.83</v>
      </c>
      <c r="AC35" s="150">
        <v>75</v>
      </c>
      <c r="AD35" s="151">
        <v>5</v>
      </c>
      <c r="AE35" s="181"/>
      <c r="AF35" s="134">
        <f t="shared" si="4"/>
        <v>0</v>
      </c>
      <c r="AG35" s="182"/>
      <c r="AH35" s="129">
        <v>65.8</v>
      </c>
      <c r="AI35" s="134">
        <f t="shared" si="5"/>
        <v>638.52498786996603</v>
      </c>
      <c r="AJ35" s="136">
        <v>17.21</v>
      </c>
      <c r="AK35" s="154"/>
      <c r="AL35" s="155">
        <v>7.56</v>
      </c>
      <c r="AM35" s="478">
        <v>23.26</v>
      </c>
      <c r="AN35" s="126">
        <f t="shared" si="23"/>
        <v>0.17601210745365115</v>
      </c>
      <c r="AO35" s="184" t="s">
        <v>363</v>
      </c>
      <c r="AP35" s="183">
        <v>9.08</v>
      </c>
      <c r="AQ35" s="183">
        <v>8.9499999999999993</v>
      </c>
      <c r="AR35" s="185"/>
      <c r="AS35" s="181">
        <v>7.82</v>
      </c>
      <c r="AT35" s="149">
        <v>132.15</v>
      </c>
      <c r="AU35" s="181">
        <v>1.72</v>
      </c>
      <c r="AV35" s="149"/>
      <c r="AW35" s="149"/>
      <c r="AX35" s="158">
        <f t="shared" si="6"/>
        <v>0</v>
      </c>
      <c r="AY35" s="125">
        <f t="shared" si="7"/>
        <v>103.05</v>
      </c>
      <c r="AZ35" s="125">
        <f t="shared" si="24"/>
        <v>83.639561335697351</v>
      </c>
      <c r="BA35" s="159">
        <f t="shared" si="8"/>
        <v>3.9859971830985916</v>
      </c>
      <c r="BB35" s="160">
        <f t="shared" si="9"/>
        <v>4.1219999999999999</v>
      </c>
      <c r="BC35" s="161">
        <f t="shared" si="10"/>
        <v>1.0955233214062003</v>
      </c>
      <c r="BD35" s="160">
        <f t="shared" si="25"/>
        <v>8.1079971830985915</v>
      </c>
      <c r="BE35" s="162">
        <v>0.89400000000000002</v>
      </c>
      <c r="BF35" s="25">
        <f t="shared" si="26"/>
        <v>2697.81</v>
      </c>
      <c r="BG35" s="25">
        <f t="shared" si="11"/>
        <v>108.06451612903226</v>
      </c>
      <c r="BH35" s="25">
        <f t="shared" si="27"/>
        <v>3133.8709677419342</v>
      </c>
      <c r="BI35" s="26">
        <f t="shared" si="12"/>
        <v>1</v>
      </c>
      <c r="BJ35" s="37">
        <f t="shared" si="28"/>
        <v>3133.8709677419342</v>
      </c>
      <c r="BK35" s="38">
        <v>146.584</v>
      </c>
      <c r="BL35" s="31"/>
      <c r="BM35" s="31">
        <v>18.471</v>
      </c>
      <c r="BN35" s="31"/>
      <c r="BO35" s="40"/>
      <c r="BP35" s="40">
        <v>7.3760000000000003</v>
      </c>
      <c r="BQ35" s="32">
        <v>15.02</v>
      </c>
      <c r="BR35" s="33">
        <v>0.76</v>
      </c>
      <c r="BS35" s="34"/>
      <c r="BT35" s="35">
        <v>0.56000000000000005</v>
      </c>
      <c r="BU35" s="35"/>
      <c r="BV35" s="235"/>
      <c r="BW35" s="235">
        <v>1.3</v>
      </c>
      <c r="BX35" s="36"/>
      <c r="BY35" s="33">
        <v>37.450000000000003</v>
      </c>
      <c r="BZ35" s="34"/>
      <c r="CA35" s="35">
        <v>37.4</v>
      </c>
      <c r="CB35" s="35"/>
      <c r="CC35" s="235"/>
      <c r="CD35" s="235">
        <v>33.99</v>
      </c>
      <c r="CE35" s="36">
        <v>43.77</v>
      </c>
      <c r="CF35" s="30">
        <v>116.355</v>
      </c>
      <c r="CG35" s="30"/>
      <c r="CH35" s="31"/>
      <c r="CI35" s="50"/>
      <c r="CJ35" s="33">
        <v>1.63</v>
      </c>
      <c r="CK35" s="33"/>
      <c r="CL35" s="35"/>
      <c r="CM35" s="36"/>
      <c r="CN35" s="270"/>
      <c r="CO35" s="249">
        <f t="shared" si="30"/>
        <v>145.4699616</v>
      </c>
      <c r="CP35" s="12">
        <f t="shared" si="30"/>
        <v>0</v>
      </c>
      <c r="CQ35" s="12">
        <f t="shared" si="30"/>
        <v>18.367562400000001</v>
      </c>
      <c r="CR35" s="12">
        <f t="shared" si="30"/>
        <v>0</v>
      </c>
      <c r="CS35" s="11">
        <f t="shared" si="30"/>
        <v>0</v>
      </c>
      <c r="CT35" s="11">
        <f t="shared" si="30"/>
        <v>7.2801119999999999</v>
      </c>
      <c r="CU35" s="272">
        <f t="shared" si="30"/>
        <v>15.02</v>
      </c>
      <c r="CV35" s="249">
        <f t="shared" si="14"/>
        <v>114.45841350000001</v>
      </c>
      <c r="CW35" s="12">
        <f t="shared" si="14"/>
        <v>0</v>
      </c>
      <c r="CX35" s="249">
        <f t="shared" si="14"/>
        <v>0</v>
      </c>
      <c r="CY35" s="272">
        <f t="shared" si="14"/>
        <v>0</v>
      </c>
      <c r="CZ35" s="13"/>
      <c r="DA35" s="240">
        <f>(D35+'[2]июль 20'!D35)/(AY35+'[2]июль 20'!BA35)</f>
        <v>2.038788808086236</v>
      </c>
      <c r="DB35" s="241">
        <f>(T35+'[2]июль 20'!R35)/(AY35+'[2]июль 20'!BA35)</f>
        <v>1.2647974029793307</v>
      </c>
      <c r="DD35" s="292">
        <f t="shared" si="15"/>
        <v>7.6059999999999999</v>
      </c>
      <c r="DE35" s="291">
        <v>0.43</v>
      </c>
      <c r="DF35" s="291">
        <v>15.03</v>
      </c>
      <c r="DG35" s="145">
        <f t="shared" si="16"/>
        <v>7.5732941999999994</v>
      </c>
      <c r="DH35" s="293">
        <f t="shared" si="29"/>
        <v>1.5211360660964852</v>
      </c>
      <c r="DJ35" s="322"/>
    </row>
    <row r="36" spans="1:114" s="76" customFormat="1" ht="16.5" customHeight="1" thickBot="1">
      <c r="A36" s="144">
        <v>30</v>
      </c>
      <c r="B36" s="122">
        <f>'[1]июль 20'!K35</f>
        <v>214.93100000000001</v>
      </c>
      <c r="C36" s="123">
        <f t="shared" si="17"/>
        <v>0.7265635483015479</v>
      </c>
      <c r="D36" s="145">
        <f t="shared" si="18"/>
        <v>213.36938970000003</v>
      </c>
      <c r="E36" s="125">
        <f t="shared" si="19"/>
        <v>37.78251322517459</v>
      </c>
      <c r="F36" s="146">
        <f t="shared" si="0"/>
        <v>2.9418087646491107</v>
      </c>
      <c r="G36" s="127"/>
      <c r="H36" s="126">
        <f t="shared" si="20"/>
        <v>2.521734312698193</v>
      </c>
      <c r="I36" s="230">
        <f>'[1]июль 20'!AI35</f>
        <v>0</v>
      </c>
      <c r="J36" s="247">
        <f>'[1]июль 20'!AA35</f>
        <v>8.5009999999999994</v>
      </c>
      <c r="K36" s="464">
        <f>'[1]сентябрь 20'!AM35</f>
        <v>0</v>
      </c>
      <c r="L36" s="247">
        <f>'[1]июль 20'!AE35</f>
        <v>30.468</v>
      </c>
      <c r="M36" s="468">
        <f t="shared" si="21"/>
        <v>0.42007445195091681</v>
      </c>
      <c r="N36" s="403">
        <f>'[1]июль 20'!W35</f>
        <v>0</v>
      </c>
      <c r="O36" s="403">
        <f>'[1]июль 20'!AU35</f>
        <v>0</v>
      </c>
      <c r="P36" s="401">
        <f t="shared" si="1"/>
        <v>133.93199999999999</v>
      </c>
      <c r="Q36" s="122">
        <f>'[1]июль 20'!S35</f>
        <v>133.93199999999999</v>
      </c>
      <c r="R36" s="123">
        <f t="shared" si="31"/>
        <v>1.67</v>
      </c>
      <c r="S36" s="129">
        <v>20.93</v>
      </c>
      <c r="T36" s="125">
        <f t="shared" si="2"/>
        <v>131.69533559999999</v>
      </c>
      <c r="U36" s="147">
        <f t="shared" si="3"/>
        <v>1.8157360485316416</v>
      </c>
      <c r="V36" s="130">
        <v>46.3</v>
      </c>
      <c r="W36" s="130">
        <v>72.53</v>
      </c>
      <c r="X36" s="129">
        <v>0.59</v>
      </c>
      <c r="Y36" s="150">
        <v>619</v>
      </c>
      <c r="Z36" s="150">
        <v>1154</v>
      </c>
      <c r="AA36" s="148" t="s">
        <v>337</v>
      </c>
      <c r="AB36" s="149">
        <v>75.31</v>
      </c>
      <c r="AC36" s="150">
        <v>86</v>
      </c>
      <c r="AD36" s="151">
        <v>4</v>
      </c>
      <c r="AE36" s="149"/>
      <c r="AF36" s="134">
        <f t="shared" si="4"/>
        <v>0</v>
      </c>
      <c r="AG36" s="152"/>
      <c r="AH36" s="129">
        <v>51.8</v>
      </c>
      <c r="AI36" s="134">
        <f t="shared" si="5"/>
        <v>714.18723286915747</v>
      </c>
      <c r="AJ36" s="153">
        <v>16.11</v>
      </c>
      <c r="AK36" s="154"/>
      <c r="AL36" s="155">
        <v>5.57</v>
      </c>
      <c r="AM36" s="478">
        <v>30.3</v>
      </c>
      <c r="AN36" s="126">
        <f t="shared" si="23"/>
        <v>0.27952029520295202</v>
      </c>
      <c r="AO36" s="157" t="s">
        <v>370</v>
      </c>
      <c r="AP36" s="156">
        <v>8.76</v>
      </c>
      <c r="AQ36" s="156">
        <v>7.88</v>
      </c>
      <c r="AR36" s="151"/>
      <c r="AS36" s="149">
        <v>9.4</v>
      </c>
      <c r="AT36" s="149">
        <v>108.4</v>
      </c>
      <c r="AU36" s="149"/>
      <c r="AV36" s="149"/>
      <c r="AW36" s="149"/>
      <c r="AX36" s="158">
        <f t="shared" si="6"/>
        <v>0</v>
      </c>
      <c r="AY36" s="125">
        <f t="shared" si="7"/>
        <v>72.530000000000015</v>
      </c>
      <c r="AZ36" s="125">
        <f t="shared" si="24"/>
        <v>95.339006728374002</v>
      </c>
      <c r="BA36" s="159">
        <f t="shared" si="8"/>
        <v>3.7719154929577465</v>
      </c>
      <c r="BB36" s="160">
        <f t="shared" si="9"/>
        <v>2.9012000000000007</v>
      </c>
      <c r="BC36" s="161">
        <f t="shared" si="10"/>
        <v>0.67755938791493153</v>
      </c>
      <c r="BD36" s="160">
        <f t="shared" si="25"/>
        <v>6.6731154929577468</v>
      </c>
      <c r="BE36" s="162">
        <v>0.88700000000000001</v>
      </c>
      <c r="BF36" s="25">
        <f t="shared" si="26"/>
        <v>2770.34</v>
      </c>
      <c r="BG36" s="25">
        <f t="shared" si="11"/>
        <v>108.06451612903226</v>
      </c>
      <c r="BH36" s="25">
        <f t="shared" si="27"/>
        <v>3241.9354838709664</v>
      </c>
      <c r="BI36" s="26">
        <f t="shared" si="12"/>
        <v>1</v>
      </c>
      <c r="BJ36" s="37">
        <f t="shared" si="28"/>
        <v>3241.9354838709664</v>
      </c>
      <c r="BK36" s="38">
        <v>9.8960000000000008</v>
      </c>
      <c r="BL36" s="31">
        <v>56.112000000000002</v>
      </c>
      <c r="BM36" s="31"/>
      <c r="BN36" s="31">
        <v>16.094000000000001</v>
      </c>
      <c r="BO36" s="40">
        <v>107.697</v>
      </c>
      <c r="BP36" s="40">
        <v>10.757999999999999</v>
      </c>
      <c r="BQ36" s="32">
        <v>14.374000000000001</v>
      </c>
      <c r="BR36" s="33">
        <v>0.79</v>
      </c>
      <c r="BS36" s="34">
        <v>0.79</v>
      </c>
      <c r="BT36" s="35"/>
      <c r="BU36" s="35"/>
      <c r="BV36" s="235">
        <v>0.79</v>
      </c>
      <c r="BW36" s="235">
        <v>1.76</v>
      </c>
      <c r="BX36" s="36"/>
      <c r="BY36" s="33">
        <v>37.49</v>
      </c>
      <c r="BZ36" s="34">
        <v>37.49</v>
      </c>
      <c r="CA36" s="35"/>
      <c r="CB36" s="35">
        <v>41.62</v>
      </c>
      <c r="CC36" s="235">
        <v>37.49</v>
      </c>
      <c r="CD36" s="235">
        <v>28.11</v>
      </c>
      <c r="CE36" s="36">
        <v>44.26</v>
      </c>
      <c r="CF36" s="30">
        <v>133.93199999999999</v>
      </c>
      <c r="CG36" s="30"/>
      <c r="CH36" s="34"/>
      <c r="CI36" s="50"/>
      <c r="CJ36" s="33">
        <v>1.67</v>
      </c>
      <c r="CK36" s="33"/>
      <c r="CL36" s="35"/>
      <c r="CM36" s="36"/>
      <c r="CN36" s="270"/>
      <c r="CO36" s="249">
        <f t="shared" si="30"/>
        <v>9.8178216000000003</v>
      </c>
      <c r="CP36" s="12">
        <f t="shared" si="30"/>
        <v>55.668715200000001</v>
      </c>
      <c r="CQ36" s="12">
        <f t="shared" si="30"/>
        <v>0</v>
      </c>
      <c r="CR36" s="12">
        <f t="shared" si="30"/>
        <v>16.094000000000001</v>
      </c>
      <c r="CS36" s="11">
        <f t="shared" si="30"/>
        <v>106.8461937</v>
      </c>
      <c r="CT36" s="11">
        <f t="shared" si="30"/>
        <v>10.568659199999999</v>
      </c>
      <c r="CU36" s="272">
        <f t="shared" si="30"/>
        <v>14.374000000000001</v>
      </c>
      <c r="CV36" s="249">
        <f t="shared" si="14"/>
        <v>131.69533559999999</v>
      </c>
      <c r="CW36" s="12">
        <f t="shared" si="14"/>
        <v>0</v>
      </c>
      <c r="CX36" s="249">
        <f t="shared" si="14"/>
        <v>0</v>
      </c>
      <c r="CY36" s="274">
        <f t="shared" si="14"/>
        <v>0</v>
      </c>
      <c r="CZ36" s="13"/>
      <c r="DA36" s="240">
        <f>(D36+'[2]июль 20'!D36)/(AY36+'[2]июль 20'!BA36)</f>
        <v>2.5675408886782751</v>
      </c>
      <c r="DB36" s="241">
        <f>(T36+'[2]июль 20'!R36)/(AY36+'[2]июль 20'!BA36)</f>
        <v>1.5964926169326785</v>
      </c>
      <c r="DD36" s="292">
        <f t="shared" si="15"/>
        <v>8.5009999999999994</v>
      </c>
      <c r="DE36" s="291">
        <v>0.33</v>
      </c>
      <c r="DF36" s="291">
        <v>16.78</v>
      </c>
      <c r="DG36" s="145">
        <f t="shared" si="16"/>
        <v>8.4729466999999996</v>
      </c>
      <c r="DH36" s="293">
        <f t="shared" si="29"/>
        <v>1.8878773818350816</v>
      </c>
      <c r="DJ36" s="322"/>
    </row>
    <row r="37" spans="1:114" s="76" customFormat="1" ht="16.5" customHeight="1" thickBot="1">
      <c r="A37" s="186">
        <v>31</v>
      </c>
      <c r="B37" s="122">
        <f>'[1]июль 20'!K36</f>
        <v>207.49700000000001</v>
      </c>
      <c r="C37" s="123">
        <f t="shared" si="17"/>
        <v>0.60312293671715733</v>
      </c>
      <c r="D37" s="187">
        <f t="shared" si="18"/>
        <v>206.24553800000001</v>
      </c>
      <c r="E37" s="285">
        <f t="shared" si="19"/>
        <v>37.767971199583606</v>
      </c>
      <c r="F37" s="189">
        <f t="shared" si="0"/>
        <v>2.1790336819862652</v>
      </c>
      <c r="G37" s="127">
        <v>1.74</v>
      </c>
      <c r="H37" s="126">
        <f t="shared" si="20"/>
        <v>1.1704864025356578</v>
      </c>
      <c r="I37" s="230">
        <f>'[1]июль 20'!AI36</f>
        <v>0</v>
      </c>
      <c r="J37" s="277">
        <f>'[1]июль 20'!AA36</f>
        <v>8.1639999999999997</v>
      </c>
      <c r="K37" s="276">
        <f>'[1]сентябрь 20'!AM36</f>
        <v>0</v>
      </c>
      <c r="L37" s="438">
        <f>'[1]июль 20'!AE36</f>
        <v>95.459000000000003</v>
      </c>
      <c r="M37" s="128">
        <f t="shared" si="21"/>
        <v>1.0085472794506074</v>
      </c>
      <c r="N37" s="399">
        <f>'[1]июль 20'!W36</f>
        <v>0</v>
      </c>
      <c r="O37" s="399">
        <f>'[1]июль 20'!AU36</f>
        <v>0</v>
      </c>
      <c r="P37" s="125">
        <f t="shared" si="1"/>
        <v>129.68</v>
      </c>
      <c r="Q37" s="122">
        <f>'[1]июль 20'!S36</f>
        <v>129.68</v>
      </c>
      <c r="R37" s="123">
        <f t="shared" si="31"/>
        <v>1.79</v>
      </c>
      <c r="S37" s="190">
        <v>1.59</v>
      </c>
      <c r="T37" s="125">
        <f t="shared" si="2"/>
        <v>127.358728</v>
      </c>
      <c r="U37" s="191">
        <f t="shared" si="3"/>
        <v>1.3455755731642893</v>
      </c>
      <c r="V37" s="192">
        <v>94.65</v>
      </c>
      <c r="W37" s="192">
        <v>94.65</v>
      </c>
      <c r="X37" s="190">
        <v>0.41</v>
      </c>
      <c r="Y37" s="193">
        <v>613</v>
      </c>
      <c r="Z37" s="194">
        <v>1152</v>
      </c>
      <c r="AA37" s="195" t="s">
        <v>352</v>
      </c>
      <c r="AB37" s="196">
        <v>75.760000000000005</v>
      </c>
      <c r="AC37" s="194">
        <v>83</v>
      </c>
      <c r="AD37" s="193">
        <v>4</v>
      </c>
      <c r="AE37" s="196"/>
      <c r="AF37" s="134">
        <f t="shared" si="4"/>
        <v>0</v>
      </c>
      <c r="AG37" s="197"/>
      <c r="AH37" s="190">
        <v>78.150000000000006</v>
      </c>
      <c r="AI37" s="134">
        <f t="shared" si="5"/>
        <v>825.67353407290011</v>
      </c>
      <c r="AJ37" s="196">
        <v>16.71</v>
      </c>
      <c r="AK37" s="198"/>
      <c r="AL37" s="199">
        <v>5.77</v>
      </c>
      <c r="AM37" s="478">
        <v>22.28</v>
      </c>
      <c r="AN37" s="126">
        <f t="shared" si="23"/>
        <v>0.18158109209453954</v>
      </c>
      <c r="AO37" s="201" t="s">
        <v>372</v>
      </c>
      <c r="AP37" s="200">
        <v>8.61</v>
      </c>
      <c r="AQ37" s="200">
        <v>8.09</v>
      </c>
      <c r="AR37" s="193"/>
      <c r="AS37" s="196">
        <v>7.96</v>
      </c>
      <c r="AT37" s="242">
        <v>122.7</v>
      </c>
      <c r="AU37" s="196"/>
      <c r="AV37" s="196"/>
      <c r="AW37" s="196"/>
      <c r="AX37" s="202">
        <f t="shared" si="6"/>
        <v>0</v>
      </c>
      <c r="AY37" s="188">
        <f t="shared" si="7"/>
        <v>94.65</v>
      </c>
      <c r="AZ37" s="125">
        <f t="shared" si="24"/>
        <v>91.274143535386017</v>
      </c>
      <c r="BA37" s="203">
        <f t="shared" si="8"/>
        <v>4.8188830985915496</v>
      </c>
      <c r="BB37" s="204">
        <f t="shared" si="9"/>
        <v>3.7860000000000005</v>
      </c>
      <c r="BC37" s="205">
        <f t="shared" si="10"/>
        <v>0.92056056455784674</v>
      </c>
      <c r="BD37" s="206">
        <f t="shared" si="25"/>
        <v>8.6048830985915501</v>
      </c>
      <c r="BE37" s="207">
        <v>0.88800000000000001</v>
      </c>
      <c r="BF37" s="25">
        <f t="shared" si="26"/>
        <v>2864.9900000000002</v>
      </c>
      <c r="BG37" s="25">
        <f t="shared" si="11"/>
        <v>108.06451612903226</v>
      </c>
      <c r="BH37" s="25">
        <f t="shared" si="27"/>
        <v>3349.9999999999986</v>
      </c>
      <c r="BI37" s="26">
        <f t="shared" si="12"/>
        <v>1</v>
      </c>
      <c r="BJ37" s="37">
        <f t="shared" si="28"/>
        <v>3349.9999999999986</v>
      </c>
      <c r="BK37" s="51"/>
      <c r="BL37" s="53"/>
      <c r="BM37" s="53"/>
      <c r="BN37" s="53">
        <v>95.459000000000003</v>
      </c>
      <c r="BO37" s="282">
        <v>91.316000000000003</v>
      </c>
      <c r="BP37" s="282">
        <v>20.722000000000001</v>
      </c>
      <c r="BQ37" s="54"/>
      <c r="BR37" s="55"/>
      <c r="BS37" s="52"/>
      <c r="BT37" s="56"/>
      <c r="BU37" s="56"/>
      <c r="BV37" s="284">
        <v>0.49</v>
      </c>
      <c r="BW37" s="284">
        <v>3.88</v>
      </c>
      <c r="BX37" s="57"/>
      <c r="BY37" s="55"/>
      <c r="BZ37" s="52"/>
      <c r="CA37" s="56"/>
      <c r="CB37" s="56">
        <v>41.8</v>
      </c>
      <c r="CC37" s="284">
        <v>35.520000000000003</v>
      </c>
      <c r="CD37" s="284">
        <v>29.1</v>
      </c>
      <c r="CE37" s="57"/>
      <c r="CF37" s="58">
        <v>129.68</v>
      </c>
      <c r="CG37" s="58"/>
      <c r="CH37" s="52"/>
      <c r="CI37" s="54"/>
      <c r="CJ37" s="33">
        <v>1.79</v>
      </c>
      <c r="CK37" s="265"/>
      <c r="CL37" s="59"/>
      <c r="CM37" s="60"/>
      <c r="CN37" s="270"/>
      <c r="CO37" s="269">
        <f t="shared" si="30"/>
        <v>0</v>
      </c>
      <c r="CP37" s="18">
        <f t="shared" si="30"/>
        <v>0</v>
      </c>
      <c r="CQ37" s="18">
        <f t="shared" si="30"/>
        <v>0</v>
      </c>
      <c r="CR37" s="18">
        <f t="shared" si="30"/>
        <v>95.459000000000003</v>
      </c>
      <c r="CS37" s="251">
        <f t="shared" si="30"/>
        <v>90.868551600000018</v>
      </c>
      <c r="CT37" s="11">
        <f t="shared" si="30"/>
        <v>19.917986400000004</v>
      </c>
      <c r="CU37" s="273">
        <f t="shared" si="30"/>
        <v>0</v>
      </c>
      <c r="CV37" s="269">
        <f t="shared" si="14"/>
        <v>127.358728</v>
      </c>
      <c r="CW37" s="18">
        <f t="shared" si="14"/>
        <v>0</v>
      </c>
      <c r="CX37" s="261">
        <f t="shared" si="14"/>
        <v>0</v>
      </c>
      <c r="CY37" s="273">
        <f t="shared" si="14"/>
        <v>0</v>
      </c>
      <c r="CZ37" s="13"/>
      <c r="DA37" s="240">
        <f>(D37+'[2]июль 20'!D37)/(AY37+'[2]июль 20'!BA37)</f>
        <v>2.0488755394957985</v>
      </c>
      <c r="DB37" s="241">
        <f>(T37+'[2]июль 20'!R37)/(AY37+'[2]июль 20'!BA37)</f>
        <v>1.2799553882352941</v>
      </c>
      <c r="DD37" s="292">
        <f t="shared" si="15"/>
        <v>8.1639999999999997</v>
      </c>
      <c r="DE37" s="294">
        <v>0.06</v>
      </c>
      <c r="DF37" s="294">
        <v>14.06</v>
      </c>
      <c r="DG37" s="323">
        <f t="shared" si="16"/>
        <v>8.1591015999999996</v>
      </c>
      <c r="DH37" s="293">
        <f t="shared" si="29"/>
        <v>1.5142155292502637</v>
      </c>
      <c r="DJ37" s="322"/>
    </row>
    <row r="38" spans="1:114" s="214" customFormat="1" ht="16.5" customHeight="1" thickBot="1">
      <c r="A38" s="91" t="s">
        <v>56</v>
      </c>
      <c r="B38" s="92">
        <f>SUM(B7:B37)</f>
        <v>6530.3600000000006</v>
      </c>
      <c r="C38" s="330"/>
      <c r="D38" s="331">
        <f>SUM(D7:D37)</f>
        <v>6486.4672165799502</v>
      </c>
      <c r="E38" s="332"/>
      <c r="F38" s="331"/>
      <c r="G38" s="333">
        <f>SUM(G7:G37)</f>
        <v>29.09</v>
      </c>
      <c r="H38" s="329"/>
      <c r="I38" s="334">
        <f>SUM(I7:I37)</f>
        <v>0</v>
      </c>
      <c r="J38" s="329">
        <f>SUM(J7:J37)</f>
        <v>260.226</v>
      </c>
      <c r="K38" s="329">
        <f>SUM(K7:K37)</f>
        <v>0</v>
      </c>
      <c r="L38" s="396">
        <f>SUM(L7:L37)</f>
        <v>666.7679999999998</v>
      </c>
      <c r="M38" s="335"/>
      <c r="N38" s="329">
        <f>SUM(N7:N37)</f>
        <v>0</v>
      </c>
      <c r="O38" s="396">
        <f>SUM(O7:O37)</f>
        <v>0</v>
      </c>
      <c r="P38" s="330">
        <f>SUM(P7:P37)</f>
        <v>4049.7670019999996</v>
      </c>
      <c r="Q38" s="396">
        <f>SUM(Q7:Q37)</f>
        <v>4049.7669999999998</v>
      </c>
      <c r="R38" s="336">
        <f>IF(Q38=0,0,(CA38*CH38+CE38*CI38+CF38*CJ38)/Q38)</f>
        <v>0</v>
      </c>
      <c r="S38" s="398">
        <f>SUM(S7:S37)</f>
        <v>257.06</v>
      </c>
      <c r="T38" s="331">
        <f>SUM(T7:T37)</f>
        <v>3988.6513252</v>
      </c>
      <c r="U38" s="337"/>
      <c r="V38" s="229">
        <f>SUM(V7:V37)</f>
        <v>2472.6300000000006</v>
      </c>
      <c r="W38" s="229">
        <f>SUM(W7:W37)</f>
        <v>2479.7199999999998</v>
      </c>
      <c r="X38" s="338"/>
      <c r="Y38" s="337"/>
      <c r="Z38" s="339"/>
      <c r="AA38" s="340"/>
      <c r="AB38" s="338"/>
      <c r="AC38" s="339"/>
      <c r="AD38" s="339">
        <f>SUM(AD7:AD37)</f>
        <v>125</v>
      </c>
      <c r="AE38" s="90">
        <f>SUM(AE7:AE37)</f>
        <v>5.0999999999999996</v>
      </c>
      <c r="AF38" s="341"/>
      <c r="AG38" s="342">
        <f>SUM(AG7:AG37)</f>
        <v>0</v>
      </c>
      <c r="AH38" s="90">
        <f>SUM(AH7:AH37)</f>
        <v>1970.9000000000003</v>
      </c>
      <c r="AI38" s="341"/>
      <c r="AJ38" s="332">
        <f>SUM(AJ7:AJ37)</f>
        <v>467.55</v>
      </c>
      <c r="AK38" s="343"/>
      <c r="AL38" s="397">
        <f>SUM(AL7:AL37)</f>
        <v>154.80000000000001</v>
      </c>
      <c r="AM38" s="344">
        <f>SUM(AM7:AM37)</f>
        <v>779.46999999999991</v>
      </c>
      <c r="AN38" s="345"/>
      <c r="AO38" s="342"/>
      <c r="AP38" s="332"/>
      <c r="AQ38" s="342"/>
      <c r="AR38" s="342"/>
      <c r="AS38" s="346"/>
      <c r="AT38" s="332">
        <f>SUM(AT7:AT37)</f>
        <v>3759.6000000000004</v>
      </c>
      <c r="AU38" s="332">
        <f>SUM(AU7:AU37)</f>
        <v>39.660000000000004</v>
      </c>
      <c r="AV38" s="347">
        <f>SUM(AV7:AV37)</f>
        <v>0</v>
      </c>
      <c r="AW38" s="332">
        <f>SUM(AW7:AW37)</f>
        <v>0</v>
      </c>
      <c r="AX38" s="331"/>
      <c r="AY38" s="90">
        <f>SUM(AY7:AY37)</f>
        <v>2864.9900000000002</v>
      </c>
      <c r="AZ38" s="330">
        <f>SUM(AZ7:AZ37)</f>
        <v>2859.1611003902053</v>
      </c>
      <c r="BA38" s="342">
        <f>SUM(BA7:BA37)</f>
        <v>119.08594964788729</v>
      </c>
      <c r="BB38" s="342">
        <f>SUM(BB7:BB37)</f>
        <v>114.59960000000002</v>
      </c>
      <c r="BC38" s="332"/>
      <c r="BD38" s="89">
        <f>SUM(BD7:BD37)</f>
        <v>233.68554964788737</v>
      </c>
      <c r="BE38" s="348"/>
      <c r="BF38" s="19"/>
      <c r="BG38" s="19">
        <f t="shared" si="11"/>
        <v>0</v>
      </c>
      <c r="BH38" s="19"/>
      <c r="BI38" s="208">
        <f>SUM(BI7:BI37)</f>
        <v>31</v>
      </c>
      <c r="BJ38" s="209"/>
      <c r="BK38" s="278">
        <f t="shared" ref="BK38:BQ38" si="32">SUM(BK7:BK37)</f>
        <v>3981.663</v>
      </c>
      <c r="BL38" s="61">
        <f>SUM(BL7:BL37)</f>
        <v>56.112000999999999</v>
      </c>
      <c r="BM38" s="61">
        <f t="shared" si="32"/>
        <v>1320.8980000000001</v>
      </c>
      <c r="BN38" s="61">
        <f t="shared" si="32"/>
        <v>111.55300100000001</v>
      </c>
      <c r="BO38" s="61">
        <f t="shared" si="32"/>
        <v>199.013001</v>
      </c>
      <c r="BP38" s="61">
        <f t="shared" si="32"/>
        <v>305.90599999999989</v>
      </c>
      <c r="BQ38" s="64">
        <f t="shared" si="32"/>
        <v>555.21499999999992</v>
      </c>
      <c r="BR38" s="63"/>
      <c r="BS38" s="24"/>
      <c r="BT38" s="24"/>
      <c r="BU38" s="24"/>
      <c r="BV38" s="62"/>
      <c r="BW38" s="62"/>
      <c r="BX38" s="65"/>
      <c r="BY38" s="63"/>
      <c r="BZ38" s="24"/>
      <c r="CA38" s="24"/>
      <c r="CB38" s="24"/>
      <c r="CC38" s="62"/>
      <c r="CD38" s="62"/>
      <c r="CE38" s="62"/>
      <c r="CF38" s="66">
        <f>SUM(CF7:CF37)</f>
        <v>3240.6919999999991</v>
      </c>
      <c r="CG38" s="66">
        <f>SUM(CG7:CG37)</f>
        <v>809.07500000000005</v>
      </c>
      <c r="CH38" s="61">
        <f>SUM(CH7:CH37)</f>
        <v>9.9999999999999995E-7</v>
      </c>
      <c r="CI38" s="67">
        <f>SUM(CI7:CI37)</f>
        <v>9.9999999999999995E-7</v>
      </c>
      <c r="CJ38" s="210"/>
      <c r="CK38" s="266"/>
      <c r="CL38" s="211"/>
      <c r="CM38" s="212"/>
      <c r="CN38" s="213"/>
      <c r="CO38" s="68">
        <f t="shared" ref="CO38:CY38" si="33">SUM(CO7:CO37)</f>
        <v>3952.1054262999992</v>
      </c>
      <c r="CP38" s="69">
        <f t="shared" si="33"/>
        <v>55.668716199999992</v>
      </c>
      <c r="CQ38" s="70">
        <f t="shared" si="33"/>
        <v>1313.7945465</v>
      </c>
      <c r="CR38" s="69">
        <f t="shared" si="33"/>
        <v>111.55300099999999</v>
      </c>
      <c r="CS38" s="72">
        <f t="shared" si="33"/>
        <v>197.7147463</v>
      </c>
      <c r="CT38" s="72">
        <f t="shared" si="33"/>
        <v>300.41578350000003</v>
      </c>
      <c r="CU38" s="71">
        <f t="shared" si="33"/>
        <v>555.21499977994995</v>
      </c>
      <c r="CV38" s="72">
        <f t="shared" si="33"/>
        <v>3191.4879237000005</v>
      </c>
      <c r="CW38" s="72">
        <f t="shared" si="33"/>
        <v>797.16340149999985</v>
      </c>
      <c r="CX38" s="72">
        <f t="shared" si="33"/>
        <v>9.9999998999999992E-7</v>
      </c>
      <c r="CY38" s="72">
        <f t="shared" si="33"/>
        <v>9.9999998999999992E-7</v>
      </c>
      <c r="CZ38" s="70"/>
      <c r="DA38" s="240">
        <f>(D38+'[2]июль 20'!D38)/(AY38+'[2]июль 20'!BA38)</f>
        <v>2.227254140153792</v>
      </c>
      <c r="DB38" s="241">
        <f>(T38+'[2]июль 20'!R38)/(AY38+'[2]июль 20'!BA38)</f>
        <v>1.4014458039350348</v>
      </c>
      <c r="DD38" s="295">
        <f>SUM(DD7:DD37)</f>
        <v>260.226</v>
      </c>
      <c r="DE38" s="296">
        <f>(SUMPRODUCT(DD7:DD37,DE7:DE37))/DD38</f>
        <v>0.4037763713080168</v>
      </c>
      <c r="DF38" s="296">
        <f>(SUMPRODUCT(DD7:DD37,DF7:DF37))/DD38</f>
        <v>12.310436812616725</v>
      </c>
      <c r="DG38" s="296">
        <f>(SUMPRODUCT(DE7:DE37,DG7:DG37))/DE38</f>
        <v>256.49431111954652</v>
      </c>
      <c r="DH38" s="324">
        <f>IF(J38=0,0,(DG38*DF38%)/(AB39/100))</f>
        <v>41.593063509322761</v>
      </c>
    </row>
    <row r="39" spans="1:114" s="214" customFormat="1" ht="16.5" customHeight="1" thickBot="1">
      <c r="A39" s="93" t="s">
        <v>57</v>
      </c>
      <c r="B39" s="349">
        <f>B38/AU2</f>
        <v>210.65677419354842</v>
      </c>
      <c r="C39" s="349">
        <f>(BK38*BR39+BM38*BT39+BQ38*BX39+BL38*BS39+BN38*BU39+BO38*BV39+BP38*BW39)/B38</f>
        <v>0.67213420730327322</v>
      </c>
      <c r="D39" s="350">
        <f>D38/AU2</f>
        <v>209.24087795419194</v>
      </c>
      <c r="E39" s="349">
        <f>(BK38*BY39+BM38*CA39+BQ38*CE39+BL38*BZ39+BN38*CB39+BO38*CC39+BP38*CD39)/B38</f>
        <v>37.768618086904851</v>
      </c>
      <c r="F39" s="351">
        <f>IF($AY$38=0,0,$D$38/$AY$38)</f>
        <v>2.2640453253169994</v>
      </c>
      <c r="G39" s="352">
        <f>G38/AU2</f>
        <v>0.93838709677419352</v>
      </c>
      <c r="H39" s="353">
        <f>IF($AY$38=0,0,(CP38+CO38+CS38+CQ38+CT38)/AY38)</f>
        <v>2.0313157179606205</v>
      </c>
      <c r="I39" s="349">
        <f>I38/AU2</f>
        <v>0</v>
      </c>
      <c r="J39" s="349">
        <f>J38/AU2</f>
        <v>8.394387096774194</v>
      </c>
      <c r="K39" s="349">
        <f>K38/AU2</f>
        <v>0</v>
      </c>
      <c r="L39" s="349">
        <f>L38/AU2</f>
        <v>21.508645161290318</v>
      </c>
      <c r="M39" s="354">
        <f>IF($AY$38=0,0,(CR38+CU38)/$AY$38)</f>
        <v>0.23272960840350224</v>
      </c>
      <c r="N39" s="349">
        <f>N38/AU2</f>
        <v>0</v>
      </c>
      <c r="O39" s="349">
        <f>O38/AU2</f>
        <v>0</v>
      </c>
      <c r="P39" s="349">
        <f>P38/AU2</f>
        <v>130.63764522580644</v>
      </c>
      <c r="Q39" s="349">
        <f>Q38/AU2</f>
        <v>130.63764516129032</v>
      </c>
      <c r="R39" s="349">
        <f>(SUMPRODUCT(R7:R37,Q7:Q37))/Q38</f>
        <v>1.5091158281451755</v>
      </c>
      <c r="S39" s="355">
        <f>S38/AU2</f>
        <v>8.2922580645161297</v>
      </c>
      <c r="T39" s="356"/>
      <c r="U39" s="354">
        <f>IF($AY$38=0,0,$T$38/$AY$38)</f>
        <v>1.3922042747793184</v>
      </c>
      <c r="V39" s="349">
        <f>V38/AU2</f>
        <v>79.762258064516146</v>
      </c>
      <c r="W39" s="349">
        <f>W38/AU2</f>
        <v>79.990967741935478</v>
      </c>
      <c r="X39" s="349">
        <f>(SUMPRODUCT(X7:X37,AY7:AY37))/AY38</f>
        <v>0.66156688155979582</v>
      </c>
      <c r="Y39" s="357">
        <f>AVERAGE(Y7:Y37)</f>
        <v>561.61290322580646</v>
      </c>
      <c r="Z39" s="357">
        <f>AVERAGE(Z7:Z37)</f>
        <v>1147.9677419354839</v>
      </c>
      <c r="AA39" s="357"/>
      <c r="AB39" s="349">
        <f>(SUMPRODUCT(AB7:AB37,AY7:AY37))/AY38</f>
        <v>75.915471076687851</v>
      </c>
      <c r="AC39" s="358">
        <f>AVERAGE(AC7:AC37)</f>
        <v>84.129032258064512</v>
      </c>
      <c r="AD39" s="358">
        <f>AVERAGE(AD7:AD37)</f>
        <v>4.032258064516129</v>
      </c>
      <c r="AE39" s="349">
        <f>AE38/AU2</f>
        <v>0.16451612903225804</v>
      </c>
      <c r="AF39" s="355">
        <f>IF(AY38=0,0,AE38/AY38*1000)</f>
        <v>1.7801109253435436</v>
      </c>
      <c r="AG39" s="356" t="e">
        <f>AG38/$AW$2</f>
        <v>#DIV/0!</v>
      </c>
      <c r="AH39" s="349">
        <f>AH38/AU2</f>
        <v>63.577419354838717</v>
      </c>
      <c r="AI39" s="355">
        <f>IF(AY38=0,0,AH38/AY38*1000)</f>
        <v>687.92561230580213</v>
      </c>
      <c r="AJ39" s="349">
        <f>AJ38/AU2</f>
        <v>15.082258064516129</v>
      </c>
      <c r="AK39" s="359"/>
      <c r="AL39" s="349">
        <f>AL38/AU2</f>
        <v>4.9935483870967747</v>
      </c>
      <c r="AM39" s="349">
        <f>AM38/AU2</f>
        <v>25.144193548387094</v>
      </c>
      <c r="AN39" s="360">
        <f>IF(AM39=0,0,AM39/AT39)</f>
        <v>0.20732790722417271</v>
      </c>
      <c r="AO39" s="356"/>
      <c r="AP39" s="349">
        <f>AVERAGE(AP7:AP37)</f>
        <v>8.4422580645161318</v>
      </c>
      <c r="AQ39" s="349">
        <f>AVERAGE(AQ7:AQ37)</f>
        <v>8.3448387096774201</v>
      </c>
      <c r="AR39" s="356"/>
      <c r="AS39" s="349">
        <f>AVERAGE(AS7:AS37)</f>
        <v>7.7706451612903216</v>
      </c>
      <c r="AT39" s="349">
        <f>AT38/AU2</f>
        <v>121.27741935483873</v>
      </c>
      <c r="AU39" s="349">
        <f>AU38/AU2</f>
        <v>1.2793548387096776</v>
      </c>
      <c r="AV39" s="349" t="e">
        <f>AV38/$AW$2</f>
        <v>#DIV/0!</v>
      </c>
      <c r="AW39" s="349" t="e">
        <f>AW38/$AW$2</f>
        <v>#DIV/0!</v>
      </c>
      <c r="AX39" s="349" t="e">
        <f>IF(AY39=0,0,AW39/AY39*100)</f>
        <v>#DIV/0!</v>
      </c>
      <c r="AY39" s="349">
        <f>AY38/AU2</f>
        <v>92.419032258064519</v>
      </c>
      <c r="AZ39" s="349">
        <f>AZ38/AU2</f>
        <v>92.231003238393725</v>
      </c>
      <c r="BA39" s="356"/>
      <c r="BB39" s="356"/>
      <c r="BC39" s="351">
        <f>(AY38*AB39)/(D38*E39)</f>
        <v>0.8877978307415495</v>
      </c>
      <c r="BD39" s="349">
        <f>BD38/AU2</f>
        <v>7.5382435370286247</v>
      </c>
      <c r="BE39" s="361"/>
      <c r="BF39" s="19"/>
      <c r="BG39" s="19"/>
      <c r="BH39" s="19"/>
      <c r="BI39" s="19"/>
      <c r="BJ39" s="215"/>
      <c r="BK39" s="73"/>
      <c r="BL39" s="216"/>
      <c r="BM39" s="216"/>
      <c r="BN39" s="216"/>
      <c r="BO39" s="219"/>
      <c r="BP39" s="219"/>
      <c r="BQ39" s="217"/>
      <c r="BR39" s="73">
        <f t="shared" ref="BR39:BX39" si="34">(SUMPRODUCT(BK7:BK37,BR7:BR37))/BK38</f>
        <v>0.74234242576531484</v>
      </c>
      <c r="BS39" s="29">
        <f>(SUMPRODUCT(BL7:BL37,BS7:BS37))/BL38</f>
        <v>0.78999998592103338</v>
      </c>
      <c r="BT39" s="29">
        <f t="shared" si="34"/>
        <v>0.53777456699911708</v>
      </c>
      <c r="BU39" s="29">
        <f t="shared" si="34"/>
        <v>8.9643487045229735E-15</v>
      </c>
      <c r="BV39" s="29">
        <f t="shared" si="34"/>
        <v>0.65234667759218901</v>
      </c>
      <c r="BW39" s="29">
        <f t="shared" si="34"/>
        <v>1.794739723967494</v>
      </c>
      <c r="BX39" s="74">
        <f t="shared" si="34"/>
        <v>3.9633295209963711E-8</v>
      </c>
      <c r="BY39" s="73">
        <f t="shared" ref="BY39:CE39" si="35">(SUMPRODUCT(BK7:BK37,BY7:BY37))/BK38</f>
        <v>37.33144347977214</v>
      </c>
      <c r="BZ39" s="29">
        <f t="shared" si="35"/>
        <v>37.489999331871999</v>
      </c>
      <c r="CA39" s="29">
        <f t="shared" si="35"/>
        <v>37.846792644095153</v>
      </c>
      <c r="CB39" s="29">
        <f t="shared" si="35"/>
        <v>41.774030624241121</v>
      </c>
      <c r="CC39" s="29">
        <f t="shared" si="35"/>
        <v>36.586076353876003</v>
      </c>
      <c r="CD39" s="29">
        <f t="shared" si="35"/>
        <v>31.684051767536449</v>
      </c>
      <c r="CE39" s="74">
        <f t="shared" si="35"/>
        <v>43.717459200489898</v>
      </c>
      <c r="CF39" s="218"/>
      <c r="CG39" s="218"/>
      <c r="CH39" s="216"/>
      <c r="CI39" s="219"/>
      <c r="CJ39" s="75">
        <f>(SUMPRODUCT(CF7:CF37,CJ7:CJ37))/CF38</f>
        <v>1.5183200470763656</v>
      </c>
      <c r="CK39" s="75">
        <f>(SUMPRODUCT(CG7:CG37,CK7:CK37))/CG38</f>
        <v>1.4722489880418996</v>
      </c>
      <c r="CL39" s="29">
        <f>(SUMPRODUCT(CH7:CH37,CL7:CL37))/CH38</f>
        <v>9.9999999999999995E-7</v>
      </c>
      <c r="CM39" s="74">
        <f>(SUMPRODUCT(CI7:CI37,CM7:CM37))/CI38</f>
        <v>9.9999999999999995E-7</v>
      </c>
      <c r="CN39" s="19"/>
      <c r="CO39" s="596">
        <f>CO38+CP38</f>
        <v>4007.774142499999</v>
      </c>
      <c r="CP39" s="596"/>
      <c r="CQ39" s="597">
        <f>CQ38+CR38+CU38+CS38+CT38</f>
        <v>2478.6930770799499</v>
      </c>
      <c r="CR39" s="597"/>
      <c r="CS39" s="597"/>
      <c r="CT39" s="597"/>
      <c r="CU39" s="597"/>
      <c r="CV39" s="597">
        <f>CV38+CX38+CY38+CW38</f>
        <v>3988.6513272000002</v>
      </c>
      <c r="CW39" s="597"/>
      <c r="CX39" s="597"/>
      <c r="CY39" s="597"/>
      <c r="DA39" s="236"/>
      <c r="DB39" s="238"/>
      <c r="DD39" s="297"/>
      <c r="DE39" s="298"/>
      <c r="DF39" s="298"/>
      <c r="DG39" s="299"/>
      <c r="DH39" s="300"/>
    </row>
    <row r="40" spans="1:114" s="214" customFormat="1" ht="16.5" customHeight="1" thickBot="1">
      <c r="A40" s="94" t="s">
        <v>58</v>
      </c>
      <c r="B40" s="362"/>
      <c r="C40" s="362"/>
      <c r="D40" s="363"/>
      <c r="E40" s="364">
        <v>38</v>
      </c>
      <c r="F40" s="363">
        <v>2.2200000000000002</v>
      </c>
      <c r="G40" s="365"/>
      <c r="H40" s="410">
        <v>1.9314</v>
      </c>
      <c r="I40" s="363"/>
      <c r="J40" s="363">
        <v>4.3226000000000004</v>
      </c>
      <c r="K40" s="363"/>
      <c r="L40" s="363"/>
      <c r="M40" s="410">
        <v>0.28860000000000002</v>
      </c>
      <c r="N40" s="363">
        <v>20.532350000000001</v>
      </c>
      <c r="O40" s="363"/>
      <c r="P40" s="366"/>
      <c r="Q40" s="362"/>
      <c r="R40" s="367"/>
      <c r="S40" s="368">
        <v>12.859735000000001</v>
      </c>
      <c r="T40" s="362"/>
      <c r="U40" s="369">
        <v>1.32</v>
      </c>
      <c r="V40" s="370">
        <v>3350</v>
      </c>
      <c r="W40" s="370">
        <v>3350</v>
      </c>
      <c r="X40" s="371"/>
      <c r="Y40" s="371"/>
      <c r="Z40" s="372">
        <v>1190</v>
      </c>
      <c r="AA40" s="372"/>
      <c r="AB40" s="362">
        <v>76</v>
      </c>
      <c r="AC40" s="362"/>
      <c r="AD40" s="362"/>
      <c r="AE40" s="362"/>
      <c r="AF40" s="362"/>
      <c r="AG40" s="362"/>
      <c r="AH40" s="362"/>
      <c r="AI40" s="362">
        <v>685</v>
      </c>
      <c r="AJ40" s="373"/>
      <c r="AK40" s="374"/>
      <c r="AL40" s="375"/>
      <c r="AM40" s="362"/>
      <c r="AN40" s="362"/>
      <c r="AO40" s="362"/>
      <c r="AP40" s="362"/>
      <c r="AQ40" s="362"/>
      <c r="AR40" s="362"/>
      <c r="AS40" s="362"/>
      <c r="AT40" s="376">
        <v>3350</v>
      </c>
      <c r="AU40" s="377">
        <v>23.5</v>
      </c>
      <c r="AV40" s="377"/>
      <c r="AW40" s="378"/>
      <c r="AX40" s="362"/>
      <c r="AY40" s="379">
        <v>108.06</v>
      </c>
      <c r="AZ40" s="362"/>
      <c r="BA40" s="362"/>
      <c r="BB40" s="362"/>
      <c r="BC40" s="363">
        <v>0.9</v>
      </c>
      <c r="BD40" s="362"/>
      <c r="BE40" s="380"/>
      <c r="BF40" s="19"/>
      <c r="BG40" s="19"/>
      <c r="BH40" s="19"/>
      <c r="BI40" s="19"/>
      <c r="BJ40" s="215"/>
      <c r="BK40" s="220"/>
      <c r="BL40" s="221"/>
      <c r="BM40" s="216"/>
      <c r="BN40" s="216"/>
      <c r="BO40" s="219"/>
      <c r="BP40" s="219"/>
      <c r="BQ40" s="217"/>
      <c r="BR40" s="218"/>
      <c r="BS40" s="216"/>
      <c r="BT40" s="216"/>
      <c r="BU40" s="216"/>
      <c r="BV40" s="219"/>
      <c r="BW40" s="219"/>
      <c r="BX40" s="217"/>
      <c r="BY40" s="218"/>
      <c r="BZ40" s="216"/>
      <c r="CA40" s="216"/>
      <c r="CB40" s="216"/>
      <c r="CC40" s="219"/>
      <c r="CD40" s="219"/>
      <c r="CE40" s="217"/>
      <c r="CF40" s="218"/>
      <c r="CG40" s="218"/>
      <c r="CH40" s="216"/>
      <c r="CI40" s="219"/>
      <c r="CJ40" s="220"/>
      <c r="CK40" s="218"/>
      <c r="CL40" s="216"/>
      <c r="CM40" s="217"/>
      <c r="CN40" s="213"/>
      <c r="CO40" s="604">
        <f>CO39+CQ39</f>
        <v>6486.4672195799485</v>
      </c>
      <c r="CP40" s="604"/>
      <c r="CQ40" s="604"/>
      <c r="CR40" s="604"/>
      <c r="CS40" s="604"/>
      <c r="CT40" s="604"/>
      <c r="CU40" s="604"/>
      <c r="DA40" s="237"/>
      <c r="DB40" s="239"/>
      <c r="DD40" s="301"/>
      <c r="DE40" s="302"/>
      <c r="DF40" s="302"/>
      <c r="DG40" s="303"/>
      <c r="DH40" s="304"/>
    </row>
    <row r="41" spans="1:114" s="214" customFormat="1" ht="16.5" customHeight="1" thickBot="1">
      <c r="A41" s="95" t="s">
        <v>59</v>
      </c>
      <c r="B41" s="381"/>
      <c r="C41" s="381"/>
      <c r="D41" s="382"/>
      <c r="E41" s="381"/>
      <c r="F41" s="383">
        <f>F39-F40</f>
        <v>4.4045325316999229E-2</v>
      </c>
      <c r="G41" s="384">
        <f>G39-G40</f>
        <v>0.93838709677419352</v>
      </c>
      <c r="H41" s="383"/>
      <c r="I41" s="385">
        <f>I39-I40</f>
        <v>0</v>
      </c>
      <c r="J41" s="385"/>
      <c r="K41" s="385"/>
      <c r="L41" s="385"/>
      <c r="M41" s="385"/>
      <c r="N41" s="385"/>
      <c r="O41" s="385"/>
      <c r="P41" s="383"/>
      <c r="Q41" s="386"/>
      <c r="R41" s="385">
        <f>R39-R40</f>
        <v>1.5091158281451755</v>
      </c>
      <c r="S41" s="386"/>
      <c r="T41" s="386"/>
      <c r="U41" s="383">
        <f>U39-U40</f>
        <v>7.2204274779318345E-2</v>
      </c>
      <c r="V41" s="383"/>
      <c r="W41" s="383"/>
      <c r="X41" s="383"/>
      <c r="Y41" s="383"/>
      <c r="Z41" s="387">
        <f>Z39-Z40</f>
        <v>-42.0322580645161</v>
      </c>
      <c r="AA41" s="388"/>
      <c r="AB41" s="381"/>
      <c r="AC41" s="381"/>
      <c r="AD41" s="381"/>
      <c r="AE41" s="381"/>
      <c r="AF41" s="381"/>
      <c r="AG41" s="381"/>
      <c r="AH41" s="381"/>
      <c r="AI41" s="381"/>
      <c r="AJ41" s="381"/>
      <c r="AK41" s="389"/>
      <c r="AL41" s="390"/>
      <c r="AM41" s="381"/>
      <c r="AN41" s="381"/>
      <c r="AO41" s="381"/>
      <c r="AP41" s="381"/>
      <c r="AQ41" s="381"/>
      <c r="AR41" s="381"/>
      <c r="AS41" s="381"/>
      <c r="AT41" s="391">
        <f>AT38+AV38-AT40</f>
        <v>409.60000000000036</v>
      </c>
      <c r="AU41" s="392"/>
      <c r="AV41" s="393"/>
      <c r="AW41" s="390"/>
      <c r="AX41" s="381"/>
      <c r="AY41" s="385"/>
      <c r="AZ41" s="381"/>
      <c r="BA41" s="381"/>
      <c r="BB41" s="381"/>
      <c r="BC41" s="394"/>
      <c r="BD41" s="381"/>
      <c r="BE41" s="395"/>
      <c r="BF41" s="222"/>
      <c r="BG41" s="222"/>
      <c r="BH41" s="222"/>
      <c r="BI41" s="222"/>
      <c r="BJ41" s="222"/>
      <c r="BK41" s="223"/>
      <c r="BL41" s="224"/>
      <c r="BM41" s="225"/>
      <c r="BN41" s="225"/>
      <c r="BO41" s="224"/>
      <c r="BP41" s="224"/>
      <c r="BQ41" s="226"/>
      <c r="BR41" s="227"/>
      <c r="BS41" s="225"/>
      <c r="BT41" s="225"/>
      <c r="BU41" s="225"/>
      <c r="BV41" s="224"/>
      <c r="BW41" s="224"/>
      <c r="BX41" s="224"/>
      <c r="BY41" s="228"/>
      <c r="BZ41" s="225"/>
      <c r="CA41" s="225"/>
      <c r="CB41" s="225"/>
      <c r="CC41" s="224"/>
      <c r="CD41" s="224"/>
      <c r="CE41" s="226"/>
      <c r="CF41" s="227"/>
      <c r="CG41" s="227"/>
      <c r="CH41" s="225"/>
      <c r="CI41" s="224"/>
      <c r="CJ41" s="228"/>
      <c r="CK41" s="227"/>
      <c r="CL41" s="225"/>
      <c r="CM41" s="226"/>
      <c r="CN41" s="213"/>
      <c r="CO41" s="213"/>
      <c r="CP41" s="213"/>
      <c r="CQ41" s="213"/>
      <c r="DA41" s="21"/>
      <c r="DH41" s="309"/>
    </row>
    <row r="42" spans="1:114" ht="15" hidden="1" customHeight="1">
      <c r="A42" s="96"/>
      <c r="B42" s="96"/>
      <c r="C42" s="96"/>
      <c r="D42" s="97"/>
      <c r="E42" s="96"/>
      <c r="F42" s="98"/>
      <c r="G42" s="99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1"/>
      <c r="AF42" s="101"/>
      <c r="AG42" s="100"/>
      <c r="AH42" s="100"/>
      <c r="AI42" s="100"/>
      <c r="AJ42" s="100"/>
      <c r="AK42" s="100"/>
      <c r="AL42" s="100"/>
      <c r="AM42" s="100"/>
      <c r="AN42" s="100"/>
      <c r="AO42" s="100"/>
      <c r="AP42" s="100"/>
      <c r="AQ42" s="100"/>
      <c r="AR42" s="100"/>
      <c r="AS42" s="96"/>
      <c r="AT42" s="612"/>
      <c r="AU42" s="612"/>
      <c r="AV42" s="612"/>
      <c r="AW42" s="96"/>
      <c r="AX42" s="96"/>
      <c r="AY42" s="100"/>
      <c r="AZ42" s="100"/>
      <c r="BA42" s="100"/>
      <c r="BB42" s="100"/>
      <c r="BC42" s="100"/>
      <c r="BD42" s="100"/>
      <c r="BE42" s="100"/>
      <c r="BK42" s="20"/>
      <c r="BL42" s="20"/>
      <c r="BM42" s="20"/>
    </row>
    <row r="43" spans="1:114" ht="13.5" thickBot="1">
      <c r="A43" s="100"/>
      <c r="B43" s="100"/>
      <c r="C43" s="100"/>
      <c r="D43" s="102"/>
      <c r="E43" s="100"/>
      <c r="F43" s="100"/>
      <c r="G43" s="96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1"/>
      <c r="AF43" s="101"/>
      <c r="AG43" s="100"/>
      <c r="AH43" s="100"/>
      <c r="AI43" s="100"/>
      <c r="AJ43" s="100"/>
      <c r="AK43" s="100"/>
      <c r="AL43" s="100"/>
      <c r="AM43" s="100"/>
      <c r="AN43" s="100"/>
      <c r="AO43" s="100"/>
      <c r="AP43" s="100"/>
      <c r="AQ43" s="100"/>
      <c r="AR43" s="100"/>
      <c r="AS43" s="96" t="s">
        <v>60</v>
      </c>
      <c r="AT43" s="103">
        <f>AT40/BE43</f>
        <v>108.06451612903226</v>
      </c>
      <c r="AU43" s="104"/>
      <c r="AV43" s="96"/>
      <c r="AW43" s="96" t="s">
        <v>61</v>
      </c>
      <c r="AX43" s="96"/>
      <c r="AY43" s="100"/>
      <c r="AZ43" s="100"/>
      <c r="BA43" s="100"/>
      <c r="BB43" s="100"/>
      <c r="BC43" s="100"/>
      <c r="BD43" s="105" t="s">
        <v>62</v>
      </c>
      <c r="BE43" s="100">
        <v>31</v>
      </c>
    </row>
    <row r="44" spans="1:114" ht="16.5" customHeight="1" thickBot="1">
      <c r="A44" s="100"/>
      <c r="B44" s="100"/>
      <c r="C44" s="100"/>
      <c r="D44" s="102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489" t="s">
        <v>343</v>
      </c>
      <c r="AG44" s="488"/>
      <c r="AH44" s="488"/>
      <c r="AI44" s="488"/>
      <c r="AJ44" s="488"/>
      <c r="AK44" s="488"/>
      <c r="AL44" s="488"/>
      <c r="AM44" s="490">
        <f>AM38/AT38</f>
        <v>0.20732790722417274</v>
      </c>
      <c r="AN44" s="479"/>
      <c r="AO44" s="480" t="s">
        <v>88</v>
      </c>
      <c r="AP44" s="100"/>
      <c r="AQ44" s="100"/>
      <c r="AR44" s="100"/>
      <c r="AS44" s="100"/>
      <c r="AT44" s="100"/>
      <c r="AU44" s="100"/>
      <c r="AV44" s="100"/>
      <c r="AW44" s="100"/>
      <c r="AX44" s="100"/>
      <c r="AY44" s="100"/>
      <c r="AZ44" s="100"/>
      <c r="BA44" s="100"/>
      <c r="BB44" s="100"/>
      <c r="BC44" s="100"/>
      <c r="BD44" s="96"/>
      <c r="BE44" s="96"/>
    </row>
    <row r="45" spans="1:114" ht="13.5" thickBot="1">
      <c r="A45" s="100"/>
      <c r="B45" s="100"/>
      <c r="C45" s="100"/>
      <c r="D45" s="102"/>
      <c r="E45" s="100"/>
      <c r="F45" s="100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101"/>
      <c r="AE45" s="101"/>
      <c r="AF45" s="101"/>
      <c r="AG45" s="100"/>
      <c r="AH45" s="100"/>
      <c r="AI45" s="100"/>
      <c r="AJ45" s="100"/>
      <c r="AK45" s="100"/>
      <c r="AL45" s="100"/>
      <c r="AM45" s="106" t="s">
        <v>63</v>
      </c>
      <c r="AN45" s="106"/>
      <c r="AO45" s="106"/>
      <c r="AP45" s="106"/>
      <c r="AQ45" s="106"/>
      <c r="AR45" s="106"/>
      <c r="AS45" s="107" t="s">
        <v>64</v>
      </c>
      <c r="AT45" s="108">
        <v>30</v>
      </c>
      <c r="AU45" s="108"/>
      <c r="AV45" s="100"/>
      <c r="AW45" s="100"/>
      <c r="AX45" s="100"/>
      <c r="AY45" s="100"/>
      <c r="AZ45" s="100"/>
      <c r="BA45" s="100"/>
      <c r="BB45" s="100"/>
      <c r="BC45" s="100"/>
      <c r="BD45" s="96"/>
      <c r="BE45" s="96"/>
      <c r="BS45" s="1"/>
    </row>
    <row r="46" spans="1:114" ht="12.75" customHeight="1" thickBot="1">
      <c r="A46" s="100"/>
      <c r="B46" s="100"/>
      <c r="C46" s="109" t="s">
        <v>65</v>
      </c>
      <c r="D46" s="102"/>
      <c r="E46" s="100"/>
      <c r="F46" s="100"/>
      <c r="G46" s="100"/>
      <c r="H46" s="100"/>
      <c r="I46" s="100"/>
      <c r="J46" s="100"/>
      <c r="K46" s="100"/>
      <c r="L46" s="110">
        <f>AT38/AD38</f>
        <v>30.076800000000002</v>
      </c>
      <c r="M46" s="109" t="s">
        <v>88</v>
      </c>
      <c r="N46" s="606"/>
      <c r="O46" s="606"/>
      <c r="P46" s="111"/>
      <c r="Q46" s="100"/>
      <c r="R46" s="100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101"/>
      <c r="AE46" s="101"/>
      <c r="AF46" s="101"/>
      <c r="AG46" s="100"/>
      <c r="AH46" s="100"/>
      <c r="AI46" s="100"/>
      <c r="AJ46" s="100"/>
      <c r="AK46" s="100"/>
      <c r="AL46" s="100"/>
      <c r="AM46" s="100"/>
      <c r="AN46" s="100"/>
      <c r="AO46" s="106"/>
      <c r="AP46" s="106"/>
      <c r="AQ46" s="106"/>
      <c r="AR46" s="106"/>
      <c r="AS46" s="107" t="s">
        <v>66</v>
      </c>
      <c r="AT46" s="112">
        <f>AT40/AT45</f>
        <v>111.66666666666667</v>
      </c>
      <c r="AU46" s="112"/>
      <c r="AV46" s="100"/>
      <c r="AW46" s="100"/>
      <c r="AX46" s="100">
        <v>0</v>
      </c>
      <c r="AY46" s="100"/>
      <c r="AZ46" s="607" t="s">
        <v>67</v>
      </c>
      <c r="BA46" s="607"/>
      <c r="BB46" s="607"/>
      <c r="BC46" s="607"/>
      <c r="BD46" s="607"/>
      <c r="BE46" s="607"/>
    </row>
    <row r="47" spans="1:114">
      <c r="A47" s="100"/>
      <c r="B47" s="100"/>
      <c r="C47" s="100"/>
      <c r="D47" s="102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100"/>
      <c r="AI47" s="100"/>
      <c r="AJ47" s="100"/>
      <c r="AK47" s="100"/>
      <c r="AL47" s="100"/>
      <c r="AM47" s="100"/>
      <c r="AN47" s="100"/>
      <c r="AO47" s="100"/>
      <c r="AP47" s="100"/>
      <c r="AQ47" s="100"/>
      <c r="AR47" s="100"/>
      <c r="AS47" s="100"/>
      <c r="AT47" s="100"/>
      <c r="AU47" s="100"/>
      <c r="AV47" s="100"/>
      <c r="AW47" s="100"/>
      <c r="AX47" s="100"/>
      <c r="AY47" s="100"/>
      <c r="AZ47" s="607"/>
      <c r="BA47" s="607"/>
      <c r="BB47" s="607"/>
      <c r="BC47" s="607"/>
      <c r="BD47" s="607"/>
      <c r="BE47" s="607"/>
    </row>
    <row r="48" spans="1:114">
      <c r="A48" s="100"/>
      <c r="B48" s="100"/>
      <c r="C48" s="100"/>
      <c r="D48" s="102"/>
      <c r="E48" s="100"/>
      <c r="F48" s="100"/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13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  <c r="AE48" s="100"/>
      <c r="AF48" s="100"/>
      <c r="AG48" s="100"/>
      <c r="AH48" s="100"/>
      <c r="AI48" s="100"/>
      <c r="AJ48" s="100"/>
      <c r="AK48" s="100"/>
      <c r="AL48" s="100"/>
      <c r="AM48" s="100"/>
      <c r="AN48" s="100"/>
      <c r="AO48" s="100"/>
      <c r="AP48" s="100"/>
      <c r="AQ48" s="100"/>
      <c r="AR48" s="100"/>
      <c r="AS48" s="100"/>
      <c r="AT48" s="100"/>
      <c r="AU48" s="100"/>
      <c r="AV48" s="100"/>
      <c r="AW48" s="100"/>
      <c r="AX48" s="100"/>
      <c r="AY48" s="100"/>
      <c r="AZ48" s="608">
        <f>BF37-BJ37</f>
        <v>-485.0099999999984</v>
      </c>
      <c r="BA48" s="608"/>
      <c r="BB48" s="608"/>
      <c r="BC48" s="608"/>
      <c r="BD48" s="609" t="s">
        <v>68</v>
      </c>
      <c r="BE48" s="114"/>
    </row>
    <row r="49" spans="1:57" ht="12" customHeight="1">
      <c r="A49" s="100"/>
      <c r="B49" s="100"/>
      <c r="C49" s="100"/>
      <c r="D49" s="102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15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100"/>
      <c r="AI49" s="100"/>
      <c r="AJ49" s="100"/>
      <c r="AK49" s="100"/>
      <c r="AL49" s="100"/>
      <c r="AM49" s="100"/>
      <c r="AN49" s="100"/>
      <c r="AO49" s="100"/>
      <c r="AP49" s="100"/>
      <c r="AQ49" s="100"/>
      <c r="AR49" s="100"/>
      <c r="AS49" s="100"/>
      <c r="AT49" s="100"/>
      <c r="AU49" s="100"/>
      <c r="AV49" s="100"/>
      <c r="AW49" s="100"/>
      <c r="AX49" s="100"/>
      <c r="AY49" s="100"/>
      <c r="AZ49" s="608"/>
      <c r="BA49" s="608"/>
      <c r="BB49" s="608"/>
      <c r="BC49" s="608"/>
      <c r="BD49" s="609"/>
      <c r="BE49" s="114"/>
    </row>
    <row r="50" spans="1:57" ht="13.5" customHeight="1">
      <c r="A50" s="100"/>
      <c r="B50" s="100"/>
      <c r="C50" s="100"/>
      <c r="D50" s="102"/>
      <c r="E50" s="100"/>
      <c r="F50" s="100"/>
      <c r="G50" s="100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100"/>
      <c r="AC50" s="100"/>
      <c r="AD50" s="100"/>
      <c r="AE50" s="100"/>
      <c r="AF50" s="100"/>
      <c r="AG50" s="100"/>
      <c r="AH50" s="100"/>
      <c r="AI50" s="100"/>
      <c r="AJ50" s="100"/>
      <c r="AK50" s="100"/>
      <c r="AL50" s="100"/>
      <c r="AM50" s="100"/>
      <c r="AN50" s="100"/>
      <c r="AO50" s="100"/>
      <c r="AP50" s="100"/>
      <c r="AQ50" s="100"/>
      <c r="AR50" s="100"/>
      <c r="AS50" s="100"/>
      <c r="AT50" s="100"/>
      <c r="AU50" s="100"/>
      <c r="AV50" s="100"/>
      <c r="AW50" s="100"/>
      <c r="AX50" s="100"/>
      <c r="AY50" s="100"/>
      <c r="AZ50" s="116"/>
      <c r="BA50" s="96"/>
      <c r="BB50" s="96"/>
      <c r="BC50" s="96"/>
      <c r="BD50" s="96"/>
      <c r="BE50" s="114"/>
    </row>
    <row r="51" spans="1:57" ht="13.5" customHeight="1" thickBot="1">
      <c r="A51" s="100"/>
      <c r="B51" s="100"/>
      <c r="C51" s="100"/>
      <c r="D51" s="102"/>
      <c r="E51" s="100"/>
      <c r="F51" s="100"/>
      <c r="G51" s="100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0"/>
      <c r="AC51" s="100"/>
      <c r="AD51" s="100"/>
      <c r="AE51" s="100"/>
      <c r="AF51" s="100"/>
      <c r="AG51" s="100"/>
      <c r="AH51" s="100"/>
      <c r="AI51" s="100"/>
      <c r="AJ51" s="100"/>
      <c r="AK51" s="100"/>
      <c r="AL51" s="100"/>
      <c r="AM51" s="100"/>
      <c r="AN51" s="100"/>
      <c r="AO51" s="100"/>
      <c r="AP51" s="100"/>
      <c r="AQ51" s="100"/>
      <c r="AR51" s="100"/>
      <c r="AS51" s="100"/>
      <c r="AT51" s="100"/>
      <c r="AU51" s="100"/>
      <c r="AV51" s="100"/>
      <c r="AW51" s="100"/>
      <c r="AX51" s="100"/>
      <c r="AY51" s="100"/>
      <c r="AZ51" s="610">
        <f>AZ48/AT40*100</f>
        <v>-14.477910447761147</v>
      </c>
      <c r="BA51" s="610"/>
      <c r="BB51" s="610"/>
      <c r="BC51" s="610"/>
      <c r="BD51" s="611" t="s">
        <v>69</v>
      </c>
      <c r="BE51" s="114"/>
    </row>
    <row r="52" spans="1:57" ht="13.5" thickBot="1">
      <c r="A52" s="100"/>
      <c r="B52" s="100"/>
      <c r="C52" s="100"/>
      <c r="D52" s="102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  <c r="AF52" s="100"/>
      <c r="AG52" s="100"/>
      <c r="AH52" s="100"/>
      <c r="AI52" s="100"/>
      <c r="AJ52" s="100"/>
      <c r="AK52" s="100"/>
      <c r="AL52" s="100"/>
      <c r="AM52" s="100"/>
      <c r="AN52" s="100"/>
      <c r="AO52" s="100"/>
      <c r="AP52" s="100"/>
      <c r="AQ52" s="100"/>
      <c r="AR52" s="100"/>
      <c r="AS52" s="100"/>
      <c r="AT52" s="100"/>
      <c r="AU52" s="100"/>
      <c r="AV52" s="100"/>
      <c r="AW52" s="100"/>
      <c r="AX52" s="100"/>
      <c r="AY52" s="100"/>
      <c r="AZ52" s="610"/>
      <c r="BA52" s="610"/>
      <c r="BB52" s="610"/>
      <c r="BC52" s="610"/>
      <c r="BD52" s="611"/>
      <c r="BE52" s="117"/>
    </row>
    <row r="53" spans="1:57">
      <c r="A53" s="100"/>
      <c r="B53" s="100"/>
      <c r="C53" s="100"/>
      <c r="D53" s="102"/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100"/>
      <c r="AI53" s="100"/>
      <c r="AJ53" s="100"/>
      <c r="AK53" s="100"/>
      <c r="AL53" s="100"/>
      <c r="AM53" s="100"/>
      <c r="AN53" s="100"/>
      <c r="AO53" s="100"/>
      <c r="AP53" s="100"/>
      <c r="AQ53" s="100"/>
      <c r="AR53" s="100"/>
      <c r="AS53" s="100"/>
      <c r="AT53" s="100"/>
      <c r="AU53" s="100"/>
      <c r="AV53" s="100"/>
      <c r="AW53" s="100"/>
      <c r="AX53" s="100"/>
      <c r="AY53" s="100"/>
      <c r="AZ53" s="100"/>
      <c r="BA53" s="100"/>
      <c r="BB53" s="100"/>
      <c r="BC53" s="100"/>
      <c r="BD53" s="100"/>
      <c r="BE53" s="100"/>
    </row>
    <row r="54" spans="1:57">
      <c r="A54" s="100"/>
      <c r="B54" s="100"/>
      <c r="C54" s="100"/>
      <c r="D54" s="102"/>
      <c r="E54" s="100"/>
      <c r="F54" s="100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100"/>
      <c r="AI54" s="100"/>
      <c r="AJ54" s="100"/>
      <c r="AK54" s="100"/>
      <c r="AL54" s="100"/>
      <c r="AM54" s="100"/>
      <c r="AN54" s="100"/>
      <c r="AO54" s="100"/>
      <c r="AP54" s="100"/>
      <c r="AQ54" s="100"/>
      <c r="AR54" s="100"/>
      <c r="AS54" s="100"/>
      <c r="AT54" s="100"/>
      <c r="AU54" s="100"/>
      <c r="AV54" s="100"/>
      <c r="AW54" s="100"/>
      <c r="AX54" s="100"/>
      <c r="AY54" s="100"/>
      <c r="AZ54" s="100"/>
      <c r="BA54" s="100"/>
      <c r="BB54" s="100"/>
      <c r="BC54" s="100"/>
      <c r="BD54" s="100"/>
      <c r="BE54" s="100"/>
    </row>
    <row r="55" spans="1:57">
      <c r="A55" s="100"/>
      <c r="B55" s="100"/>
      <c r="C55" s="100"/>
      <c r="D55" s="102"/>
      <c r="E55" s="100"/>
      <c r="F55" s="100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  <c r="AH55" s="100"/>
      <c r="AI55" s="100"/>
      <c r="AJ55" s="100"/>
      <c r="AK55" s="100"/>
      <c r="AL55" s="100"/>
      <c r="AM55" s="100"/>
      <c r="AN55" s="100"/>
      <c r="AO55" s="100"/>
      <c r="AP55" s="100"/>
      <c r="AQ55" s="100"/>
      <c r="AR55" s="100"/>
      <c r="AS55" s="100"/>
      <c r="AT55" s="100"/>
      <c r="AU55" s="100"/>
      <c r="AV55" s="100"/>
      <c r="AW55" s="100"/>
      <c r="AX55" s="100"/>
      <c r="AY55" s="100"/>
      <c r="AZ55" s="100"/>
      <c r="BA55" s="100"/>
      <c r="BB55" s="100"/>
      <c r="BC55" s="100"/>
      <c r="BD55" s="100"/>
      <c r="BE55" s="100"/>
    </row>
    <row r="56" spans="1:57" ht="13.5" thickBot="1">
      <c r="A56" s="100"/>
      <c r="B56" s="100"/>
      <c r="C56" s="100"/>
      <c r="D56" s="102"/>
      <c r="E56" s="100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/>
      <c r="AE56" s="100"/>
      <c r="AF56" s="100"/>
      <c r="AG56" s="100"/>
      <c r="AH56" s="100"/>
      <c r="AI56" s="100"/>
      <c r="AJ56" s="100"/>
      <c r="AK56" s="100"/>
      <c r="AL56" s="100"/>
      <c r="AM56" s="100"/>
      <c r="AN56" s="100"/>
      <c r="AO56" s="100"/>
      <c r="AP56" s="100"/>
      <c r="AQ56" s="100"/>
      <c r="AR56" s="100"/>
      <c r="AS56" s="100"/>
      <c r="AT56" s="100"/>
      <c r="AU56" s="100"/>
      <c r="AV56" s="100"/>
      <c r="AW56" s="100"/>
      <c r="AX56" s="100"/>
      <c r="AY56" s="100"/>
      <c r="AZ56" s="100"/>
      <c r="BA56" s="100"/>
      <c r="BB56" s="100"/>
      <c r="BC56" s="100"/>
      <c r="BD56" s="100"/>
      <c r="BE56" s="100"/>
    </row>
    <row r="57" spans="1:57" ht="15.75">
      <c r="A57" s="100"/>
      <c r="B57" s="100"/>
      <c r="C57" s="100"/>
      <c r="D57" s="102"/>
      <c r="E57" s="100"/>
      <c r="F57" s="100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100"/>
      <c r="AI57" s="100"/>
      <c r="AJ57" s="100"/>
      <c r="AK57" s="100"/>
      <c r="AL57" s="100"/>
      <c r="AM57" s="100"/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X57" s="100"/>
      <c r="AY57" s="100"/>
      <c r="AZ57" s="481" t="s">
        <v>344</v>
      </c>
      <c r="BA57" s="482"/>
      <c r="BB57" s="482"/>
      <c r="BC57" s="482"/>
      <c r="BD57" s="482"/>
      <c r="BE57" s="483"/>
    </row>
    <row r="58" spans="1:57" ht="15.75">
      <c r="A58" s="100"/>
      <c r="B58" s="100"/>
      <c r="C58" s="100"/>
      <c r="D58" s="102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  <c r="AA58" s="100"/>
      <c r="AB58" s="100"/>
      <c r="AC58" s="100"/>
      <c r="AD58" s="100"/>
      <c r="AE58" s="100"/>
      <c r="AF58" s="100"/>
      <c r="AG58" s="100"/>
      <c r="AH58" s="100"/>
      <c r="AI58" s="100"/>
      <c r="AJ58" s="100"/>
      <c r="AK58" s="100"/>
      <c r="AL58" s="100"/>
      <c r="AM58" s="100"/>
      <c r="AN58" s="100"/>
      <c r="AO58" s="100"/>
      <c r="AP58" s="100"/>
      <c r="AQ58" s="100"/>
      <c r="AR58" s="100"/>
      <c r="AS58" s="100"/>
      <c r="AT58" s="100"/>
      <c r="AU58" s="100"/>
      <c r="AV58" s="100"/>
      <c r="AW58" s="100"/>
      <c r="AX58" s="100"/>
      <c r="AY58" s="100"/>
      <c r="AZ58" s="484" t="s">
        <v>340</v>
      </c>
      <c r="BA58" s="485"/>
      <c r="BB58" s="485"/>
      <c r="BC58" s="485"/>
      <c r="BD58" s="617">
        <f>'[5]июль 20 '!$F$38</f>
        <v>779.47</v>
      </c>
      <c r="BE58" s="618"/>
    </row>
    <row r="59" spans="1:57" ht="16.5" thickBot="1">
      <c r="A59" s="100"/>
      <c r="B59" s="100"/>
      <c r="C59" s="100"/>
      <c r="D59" s="102"/>
      <c r="E59" s="100"/>
      <c r="F59" s="100"/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  <c r="AE59" s="100"/>
      <c r="AF59" s="100"/>
      <c r="AG59" s="100"/>
      <c r="AH59" s="100"/>
      <c r="AI59" s="100"/>
      <c r="AJ59" s="100"/>
      <c r="AK59" s="100"/>
      <c r="AL59" s="100"/>
      <c r="AM59" s="100"/>
      <c r="AN59" s="100"/>
      <c r="AO59" s="100"/>
      <c r="AP59" s="100"/>
      <c r="AQ59" s="100"/>
      <c r="AR59" s="100"/>
      <c r="AS59" s="100"/>
      <c r="AT59" s="100"/>
      <c r="AU59" s="100"/>
      <c r="AV59" s="100"/>
      <c r="AW59" s="100"/>
      <c r="AX59" s="100"/>
      <c r="AY59" s="100"/>
      <c r="AZ59" s="484" t="s">
        <v>341</v>
      </c>
      <c r="BA59" s="485"/>
      <c r="BB59" s="485"/>
      <c r="BC59" s="485"/>
      <c r="BD59" s="619">
        <f>'[5]июль 20 '!$B$38</f>
        <v>779.46999999999991</v>
      </c>
      <c r="BE59" s="620"/>
    </row>
    <row r="60" spans="1:57" ht="16.5" thickBot="1">
      <c r="A60" s="100"/>
      <c r="B60" s="100"/>
      <c r="C60" s="100"/>
      <c r="D60" s="102"/>
      <c r="E60" s="100"/>
      <c r="F60" s="100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  <c r="AE60" s="100"/>
      <c r="AF60" s="100"/>
      <c r="AG60" s="100"/>
      <c r="AH60" s="100"/>
      <c r="AI60" s="100"/>
      <c r="AJ60" s="100"/>
      <c r="AK60" s="100"/>
      <c r="AL60" s="100"/>
      <c r="AM60" s="100"/>
      <c r="AN60" s="100"/>
      <c r="AO60" s="100"/>
      <c r="AP60" s="100"/>
      <c r="AQ60" s="100"/>
      <c r="AR60" s="100"/>
      <c r="AS60" s="100"/>
      <c r="AT60" s="100"/>
      <c r="AU60" s="100"/>
      <c r="AV60" s="100"/>
      <c r="AW60" s="100"/>
      <c r="AX60" s="100"/>
      <c r="AY60" s="100"/>
      <c r="AZ60" s="486" t="s">
        <v>342</v>
      </c>
      <c r="BA60" s="487"/>
      <c r="BB60" s="487"/>
      <c r="BC60" s="487"/>
      <c r="BD60" s="621">
        <f>BD59-BD58</f>
        <v>0</v>
      </c>
      <c r="BE60" s="622"/>
    </row>
    <row r="61" spans="1:57">
      <c r="A61" s="100"/>
      <c r="B61" s="100"/>
      <c r="C61" s="100"/>
      <c r="D61" s="102"/>
      <c r="E61" s="100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/>
      <c r="AE61" s="100"/>
      <c r="AF61" s="100"/>
      <c r="AG61" s="100"/>
      <c r="AH61" s="100"/>
      <c r="AI61" s="100"/>
      <c r="AJ61" s="100"/>
      <c r="AK61" s="100"/>
      <c r="AL61" s="100"/>
      <c r="AM61" s="100"/>
      <c r="AN61" s="100"/>
      <c r="AO61" s="100"/>
      <c r="AP61" s="100"/>
      <c r="AQ61" s="100"/>
      <c r="AR61" s="100"/>
      <c r="AS61" s="100"/>
      <c r="AT61" s="100"/>
      <c r="AU61" s="100"/>
      <c r="AV61" s="100"/>
      <c r="AW61" s="100"/>
      <c r="AX61" s="100"/>
      <c r="AY61" s="100"/>
      <c r="AZ61" s="100"/>
      <c r="BA61" s="100"/>
      <c r="BB61" s="100"/>
      <c r="BC61" s="100"/>
      <c r="BD61" s="100"/>
      <c r="BE61" s="100"/>
    </row>
    <row r="62" spans="1:57">
      <c r="A62" s="100"/>
      <c r="B62" s="100"/>
      <c r="C62" s="100"/>
      <c r="D62" s="102"/>
      <c r="E62" s="100"/>
      <c r="F62" s="100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100"/>
      <c r="AC62" s="100"/>
      <c r="AD62" s="100"/>
      <c r="AE62" s="100"/>
      <c r="AF62" s="100"/>
      <c r="AG62" s="100"/>
      <c r="AH62" s="100"/>
      <c r="AI62" s="100"/>
      <c r="AJ62" s="100"/>
      <c r="AK62" s="100"/>
      <c r="AL62" s="100"/>
      <c r="AM62" s="100"/>
      <c r="AN62" s="100"/>
      <c r="AO62" s="100"/>
      <c r="AP62" s="100"/>
      <c r="AQ62" s="100"/>
      <c r="AR62" s="100"/>
      <c r="AS62" s="100"/>
      <c r="AT62" s="100"/>
      <c r="AU62" s="100"/>
      <c r="AV62" s="100"/>
      <c r="AW62" s="100"/>
      <c r="AX62" s="100"/>
      <c r="AY62" s="100"/>
      <c r="AZ62" s="100"/>
      <c r="BA62" s="100"/>
      <c r="BB62" s="100"/>
      <c r="BC62" s="100"/>
      <c r="BD62" s="100"/>
      <c r="BE62" s="100"/>
    </row>
    <row r="63" spans="1:57">
      <c r="A63" s="100"/>
      <c r="B63" s="100"/>
      <c r="C63" s="100"/>
      <c r="D63" s="102"/>
      <c r="E63" s="100"/>
      <c r="F63" s="100"/>
      <c r="G63" s="100"/>
      <c r="H63" s="100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  <c r="AA63" s="100"/>
      <c r="AB63" s="100"/>
      <c r="AC63" s="100"/>
      <c r="AD63" s="100"/>
      <c r="AE63" s="100"/>
      <c r="AF63" s="100"/>
      <c r="AG63" s="100"/>
      <c r="AH63" s="100"/>
      <c r="AI63" s="100"/>
      <c r="AJ63" s="100"/>
      <c r="AK63" s="100"/>
      <c r="AL63" s="100"/>
      <c r="AM63" s="100"/>
      <c r="AN63" s="100"/>
      <c r="AO63" s="100"/>
      <c r="AP63" s="100"/>
      <c r="AQ63" s="100"/>
      <c r="AR63" s="100"/>
      <c r="AS63" s="100"/>
      <c r="AT63" s="100"/>
      <c r="AU63" s="100"/>
      <c r="AV63" s="100"/>
      <c r="AW63" s="100"/>
      <c r="AX63" s="100"/>
      <c r="AY63" s="100"/>
      <c r="AZ63" s="100"/>
      <c r="BA63" s="100"/>
      <c r="BB63" s="100"/>
      <c r="BC63" s="100"/>
      <c r="BD63" s="100"/>
      <c r="BE63" s="100"/>
    </row>
    <row r="64" spans="1:57">
      <c r="A64" s="100"/>
      <c r="B64" s="100"/>
      <c r="C64" s="100"/>
      <c r="D64" s="102"/>
      <c r="E64" s="100"/>
      <c r="F64" s="100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  <c r="AE64" s="100"/>
      <c r="AF64" s="100"/>
      <c r="AG64" s="100"/>
      <c r="AH64" s="100"/>
      <c r="AI64" s="100"/>
      <c r="AJ64" s="100"/>
      <c r="AK64" s="100"/>
      <c r="AL64" s="100"/>
      <c r="AM64" s="100"/>
      <c r="AN64" s="100"/>
      <c r="AO64" s="100"/>
      <c r="AP64" s="100"/>
      <c r="AQ64" s="100"/>
      <c r="AR64" s="100"/>
      <c r="AS64" s="100"/>
      <c r="AT64" s="100"/>
      <c r="AU64" s="100"/>
      <c r="AV64" s="100"/>
      <c r="AW64" s="100"/>
      <c r="AX64" s="100"/>
      <c r="AY64" s="100"/>
      <c r="AZ64" s="100"/>
      <c r="BA64" s="100"/>
      <c r="BB64" s="100"/>
      <c r="BC64" s="100"/>
      <c r="BD64" s="100"/>
      <c r="BE64" s="100"/>
    </row>
    <row r="65" spans="1:57">
      <c r="A65" s="100"/>
      <c r="B65" s="100"/>
      <c r="C65" s="100"/>
      <c r="D65" s="102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/>
      <c r="AE65" s="100"/>
      <c r="AF65" s="100"/>
      <c r="AG65" s="100"/>
      <c r="AH65" s="100"/>
      <c r="AI65" s="100"/>
      <c r="AJ65" s="100"/>
      <c r="AK65" s="100"/>
      <c r="AL65" s="100"/>
      <c r="AM65" s="100"/>
      <c r="AN65" s="100"/>
      <c r="AO65" s="100"/>
      <c r="AP65" s="100"/>
      <c r="AQ65" s="100"/>
      <c r="AR65" s="100"/>
      <c r="AS65" s="100"/>
      <c r="AT65" s="100"/>
      <c r="AU65" s="100"/>
      <c r="AV65" s="100"/>
      <c r="AW65" s="100"/>
      <c r="AX65" s="100"/>
      <c r="AY65" s="100"/>
      <c r="AZ65" s="100"/>
      <c r="BA65" s="100"/>
      <c r="BB65" s="100"/>
      <c r="BC65" s="100"/>
      <c r="BD65" s="100"/>
      <c r="BE65" s="100"/>
    </row>
    <row r="66" spans="1:57">
      <c r="A66" s="100"/>
      <c r="B66" s="100"/>
      <c r="C66" s="100"/>
      <c r="D66" s="102"/>
      <c r="E66" s="100"/>
      <c r="F66" s="100"/>
      <c r="G66" s="100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/>
      <c r="AE66" s="100"/>
      <c r="AF66" s="100"/>
      <c r="AG66" s="100"/>
      <c r="AH66" s="100"/>
      <c r="AI66" s="100"/>
      <c r="AJ66" s="100"/>
      <c r="AK66" s="100"/>
      <c r="AL66" s="100"/>
      <c r="AM66" s="100"/>
      <c r="AN66" s="100"/>
      <c r="AO66" s="100"/>
      <c r="AP66" s="100"/>
      <c r="AQ66" s="100"/>
      <c r="AR66" s="100"/>
      <c r="AS66" s="100"/>
      <c r="AT66" s="100"/>
      <c r="AU66" s="100"/>
      <c r="AV66" s="100"/>
      <c r="AW66" s="100"/>
      <c r="AX66" s="100"/>
      <c r="AY66" s="100"/>
      <c r="AZ66" s="100"/>
      <c r="BA66" s="100"/>
      <c r="BB66" s="100"/>
      <c r="BC66" s="100"/>
      <c r="BD66" s="100"/>
      <c r="BE66" s="100"/>
    </row>
    <row r="67" spans="1:57">
      <c r="A67" s="100"/>
      <c r="B67" s="100"/>
      <c r="C67" s="100"/>
      <c r="D67" s="102"/>
      <c r="E67" s="100"/>
      <c r="F67" s="100"/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  <c r="AD67" s="100"/>
      <c r="AE67" s="100"/>
      <c r="AF67" s="100"/>
      <c r="AG67" s="100"/>
      <c r="AH67" s="100"/>
      <c r="AI67" s="100"/>
      <c r="AJ67" s="100"/>
      <c r="AK67" s="100"/>
      <c r="AL67" s="100"/>
      <c r="AM67" s="100"/>
      <c r="AN67" s="100"/>
      <c r="AO67" s="100"/>
      <c r="AP67" s="100"/>
      <c r="AQ67" s="100"/>
      <c r="AR67" s="100"/>
      <c r="AS67" s="100"/>
      <c r="AT67" s="100"/>
      <c r="AU67" s="100"/>
      <c r="AV67" s="100"/>
      <c r="AW67" s="100"/>
      <c r="AX67" s="100"/>
      <c r="AY67" s="100"/>
      <c r="AZ67" s="100"/>
      <c r="BA67" s="100"/>
      <c r="BB67" s="100"/>
      <c r="BC67" s="100"/>
      <c r="BD67" s="100"/>
      <c r="BE67" s="100"/>
    </row>
    <row r="68" spans="1:57">
      <c r="A68" s="100"/>
      <c r="B68" s="100"/>
      <c r="C68" s="100"/>
      <c r="D68" s="102"/>
      <c r="E68" s="100"/>
      <c r="F68" s="100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  <c r="AI68" s="100"/>
      <c r="AJ68" s="100"/>
      <c r="AK68" s="100"/>
      <c r="AL68" s="100"/>
      <c r="AM68" s="100"/>
      <c r="AN68" s="100"/>
      <c r="AO68" s="100"/>
      <c r="AP68" s="100"/>
      <c r="AQ68" s="100"/>
      <c r="AR68" s="100"/>
      <c r="AS68" s="100"/>
      <c r="AT68" s="100"/>
      <c r="AU68" s="100"/>
      <c r="AV68" s="100"/>
      <c r="AW68" s="100"/>
      <c r="AX68" s="100"/>
      <c r="AY68" s="100"/>
      <c r="AZ68" s="100"/>
      <c r="BA68" s="100"/>
      <c r="BB68" s="100"/>
      <c r="BC68" s="100"/>
      <c r="BD68" s="100"/>
      <c r="BE68" s="100"/>
    </row>
    <row r="69" spans="1:57">
      <c r="A69" s="100"/>
      <c r="B69" s="100"/>
      <c r="C69" s="100"/>
      <c r="D69" s="102"/>
      <c r="E69" s="100"/>
      <c r="F69" s="100"/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100"/>
      <c r="AC69" s="100"/>
      <c r="AD69" s="100"/>
      <c r="AE69" s="100"/>
      <c r="AF69" s="100"/>
      <c r="AG69" s="100"/>
      <c r="AH69" s="100"/>
      <c r="AI69" s="100"/>
      <c r="AJ69" s="100"/>
      <c r="AK69" s="100"/>
      <c r="AL69" s="100"/>
      <c r="AM69" s="100"/>
      <c r="AN69" s="100"/>
      <c r="AO69" s="100"/>
      <c r="AP69" s="100"/>
      <c r="AQ69" s="100"/>
      <c r="AR69" s="100"/>
      <c r="AS69" s="100"/>
      <c r="AT69" s="100"/>
      <c r="AU69" s="100"/>
      <c r="AV69" s="100"/>
      <c r="AW69" s="100"/>
      <c r="AX69" s="100"/>
      <c r="AY69" s="100"/>
      <c r="AZ69" s="100"/>
      <c r="BA69" s="100"/>
      <c r="BB69" s="100"/>
      <c r="BC69" s="100"/>
      <c r="BD69" s="100"/>
      <c r="BE69" s="100"/>
    </row>
    <row r="70" spans="1:57">
      <c r="A70" s="100"/>
      <c r="B70" s="100"/>
      <c r="C70" s="100"/>
      <c r="D70" s="102"/>
      <c r="E70" s="100"/>
      <c r="F70" s="100"/>
      <c r="G70" s="100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  <c r="AE70" s="100"/>
      <c r="AF70" s="100"/>
      <c r="AG70" s="100"/>
      <c r="AH70" s="100"/>
      <c r="AI70" s="100"/>
      <c r="AJ70" s="100"/>
      <c r="AK70" s="100"/>
      <c r="AL70" s="100"/>
      <c r="AM70" s="100"/>
      <c r="AN70" s="100"/>
      <c r="AO70" s="100"/>
      <c r="AP70" s="100"/>
      <c r="AQ70" s="100"/>
      <c r="AR70" s="100"/>
      <c r="AS70" s="100"/>
      <c r="AT70" s="100"/>
      <c r="AU70" s="100"/>
      <c r="AV70" s="100"/>
      <c r="AW70" s="100"/>
      <c r="AX70" s="100"/>
      <c r="AY70" s="100"/>
      <c r="AZ70" s="100"/>
      <c r="BA70" s="100"/>
      <c r="BB70" s="100"/>
      <c r="BC70" s="100"/>
      <c r="BD70" s="100"/>
      <c r="BE70" s="100"/>
    </row>
    <row r="71" spans="1:57" ht="18" customHeight="1">
      <c r="A71" s="318" t="s">
        <v>70</v>
      </c>
      <c r="B71" s="319"/>
      <c r="C71" s="318"/>
      <c r="D71" s="318"/>
      <c r="E71" s="318"/>
      <c r="F71" s="318"/>
      <c r="G71" s="318"/>
      <c r="H71" s="318"/>
      <c r="I71" s="318"/>
      <c r="J71" s="320"/>
      <c r="K71" s="320"/>
      <c r="L71" s="605" t="s">
        <v>194</v>
      </c>
      <c r="M71" s="605"/>
      <c r="N71" s="605"/>
      <c r="O71" s="605"/>
      <c r="P71" s="605"/>
      <c r="Q71" s="605"/>
      <c r="R71" s="109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/>
      <c r="AE71" s="100"/>
      <c r="AF71" s="100"/>
      <c r="AG71" s="100"/>
      <c r="AH71" s="100"/>
      <c r="AI71" s="100"/>
      <c r="AJ71" s="100"/>
      <c r="AK71" s="100"/>
      <c r="AL71" s="100"/>
      <c r="AM71" s="100"/>
      <c r="AN71" s="100"/>
      <c r="AO71" s="100"/>
      <c r="AP71" s="100"/>
      <c r="AQ71" s="100"/>
      <c r="AR71" s="100"/>
      <c r="AS71" s="100"/>
      <c r="AT71" s="100"/>
      <c r="AU71" s="100"/>
      <c r="AV71" s="100"/>
      <c r="AW71" s="100"/>
      <c r="AX71" s="100"/>
      <c r="AY71" s="100"/>
      <c r="AZ71" s="100"/>
      <c r="BA71" s="100"/>
      <c r="BB71" s="100"/>
      <c r="BC71" s="100"/>
      <c r="BD71" s="100"/>
      <c r="BE71" s="100"/>
    </row>
    <row r="72" spans="1:57" ht="15">
      <c r="A72" s="118"/>
      <c r="B72" s="118"/>
      <c r="C72" s="119"/>
      <c r="D72" s="120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  <c r="AE72" s="100"/>
      <c r="AF72" s="100"/>
      <c r="AG72" s="100"/>
      <c r="AH72" s="100"/>
      <c r="AI72" s="100"/>
      <c r="AJ72" s="100"/>
      <c r="AK72" s="100"/>
      <c r="AL72" s="100"/>
      <c r="AM72" s="100"/>
      <c r="AN72" s="100"/>
      <c r="AO72" s="100"/>
      <c r="AP72" s="100"/>
      <c r="AQ72" s="100"/>
      <c r="AR72" s="100"/>
      <c r="AS72" s="100"/>
      <c r="AT72" s="100"/>
      <c r="AU72" s="100"/>
      <c r="AV72" s="100"/>
      <c r="AW72" s="100"/>
      <c r="AX72" s="100"/>
      <c r="AY72" s="100"/>
      <c r="AZ72" s="100"/>
      <c r="BA72" s="100"/>
      <c r="BB72" s="100"/>
      <c r="BC72" s="100"/>
      <c r="BD72" s="100"/>
      <c r="BE72" s="100"/>
    </row>
    <row r="73" spans="1:57" ht="15.75">
      <c r="A73" s="100"/>
      <c r="B73" s="100"/>
      <c r="C73" s="100"/>
      <c r="D73" s="102"/>
      <c r="E73" s="100"/>
      <c r="F73" s="100"/>
      <c r="G73" s="100"/>
      <c r="H73" s="100"/>
      <c r="I73" s="100"/>
      <c r="J73" s="100"/>
      <c r="K73" s="100"/>
      <c r="L73" s="111"/>
      <c r="M73" s="111"/>
      <c r="N73" s="111"/>
      <c r="O73" s="111"/>
      <c r="P73" s="111"/>
      <c r="Q73" s="111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00"/>
      <c r="AK73" s="100"/>
      <c r="AL73" s="100"/>
      <c r="AM73" s="100"/>
      <c r="AN73" s="100"/>
      <c r="AO73" s="100"/>
      <c r="AP73" s="100"/>
      <c r="AQ73" s="100"/>
      <c r="AR73" s="100"/>
      <c r="AS73" s="100"/>
      <c r="AT73" s="100"/>
      <c r="AU73" s="100"/>
      <c r="AV73" s="100"/>
      <c r="AW73" s="100"/>
      <c r="AX73" s="100"/>
      <c r="AY73" s="100"/>
      <c r="AZ73" s="100"/>
      <c r="BA73" s="100"/>
      <c r="BB73" s="100"/>
      <c r="BC73" s="100"/>
      <c r="BD73" s="100"/>
      <c r="BE73" s="100"/>
    </row>
    <row r="74" spans="1:57">
      <c r="A74" s="100"/>
      <c r="B74" s="100"/>
      <c r="C74" s="100"/>
      <c r="D74" s="102"/>
      <c r="E74" s="100"/>
      <c r="F74" s="100"/>
      <c r="G74" s="100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00"/>
      <c r="AK74" s="100"/>
      <c r="AL74" s="100"/>
      <c r="AM74" s="100"/>
      <c r="AN74" s="100"/>
      <c r="AO74" s="100"/>
      <c r="AP74" s="100"/>
      <c r="AQ74" s="100"/>
      <c r="AR74" s="100"/>
      <c r="AS74" s="100"/>
      <c r="AT74" s="100"/>
      <c r="AU74" s="100"/>
      <c r="AV74" s="100"/>
      <c r="AW74" s="100"/>
      <c r="AX74" s="100"/>
      <c r="AY74" s="100"/>
      <c r="AZ74" s="100"/>
      <c r="BA74" s="100"/>
      <c r="BB74" s="100"/>
      <c r="BC74" s="100"/>
      <c r="BD74" s="100"/>
      <c r="BE74" s="100"/>
    </row>
    <row r="75" spans="1:57">
      <c r="A75" s="100"/>
      <c r="B75" s="100"/>
      <c r="C75" s="100"/>
      <c r="D75" s="102"/>
      <c r="E75" s="100"/>
      <c r="F75" s="100"/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  <c r="AD75" s="100"/>
      <c r="AE75" s="100"/>
      <c r="AF75" s="100"/>
      <c r="AG75" s="100"/>
      <c r="AH75" s="100"/>
      <c r="AI75" s="100"/>
      <c r="AJ75" s="100"/>
      <c r="AK75" s="100"/>
      <c r="AL75" s="100"/>
      <c r="AM75" s="100"/>
      <c r="AN75" s="100"/>
      <c r="AO75" s="100"/>
      <c r="AP75" s="100"/>
      <c r="AQ75" s="100"/>
      <c r="AR75" s="100"/>
      <c r="AS75" s="100"/>
      <c r="AT75" s="100"/>
      <c r="AU75" s="100"/>
      <c r="AV75" s="100"/>
      <c r="AW75" s="100"/>
      <c r="AX75" s="100"/>
      <c r="AY75" s="100"/>
      <c r="AZ75" s="100"/>
      <c r="BA75" s="100"/>
      <c r="BB75" s="100"/>
      <c r="BC75" s="100"/>
      <c r="BD75" s="100"/>
      <c r="BE75" s="100"/>
    </row>
    <row r="77" spans="1:57">
      <c r="AY77" t="s">
        <v>302</v>
      </c>
    </row>
  </sheetData>
  <sheetProtection selectLockedCells="1" selectUnlockedCells="1"/>
  <mergeCells count="81">
    <mergeCell ref="AE3:AF4"/>
    <mergeCell ref="AG3:AI4"/>
    <mergeCell ref="AI5:AI6"/>
    <mergeCell ref="AY2:BC2"/>
    <mergeCell ref="A3:A6"/>
    <mergeCell ref="B3:G3"/>
    <mergeCell ref="H3:P3"/>
    <mergeCell ref="Q3:U3"/>
    <mergeCell ref="V3:V6"/>
    <mergeCell ref="W3:W6"/>
    <mergeCell ref="X3:X6"/>
    <mergeCell ref="Y3:Y6"/>
    <mergeCell ref="Z3:Z6"/>
    <mergeCell ref="P4:P6"/>
    <mergeCell ref="L4:L6"/>
    <mergeCell ref="M4:M6"/>
    <mergeCell ref="CJ3:CM5"/>
    <mergeCell ref="B4:B6"/>
    <mergeCell ref="C4:C6"/>
    <mergeCell ref="D4:D6"/>
    <mergeCell ref="E4:E6"/>
    <mergeCell ref="F4:F6"/>
    <mergeCell ref="G4:G6"/>
    <mergeCell ref="H4:H6"/>
    <mergeCell ref="I4:I6"/>
    <mergeCell ref="J4:J6"/>
    <mergeCell ref="BD3:BD6"/>
    <mergeCell ref="BE3:BE6"/>
    <mergeCell ref="BK3:BQ5"/>
    <mergeCell ref="BR3:BX5"/>
    <mergeCell ref="BY3:CE5"/>
    <mergeCell ref="K4:K6"/>
    <mergeCell ref="AA3:AA6"/>
    <mergeCell ref="AB3:AB6"/>
    <mergeCell ref="N4:N6"/>
    <mergeCell ref="O4:O6"/>
    <mergeCell ref="DD4:DH4"/>
    <mergeCell ref="AE5:AE6"/>
    <mergeCell ref="AF5:AF6"/>
    <mergeCell ref="AG5:AG6"/>
    <mergeCell ref="AH5:AH6"/>
    <mergeCell ref="CF3:CI5"/>
    <mergeCell ref="AQ3:AQ6"/>
    <mergeCell ref="AS3:AS6"/>
    <mergeCell ref="AT3:AY4"/>
    <mergeCell ref="AZ3:AZ6"/>
    <mergeCell ref="BA3:BB4"/>
    <mergeCell ref="BC3:BC6"/>
    <mergeCell ref="Q4:Q6"/>
    <mergeCell ref="R4:R6"/>
    <mergeCell ref="S4:S6"/>
    <mergeCell ref="T4:T6"/>
    <mergeCell ref="U4:U6"/>
    <mergeCell ref="AC3:AC6"/>
    <mergeCell ref="AD3:AD6"/>
    <mergeCell ref="DA5:DB5"/>
    <mergeCell ref="CO39:CP39"/>
    <mergeCell ref="CQ39:CU39"/>
    <mergeCell ref="CV39:CY39"/>
    <mergeCell ref="AX5:AX6"/>
    <mergeCell ref="AY5:AY6"/>
    <mergeCell ref="AJ3:AK6"/>
    <mergeCell ref="AL3:AL6"/>
    <mergeCell ref="AM3:AM6"/>
    <mergeCell ref="AN3:AN6"/>
    <mergeCell ref="AO3:AO6"/>
    <mergeCell ref="AP3:AP6"/>
    <mergeCell ref="AT5:AT6"/>
    <mergeCell ref="AW5:AW6"/>
    <mergeCell ref="CO40:CU40"/>
    <mergeCell ref="BD58:BE58"/>
    <mergeCell ref="BD59:BE59"/>
    <mergeCell ref="BD60:BE60"/>
    <mergeCell ref="L71:Q71"/>
    <mergeCell ref="N46:O46"/>
    <mergeCell ref="AZ46:BE47"/>
    <mergeCell ref="AZ48:BC49"/>
    <mergeCell ref="BD48:BD49"/>
    <mergeCell ref="AZ51:BC52"/>
    <mergeCell ref="BD51:BD52"/>
    <mergeCell ref="AT42:AV42"/>
  </mergeCells>
  <printOptions horizontalCentered="1" verticalCentered="1"/>
  <pageMargins left="0" right="0" top="0" bottom="0" header="0" footer="0"/>
  <pageSetup paperSize="9" scale="46" firstPageNumber="0" orientation="landscape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J77"/>
  <sheetViews>
    <sheetView showZeros="0" zoomScale="90" zoomScaleNormal="90" workbookViewId="0">
      <pane xSplit="1" ySplit="6" topLeftCell="CL22" activePane="bottomRight" state="frozen"/>
      <selection pane="topRight" activeCell="B1" sqref="B1"/>
      <selection pane="bottomLeft" activeCell="A7" sqref="A7"/>
      <selection pane="bottomRight" activeCell="CR44" sqref="CR44"/>
    </sheetView>
  </sheetViews>
  <sheetFormatPr defaultColWidth="8.7109375" defaultRowHeight="12.75"/>
  <cols>
    <col min="1" max="1" width="3.5703125" customWidth="1"/>
    <col min="2" max="2" width="9.7109375" customWidth="1"/>
    <col min="3" max="3" width="6" customWidth="1"/>
    <col min="4" max="4" width="12" style="1" hidden="1" customWidth="1"/>
    <col min="5" max="5" width="7.140625" customWidth="1"/>
    <col min="6" max="6" width="7.5703125" customWidth="1"/>
    <col min="7" max="7" width="8" customWidth="1"/>
    <col min="8" max="8" width="7.28515625" customWidth="1"/>
    <col min="9" max="9" width="7.42578125" hidden="1" customWidth="1"/>
    <col min="10" max="10" width="9.140625" customWidth="1"/>
    <col min="11" max="11" width="5.5703125" hidden="1" customWidth="1"/>
    <col min="12" max="12" width="8.42578125" customWidth="1"/>
    <col min="13" max="13" width="7.42578125" customWidth="1"/>
    <col min="14" max="14" width="8.42578125" customWidth="1"/>
    <col min="15" max="15" width="7.28515625" customWidth="1"/>
    <col min="16" max="16" width="9.85546875" hidden="1" customWidth="1"/>
    <col min="17" max="17" width="9.28515625" customWidth="1"/>
    <col min="18" max="18" width="6" customWidth="1"/>
    <col min="19" max="19" width="6.7109375" customWidth="1"/>
    <col min="20" max="20" width="9.140625" hidden="1" customWidth="1"/>
    <col min="21" max="21" width="7.140625" customWidth="1"/>
    <col min="22" max="22" width="7.85546875" customWidth="1"/>
    <col min="23" max="23" width="8.28515625" customWidth="1"/>
    <col min="24" max="24" width="6" customWidth="1"/>
    <col min="25" max="25" width="5.42578125" customWidth="1"/>
    <col min="26" max="26" width="6.85546875" customWidth="1"/>
    <col min="27" max="27" width="6.5703125" customWidth="1"/>
    <col min="28" max="28" width="7.5703125" customWidth="1"/>
    <col min="29" max="29" width="6.5703125" customWidth="1"/>
    <col min="30" max="30" width="4.28515625" customWidth="1"/>
    <col min="31" max="32" width="6.85546875" customWidth="1"/>
    <col min="33" max="33" width="0" hidden="1" customWidth="1"/>
    <col min="34" max="34" width="8.42578125" customWidth="1"/>
    <col min="35" max="35" width="7" customWidth="1"/>
    <col min="36" max="36" width="7.85546875" customWidth="1"/>
    <col min="37" max="37" width="0" hidden="1" customWidth="1"/>
    <col min="38" max="38" width="6.7109375" customWidth="1"/>
    <col min="39" max="39" width="7.7109375" customWidth="1"/>
    <col min="40" max="40" width="7" hidden="1" customWidth="1"/>
    <col min="41" max="41" width="9.42578125" customWidth="1"/>
    <col min="42" max="42" width="6.28515625" customWidth="1"/>
    <col min="43" max="43" width="6.85546875" customWidth="1"/>
    <col min="44" max="44" width="0" hidden="1" customWidth="1"/>
    <col min="45" max="45" width="6.7109375" customWidth="1"/>
    <col min="46" max="46" width="9.7109375" customWidth="1"/>
    <col min="47" max="47" width="7" customWidth="1"/>
    <col min="48" max="48" width="0" hidden="1" customWidth="1"/>
    <col min="49" max="49" width="6.140625" hidden="1" customWidth="1"/>
    <col min="50" max="50" width="5.140625" hidden="1" customWidth="1"/>
    <col min="51" max="51" width="8.42578125" customWidth="1"/>
    <col min="52" max="52" width="10" customWidth="1"/>
    <col min="53" max="53" width="8.7109375" hidden="1" customWidth="1"/>
    <col min="54" max="54" width="3.85546875" hidden="1" customWidth="1"/>
    <col min="55" max="55" width="6.5703125" customWidth="1"/>
    <col min="56" max="56" width="6.140625" customWidth="1"/>
    <col min="57" max="57" width="6.7109375" customWidth="1"/>
    <col min="58" max="58" width="8.85546875" customWidth="1"/>
    <col min="59" max="59" width="7.85546875" customWidth="1"/>
    <col min="60" max="60" width="9.85546875" customWidth="1"/>
    <col min="61" max="62" width="8.7109375" customWidth="1"/>
    <col min="63" max="63" width="10.28515625" customWidth="1"/>
    <col min="64" max="64" width="10.85546875" customWidth="1"/>
    <col min="65" max="65" width="10.7109375" customWidth="1"/>
    <col min="66" max="66" width="11.28515625" customWidth="1"/>
    <col min="67" max="68" width="8.85546875" customWidth="1"/>
    <col min="69" max="69" width="11.28515625" customWidth="1"/>
    <col min="70" max="70" width="7.7109375" customWidth="1"/>
    <col min="71" max="71" width="10" customWidth="1"/>
    <col min="72" max="72" width="8.85546875" customWidth="1"/>
    <col min="73" max="73" width="10.140625" customWidth="1"/>
    <col min="74" max="75" width="8.85546875" customWidth="1"/>
    <col min="76" max="76" width="10.85546875" customWidth="1"/>
    <col min="77" max="78" width="8.7109375" customWidth="1"/>
    <col min="79" max="79" width="10" customWidth="1"/>
    <col min="80" max="80" width="10.42578125" customWidth="1"/>
    <col min="81" max="82" width="8.42578125" customWidth="1"/>
    <col min="83" max="83" width="9.85546875" customWidth="1"/>
    <col min="84" max="85" width="11.42578125" customWidth="1"/>
    <col min="86" max="86" width="11.140625" customWidth="1"/>
    <col min="87" max="87" width="11.28515625" customWidth="1"/>
    <col min="88" max="89" width="10" customWidth="1"/>
    <col min="90" max="90" width="8.7109375" customWidth="1"/>
    <col min="91" max="91" width="11.85546875" customWidth="1"/>
    <col min="92" max="92" width="8.7109375" customWidth="1"/>
    <col min="93" max="93" width="12.140625" customWidth="1"/>
    <col min="94" max="94" width="12.5703125" customWidth="1"/>
    <col min="95" max="95" width="11.7109375" customWidth="1"/>
    <col min="96" max="98" width="12.28515625" customWidth="1"/>
    <col min="99" max="99" width="13.28515625" customWidth="1"/>
    <col min="100" max="100" width="12.85546875" customWidth="1"/>
    <col min="101" max="101" width="13.42578125" customWidth="1"/>
    <col min="102" max="103" width="12.5703125" customWidth="1"/>
    <col min="104" max="104" width="9.5703125" customWidth="1"/>
    <col min="105" max="105" width="19.140625" customWidth="1"/>
    <col min="106" max="106" width="19.42578125" customWidth="1"/>
    <col min="111" max="111" width="8.7109375" hidden="1" customWidth="1"/>
    <col min="112" max="112" width="9" bestFit="1" customWidth="1"/>
    <col min="114" max="114" width="9.5703125" bestFit="1" customWidth="1"/>
  </cols>
  <sheetData>
    <row r="1" spans="1:114" ht="17.25" customHeight="1">
      <c r="A1" s="310" t="s">
        <v>0</v>
      </c>
      <c r="B1" s="310"/>
      <c r="C1" s="310"/>
      <c r="D1" s="311"/>
      <c r="E1" s="310"/>
      <c r="F1" s="310"/>
      <c r="G1" s="310"/>
      <c r="H1" s="310"/>
      <c r="I1" s="310"/>
      <c r="J1" s="310"/>
      <c r="K1" s="310"/>
      <c r="L1" s="310"/>
      <c r="M1" s="310"/>
      <c r="N1" s="310"/>
      <c r="O1" s="310"/>
      <c r="P1" s="77"/>
      <c r="Q1" s="77"/>
      <c r="R1" s="77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</row>
    <row r="2" spans="1:114" ht="19.5" customHeight="1" thickBot="1">
      <c r="A2" s="22"/>
      <c r="B2" s="78"/>
      <c r="C2" s="78"/>
      <c r="D2" s="79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80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80"/>
      <c r="AT2" s="312" t="s">
        <v>1</v>
      </c>
      <c r="AU2" s="313">
        <v>31</v>
      </c>
      <c r="AV2" s="314"/>
      <c r="AW2" s="314"/>
      <c r="AX2" s="315" t="s">
        <v>81</v>
      </c>
      <c r="AY2" s="556" t="s">
        <v>326</v>
      </c>
      <c r="AZ2" s="556"/>
      <c r="BA2" s="556"/>
      <c r="BB2" s="556"/>
      <c r="BC2" s="556"/>
      <c r="BD2" s="316" t="s">
        <v>107</v>
      </c>
      <c r="BE2" s="317"/>
    </row>
    <row r="3" spans="1:114" ht="39.75" customHeight="1" thickBot="1">
      <c r="A3" s="557" t="s">
        <v>3</v>
      </c>
      <c r="B3" s="558" t="s">
        <v>71</v>
      </c>
      <c r="C3" s="558"/>
      <c r="D3" s="558"/>
      <c r="E3" s="558"/>
      <c r="F3" s="558"/>
      <c r="G3" s="558"/>
      <c r="H3" s="554" t="s">
        <v>4</v>
      </c>
      <c r="I3" s="554"/>
      <c r="J3" s="554"/>
      <c r="K3" s="554"/>
      <c r="L3" s="554"/>
      <c r="M3" s="554"/>
      <c r="N3" s="554"/>
      <c r="O3" s="554"/>
      <c r="P3" s="559"/>
      <c r="Q3" s="560" t="s">
        <v>5</v>
      </c>
      <c r="R3" s="561"/>
      <c r="S3" s="561"/>
      <c r="T3" s="561"/>
      <c r="U3" s="562"/>
      <c r="V3" s="563" t="s">
        <v>6</v>
      </c>
      <c r="W3" s="563" t="s">
        <v>7</v>
      </c>
      <c r="X3" s="564" t="s">
        <v>8</v>
      </c>
      <c r="Y3" s="564" t="s">
        <v>9</v>
      </c>
      <c r="Z3" s="564" t="s">
        <v>10</v>
      </c>
      <c r="AA3" s="564" t="s">
        <v>11</v>
      </c>
      <c r="AB3" s="564" t="s">
        <v>12</v>
      </c>
      <c r="AC3" s="564" t="s">
        <v>13</v>
      </c>
      <c r="AD3" s="564" t="s">
        <v>14</v>
      </c>
      <c r="AE3" s="554" t="s">
        <v>15</v>
      </c>
      <c r="AF3" s="554"/>
      <c r="AG3" s="554" t="s">
        <v>16</v>
      </c>
      <c r="AH3" s="554"/>
      <c r="AI3" s="554"/>
      <c r="AJ3" s="593" t="s">
        <v>17</v>
      </c>
      <c r="AK3" s="593"/>
      <c r="AL3" s="564" t="s">
        <v>18</v>
      </c>
      <c r="AM3" s="599" t="s">
        <v>19</v>
      </c>
      <c r="AN3" s="600" t="s">
        <v>95</v>
      </c>
      <c r="AO3" s="603" t="s">
        <v>20</v>
      </c>
      <c r="AP3" s="564" t="s">
        <v>105</v>
      </c>
      <c r="AQ3" s="564" t="s">
        <v>21</v>
      </c>
      <c r="AR3" s="81"/>
      <c r="AS3" s="593" t="s">
        <v>22</v>
      </c>
      <c r="AT3" s="554" t="s">
        <v>23</v>
      </c>
      <c r="AU3" s="554"/>
      <c r="AV3" s="554"/>
      <c r="AW3" s="554"/>
      <c r="AX3" s="554"/>
      <c r="AY3" s="554"/>
      <c r="AZ3" s="564" t="s">
        <v>24</v>
      </c>
      <c r="BA3" s="594" t="s">
        <v>25</v>
      </c>
      <c r="BB3" s="594"/>
      <c r="BC3" s="564" t="s">
        <v>26</v>
      </c>
      <c r="BD3" s="564" t="s">
        <v>27</v>
      </c>
      <c r="BE3" s="572" t="s">
        <v>28</v>
      </c>
      <c r="BF3" s="3"/>
      <c r="BG3" s="3"/>
      <c r="BH3" s="3"/>
      <c r="BI3" s="3"/>
      <c r="BJ3" s="3"/>
      <c r="BK3" s="573" t="s">
        <v>29</v>
      </c>
      <c r="BL3" s="574"/>
      <c r="BM3" s="574"/>
      <c r="BN3" s="574"/>
      <c r="BO3" s="575"/>
      <c r="BP3" s="575"/>
      <c r="BQ3" s="576"/>
      <c r="BR3" s="573" t="s">
        <v>30</v>
      </c>
      <c r="BS3" s="585"/>
      <c r="BT3" s="585"/>
      <c r="BU3" s="585"/>
      <c r="BV3" s="585"/>
      <c r="BW3" s="585"/>
      <c r="BX3" s="586"/>
      <c r="BY3" s="566" t="s">
        <v>31</v>
      </c>
      <c r="BZ3" s="566"/>
      <c r="CA3" s="566"/>
      <c r="CB3" s="566"/>
      <c r="CC3" s="566"/>
      <c r="CD3" s="566"/>
      <c r="CE3" s="566"/>
      <c r="CF3" s="566" t="s">
        <v>87</v>
      </c>
      <c r="CG3" s="566"/>
      <c r="CH3" s="566"/>
      <c r="CI3" s="566"/>
      <c r="CJ3" s="566" t="s">
        <v>32</v>
      </c>
      <c r="CK3" s="566"/>
      <c r="CL3" s="566"/>
      <c r="CM3" s="566"/>
      <c r="CN3" s="4"/>
      <c r="CO3" s="5"/>
      <c r="CP3" s="6"/>
      <c r="CQ3" s="6"/>
    </row>
    <row r="4" spans="1:114" s="7" customFormat="1" ht="30.75" customHeight="1" thickBot="1">
      <c r="A4" s="557"/>
      <c r="B4" s="565" t="s">
        <v>72</v>
      </c>
      <c r="C4" s="613" t="s">
        <v>73</v>
      </c>
      <c r="D4" s="615" t="s">
        <v>33</v>
      </c>
      <c r="E4" s="613" t="s">
        <v>74</v>
      </c>
      <c r="F4" s="569" t="s">
        <v>75</v>
      </c>
      <c r="G4" s="569" t="s">
        <v>34</v>
      </c>
      <c r="H4" s="555" t="s">
        <v>76</v>
      </c>
      <c r="I4" s="570" t="s">
        <v>101</v>
      </c>
      <c r="J4" s="555" t="s">
        <v>89</v>
      </c>
      <c r="K4" s="565" t="s">
        <v>35</v>
      </c>
      <c r="L4" s="565" t="s">
        <v>77</v>
      </c>
      <c r="M4" s="565" t="s">
        <v>78</v>
      </c>
      <c r="N4" s="565" t="s">
        <v>101</v>
      </c>
      <c r="O4" s="565" t="s">
        <v>96</v>
      </c>
      <c r="P4" s="555" t="s">
        <v>79</v>
      </c>
      <c r="Q4" s="555" t="s">
        <v>36</v>
      </c>
      <c r="R4" s="555" t="s">
        <v>32</v>
      </c>
      <c r="S4" s="555" t="s">
        <v>37</v>
      </c>
      <c r="T4" s="555" t="s">
        <v>38</v>
      </c>
      <c r="U4" s="555" t="s">
        <v>39</v>
      </c>
      <c r="V4" s="563"/>
      <c r="W4" s="563"/>
      <c r="X4" s="564"/>
      <c r="Y4" s="564"/>
      <c r="Z4" s="564"/>
      <c r="AA4" s="564"/>
      <c r="AB4" s="564"/>
      <c r="AC4" s="564"/>
      <c r="AD4" s="564"/>
      <c r="AE4" s="554"/>
      <c r="AF4" s="554"/>
      <c r="AG4" s="554"/>
      <c r="AH4" s="554"/>
      <c r="AI4" s="554"/>
      <c r="AJ4" s="593"/>
      <c r="AK4" s="593"/>
      <c r="AL4" s="564"/>
      <c r="AM4" s="599"/>
      <c r="AN4" s="601"/>
      <c r="AO4" s="603"/>
      <c r="AP4" s="564"/>
      <c r="AQ4" s="564"/>
      <c r="AR4" s="82"/>
      <c r="AS4" s="593"/>
      <c r="AT4" s="554"/>
      <c r="AU4" s="554"/>
      <c r="AV4" s="554"/>
      <c r="AW4" s="554"/>
      <c r="AX4" s="554"/>
      <c r="AY4" s="554"/>
      <c r="AZ4" s="564"/>
      <c r="BA4" s="594"/>
      <c r="BB4" s="594"/>
      <c r="BC4" s="564"/>
      <c r="BD4" s="564"/>
      <c r="BE4" s="572"/>
      <c r="BF4" s="3"/>
      <c r="BG4" s="3"/>
      <c r="BH4" s="3"/>
      <c r="BI4" s="3"/>
      <c r="BJ4" s="3"/>
      <c r="BK4" s="577"/>
      <c r="BL4" s="578"/>
      <c r="BM4" s="578"/>
      <c r="BN4" s="578"/>
      <c r="BO4" s="579"/>
      <c r="BP4" s="579"/>
      <c r="BQ4" s="580"/>
      <c r="BR4" s="577"/>
      <c r="BS4" s="566"/>
      <c r="BT4" s="566"/>
      <c r="BU4" s="566"/>
      <c r="BV4" s="566"/>
      <c r="BW4" s="566"/>
      <c r="BX4" s="587"/>
      <c r="BY4" s="566"/>
      <c r="BZ4" s="566"/>
      <c r="CA4" s="566"/>
      <c r="CB4" s="566"/>
      <c r="CC4" s="566"/>
      <c r="CD4" s="566"/>
      <c r="CE4" s="566"/>
      <c r="CF4" s="566"/>
      <c r="CG4" s="566"/>
      <c r="CH4" s="566"/>
      <c r="CI4" s="566"/>
      <c r="CJ4" s="566"/>
      <c r="CK4" s="566"/>
      <c r="CL4" s="566"/>
      <c r="CM4" s="566"/>
      <c r="CN4" s="4"/>
      <c r="CO4" s="6"/>
      <c r="CP4" s="6"/>
      <c r="CQ4" s="262"/>
      <c r="CR4" s="231"/>
      <c r="CS4" s="231"/>
      <c r="CT4" s="231"/>
      <c r="CU4" s="231"/>
      <c r="CV4" s="231"/>
      <c r="CW4" s="231"/>
      <c r="CX4" s="231"/>
      <c r="CY4" s="231"/>
      <c r="DD4" s="590" t="s">
        <v>90</v>
      </c>
      <c r="DE4" s="591"/>
      <c r="DF4" s="591"/>
      <c r="DG4" s="591"/>
      <c r="DH4" s="592"/>
    </row>
    <row r="5" spans="1:114" s="7" customFormat="1" ht="8.25" hidden="1" customHeight="1">
      <c r="A5" s="557"/>
      <c r="B5" s="565"/>
      <c r="C5" s="614"/>
      <c r="D5" s="616"/>
      <c r="E5" s="614"/>
      <c r="F5" s="569"/>
      <c r="G5" s="569"/>
      <c r="H5" s="555"/>
      <c r="I5" s="570"/>
      <c r="J5" s="565"/>
      <c r="K5" s="565"/>
      <c r="L5" s="565"/>
      <c r="M5" s="565"/>
      <c r="N5" s="565"/>
      <c r="O5" s="565"/>
      <c r="P5" s="555"/>
      <c r="Q5" s="555"/>
      <c r="R5" s="555"/>
      <c r="S5" s="555"/>
      <c r="T5" s="555"/>
      <c r="U5" s="555"/>
      <c r="V5" s="563"/>
      <c r="W5" s="563"/>
      <c r="X5" s="564"/>
      <c r="Y5" s="564"/>
      <c r="Z5" s="564"/>
      <c r="AA5" s="564"/>
      <c r="AB5" s="564"/>
      <c r="AC5" s="564"/>
      <c r="AD5" s="564"/>
      <c r="AE5" s="555" t="s">
        <v>40</v>
      </c>
      <c r="AF5" s="555" t="s">
        <v>41</v>
      </c>
      <c r="AG5" s="555" t="s">
        <v>42</v>
      </c>
      <c r="AH5" s="555" t="s">
        <v>40</v>
      </c>
      <c r="AI5" s="555" t="s">
        <v>41</v>
      </c>
      <c r="AJ5" s="593"/>
      <c r="AK5" s="593"/>
      <c r="AL5" s="564"/>
      <c r="AM5" s="599"/>
      <c r="AN5" s="601"/>
      <c r="AO5" s="603"/>
      <c r="AP5" s="564"/>
      <c r="AQ5" s="564"/>
      <c r="AR5" s="83"/>
      <c r="AS5" s="593"/>
      <c r="AT5" s="555" t="s">
        <v>43</v>
      </c>
      <c r="AU5" s="84"/>
      <c r="AV5" s="85"/>
      <c r="AW5" s="598" t="s">
        <v>44</v>
      </c>
      <c r="AX5" s="598" t="s">
        <v>45</v>
      </c>
      <c r="AY5" s="555" t="s">
        <v>46</v>
      </c>
      <c r="AZ5" s="564"/>
      <c r="BA5" s="86" t="s">
        <v>47</v>
      </c>
      <c r="BB5" s="86" t="s">
        <v>48</v>
      </c>
      <c r="BC5" s="564"/>
      <c r="BD5" s="564"/>
      <c r="BE5" s="572"/>
      <c r="BF5" s="3"/>
      <c r="BG5" s="3"/>
      <c r="BH5" s="3"/>
      <c r="BI5" s="3"/>
      <c r="BJ5" s="3"/>
      <c r="BK5" s="581"/>
      <c r="BL5" s="582"/>
      <c r="BM5" s="582"/>
      <c r="BN5" s="582"/>
      <c r="BO5" s="583"/>
      <c r="BP5" s="583"/>
      <c r="BQ5" s="584"/>
      <c r="BR5" s="581"/>
      <c r="BS5" s="588"/>
      <c r="BT5" s="588"/>
      <c r="BU5" s="588"/>
      <c r="BV5" s="588"/>
      <c r="BW5" s="588"/>
      <c r="BX5" s="589"/>
      <c r="BY5" s="567"/>
      <c r="BZ5" s="566"/>
      <c r="CA5" s="566"/>
      <c r="CB5" s="566"/>
      <c r="CC5" s="566"/>
      <c r="CD5" s="566"/>
      <c r="CE5" s="566"/>
      <c r="CF5" s="567"/>
      <c r="CG5" s="567"/>
      <c r="CH5" s="567"/>
      <c r="CI5" s="567"/>
      <c r="CJ5" s="567"/>
      <c r="CK5" s="567"/>
      <c r="CL5" s="567"/>
      <c r="CM5" s="567"/>
      <c r="CN5" s="4"/>
      <c r="CO5"/>
      <c r="CP5"/>
      <c r="CQ5" s="255"/>
      <c r="CR5" s="256"/>
      <c r="CS5" s="256"/>
      <c r="CT5" s="256"/>
      <c r="CU5" s="256"/>
      <c r="CV5" s="257"/>
      <c r="CW5" s="257"/>
      <c r="CX5" s="257"/>
      <c r="CY5" s="258"/>
      <c r="DA5" s="595" t="s">
        <v>49</v>
      </c>
      <c r="DB5" s="595"/>
    </row>
    <row r="6" spans="1:114" s="7" customFormat="1" ht="106.5" customHeight="1" thickBot="1">
      <c r="A6" s="557"/>
      <c r="B6" s="565"/>
      <c r="C6" s="565"/>
      <c r="D6" s="568"/>
      <c r="E6" s="565"/>
      <c r="F6" s="569"/>
      <c r="G6" s="569"/>
      <c r="H6" s="555"/>
      <c r="I6" s="570"/>
      <c r="J6" s="571"/>
      <c r="K6" s="565"/>
      <c r="L6" s="565"/>
      <c r="M6" s="565"/>
      <c r="N6" s="565"/>
      <c r="O6" s="565"/>
      <c r="P6" s="565"/>
      <c r="Q6" s="565"/>
      <c r="R6" s="565"/>
      <c r="S6" s="565"/>
      <c r="T6" s="555"/>
      <c r="U6" s="555"/>
      <c r="V6" s="563"/>
      <c r="W6" s="563"/>
      <c r="X6" s="564"/>
      <c r="Y6" s="564"/>
      <c r="Z6" s="564"/>
      <c r="AA6" s="564"/>
      <c r="AB6" s="564"/>
      <c r="AC6" s="564"/>
      <c r="AD6" s="564"/>
      <c r="AE6" s="555"/>
      <c r="AF6" s="555"/>
      <c r="AG6" s="555"/>
      <c r="AH6" s="555"/>
      <c r="AI6" s="555"/>
      <c r="AJ6" s="593"/>
      <c r="AK6" s="593"/>
      <c r="AL6" s="564"/>
      <c r="AM6" s="599"/>
      <c r="AN6" s="602"/>
      <c r="AO6" s="603"/>
      <c r="AP6" s="564"/>
      <c r="AQ6" s="564"/>
      <c r="AR6" s="475"/>
      <c r="AS6" s="593"/>
      <c r="AT6" s="555"/>
      <c r="AU6" s="474" t="s">
        <v>50</v>
      </c>
      <c r="AV6" s="474" t="s">
        <v>51</v>
      </c>
      <c r="AW6" s="598"/>
      <c r="AX6" s="598"/>
      <c r="AY6" s="555"/>
      <c r="AZ6" s="555"/>
      <c r="BA6" s="87"/>
      <c r="BB6" s="88">
        <v>0.04</v>
      </c>
      <c r="BC6" s="564"/>
      <c r="BD6" s="564"/>
      <c r="BE6" s="572"/>
      <c r="BF6" s="8" t="s">
        <v>52</v>
      </c>
      <c r="BG6" s="8" t="s">
        <v>53</v>
      </c>
      <c r="BH6" s="8" t="s">
        <v>54</v>
      </c>
      <c r="BI6" s="3"/>
      <c r="BJ6" s="3"/>
      <c r="BK6" s="308" t="s">
        <v>100</v>
      </c>
      <c r="BL6" s="280" t="s">
        <v>82</v>
      </c>
      <c r="BM6" s="279" t="s">
        <v>262</v>
      </c>
      <c r="BN6" s="307" t="s">
        <v>365</v>
      </c>
      <c r="BO6" s="308" t="s">
        <v>364</v>
      </c>
      <c r="BP6" s="326" t="s">
        <v>99</v>
      </c>
      <c r="BQ6" s="495" t="s">
        <v>366</v>
      </c>
      <c r="BR6" s="308" t="s">
        <v>100</v>
      </c>
      <c r="BS6" s="280" t="s">
        <v>82</v>
      </c>
      <c r="BT6" s="279" t="s">
        <v>262</v>
      </c>
      <c r="BU6" s="327"/>
      <c r="BV6" s="308" t="s">
        <v>364</v>
      </c>
      <c r="BW6" s="326" t="s">
        <v>99</v>
      </c>
      <c r="BX6" s="306"/>
      <c r="BY6" s="308" t="s">
        <v>100</v>
      </c>
      <c r="BZ6" s="280" t="s">
        <v>82</v>
      </c>
      <c r="CA6" s="279" t="s">
        <v>262</v>
      </c>
      <c r="CB6" s="307" t="s">
        <v>365</v>
      </c>
      <c r="CC6" s="308" t="s">
        <v>364</v>
      </c>
      <c r="CD6" s="326" t="s">
        <v>99</v>
      </c>
      <c r="CE6" s="495" t="s">
        <v>366</v>
      </c>
      <c r="CF6" s="267" t="s">
        <v>106</v>
      </c>
      <c r="CG6" s="268" t="s">
        <v>85</v>
      </c>
      <c r="CH6" s="244" t="s">
        <v>109</v>
      </c>
      <c r="CI6" s="245" t="s">
        <v>103</v>
      </c>
      <c r="CJ6" s="267" t="s">
        <v>106</v>
      </c>
      <c r="CK6" s="268" t="s">
        <v>85</v>
      </c>
      <c r="CL6" s="244" t="s">
        <v>109</v>
      </c>
      <c r="CM6" s="245" t="s">
        <v>103</v>
      </c>
      <c r="CN6" s="243"/>
      <c r="CO6" s="248" t="s">
        <v>100</v>
      </c>
      <c r="CP6" s="10" t="s">
        <v>82</v>
      </c>
      <c r="CQ6" s="264" t="s">
        <v>263</v>
      </c>
      <c r="CR6" s="23" t="s">
        <v>367</v>
      </c>
      <c r="CS6" s="248" t="s">
        <v>364</v>
      </c>
      <c r="CT6" s="248" t="s">
        <v>99</v>
      </c>
      <c r="CU6" s="496" t="s">
        <v>368</v>
      </c>
      <c r="CV6" s="259" t="s">
        <v>106</v>
      </c>
      <c r="CW6" s="248" t="s">
        <v>84</v>
      </c>
      <c r="CX6" s="232" t="s">
        <v>108</v>
      </c>
      <c r="CY6" s="263" t="s">
        <v>103</v>
      </c>
      <c r="CZ6" s="253"/>
      <c r="DA6" s="321" t="s">
        <v>80</v>
      </c>
      <c r="DB6" s="321" t="s">
        <v>55</v>
      </c>
      <c r="DD6" s="288" t="s">
        <v>91</v>
      </c>
      <c r="DE6" s="289" t="s">
        <v>92</v>
      </c>
      <c r="DF6" s="290" t="s">
        <v>93</v>
      </c>
      <c r="DG6" s="290"/>
      <c r="DH6" s="289" t="s">
        <v>94</v>
      </c>
    </row>
    <row r="7" spans="1:114" s="76" customFormat="1" ht="16.5" customHeight="1" thickBot="1">
      <c r="A7" s="121">
        <v>1</v>
      </c>
      <c r="B7" s="122">
        <f>'[1]июль 20'!K6</f>
        <v>219.99700000000001</v>
      </c>
      <c r="C7" s="123">
        <f>IF(B7=0,0,(BK7*BR7+BL7*BS7+BM7*BT7+BN7*BU7+BQ7*BX7+BO7*BV7+BP7*BW7)/B7)</f>
        <v>0.97164089512585616</v>
      </c>
      <c r="D7" s="124">
        <f>B7*((100-C7)/100)</f>
        <v>217.85941917994998</v>
      </c>
      <c r="E7" s="125">
        <f>IF(B7=0,0,(BK7*BY7+BL7*BZ7+BM7*CA7+BQ7*CE7+BN7*CB7+BO7*CC7+BP7*CD7)/B7)</f>
        <v>38.086876957413068</v>
      </c>
      <c r="F7" s="126">
        <f t="shared" ref="F7:F37" si="0">IF(AY7=0,0,D7/AY7)</f>
        <v>2.1919651793938018</v>
      </c>
      <c r="G7" s="127"/>
      <c r="H7" s="126">
        <f>IF(AY7=0,0,(CP7+CO7+CS7+CQ7+CT7)/AY7)</f>
        <v>1.9705646584163392</v>
      </c>
      <c r="I7" s="230">
        <f>'[1]июль 20'!AI6</f>
        <v>0</v>
      </c>
      <c r="J7" s="246">
        <f>'[1]июль 20'!AA6</f>
        <v>8.7469999999999999</v>
      </c>
      <c r="K7" s="437">
        <f>'[1]сентябрь 20'!AM6</f>
        <v>0</v>
      </c>
      <c r="L7" s="438">
        <f>'[1]июль 20'!AE6</f>
        <v>22.004999999999999</v>
      </c>
      <c r="M7" s="399">
        <f>IF(AY7=0,0,(CR7+CU7)/AY7)</f>
        <v>0.22140055116158555</v>
      </c>
      <c r="N7" s="399">
        <f>'[1]июль 20'!W6</f>
        <v>0</v>
      </c>
      <c r="O7" s="402">
        <f>'[1]июль 20'!AU6</f>
        <v>0</v>
      </c>
      <c r="P7" s="125">
        <f t="shared" ref="P7:P37" si="1">CF7+CH7+CI7+CG7</f>
        <v>133.10400200000001</v>
      </c>
      <c r="Q7" s="122">
        <f>'[1]июль 20'!S6</f>
        <v>133.10400000000001</v>
      </c>
      <c r="R7" s="123">
        <f>IF(Q7=0,0,(CI7*CM7+CG7*CK7+CH7*CL7+CF7*CJ7)/Q7)</f>
        <v>1.5000000000000149</v>
      </c>
      <c r="S7" s="129">
        <v>8.5399999999999991</v>
      </c>
      <c r="T7" s="125">
        <f t="shared" ref="T7:T37" si="2">Q7*((100-R7)/100)</f>
        <v>131.10744</v>
      </c>
      <c r="U7" s="128">
        <f t="shared" ref="U7:U37" si="3">IF(AY7=0,0,T7/AY7)</f>
        <v>1.3191210383338361</v>
      </c>
      <c r="V7" s="130">
        <v>98.47</v>
      </c>
      <c r="W7" s="130">
        <v>98.47</v>
      </c>
      <c r="X7" s="129">
        <v>0.56000000000000005</v>
      </c>
      <c r="Y7" s="131">
        <v>550</v>
      </c>
      <c r="Z7" s="131">
        <v>1154</v>
      </c>
      <c r="AA7" s="132" t="s">
        <v>329</v>
      </c>
      <c r="AB7" s="129">
        <v>76.069999999999993</v>
      </c>
      <c r="AC7" s="131">
        <v>88</v>
      </c>
      <c r="AD7" s="133">
        <v>4</v>
      </c>
      <c r="AE7" s="129"/>
      <c r="AF7" s="134">
        <f t="shared" ref="AF7:AF37" si="4">IF(AY7=0,0,AE7/AY7*1000)</f>
        <v>0</v>
      </c>
      <c r="AG7" s="135"/>
      <c r="AH7" s="129">
        <v>61.05</v>
      </c>
      <c r="AI7" s="134">
        <f t="shared" ref="AI7:AI37" si="5">IF(AY7=0,0,AH7/AY7*1000)</f>
        <v>614.24690612737686</v>
      </c>
      <c r="AJ7" s="136">
        <v>12.54</v>
      </c>
      <c r="AK7" s="127"/>
      <c r="AL7" s="137">
        <v>6.32</v>
      </c>
      <c r="AM7" s="478">
        <f>AT7*0.2</f>
        <v>25.6</v>
      </c>
      <c r="AN7" s="126">
        <f>IF(AM7=0,0,AM7/AT7)</f>
        <v>0.2</v>
      </c>
      <c r="AO7" s="139" t="s">
        <v>304</v>
      </c>
      <c r="AP7" s="138">
        <v>8.4</v>
      </c>
      <c r="AQ7" s="138">
        <v>7.77</v>
      </c>
      <c r="AR7" s="129"/>
      <c r="AS7" s="129">
        <v>8.0500000000000007</v>
      </c>
      <c r="AT7" s="129">
        <v>128</v>
      </c>
      <c r="AU7" s="129">
        <v>3.31</v>
      </c>
      <c r="AV7" s="129"/>
      <c r="AW7" s="129"/>
      <c r="AX7" s="140">
        <f t="shared" ref="AX7:AX37" si="6">IF(AY7=0,0,AW7/AY7*100)</f>
        <v>0</v>
      </c>
      <c r="AY7" s="125">
        <f t="shared" ref="AY7:AY37" si="7">AT7-AL7-AM7+AV7+AW7+AU7</f>
        <v>99.390000000000015</v>
      </c>
      <c r="AZ7" s="125">
        <f>IF(AB7=0,0,((D7*0.97)*(E7/100)*0.9)/(AB7/100))+DH7</f>
        <v>97.108693133239939</v>
      </c>
      <c r="BA7" s="141">
        <f t="shared" ref="BA7:BA37" si="8">(AH7*AS7)/100*(55/71)</f>
        <v>3.8070264084507044</v>
      </c>
      <c r="BB7" s="142">
        <f t="shared" ref="BB7:BB37" si="9">AY7*$BB$6</f>
        <v>3.9756000000000005</v>
      </c>
      <c r="BC7" s="122">
        <f t="shared" ref="BC7:BC37" si="10">IF((D7*E7)=0,0,(AY7*AB7)/(D7*E7))</f>
        <v>0.9111804697530308</v>
      </c>
      <c r="BD7" s="142">
        <f>BA7+BB7</f>
        <v>7.7826264084507049</v>
      </c>
      <c r="BE7" s="143">
        <v>0.91100000000000003</v>
      </c>
      <c r="BF7" s="25">
        <f>AY7</f>
        <v>99.390000000000015</v>
      </c>
      <c r="BG7" s="25">
        <f t="shared" ref="BG7:BG38" si="11">IF(A7&lt;=$BE$43,$AT$43,0)</f>
        <v>108.06451612903226</v>
      </c>
      <c r="BH7" s="25">
        <f>BG7</f>
        <v>108.06451612903226</v>
      </c>
      <c r="BI7" s="26">
        <f t="shared" ref="BI7:BI37" si="12">IF(AY7&lt;&gt;0,1,0)</f>
        <v>1</v>
      </c>
      <c r="BJ7" s="27">
        <f>BG7*BI7</f>
        <v>108.06451612903226</v>
      </c>
      <c r="BK7" s="28">
        <v>136.31899999999999</v>
      </c>
      <c r="BL7" s="28">
        <v>9.9999999999999995E-7</v>
      </c>
      <c r="BM7" s="28">
        <v>48.4</v>
      </c>
      <c r="BN7" s="28">
        <v>9.9999999999999995E-7</v>
      </c>
      <c r="BO7" s="28">
        <v>9.9999999999999995E-7</v>
      </c>
      <c r="BP7" s="28">
        <v>13.273</v>
      </c>
      <c r="BQ7" s="28">
        <v>22.004999999999999</v>
      </c>
      <c r="BR7" s="28">
        <v>0.81</v>
      </c>
      <c r="BS7" s="28">
        <v>9.9999999999999995E-7</v>
      </c>
      <c r="BT7" s="28">
        <v>1.37</v>
      </c>
      <c r="BU7" s="28">
        <v>9.9999999999999995E-7</v>
      </c>
      <c r="BV7" s="28">
        <v>9.9999999999999995E-7</v>
      </c>
      <c r="BW7" s="28">
        <v>2.79</v>
      </c>
      <c r="BX7" s="28">
        <v>9.9999999999999995E-7</v>
      </c>
      <c r="BY7" s="28">
        <v>37.04</v>
      </c>
      <c r="BZ7" s="28">
        <v>9.9999999999999995E-7</v>
      </c>
      <c r="CA7" s="28">
        <v>39.74</v>
      </c>
      <c r="CB7" s="28">
        <v>9.9999999999999995E-7</v>
      </c>
      <c r="CC7" s="28">
        <v>9.9999999999999995E-7</v>
      </c>
      <c r="CD7" s="28">
        <v>33.770000000000003</v>
      </c>
      <c r="CE7" s="28">
        <v>43.54</v>
      </c>
      <c r="CF7" s="28">
        <v>89.138000000000005</v>
      </c>
      <c r="CG7" s="28">
        <v>43.966000000000001</v>
      </c>
      <c r="CH7" s="28">
        <v>9.9999999999999995E-7</v>
      </c>
      <c r="CI7" s="28">
        <v>9.9999999999999995E-7</v>
      </c>
      <c r="CJ7" s="28">
        <v>1.5</v>
      </c>
      <c r="CK7" s="28">
        <v>1.5</v>
      </c>
      <c r="CL7" s="28">
        <v>9.9999999999999995E-7</v>
      </c>
      <c r="CM7" s="28">
        <v>9.9999999999999995E-7</v>
      </c>
      <c r="CN7" s="286"/>
      <c r="CO7" s="252">
        <f t="shared" ref="CO7:CU22" si="13">BK7*((100-BR7)/100)</f>
        <v>135.21481609999998</v>
      </c>
      <c r="CP7" s="11">
        <f t="shared" si="13"/>
        <v>9.9999998999999992E-7</v>
      </c>
      <c r="CQ7" s="11">
        <f t="shared" si="13"/>
        <v>47.736919999999998</v>
      </c>
      <c r="CR7" s="11">
        <f t="shared" si="13"/>
        <v>9.9999998999999992E-7</v>
      </c>
      <c r="CS7" s="11">
        <f t="shared" si="13"/>
        <v>9.9999998999999992E-7</v>
      </c>
      <c r="CT7" s="11">
        <f t="shared" si="13"/>
        <v>12.9026833</v>
      </c>
      <c r="CU7" s="271">
        <f t="shared" si="13"/>
        <v>22.004999779950001</v>
      </c>
      <c r="CV7" s="260">
        <f t="shared" ref="CV7:CY37" si="14">CF7*((100-CJ7)/100)</f>
        <v>87.800930000000008</v>
      </c>
      <c r="CW7" s="250">
        <f t="shared" si="14"/>
        <v>43.306510000000003</v>
      </c>
      <c r="CX7" s="260">
        <f t="shared" si="14"/>
        <v>9.9999998999999992E-7</v>
      </c>
      <c r="CY7" s="271">
        <f t="shared" si="14"/>
        <v>9.9999998999999992E-7</v>
      </c>
      <c r="CZ7" s="13"/>
      <c r="DA7" s="240">
        <f>(D7+'[2]июль 20'!D7)/(AY7+'[2]июль 20'!BA7)</f>
        <v>2.2864630063515681</v>
      </c>
      <c r="DB7" s="241">
        <f>(T7+'[2]июль 20'!R7)/(AY7+'[2]июль 20'!BA7)</f>
        <v>1.4213078845583846</v>
      </c>
      <c r="DD7" s="292">
        <f t="shared" ref="DD7:DD37" si="15">J7</f>
        <v>8.7469999999999999</v>
      </c>
      <c r="DE7" s="291">
        <v>0.25</v>
      </c>
      <c r="DF7" s="291">
        <v>16.420000000000002</v>
      </c>
      <c r="DG7" s="145">
        <f t="shared" ref="DG7:DG37" si="16">DD7*((100-DE7)/100)</f>
        <v>8.7251325000000008</v>
      </c>
      <c r="DH7" s="293">
        <f>IF(AB7=0,0,(DG7*DF7%)/(AB7/100))</f>
        <v>1.8833531701064814</v>
      </c>
      <c r="DJ7" s="322"/>
    </row>
    <row r="8" spans="1:114" s="76" customFormat="1" ht="16.5" customHeight="1" thickBot="1">
      <c r="A8" s="144">
        <v>2</v>
      </c>
      <c r="B8" s="122">
        <f>'[1]июль 20'!K7</f>
        <v>217.72300000000001</v>
      </c>
      <c r="C8" s="123">
        <f t="shared" ref="C8:C37" si="17">IF(B8=0,0,(BK8*BR8+BL8*BS8+BM8*BT8+BN8*BU8+BQ8*BX8+BO8*BV8+BP8*BW8)/B8)</f>
        <v>0.52162881275749451</v>
      </c>
      <c r="D8" s="145">
        <f t="shared" ref="D8:D37" si="18">B8*((100-C8)/100)</f>
        <v>216.58729410000001</v>
      </c>
      <c r="E8" s="125">
        <f t="shared" ref="E8:E37" si="19">IF(B8=0,0,(BK8*BY8+BL8*BZ8+BM8*CA8+BQ8*CE8+BN8*CB8+BO8*CC8+BP8*CD8)/B8)</f>
        <v>38.053021407935773</v>
      </c>
      <c r="F8" s="146">
        <f t="shared" si="0"/>
        <v>2.2062472659671997</v>
      </c>
      <c r="G8" s="127"/>
      <c r="H8" s="126">
        <f t="shared" ref="H8:H37" si="20">IF(AY8=0,0,(CP8+CO8+CS8+CQ8+CT8)/AY8)</f>
        <v>1.9844279729041459</v>
      </c>
      <c r="I8" s="230">
        <f>'[1]июль 20'!AI7</f>
        <v>0</v>
      </c>
      <c r="J8" s="247">
        <f>'[1]июль 20'!AA7</f>
        <v>8.6479999999999997</v>
      </c>
      <c r="K8" s="464">
        <f>'[1]сентябрь 20'!AM7</f>
        <v>0</v>
      </c>
      <c r="L8" s="247">
        <f>'[1]июль 20'!AE7</f>
        <v>21.776</v>
      </c>
      <c r="M8" s="468">
        <f t="shared" ref="M8:M37" si="21">IF(AY8=0,0,(CR8+CU8)/AY8)</f>
        <v>0.22181929306305387</v>
      </c>
      <c r="N8" s="403">
        <f>'[1]июль 20'!W7</f>
        <v>0</v>
      </c>
      <c r="O8" s="403">
        <f>'[1]июль 20'!AU7</f>
        <v>0</v>
      </c>
      <c r="P8" s="401">
        <f t="shared" si="1"/>
        <v>130.73400000000001</v>
      </c>
      <c r="Q8" s="122">
        <f>'[1]июль 20'!S7</f>
        <v>130.73400000000001</v>
      </c>
      <c r="R8" s="123">
        <f t="shared" ref="R8:R37" si="22">IF(Q8=0,0,(CI8*CM8+CG8*CK8+CH8*CL8+CF8*CJ8)/Q8)</f>
        <v>1.47</v>
      </c>
      <c r="S8" s="129">
        <v>23.81</v>
      </c>
      <c r="T8" s="125">
        <f t="shared" si="2"/>
        <v>128.81221020000001</v>
      </c>
      <c r="U8" s="147">
        <f t="shared" si="3"/>
        <v>1.3121341570744627</v>
      </c>
      <c r="V8" s="130">
        <v>48.51</v>
      </c>
      <c r="W8" s="130">
        <v>48.51</v>
      </c>
      <c r="X8" s="129">
        <v>0.85</v>
      </c>
      <c r="Y8" s="131">
        <v>563</v>
      </c>
      <c r="Z8" s="131">
        <v>1159</v>
      </c>
      <c r="AA8" s="148" t="s">
        <v>330</v>
      </c>
      <c r="AB8" s="149">
        <v>74.989999999999995</v>
      </c>
      <c r="AC8" s="150">
        <v>87</v>
      </c>
      <c r="AD8" s="151">
        <v>4</v>
      </c>
      <c r="AE8" s="149"/>
      <c r="AF8" s="134">
        <f t="shared" si="4"/>
        <v>0</v>
      </c>
      <c r="AG8" s="152"/>
      <c r="AH8" s="129">
        <v>59.45</v>
      </c>
      <c r="AI8" s="134">
        <f t="shared" si="5"/>
        <v>605.58215340735467</v>
      </c>
      <c r="AJ8" s="153">
        <v>15.18</v>
      </c>
      <c r="AK8" s="154"/>
      <c r="AL8" s="155">
        <v>5.16</v>
      </c>
      <c r="AM8" s="478">
        <f t="shared" ref="AM8:AM36" si="23">AT8*0.2</f>
        <v>25.42</v>
      </c>
      <c r="AN8" s="126">
        <f t="shared" ref="AN8:AN37" si="24">IF(AM8=0,0,AM8/AT8)</f>
        <v>0.2</v>
      </c>
      <c r="AO8" s="157" t="s">
        <v>331</v>
      </c>
      <c r="AP8" s="156">
        <v>8.92</v>
      </c>
      <c r="AQ8" s="156">
        <v>8.16</v>
      </c>
      <c r="AR8" s="149"/>
      <c r="AS8" s="149">
        <v>7.27</v>
      </c>
      <c r="AT8" s="149">
        <v>127.1</v>
      </c>
      <c r="AU8" s="149">
        <v>1.65</v>
      </c>
      <c r="AV8" s="149"/>
      <c r="AW8" s="149"/>
      <c r="AX8" s="158">
        <f t="shared" si="6"/>
        <v>0</v>
      </c>
      <c r="AY8" s="125">
        <f t="shared" si="7"/>
        <v>98.17</v>
      </c>
      <c r="AZ8" s="125">
        <f t="shared" ref="AZ8:AZ37" si="25">IF(AB8=0,0,((D8*0.97)*(E8/100)*0.9)/(AB8/100))+DH8</f>
        <v>97.52866917802055</v>
      </c>
      <c r="BA8" s="159">
        <f t="shared" si="8"/>
        <v>3.3480397887323945</v>
      </c>
      <c r="BB8" s="160">
        <f t="shared" si="9"/>
        <v>3.9268000000000001</v>
      </c>
      <c r="BC8" s="161">
        <f t="shared" si="10"/>
        <v>0.89322325962739924</v>
      </c>
      <c r="BD8" s="160">
        <f t="shared" ref="BD8:BD37" si="26">BA8+BB8</f>
        <v>7.274839788732395</v>
      </c>
      <c r="BE8" s="162">
        <v>0.90200000000000002</v>
      </c>
      <c r="BF8" s="25">
        <f t="shared" ref="BF8:BF37" si="27">BF7+AY8</f>
        <v>197.56</v>
      </c>
      <c r="BG8" s="25">
        <f t="shared" si="11"/>
        <v>108.06451612903226</v>
      </c>
      <c r="BH8" s="25">
        <f t="shared" ref="BH8:BH37" si="28">BG8+BH7</f>
        <v>216.12903225806451</v>
      </c>
      <c r="BI8" s="26">
        <f t="shared" si="12"/>
        <v>1</v>
      </c>
      <c r="BJ8" s="27">
        <f t="shared" ref="BJ8:BJ37" si="29">BG8*BI8+BJ7</f>
        <v>216.12903225806451</v>
      </c>
      <c r="BK8" s="30">
        <v>134.928</v>
      </c>
      <c r="BL8" s="31"/>
      <c r="BM8" s="31">
        <v>47.84</v>
      </c>
      <c r="BN8" s="31"/>
      <c r="BO8" s="40"/>
      <c r="BP8" s="40">
        <v>13.179</v>
      </c>
      <c r="BQ8" s="32">
        <v>21.776</v>
      </c>
      <c r="BR8" s="33">
        <v>0.51</v>
      </c>
      <c r="BS8" s="34"/>
      <c r="BT8" s="35">
        <v>0.47</v>
      </c>
      <c r="BU8" s="28"/>
      <c r="BV8" s="287"/>
      <c r="BW8" s="28">
        <v>1.69</v>
      </c>
      <c r="BX8" s="36"/>
      <c r="BY8" s="33">
        <v>37.51</v>
      </c>
      <c r="BZ8" s="34"/>
      <c r="CA8" s="35">
        <v>37.979999999999997</v>
      </c>
      <c r="CB8" s="35"/>
      <c r="CC8" s="235"/>
      <c r="CD8" s="235">
        <v>34.58</v>
      </c>
      <c r="CE8" s="36">
        <v>43.68</v>
      </c>
      <c r="CF8" s="30">
        <v>87.227000000000004</v>
      </c>
      <c r="CG8" s="30">
        <v>43.506999999999998</v>
      </c>
      <c r="CH8" s="31"/>
      <c r="CI8" s="32"/>
      <c r="CJ8" s="33">
        <v>1.47</v>
      </c>
      <c r="CK8" s="33">
        <v>1.47</v>
      </c>
      <c r="CL8" s="35"/>
      <c r="CM8" s="28"/>
      <c r="CN8" s="286"/>
      <c r="CO8" s="249">
        <f t="shared" si="13"/>
        <v>134.23986719999999</v>
      </c>
      <c r="CP8" s="12">
        <f t="shared" si="13"/>
        <v>0</v>
      </c>
      <c r="CQ8" s="12">
        <f t="shared" si="13"/>
        <v>47.615152000000002</v>
      </c>
      <c r="CR8" s="12">
        <f t="shared" si="13"/>
        <v>0</v>
      </c>
      <c r="CS8" s="11">
        <f t="shared" si="13"/>
        <v>0</v>
      </c>
      <c r="CT8" s="11">
        <f t="shared" si="13"/>
        <v>12.9562749</v>
      </c>
      <c r="CU8" s="272">
        <f t="shared" si="13"/>
        <v>21.776</v>
      </c>
      <c r="CV8" s="249">
        <f t="shared" si="14"/>
        <v>85.944763100000003</v>
      </c>
      <c r="CW8" s="12">
        <f t="shared" si="14"/>
        <v>42.8674471</v>
      </c>
      <c r="CX8" s="254">
        <f t="shared" si="14"/>
        <v>0</v>
      </c>
      <c r="CY8" s="272">
        <f t="shared" si="14"/>
        <v>0</v>
      </c>
      <c r="CZ8" s="13"/>
      <c r="DA8" s="240">
        <f>(D8+'[2]июль 20'!D8)/(AY8+'[2]июль 20'!BA8)</f>
        <v>2.2194758589904828</v>
      </c>
      <c r="DB8" s="241">
        <f>(T8+'[2]июль 20'!R8)/(AY8+'[2]июль 20'!BA8)</f>
        <v>1.3672279806542769</v>
      </c>
      <c r="DD8" s="292">
        <f t="shared" si="15"/>
        <v>8.6479999999999997</v>
      </c>
      <c r="DE8" s="291">
        <v>0.13</v>
      </c>
      <c r="DF8" s="291">
        <v>13.73</v>
      </c>
      <c r="DG8" s="145">
        <f t="shared" si="16"/>
        <v>8.6367575999999993</v>
      </c>
      <c r="DH8" s="293">
        <f t="shared" ref="DH8:DH37" si="30">IF(AB8=0,0,(DG8*DF8%)/(AB8/100))</f>
        <v>1.5813132664088547</v>
      </c>
      <c r="DJ8" s="322"/>
    </row>
    <row r="9" spans="1:114" s="76" customFormat="1" ht="16.5" customHeight="1" thickBot="1">
      <c r="A9" s="144">
        <v>3</v>
      </c>
      <c r="B9" s="122">
        <f>'[1]июль 20'!K8</f>
        <v>217.70599999999999</v>
      </c>
      <c r="C9" s="123">
        <f t="shared" si="17"/>
        <v>0.43761021744922052</v>
      </c>
      <c r="D9" s="145">
        <f>B9*((100-C9)/100)</f>
        <v>216.75329630000002</v>
      </c>
      <c r="E9" s="125">
        <f t="shared" si="19"/>
        <v>37.892721606202862</v>
      </c>
      <c r="F9" s="146">
        <f t="shared" si="0"/>
        <v>2.1896484119608046</v>
      </c>
      <c r="G9" s="127"/>
      <c r="H9" s="126">
        <f t="shared" si="20"/>
        <v>1.9660399666632991</v>
      </c>
      <c r="I9" s="230">
        <f>'[1]июль 20'!AI8</f>
        <v>0</v>
      </c>
      <c r="J9" s="247">
        <f>'[1]июль 20'!AA8</f>
        <v>8.1340000000000003</v>
      </c>
      <c r="K9" s="465">
        <f>'[1]сентябрь 20'!AM8</f>
        <v>0</v>
      </c>
      <c r="L9" s="247">
        <f>'[1]июль 20'!AE8</f>
        <v>22.135000000000002</v>
      </c>
      <c r="M9" s="469">
        <f t="shared" si="21"/>
        <v>0.22360844529750482</v>
      </c>
      <c r="N9" s="403">
        <f>'[1]июль 20'!W8</f>
        <v>0</v>
      </c>
      <c r="O9" s="403">
        <f>'[1]июль 20'!AU8</f>
        <v>0</v>
      </c>
      <c r="P9" s="401">
        <f t="shared" si="1"/>
        <v>130.684</v>
      </c>
      <c r="Q9" s="122">
        <f>'[1]июль 20'!S8</f>
        <v>130.684</v>
      </c>
      <c r="R9" s="123">
        <f t="shared" si="22"/>
        <v>1.4900000000000002</v>
      </c>
      <c r="S9" s="129">
        <v>2.4700000000000002</v>
      </c>
      <c r="T9" s="125">
        <f t="shared" si="2"/>
        <v>128.7368084</v>
      </c>
      <c r="U9" s="147">
        <f>IF(AY9=0,0,T9/AY9)</f>
        <v>1.3005031659763613</v>
      </c>
      <c r="V9" s="130">
        <v>101.36</v>
      </c>
      <c r="W9" s="130">
        <v>101.36</v>
      </c>
      <c r="X9" s="129">
        <v>0.64</v>
      </c>
      <c r="Y9" s="131">
        <v>530</v>
      </c>
      <c r="Z9" s="131">
        <v>1151</v>
      </c>
      <c r="AA9" s="148" t="s">
        <v>310</v>
      </c>
      <c r="AB9" s="149">
        <v>76.05</v>
      </c>
      <c r="AC9" s="150">
        <v>87</v>
      </c>
      <c r="AD9" s="151">
        <v>4</v>
      </c>
      <c r="AE9" s="149"/>
      <c r="AF9" s="134">
        <f t="shared" si="4"/>
        <v>0</v>
      </c>
      <c r="AG9" s="152"/>
      <c r="AH9" s="129">
        <v>72.55</v>
      </c>
      <c r="AI9" s="134">
        <f t="shared" si="5"/>
        <v>732.9023133649863</v>
      </c>
      <c r="AJ9" s="153">
        <v>13.5</v>
      </c>
      <c r="AK9" s="154"/>
      <c r="AL9" s="155">
        <v>8.7100000000000009</v>
      </c>
      <c r="AM9" s="478">
        <f t="shared" si="23"/>
        <v>26.5</v>
      </c>
      <c r="AN9" s="126">
        <f t="shared" si="24"/>
        <v>0.2</v>
      </c>
      <c r="AO9" s="157" t="s">
        <v>332</v>
      </c>
      <c r="AP9" s="156">
        <v>8.18</v>
      </c>
      <c r="AQ9" s="156">
        <v>8.4700000000000006</v>
      </c>
      <c r="AR9" s="149"/>
      <c r="AS9" s="149">
        <v>8.0500000000000007</v>
      </c>
      <c r="AT9" s="149">
        <v>132.5</v>
      </c>
      <c r="AU9" s="149">
        <v>1.7</v>
      </c>
      <c r="AV9" s="149"/>
      <c r="AW9" s="149"/>
      <c r="AX9" s="158">
        <f t="shared" si="6"/>
        <v>0</v>
      </c>
      <c r="AY9" s="125">
        <f t="shared" si="7"/>
        <v>98.99</v>
      </c>
      <c r="AZ9" s="125">
        <f t="shared" si="25"/>
        <v>95.940744193037702</v>
      </c>
      <c r="BA9" s="159">
        <f t="shared" si="8"/>
        <v>4.5241566901408445</v>
      </c>
      <c r="BB9" s="160">
        <f t="shared" si="9"/>
        <v>3.9596</v>
      </c>
      <c r="BC9" s="161">
        <f t="shared" si="10"/>
        <v>0.91657716371127707</v>
      </c>
      <c r="BD9" s="160">
        <f t="shared" si="26"/>
        <v>8.4837566901408437</v>
      </c>
      <c r="BE9" s="162">
        <v>0.90700000000000003</v>
      </c>
      <c r="BF9" s="25">
        <f t="shared" si="27"/>
        <v>296.55</v>
      </c>
      <c r="BG9" s="25">
        <f t="shared" si="11"/>
        <v>108.06451612903226</v>
      </c>
      <c r="BH9" s="25">
        <f t="shared" si="28"/>
        <v>324.19354838709677</v>
      </c>
      <c r="BI9" s="26">
        <f t="shared" si="12"/>
        <v>1</v>
      </c>
      <c r="BJ9" s="37">
        <f t="shared" si="29"/>
        <v>324.19354838709677</v>
      </c>
      <c r="BK9" s="38">
        <v>134.77799999999999</v>
      </c>
      <c r="BL9" s="31"/>
      <c r="BM9" s="31">
        <v>47.908000000000001</v>
      </c>
      <c r="BN9" s="31"/>
      <c r="BO9" s="40"/>
      <c r="BP9" s="40">
        <v>12.885</v>
      </c>
      <c r="BQ9" s="32">
        <v>22.135000000000002</v>
      </c>
      <c r="BR9" s="33">
        <v>0.51</v>
      </c>
      <c r="BS9" s="34"/>
      <c r="BT9" s="35">
        <v>0.18</v>
      </c>
      <c r="BU9" s="28"/>
      <c r="BV9" s="287"/>
      <c r="BW9" s="287">
        <v>1.39</v>
      </c>
      <c r="BX9" s="36"/>
      <c r="BY9" s="33">
        <v>37.47</v>
      </c>
      <c r="BZ9" s="34"/>
      <c r="CA9" s="35">
        <v>38.28</v>
      </c>
      <c r="CB9" s="35"/>
      <c r="CC9" s="235"/>
      <c r="CD9" s="235">
        <v>31.07</v>
      </c>
      <c r="CE9" s="36">
        <v>43.6</v>
      </c>
      <c r="CF9" s="30">
        <v>87.159000000000006</v>
      </c>
      <c r="CG9" s="30">
        <v>43.524999999999999</v>
      </c>
      <c r="CH9" s="31"/>
      <c r="CI9" s="32"/>
      <c r="CJ9" s="33">
        <v>1.49</v>
      </c>
      <c r="CK9" s="33">
        <v>1.49</v>
      </c>
      <c r="CL9" s="35"/>
      <c r="CM9" s="36"/>
      <c r="CN9" s="286"/>
      <c r="CO9" s="249">
        <f t="shared" si="13"/>
        <v>134.09063219999999</v>
      </c>
      <c r="CP9" s="12">
        <f t="shared" si="13"/>
        <v>0</v>
      </c>
      <c r="CQ9" s="12">
        <f t="shared" si="13"/>
        <v>47.821765599999999</v>
      </c>
      <c r="CR9" s="12">
        <f t="shared" si="13"/>
        <v>0</v>
      </c>
      <c r="CS9" s="11">
        <f t="shared" si="13"/>
        <v>0</v>
      </c>
      <c r="CT9" s="11">
        <f t="shared" si="13"/>
        <v>12.7058985</v>
      </c>
      <c r="CU9" s="272">
        <f t="shared" si="13"/>
        <v>22.135000000000002</v>
      </c>
      <c r="CV9" s="249">
        <f t="shared" si="14"/>
        <v>85.860330900000008</v>
      </c>
      <c r="CW9" s="251">
        <f t="shared" si="14"/>
        <v>42.8764775</v>
      </c>
      <c r="CX9" s="249">
        <f t="shared" si="14"/>
        <v>0</v>
      </c>
      <c r="CY9" s="272">
        <f t="shared" si="14"/>
        <v>0</v>
      </c>
      <c r="CZ9" s="13"/>
      <c r="DA9" s="240">
        <f>(D9+'[2]июль 20'!D9)/(AY9+'[2]июль 20'!BA9)</f>
        <v>2.207071404838997</v>
      </c>
      <c r="DB9" s="241">
        <f>(T9+'[2]июль 20'!R9)/(AY9+'[2]июль 20'!BA9)</f>
        <v>1.3794312464781946</v>
      </c>
      <c r="DD9" s="292">
        <f t="shared" si="15"/>
        <v>8.1340000000000003</v>
      </c>
      <c r="DE9" s="291">
        <v>0.11</v>
      </c>
      <c r="DF9" s="291">
        <v>15.51</v>
      </c>
      <c r="DG9" s="145">
        <f t="shared" si="16"/>
        <v>8.1250526000000001</v>
      </c>
      <c r="DH9" s="293">
        <f t="shared" si="30"/>
        <v>1.6570620095463513</v>
      </c>
      <c r="DJ9" s="322"/>
    </row>
    <row r="10" spans="1:114" s="76" customFormat="1" ht="16.5" customHeight="1" thickBot="1">
      <c r="A10" s="144">
        <v>4</v>
      </c>
      <c r="B10" s="122">
        <f>'[1]июль 20'!K9</f>
        <v>227.625</v>
      </c>
      <c r="C10" s="123">
        <f t="shared" si="17"/>
        <v>0.28554091158704009</v>
      </c>
      <c r="D10" s="145">
        <f t="shared" si="18"/>
        <v>226.97503750000001</v>
      </c>
      <c r="E10" s="125">
        <f>IF(B10=0,0,(BK10*BY10+BL10*BZ10+BM10*CA10+BQ10*CE10+BN10*CB10+BO10*CC10+BP10*CD10)/B10)</f>
        <v>38.003250785282816</v>
      </c>
      <c r="F10" s="146">
        <f t="shared" si="0"/>
        <v>2.3277103630396883</v>
      </c>
      <c r="G10" s="127"/>
      <c r="H10" s="126">
        <f t="shared" si="20"/>
        <v>2.0940727874064202</v>
      </c>
      <c r="I10" s="230">
        <f>'[1]июль 20'!AI9</f>
        <v>0</v>
      </c>
      <c r="J10" s="247">
        <f>'[1]июль 20'!AA9</f>
        <v>8.9819999999999993</v>
      </c>
      <c r="K10" s="466">
        <f>'[1]сентябрь 20'!AM9</f>
        <v>0</v>
      </c>
      <c r="L10" s="247">
        <f>'[1]июль 20'!AE9</f>
        <v>22.782</v>
      </c>
      <c r="M10" s="470">
        <f t="shared" si="21"/>
        <v>0.23363757563326837</v>
      </c>
      <c r="N10" s="403">
        <f>'[1]июль 20'!W9</f>
        <v>0</v>
      </c>
      <c r="O10" s="403">
        <f>'[1]июль 20'!AU9</f>
        <v>0</v>
      </c>
      <c r="P10" s="401">
        <f t="shared" si="1"/>
        <v>137.465</v>
      </c>
      <c r="Q10" s="122">
        <f>'[1]июль 20'!S9</f>
        <v>137.465</v>
      </c>
      <c r="R10" s="123">
        <f t="shared" si="22"/>
        <v>1.47</v>
      </c>
      <c r="S10" s="129">
        <v>18.04</v>
      </c>
      <c r="T10" s="125">
        <f t="shared" si="2"/>
        <v>135.4442645</v>
      </c>
      <c r="U10" s="147">
        <f t="shared" si="3"/>
        <v>1.3890294790277919</v>
      </c>
      <c r="V10" s="130">
        <v>96.12</v>
      </c>
      <c r="W10" s="130">
        <v>96.12</v>
      </c>
      <c r="X10" s="129">
        <v>0.63</v>
      </c>
      <c r="Y10" s="131">
        <v>552</v>
      </c>
      <c r="Z10" s="131">
        <v>1157</v>
      </c>
      <c r="AA10" s="148" t="s">
        <v>333</v>
      </c>
      <c r="AB10" s="149">
        <v>76.59</v>
      </c>
      <c r="AC10" s="150">
        <v>91</v>
      </c>
      <c r="AD10" s="151">
        <v>4</v>
      </c>
      <c r="AE10" s="149"/>
      <c r="AF10" s="134">
        <f t="shared" si="4"/>
        <v>0</v>
      </c>
      <c r="AG10" s="152"/>
      <c r="AH10" s="129">
        <v>67.25</v>
      </c>
      <c r="AI10" s="134">
        <f t="shared" si="5"/>
        <v>689.67285406624956</v>
      </c>
      <c r="AJ10" s="153">
        <v>13.73</v>
      </c>
      <c r="AK10" s="154"/>
      <c r="AL10" s="155">
        <v>3.07</v>
      </c>
      <c r="AM10" s="478">
        <f t="shared" si="23"/>
        <v>24.69</v>
      </c>
      <c r="AN10" s="126">
        <f t="shared" si="24"/>
        <v>0.2</v>
      </c>
      <c r="AO10" s="157" t="s">
        <v>164</v>
      </c>
      <c r="AP10" s="156">
        <v>8.2799999999999994</v>
      </c>
      <c r="AQ10" s="156">
        <v>7.79</v>
      </c>
      <c r="AR10" s="149"/>
      <c r="AS10" s="149">
        <v>7.76</v>
      </c>
      <c r="AT10" s="149">
        <v>123.45</v>
      </c>
      <c r="AU10" s="149">
        <v>1.82</v>
      </c>
      <c r="AV10" s="149"/>
      <c r="AW10" s="149"/>
      <c r="AX10" s="158">
        <f t="shared" si="6"/>
        <v>0</v>
      </c>
      <c r="AY10" s="125">
        <f>AT10-AL10-AM10+AV10+AW10+AU10</f>
        <v>97.51</v>
      </c>
      <c r="AZ10" s="125">
        <f t="shared" si="25"/>
        <v>99.894706098567895</v>
      </c>
      <c r="BA10" s="159">
        <f t="shared" si="8"/>
        <v>4.0425774647887325</v>
      </c>
      <c r="BB10" s="160">
        <f t="shared" si="9"/>
        <v>3.9004000000000003</v>
      </c>
      <c r="BC10" s="161">
        <f t="shared" si="10"/>
        <v>0.86580956993073732</v>
      </c>
      <c r="BD10" s="160">
        <f t="shared" si="26"/>
        <v>7.9429774647887328</v>
      </c>
      <c r="BE10" s="162">
        <v>0.89600000000000002</v>
      </c>
      <c r="BF10" s="25">
        <f t="shared" si="27"/>
        <v>394.06</v>
      </c>
      <c r="BG10" s="25">
        <f t="shared" si="11"/>
        <v>108.06451612903226</v>
      </c>
      <c r="BH10" s="25">
        <f t="shared" si="28"/>
        <v>432.25806451612902</v>
      </c>
      <c r="BI10" s="26">
        <f t="shared" si="12"/>
        <v>1</v>
      </c>
      <c r="BJ10" s="37">
        <f t="shared" si="29"/>
        <v>432.25806451612902</v>
      </c>
      <c r="BK10" s="38">
        <v>140.99</v>
      </c>
      <c r="BL10" s="31"/>
      <c r="BM10" s="31">
        <v>50.064</v>
      </c>
      <c r="BN10" s="31"/>
      <c r="BO10" s="40"/>
      <c r="BP10" s="40">
        <v>13.789</v>
      </c>
      <c r="BQ10" s="32">
        <v>22.782</v>
      </c>
      <c r="BR10" s="33">
        <v>0.19</v>
      </c>
      <c r="BS10" s="34"/>
      <c r="BT10" s="35">
        <v>0.16</v>
      </c>
      <c r="BU10" s="28"/>
      <c r="BV10" s="287"/>
      <c r="BW10" s="287">
        <v>2.19</v>
      </c>
      <c r="BX10" s="36"/>
      <c r="BY10" s="33">
        <v>37.39</v>
      </c>
      <c r="BZ10" s="34"/>
      <c r="CA10" s="35">
        <v>38.270000000000003</v>
      </c>
      <c r="CB10" s="35"/>
      <c r="CC10" s="235"/>
      <c r="CD10" s="235">
        <v>33.86</v>
      </c>
      <c r="CE10" s="36">
        <v>43.72</v>
      </c>
      <c r="CF10" s="30">
        <v>91.965000000000003</v>
      </c>
      <c r="CG10" s="30">
        <v>45.5</v>
      </c>
      <c r="CH10" s="31"/>
      <c r="CI10" s="32"/>
      <c r="CJ10" s="33">
        <v>1.47</v>
      </c>
      <c r="CK10" s="33">
        <v>1.47</v>
      </c>
      <c r="CL10" s="35"/>
      <c r="CM10" s="36"/>
      <c r="CN10" s="286"/>
      <c r="CO10" s="249">
        <f t="shared" si="13"/>
        <v>140.72211900000002</v>
      </c>
      <c r="CP10" s="12">
        <f t="shared" si="13"/>
        <v>0</v>
      </c>
      <c r="CQ10" s="12">
        <f t="shared" si="13"/>
        <v>49.983897600000006</v>
      </c>
      <c r="CR10" s="14">
        <f t="shared" si="13"/>
        <v>0</v>
      </c>
      <c r="CS10" s="11">
        <f t="shared" si="13"/>
        <v>0</v>
      </c>
      <c r="CT10" s="11">
        <f t="shared" si="13"/>
        <v>13.487020899999999</v>
      </c>
      <c r="CU10" s="272">
        <f t="shared" si="13"/>
        <v>22.782</v>
      </c>
      <c r="CV10" s="249">
        <f t="shared" si="14"/>
        <v>90.613114500000009</v>
      </c>
      <c r="CW10" s="12">
        <f t="shared" si="14"/>
        <v>44.831150000000001</v>
      </c>
      <c r="CX10" s="249">
        <f t="shared" si="14"/>
        <v>0</v>
      </c>
      <c r="CY10" s="272">
        <f t="shared" si="14"/>
        <v>0</v>
      </c>
      <c r="CZ10" s="13"/>
      <c r="DA10" s="240">
        <f>(D10+'[2]июль 20'!D10)/(AY10+'[2]июль 20'!BA10)</f>
        <v>2.2296564525826725</v>
      </c>
      <c r="DB10" s="241">
        <f>(T10+'[2]июль 20'!R10)/(AY10+'[2]июль 20'!BA10)</f>
        <v>1.3740866243838996</v>
      </c>
      <c r="DD10" s="292">
        <f t="shared" si="15"/>
        <v>8.9819999999999993</v>
      </c>
      <c r="DE10" s="291">
        <v>0.08</v>
      </c>
      <c r="DF10" s="291">
        <v>13.44</v>
      </c>
      <c r="DG10" s="145">
        <f t="shared" si="16"/>
        <v>8.9748143999999996</v>
      </c>
      <c r="DH10" s="293">
        <f t="shared" si="30"/>
        <v>1.5748988841363101</v>
      </c>
      <c r="DJ10" s="322"/>
    </row>
    <row r="11" spans="1:114" s="76" customFormat="1" ht="16.5" customHeight="1" thickBot="1">
      <c r="A11" s="144">
        <v>5</v>
      </c>
      <c r="B11" s="122">
        <f>'[1]июль 20'!K10</f>
        <v>200.10499999999999</v>
      </c>
      <c r="C11" s="123">
        <f t="shared" si="17"/>
        <v>0.57839244396691736</v>
      </c>
      <c r="D11" s="145">
        <f t="shared" si="18"/>
        <v>198.94760779999999</v>
      </c>
      <c r="E11" s="125">
        <f t="shared" si="19"/>
        <v>38.128170510482001</v>
      </c>
      <c r="F11" s="146">
        <f t="shared" si="0"/>
        <v>2.1951628357056157</v>
      </c>
      <c r="G11" s="127"/>
      <c r="H11" s="126">
        <f t="shared" si="20"/>
        <v>1.9650513935782854</v>
      </c>
      <c r="I11" s="230">
        <f>'[1]июль 20'!AI10</f>
        <v>0</v>
      </c>
      <c r="J11" s="247">
        <f>'[1]июль 20'!AA10</f>
        <v>8.0210000000000008</v>
      </c>
      <c r="K11" s="464">
        <f>'[1]сентябрь 20'!AM10</f>
        <v>0</v>
      </c>
      <c r="L11" s="247">
        <f>'[1]июль 20'!AE10</f>
        <v>20.855</v>
      </c>
      <c r="M11" s="468">
        <f t="shared" si="21"/>
        <v>0.2301114421273309</v>
      </c>
      <c r="N11" s="403">
        <f>'[1]июль 20'!W10</f>
        <v>0</v>
      </c>
      <c r="O11" s="403">
        <f>'[1]июль 20'!AU10</f>
        <v>0</v>
      </c>
      <c r="P11" s="401">
        <f t="shared" si="1"/>
        <v>123.333</v>
      </c>
      <c r="Q11" s="122">
        <f>'[1]июль 20'!S10</f>
        <v>123.333</v>
      </c>
      <c r="R11" s="123">
        <f t="shared" si="22"/>
        <v>1.54</v>
      </c>
      <c r="S11" s="129"/>
      <c r="T11" s="125">
        <f t="shared" si="2"/>
        <v>121.43367179999998</v>
      </c>
      <c r="U11" s="147">
        <f t="shared" si="3"/>
        <v>1.3398838331678249</v>
      </c>
      <c r="V11" s="130">
        <v>89.02</v>
      </c>
      <c r="W11" s="130">
        <v>89.02</v>
      </c>
      <c r="X11" s="129">
        <v>0.39</v>
      </c>
      <c r="Y11" s="131">
        <v>520</v>
      </c>
      <c r="Z11" s="131">
        <v>1148</v>
      </c>
      <c r="AA11" s="148" t="s">
        <v>329</v>
      </c>
      <c r="AB11" s="149">
        <v>76.89</v>
      </c>
      <c r="AC11" s="150">
        <v>80</v>
      </c>
      <c r="AD11" s="151">
        <v>4</v>
      </c>
      <c r="AE11" s="149"/>
      <c r="AF11" s="134">
        <f t="shared" si="4"/>
        <v>0</v>
      </c>
      <c r="AG11" s="152"/>
      <c r="AH11" s="129">
        <v>71.900000000000006</v>
      </c>
      <c r="AI11" s="134">
        <f t="shared" si="5"/>
        <v>793.33554010813191</v>
      </c>
      <c r="AJ11" s="163">
        <v>12.46</v>
      </c>
      <c r="AK11" s="154"/>
      <c r="AL11" s="155">
        <v>3.44</v>
      </c>
      <c r="AM11" s="478">
        <f t="shared" si="23"/>
        <v>23.35</v>
      </c>
      <c r="AN11" s="126">
        <f t="shared" si="24"/>
        <v>0.2</v>
      </c>
      <c r="AO11" s="157" t="s">
        <v>334</v>
      </c>
      <c r="AP11" s="156">
        <v>7.74</v>
      </c>
      <c r="AQ11" s="156">
        <v>8.19</v>
      </c>
      <c r="AR11" s="149"/>
      <c r="AS11" s="149">
        <v>9.5</v>
      </c>
      <c r="AT11" s="149">
        <v>116.75</v>
      </c>
      <c r="AU11" s="149">
        <v>0.67</v>
      </c>
      <c r="AV11" s="149"/>
      <c r="AW11" s="149"/>
      <c r="AX11" s="158">
        <f t="shared" si="6"/>
        <v>0</v>
      </c>
      <c r="AY11" s="125">
        <f t="shared" si="7"/>
        <v>90.63000000000001</v>
      </c>
      <c r="AZ11" s="125">
        <f t="shared" si="25"/>
        <v>87.584184535034893</v>
      </c>
      <c r="BA11" s="159">
        <f t="shared" si="8"/>
        <v>5.2912323943661974</v>
      </c>
      <c r="BB11" s="160">
        <f t="shared" si="9"/>
        <v>3.6252000000000004</v>
      </c>
      <c r="BC11" s="161">
        <f t="shared" si="10"/>
        <v>0.9186649612122012</v>
      </c>
      <c r="BD11" s="160">
        <f t="shared" si="26"/>
        <v>8.9164323943661969</v>
      </c>
      <c r="BE11" s="162">
        <v>0.9</v>
      </c>
      <c r="BF11" s="25">
        <f t="shared" si="27"/>
        <v>484.69</v>
      </c>
      <c r="BG11" s="25">
        <f t="shared" si="11"/>
        <v>108.06451612903226</v>
      </c>
      <c r="BH11" s="25">
        <f t="shared" si="28"/>
        <v>540.32258064516122</v>
      </c>
      <c r="BI11" s="26">
        <f t="shared" si="12"/>
        <v>1</v>
      </c>
      <c r="BJ11" s="37">
        <f t="shared" si="29"/>
        <v>540.32258064516122</v>
      </c>
      <c r="BK11" s="38">
        <v>123.17700000000001</v>
      </c>
      <c r="BL11" s="31"/>
      <c r="BM11" s="31">
        <v>44.018000000000001</v>
      </c>
      <c r="BN11" s="31"/>
      <c r="BO11" s="40"/>
      <c r="BP11" s="40">
        <v>12.055</v>
      </c>
      <c r="BQ11" s="32">
        <v>20.855</v>
      </c>
      <c r="BR11" s="33">
        <v>0.61</v>
      </c>
      <c r="BS11" s="34"/>
      <c r="BT11" s="35">
        <v>0.35</v>
      </c>
      <c r="BU11" s="28"/>
      <c r="BV11" s="287"/>
      <c r="BW11" s="287">
        <v>2.09</v>
      </c>
      <c r="BX11" s="36"/>
      <c r="BY11" s="33">
        <v>37.520000000000003</v>
      </c>
      <c r="BZ11" s="34"/>
      <c r="CA11" s="35">
        <v>38.64</v>
      </c>
      <c r="CB11" s="35"/>
      <c r="CC11" s="235"/>
      <c r="CD11" s="235">
        <v>32.99</v>
      </c>
      <c r="CE11" s="36">
        <v>43.61</v>
      </c>
      <c r="CF11" s="30">
        <v>83.331999999999994</v>
      </c>
      <c r="CG11" s="30">
        <v>40.000999999999998</v>
      </c>
      <c r="CH11" s="31"/>
      <c r="CI11" s="32"/>
      <c r="CJ11" s="33">
        <v>1.54</v>
      </c>
      <c r="CK11" s="33">
        <v>1.54</v>
      </c>
      <c r="CL11" s="35"/>
      <c r="CM11" s="36"/>
      <c r="CN11" s="286"/>
      <c r="CO11" s="249">
        <f t="shared" si="13"/>
        <v>122.42562030000001</v>
      </c>
      <c r="CP11" s="12">
        <f t="shared" si="13"/>
        <v>0</v>
      </c>
      <c r="CQ11" s="15">
        <f t="shared" si="13"/>
        <v>43.863937</v>
      </c>
      <c r="CR11" s="16">
        <f t="shared" si="13"/>
        <v>0</v>
      </c>
      <c r="CS11" s="11">
        <f t="shared" si="13"/>
        <v>0</v>
      </c>
      <c r="CT11" s="11">
        <f t="shared" si="13"/>
        <v>11.803050499999999</v>
      </c>
      <c r="CU11" s="272">
        <f t="shared" si="13"/>
        <v>20.855</v>
      </c>
      <c r="CV11" s="249">
        <f t="shared" si="14"/>
        <v>82.048687199999989</v>
      </c>
      <c r="CW11" s="12">
        <f t="shared" si="14"/>
        <v>39.384984599999996</v>
      </c>
      <c r="CX11" s="249">
        <f t="shared" si="14"/>
        <v>0</v>
      </c>
      <c r="CY11" s="272">
        <f t="shared" si="14"/>
        <v>0</v>
      </c>
      <c r="CZ11" s="13"/>
      <c r="DA11" s="240">
        <f>(D11+'[2]июль 20'!D11)/(AY11+'[2]июль 20'!BA11)</f>
        <v>2.2703045248632359</v>
      </c>
      <c r="DB11" s="241">
        <f>(T11+'[2]июль 20'!R11)/(AY11+'[2]июль 20'!BA11)</f>
        <v>1.4273460642804201</v>
      </c>
      <c r="DD11" s="292">
        <f t="shared" si="15"/>
        <v>8.0210000000000008</v>
      </c>
      <c r="DE11" s="291">
        <v>0.44</v>
      </c>
      <c r="DF11" s="407">
        <v>14.05</v>
      </c>
      <c r="DG11" s="145">
        <f t="shared" si="16"/>
        <v>7.9857076000000013</v>
      </c>
      <c r="DH11" s="293">
        <f t="shared" si="30"/>
        <v>1.4592169564312658</v>
      </c>
      <c r="DJ11" s="322"/>
    </row>
    <row r="12" spans="1:114" s="76" customFormat="1" ht="16.5" customHeight="1" thickBot="1">
      <c r="A12" s="144">
        <v>6</v>
      </c>
      <c r="B12" s="122">
        <f>'[1]июль 20'!K11</f>
        <v>217.577</v>
      </c>
      <c r="C12" s="123">
        <f t="shared" si="17"/>
        <v>0.34290550012179599</v>
      </c>
      <c r="D12" s="145">
        <f t="shared" si="18"/>
        <v>216.83091649999997</v>
      </c>
      <c r="E12" s="125">
        <f t="shared" si="19"/>
        <v>37.778507241114646</v>
      </c>
      <c r="F12" s="146">
        <f t="shared" si="0"/>
        <v>2.5810131710510649</v>
      </c>
      <c r="G12" s="127"/>
      <c r="H12" s="126">
        <f t="shared" si="20"/>
        <v>2.2694193131770022</v>
      </c>
      <c r="I12" s="230">
        <f>'[1]июль 20'!AI11</f>
        <v>0</v>
      </c>
      <c r="J12" s="247">
        <f>'[1]июль 20'!AA11</f>
        <v>8.968</v>
      </c>
      <c r="K12" s="465">
        <f>'[1]сентябрь 20'!AM11</f>
        <v>0</v>
      </c>
      <c r="L12" s="247">
        <f>'[1]июль 20'!AE11</f>
        <v>26.177</v>
      </c>
      <c r="M12" s="469">
        <f t="shared" si="21"/>
        <v>0.31159385787406257</v>
      </c>
      <c r="N12" s="403">
        <f>'[1]июль 20'!W11</f>
        <v>0</v>
      </c>
      <c r="O12" s="403">
        <f>'[1]июль 20'!AU11</f>
        <v>0</v>
      </c>
      <c r="P12" s="401">
        <f t="shared" si="1"/>
        <v>135.46800000000002</v>
      </c>
      <c r="Q12" s="122">
        <f>'[1]июль 20'!S11</f>
        <v>135.46799999999999</v>
      </c>
      <c r="R12" s="123">
        <f t="shared" si="22"/>
        <v>1.6300000000000001</v>
      </c>
      <c r="S12" s="129">
        <v>11.03</v>
      </c>
      <c r="T12" s="125">
        <f t="shared" si="2"/>
        <v>133.2598716</v>
      </c>
      <c r="U12" s="147">
        <f t="shared" si="3"/>
        <v>1.5862382049755981</v>
      </c>
      <c r="V12" s="130">
        <v>80.739999999999995</v>
      </c>
      <c r="W12" s="130">
        <v>58.26</v>
      </c>
      <c r="X12" s="129">
        <v>0.56999999999999995</v>
      </c>
      <c r="Y12" s="131">
        <v>545</v>
      </c>
      <c r="Z12" s="150">
        <v>1140</v>
      </c>
      <c r="AA12" s="148" t="s">
        <v>335</v>
      </c>
      <c r="AB12" s="149">
        <v>75.930000000000007</v>
      </c>
      <c r="AC12" s="150">
        <v>87</v>
      </c>
      <c r="AD12" s="151">
        <v>4</v>
      </c>
      <c r="AE12" s="149"/>
      <c r="AF12" s="134">
        <f t="shared" si="4"/>
        <v>0</v>
      </c>
      <c r="AG12" s="152"/>
      <c r="AH12" s="129">
        <v>58.8</v>
      </c>
      <c r="AI12" s="134">
        <f t="shared" si="5"/>
        <v>699.91667658612062</v>
      </c>
      <c r="AJ12" s="153">
        <v>14.29</v>
      </c>
      <c r="AK12" s="154"/>
      <c r="AL12" s="155">
        <v>3.83</v>
      </c>
      <c r="AM12" s="478">
        <f t="shared" si="23"/>
        <v>21.730000000000004</v>
      </c>
      <c r="AN12" s="126">
        <f t="shared" si="24"/>
        <v>0.20000000000000004</v>
      </c>
      <c r="AO12" s="157" t="s">
        <v>325</v>
      </c>
      <c r="AP12" s="156">
        <v>8.1</v>
      </c>
      <c r="AQ12" s="156">
        <v>7.5</v>
      </c>
      <c r="AR12" s="149"/>
      <c r="AS12" s="149">
        <v>9.6300000000000008</v>
      </c>
      <c r="AT12" s="149">
        <v>108.65</v>
      </c>
      <c r="AU12" s="149">
        <v>0.92</v>
      </c>
      <c r="AV12" s="164"/>
      <c r="AW12" s="164"/>
      <c r="AX12" s="158">
        <f t="shared" si="6"/>
        <v>0</v>
      </c>
      <c r="AY12" s="125">
        <f t="shared" si="7"/>
        <v>84.01</v>
      </c>
      <c r="AZ12" s="125">
        <f t="shared" si="25"/>
        <v>95.483212379691693</v>
      </c>
      <c r="BA12" s="159">
        <f t="shared" si="8"/>
        <v>4.3863971830985911</v>
      </c>
      <c r="BB12" s="160">
        <f t="shared" si="9"/>
        <v>3.3604000000000003</v>
      </c>
      <c r="BC12" s="161">
        <f t="shared" si="10"/>
        <v>0.77871472255992613</v>
      </c>
      <c r="BD12" s="160">
        <f t="shared" si="26"/>
        <v>7.7467971830985913</v>
      </c>
      <c r="BE12" s="162">
        <v>0.88</v>
      </c>
      <c r="BF12" s="25">
        <f t="shared" si="27"/>
        <v>568.70000000000005</v>
      </c>
      <c r="BG12" s="25">
        <f t="shared" si="11"/>
        <v>108.06451612903226</v>
      </c>
      <c r="BH12" s="25">
        <f t="shared" si="28"/>
        <v>648.38709677419342</v>
      </c>
      <c r="BI12" s="26">
        <f t="shared" si="12"/>
        <v>1</v>
      </c>
      <c r="BJ12" s="37">
        <f t="shared" si="29"/>
        <v>648.38709677419342</v>
      </c>
      <c r="BK12" s="38">
        <v>130.56899999999999</v>
      </c>
      <c r="BL12" s="31"/>
      <c r="BM12" s="31">
        <v>47.877000000000002</v>
      </c>
      <c r="BN12" s="31"/>
      <c r="BO12" s="40"/>
      <c r="BP12" s="40">
        <v>12.954000000000001</v>
      </c>
      <c r="BQ12" s="32">
        <v>26.177</v>
      </c>
      <c r="BR12" s="33">
        <v>0.31</v>
      </c>
      <c r="BS12" s="34"/>
      <c r="BT12" s="33">
        <v>0.28000000000000003</v>
      </c>
      <c r="BU12" s="28"/>
      <c r="BV12" s="287"/>
      <c r="BW12" s="287">
        <v>1.6</v>
      </c>
      <c r="BX12" s="36"/>
      <c r="BY12" s="33">
        <v>37.21</v>
      </c>
      <c r="BZ12" s="34"/>
      <c r="CA12" s="33">
        <v>38.200000000000003</v>
      </c>
      <c r="CB12" s="35"/>
      <c r="CC12" s="235"/>
      <c r="CD12" s="235">
        <v>29.5</v>
      </c>
      <c r="CE12" s="36">
        <v>43.94</v>
      </c>
      <c r="CF12" s="30">
        <v>91.971000000000004</v>
      </c>
      <c r="CG12" s="30">
        <v>43.497</v>
      </c>
      <c r="CH12" s="31"/>
      <c r="CI12" s="32"/>
      <c r="CJ12" s="33">
        <v>1.63</v>
      </c>
      <c r="CK12" s="33">
        <v>1.63</v>
      </c>
      <c r="CL12" s="35"/>
      <c r="CM12" s="36"/>
      <c r="CN12" s="286"/>
      <c r="CO12" s="249">
        <f t="shared" si="13"/>
        <v>130.16423609999998</v>
      </c>
      <c r="CP12" s="12">
        <f t="shared" si="13"/>
        <v>0</v>
      </c>
      <c r="CQ12" s="12">
        <f t="shared" si="13"/>
        <v>47.742944399999999</v>
      </c>
      <c r="CR12" s="12">
        <f t="shared" si="13"/>
        <v>0</v>
      </c>
      <c r="CS12" s="11">
        <f t="shared" si="13"/>
        <v>0</v>
      </c>
      <c r="CT12" s="11">
        <f t="shared" si="13"/>
        <v>12.746736000000002</v>
      </c>
      <c r="CU12" s="272">
        <f t="shared" si="13"/>
        <v>26.177</v>
      </c>
      <c r="CV12" s="249">
        <f t="shared" si="14"/>
        <v>90.471872700000006</v>
      </c>
      <c r="CW12" s="12">
        <f t="shared" si="14"/>
        <v>42.787998899999998</v>
      </c>
      <c r="CX12" s="252">
        <f t="shared" si="14"/>
        <v>0</v>
      </c>
      <c r="CY12" s="272">
        <f t="shared" si="14"/>
        <v>0</v>
      </c>
      <c r="CZ12" s="13"/>
      <c r="DA12" s="240">
        <f>(D12+'[2]июль 20'!D12)/(AY12+'[2]июль 20'!BA12)</f>
        <v>2.4277070948454602</v>
      </c>
      <c r="DB12" s="241">
        <f>(T12+'[2]июль 20'!R12)/(AY12+'[2]июль 20'!BA12)</f>
        <v>1.5481204362794734</v>
      </c>
      <c r="DD12" s="292">
        <f t="shared" si="15"/>
        <v>8.968</v>
      </c>
      <c r="DE12" s="291">
        <v>0.19</v>
      </c>
      <c r="DF12" s="291">
        <v>11.04</v>
      </c>
      <c r="DG12" s="145">
        <f t="shared" si="16"/>
        <v>8.9509608000000007</v>
      </c>
      <c r="DH12" s="293">
        <f t="shared" si="30"/>
        <v>1.3014435299881471</v>
      </c>
      <c r="DJ12" s="322"/>
    </row>
    <row r="13" spans="1:114" s="76" customFormat="1" ht="16.5" customHeight="1" thickBot="1">
      <c r="A13" s="144">
        <v>7</v>
      </c>
      <c r="B13" s="122">
        <f>'[1]июль 20'!K12</f>
        <v>227.46199999999999</v>
      </c>
      <c r="C13" s="123">
        <f t="shared" si="17"/>
        <v>0.43197092261564568</v>
      </c>
      <c r="D13" s="145">
        <f t="shared" si="18"/>
        <v>226.47943029999999</v>
      </c>
      <c r="E13" s="125">
        <f t="shared" si="19"/>
        <v>37.715918527050675</v>
      </c>
      <c r="F13" s="146">
        <f t="shared" si="0"/>
        <v>2.2519581415929202</v>
      </c>
      <c r="G13" s="127"/>
      <c r="H13" s="126">
        <f t="shared" si="20"/>
        <v>1.9805551387093563</v>
      </c>
      <c r="I13" s="230">
        <f>'[1]июль 20'!AI12</f>
        <v>0</v>
      </c>
      <c r="J13" s="247">
        <f>'[1]июль 20'!AA12</f>
        <v>8.9909999999999997</v>
      </c>
      <c r="K13" s="464">
        <f>'[1]сентябрь 20'!AM12</f>
        <v>0</v>
      </c>
      <c r="L13" s="247">
        <f>'[1]июль 20'!AE12</f>
        <v>27.295000000000002</v>
      </c>
      <c r="M13" s="468">
        <f t="shared" si="21"/>
        <v>0.27140300288356367</v>
      </c>
      <c r="N13" s="403">
        <f>'[1]июль 20'!W12</f>
        <v>0</v>
      </c>
      <c r="O13" s="403">
        <f>'[1]июль 20'!AU12</f>
        <v>0</v>
      </c>
      <c r="P13" s="401">
        <f t="shared" si="1"/>
        <v>141.24099999999999</v>
      </c>
      <c r="Q13" s="122">
        <f>'[1]июль 20'!S12</f>
        <v>141.24100000000001</v>
      </c>
      <c r="R13" s="123">
        <f t="shared" si="22"/>
        <v>1.5499999999999998</v>
      </c>
      <c r="S13" s="129">
        <v>15.35</v>
      </c>
      <c r="T13" s="125">
        <f t="shared" si="2"/>
        <v>139.05176450000002</v>
      </c>
      <c r="U13" s="147">
        <f t="shared" si="3"/>
        <v>1.3826366162871633</v>
      </c>
      <c r="V13" s="130">
        <v>78.739999999999995</v>
      </c>
      <c r="W13" s="130">
        <v>77.45</v>
      </c>
      <c r="X13" s="129">
        <v>0.99</v>
      </c>
      <c r="Y13" s="165">
        <v>549</v>
      </c>
      <c r="Z13" s="166">
        <v>1150</v>
      </c>
      <c r="AA13" s="148" t="s">
        <v>336</v>
      </c>
      <c r="AB13" s="149">
        <v>75.48</v>
      </c>
      <c r="AC13" s="150">
        <v>91</v>
      </c>
      <c r="AD13" s="151">
        <v>4</v>
      </c>
      <c r="AE13" s="149"/>
      <c r="AF13" s="134">
        <f t="shared" si="4"/>
        <v>0</v>
      </c>
      <c r="AG13" s="152"/>
      <c r="AH13" s="129">
        <v>66.8</v>
      </c>
      <c r="AI13" s="134">
        <f t="shared" si="5"/>
        <v>664.2139803122202</v>
      </c>
      <c r="AJ13" s="136">
        <v>15.73</v>
      </c>
      <c r="AK13" s="154"/>
      <c r="AL13" s="155">
        <v>4.28</v>
      </c>
      <c r="AM13" s="478">
        <f t="shared" si="23"/>
        <v>26.010000000000005</v>
      </c>
      <c r="AN13" s="126">
        <f t="shared" si="24"/>
        <v>0.2</v>
      </c>
      <c r="AO13" s="157" t="s">
        <v>170</v>
      </c>
      <c r="AP13" s="156">
        <v>8.39</v>
      </c>
      <c r="AQ13" s="156">
        <v>7.69</v>
      </c>
      <c r="AR13" s="149"/>
      <c r="AS13" s="149">
        <v>9.5</v>
      </c>
      <c r="AT13" s="149">
        <v>130.05000000000001</v>
      </c>
      <c r="AU13" s="149">
        <v>0.81</v>
      </c>
      <c r="AV13" s="149"/>
      <c r="AW13" s="149"/>
      <c r="AX13" s="158">
        <f t="shared" si="6"/>
        <v>0</v>
      </c>
      <c r="AY13" s="125">
        <f t="shared" si="7"/>
        <v>100.57000000000001</v>
      </c>
      <c r="AZ13" s="125">
        <f t="shared" si="25"/>
        <v>100.30809467182299</v>
      </c>
      <c r="BA13" s="159">
        <f t="shared" si="8"/>
        <v>4.9159154929577467</v>
      </c>
      <c r="BB13" s="160">
        <f t="shared" si="9"/>
        <v>4.0228000000000002</v>
      </c>
      <c r="BC13" s="161">
        <f t="shared" si="10"/>
        <v>0.88868303347141642</v>
      </c>
      <c r="BD13" s="160">
        <f t="shared" si="26"/>
        <v>8.9387154929577477</v>
      </c>
      <c r="BE13" s="162">
        <v>0.88100000000000001</v>
      </c>
      <c r="BF13" s="25">
        <f t="shared" si="27"/>
        <v>669.2700000000001</v>
      </c>
      <c r="BG13" s="25">
        <f t="shared" si="11"/>
        <v>108.06451612903226</v>
      </c>
      <c r="BH13" s="25">
        <f t="shared" si="28"/>
        <v>756.45161290322562</v>
      </c>
      <c r="BI13" s="26">
        <f t="shared" si="12"/>
        <v>1</v>
      </c>
      <c r="BJ13" s="37">
        <f t="shared" si="29"/>
        <v>756.45161290322562</v>
      </c>
      <c r="BK13" s="39">
        <v>137.465</v>
      </c>
      <c r="BL13" s="40"/>
      <c r="BM13" s="325">
        <v>50.076000000000001</v>
      </c>
      <c r="BN13" s="31"/>
      <c r="BO13" s="40"/>
      <c r="BP13" s="40">
        <v>12.625999999999999</v>
      </c>
      <c r="BQ13" s="32">
        <v>27.295000000000002</v>
      </c>
      <c r="BR13" s="33">
        <v>0.43</v>
      </c>
      <c r="BS13" s="34"/>
      <c r="BT13" s="33">
        <v>0.28000000000000003</v>
      </c>
      <c r="BU13" s="28"/>
      <c r="BV13" s="287"/>
      <c r="BW13" s="287">
        <v>1.99</v>
      </c>
      <c r="BX13" s="36"/>
      <c r="BY13" s="33">
        <v>37.42</v>
      </c>
      <c r="BZ13" s="34"/>
      <c r="CA13" s="33">
        <v>37.44</v>
      </c>
      <c r="CB13" s="35"/>
      <c r="CC13" s="235"/>
      <c r="CD13" s="235">
        <v>28.62</v>
      </c>
      <c r="CE13" s="36">
        <v>43.92</v>
      </c>
      <c r="CF13" s="30">
        <v>95.731999999999999</v>
      </c>
      <c r="CG13" s="30">
        <v>45.509</v>
      </c>
      <c r="CH13" s="30"/>
      <c r="CI13" s="32"/>
      <c r="CJ13" s="33">
        <v>1.55</v>
      </c>
      <c r="CK13" s="33">
        <v>1.55</v>
      </c>
      <c r="CL13" s="33"/>
      <c r="CM13" s="36"/>
      <c r="CN13" s="286"/>
      <c r="CO13" s="249">
        <f t="shared" si="13"/>
        <v>136.87390049999999</v>
      </c>
      <c r="CP13" s="12">
        <f t="shared" si="13"/>
        <v>0</v>
      </c>
      <c r="CQ13" s="12">
        <f t="shared" si="13"/>
        <v>49.9357872</v>
      </c>
      <c r="CR13" s="12">
        <f t="shared" si="13"/>
        <v>0</v>
      </c>
      <c r="CS13" s="11">
        <f t="shared" si="13"/>
        <v>0</v>
      </c>
      <c r="CT13" s="11">
        <f t="shared" si="13"/>
        <v>12.374742600000001</v>
      </c>
      <c r="CU13" s="272">
        <f t="shared" si="13"/>
        <v>27.295000000000002</v>
      </c>
      <c r="CV13" s="249">
        <f t="shared" si="14"/>
        <v>94.248154</v>
      </c>
      <c r="CW13" s="251">
        <f t="shared" si="14"/>
        <v>44.803610500000005</v>
      </c>
      <c r="CX13" s="249">
        <f t="shared" si="14"/>
        <v>0</v>
      </c>
      <c r="CY13" s="272">
        <f t="shared" si="14"/>
        <v>0</v>
      </c>
      <c r="CZ13" s="13"/>
      <c r="DA13" s="240">
        <f>(D13+'[2]июль 20'!D13)/(AY13+'[2]июль 20'!BA13)</f>
        <v>2.2404691180061791</v>
      </c>
      <c r="DB13" s="241">
        <f>(T13+'[2]июль 20'!R13)/(AY13+'[2]июль 20'!BA13)</f>
        <v>1.4304104521983483</v>
      </c>
      <c r="DD13" s="292">
        <f t="shared" si="15"/>
        <v>8.9909999999999997</v>
      </c>
      <c r="DE13" s="291">
        <v>0.15</v>
      </c>
      <c r="DF13" s="291">
        <v>12.72</v>
      </c>
      <c r="DG13" s="145">
        <f t="shared" si="16"/>
        <v>8.9775134999999988</v>
      </c>
      <c r="DH13" s="293">
        <f t="shared" si="30"/>
        <v>1.5129037058823527</v>
      </c>
      <c r="DJ13" s="322"/>
    </row>
    <row r="14" spans="1:114" s="76" customFormat="1" ht="16.5" customHeight="1" thickBot="1">
      <c r="A14" s="144">
        <v>8</v>
      </c>
      <c r="B14" s="122">
        <f>'[1]июль 20'!K13</f>
        <v>210.447</v>
      </c>
      <c r="C14" s="123">
        <f t="shared" si="17"/>
        <v>0.34188878910129394</v>
      </c>
      <c r="D14" s="145">
        <f t="shared" si="18"/>
        <v>209.72750530000002</v>
      </c>
      <c r="E14" s="125">
        <f t="shared" si="19"/>
        <v>38.304240402571672</v>
      </c>
      <c r="F14" s="146">
        <f t="shared" si="0"/>
        <v>2.1065438459220571</v>
      </c>
      <c r="G14" s="127"/>
      <c r="H14" s="126">
        <f t="shared" si="20"/>
        <v>1.8773755052229812</v>
      </c>
      <c r="I14" s="230">
        <f>'[1]июль 20'!AI13</f>
        <v>0</v>
      </c>
      <c r="J14" s="247">
        <f>'[1]июль 20'!AA13</f>
        <v>8.4329999999999998</v>
      </c>
      <c r="K14" s="467">
        <f>'[1]сентябрь 20'!AM13</f>
        <v>0</v>
      </c>
      <c r="L14" s="247">
        <f>'[1]июль 20'!AE13</f>
        <v>22.815999999999999</v>
      </c>
      <c r="M14" s="471">
        <f t="shared" si="21"/>
        <v>0.22916834069907591</v>
      </c>
      <c r="N14" s="403">
        <f>'[1]июль 20'!W13</f>
        <v>0</v>
      </c>
      <c r="O14" s="403">
        <f>'[1]июль 20'!AU13</f>
        <v>0</v>
      </c>
      <c r="P14" s="401">
        <f t="shared" si="1"/>
        <v>128.49799999999999</v>
      </c>
      <c r="Q14" s="122">
        <f>'[1]июль 20'!S13</f>
        <v>128.49799999999999</v>
      </c>
      <c r="R14" s="123">
        <f t="shared" si="22"/>
        <v>1.49</v>
      </c>
      <c r="S14" s="129">
        <v>9.57</v>
      </c>
      <c r="T14" s="125">
        <f t="shared" si="2"/>
        <v>126.5833798</v>
      </c>
      <c r="U14" s="147">
        <f t="shared" si="3"/>
        <v>1.271428081558859</v>
      </c>
      <c r="V14" s="130"/>
      <c r="W14" s="130">
        <v>48.93</v>
      </c>
      <c r="X14" s="129">
        <v>0.98</v>
      </c>
      <c r="Y14" s="131">
        <v>578</v>
      </c>
      <c r="Z14" s="150">
        <v>1152</v>
      </c>
      <c r="AA14" s="148" t="s">
        <v>337</v>
      </c>
      <c r="AB14" s="149">
        <v>73.459999999999994</v>
      </c>
      <c r="AC14" s="150">
        <v>84</v>
      </c>
      <c r="AD14" s="151">
        <v>4</v>
      </c>
      <c r="AE14" s="149"/>
      <c r="AF14" s="134">
        <f t="shared" si="4"/>
        <v>0</v>
      </c>
      <c r="AG14" s="152"/>
      <c r="AH14" s="129">
        <v>72.150000000000006</v>
      </c>
      <c r="AI14" s="134">
        <f t="shared" si="5"/>
        <v>724.68862997187637</v>
      </c>
      <c r="AJ14" s="153">
        <v>11.29</v>
      </c>
      <c r="AK14" s="154"/>
      <c r="AL14" s="155">
        <v>4.3499999999999996</v>
      </c>
      <c r="AM14" s="478">
        <f t="shared" si="23"/>
        <v>25.680000000000003</v>
      </c>
      <c r="AN14" s="126">
        <f t="shared" si="24"/>
        <v>0.2</v>
      </c>
      <c r="AO14" s="157" t="s">
        <v>338</v>
      </c>
      <c r="AP14" s="156">
        <v>8.58</v>
      </c>
      <c r="AQ14" s="156">
        <v>7.89</v>
      </c>
      <c r="AR14" s="149"/>
      <c r="AS14" s="149">
        <v>7.98</v>
      </c>
      <c r="AT14" s="149">
        <v>128.4</v>
      </c>
      <c r="AU14" s="149">
        <v>1.19</v>
      </c>
      <c r="AV14" s="149"/>
      <c r="AW14" s="149"/>
      <c r="AX14" s="158">
        <f t="shared" si="6"/>
        <v>0</v>
      </c>
      <c r="AY14" s="125">
        <f t="shared" si="7"/>
        <v>99.56</v>
      </c>
      <c r="AZ14" s="125">
        <f t="shared" si="25"/>
        <v>96.883295554633619</v>
      </c>
      <c r="BA14" s="159">
        <f t="shared" si="8"/>
        <v>4.4600894366197181</v>
      </c>
      <c r="BB14" s="160">
        <f t="shared" si="9"/>
        <v>3.9824000000000002</v>
      </c>
      <c r="BC14" s="161">
        <f t="shared" si="10"/>
        <v>0.9104027618545617</v>
      </c>
      <c r="BD14" s="159">
        <f t="shared" si="26"/>
        <v>8.4424894366197183</v>
      </c>
      <c r="BE14" s="167">
        <v>0.88500000000000001</v>
      </c>
      <c r="BF14" s="25">
        <f t="shared" si="27"/>
        <v>768.83000000000015</v>
      </c>
      <c r="BG14" s="25">
        <f t="shared" si="11"/>
        <v>108.06451612903226</v>
      </c>
      <c r="BH14" s="25">
        <f t="shared" si="28"/>
        <v>864.51612903225782</v>
      </c>
      <c r="BI14" s="26">
        <f t="shared" si="12"/>
        <v>1</v>
      </c>
      <c r="BJ14" s="37">
        <f t="shared" si="29"/>
        <v>864.51612903225782</v>
      </c>
      <c r="BK14" s="39">
        <v>132.65700000000001</v>
      </c>
      <c r="BL14" s="40"/>
      <c r="BM14" s="325">
        <v>46.225000000000001</v>
      </c>
      <c r="BN14" s="31"/>
      <c r="BO14" s="40"/>
      <c r="BP14" s="40">
        <v>8.7490000000000006</v>
      </c>
      <c r="BQ14" s="32">
        <v>22.815999999999999</v>
      </c>
      <c r="BR14" s="33">
        <v>0.35</v>
      </c>
      <c r="BS14" s="34"/>
      <c r="BT14" s="33">
        <v>0.13</v>
      </c>
      <c r="BU14" s="28"/>
      <c r="BV14" s="287"/>
      <c r="BW14" s="287">
        <v>2.23</v>
      </c>
      <c r="BX14" s="36"/>
      <c r="BY14" s="33">
        <v>37.79</v>
      </c>
      <c r="BZ14" s="34"/>
      <c r="CA14" s="33">
        <v>37.840000000000003</v>
      </c>
      <c r="CB14" s="35"/>
      <c r="CC14" s="235"/>
      <c r="CD14" s="235">
        <v>34.17</v>
      </c>
      <c r="CE14" s="36">
        <v>43.82</v>
      </c>
      <c r="CF14" s="30">
        <v>86.495999999999995</v>
      </c>
      <c r="CG14" s="30">
        <v>42.002000000000002</v>
      </c>
      <c r="CH14" s="30"/>
      <c r="CI14" s="32"/>
      <c r="CJ14" s="33">
        <v>1.49</v>
      </c>
      <c r="CK14" s="33">
        <v>1.49</v>
      </c>
      <c r="CL14" s="33"/>
      <c r="CM14" s="36"/>
      <c r="CN14" s="286"/>
      <c r="CO14" s="249">
        <f t="shared" si="13"/>
        <v>132.19270050000003</v>
      </c>
      <c r="CP14" s="12">
        <f t="shared" si="13"/>
        <v>0</v>
      </c>
      <c r="CQ14" s="12">
        <f t="shared" si="13"/>
        <v>46.164907500000005</v>
      </c>
      <c r="CR14" s="12">
        <f t="shared" si="13"/>
        <v>0</v>
      </c>
      <c r="CS14" s="11">
        <f t="shared" si="13"/>
        <v>0</v>
      </c>
      <c r="CT14" s="11">
        <f t="shared" si="13"/>
        <v>8.5538973000000009</v>
      </c>
      <c r="CU14" s="272">
        <f t="shared" si="13"/>
        <v>22.815999999999999</v>
      </c>
      <c r="CV14" s="249">
        <f t="shared" si="14"/>
        <v>85.207209599999999</v>
      </c>
      <c r="CW14" s="12">
        <f t="shared" si="14"/>
        <v>41.376170200000004</v>
      </c>
      <c r="CX14" s="252">
        <f t="shared" si="14"/>
        <v>0</v>
      </c>
      <c r="CY14" s="272">
        <f t="shared" si="14"/>
        <v>0</v>
      </c>
      <c r="CZ14" s="13"/>
      <c r="DA14" s="240">
        <f>(D14+'[2]июль 20'!D14)/(AY14+'[2]июль 20'!BA14)</f>
        <v>2.1729472578449509</v>
      </c>
      <c r="DB14" s="241">
        <f>(T14+'[2]июль 20'!R14)/(AY14+'[2]июль 20'!BA14)</f>
        <v>1.375787566058152</v>
      </c>
      <c r="DD14" s="292">
        <f t="shared" si="15"/>
        <v>8.4329999999999998</v>
      </c>
      <c r="DE14" s="291">
        <v>0.05</v>
      </c>
      <c r="DF14" s="291">
        <v>12.32</v>
      </c>
      <c r="DG14" s="145">
        <f t="shared" si="16"/>
        <v>8.4287834999999998</v>
      </c>
      <c r="DH14" s="293">
        <f t="shared" si="30"/>
        <v>1.4135939656956167</v>
      </c>
      <c r="DJ14" s="322"/>
    </row>
    <row r="15" spans="1:114" s="76" customFormat="1" ht="16.5" customHeight="1" thickBot="1">
      <c r="A15" s="144">
        <v>9</v>
      </c>
      <c r="B15" s="122">
        <f>'[1]июль 20'!K14</f>
        <v>220.28</v>
      </c>
      <c r="C15" s="123">
        <f t="shared" si="17"/>
        <v>0.35178037043762483</v>
      </c>
      <c r="D15" s="145">
        <f t="shared" si="18"/>
        <v>219.50509819999999</v>
      </c>
      <c r="E15" s="125">
        <f t="shared" si="19"/>
        <v>37.840935082622117</v>
      </c>
      <c r="F15" s="146">
        <f t="shared" si="0"/>
        <v>2.3240349200635255</v>
      </c>
      <c r="G15" s="127"/>
      <c r="H15" s="126">
        <f t="shared" si="20"/>
        <v>2.1031349730015885</v>
      </c>
      <c r="I15" s="230">
        <f>'[1]июль 20'!AI14</f>
        <v>0</v>
      </c>
      <c r="J15" s="247">
        <f>'[1]июль 20'!AA14</f>
        <v>8.8379999999999992</v>
      </c>
      <c r="K15" s="465">
        <f>'[1]сентябрь 20'!AM14</f>
        <v>0</v>
      </c>
      <c r="L15" s="247">
        <f>'[1]июль 20'!AE14</f>
        <v>20.864000000000001</v>
      </c>
      <c r="M15" s="469">
        <f t="shared" si="21"/>
        <v>0.22089994706193752</v>
      </c>
      <c r="N15" s="403">
        <f>'[1]июль 20'!W14</f>
        <v>0</v>
      </c>
      <c r="O15" s="403">
        <f>'[1]июль 20'!AU14</f>
        <v>0</v>
      </c>
      <c r="P15" s="401">
        <f t="shared" si="1"/>
        <v>134.661</v>
      </c>
      <c r="Q15" s="122">
        <f>'[1]июль 20'!S14</f>
        <v>134.661</v>
      </c>
      <c r="R15" s="123">
        <f t="shared" si="22"/>
        <v>1.45</v>
      </c>
      <c r="S15" s="129">
        <v>9.94</v>
      </c>
      <c r="T15" s="125">
        <f t="shared" si="2"/>
        <v>132.7084155</v>
      </c>
      <c r="U15" s="147">
        <f t="shared" si="3"/>
        <v>1.4050652779248278</v>
      </c>
      <c r="V15" s="130">
        <v>23.12</v>
      </c>
      <c r="W15" s="130">
        <v>94.45</v>
      </c>
      <c r="X15" s="129">
        <v>0.46</v>
      </c>
      <c r="Y15" s="131">
        <v>562</v>
      </c>
      <c r="Z15" s="150">
        <v>1152</v>
      </c>
      <c r="AA15" s="148" t="s">
        <v>297</v>
      </c>
      <c r="AB15" s="149">
        <v>74.62</v>
      </c>
      <c r="AC15" s="150">
        <v>88</v>
      </c>
      <c r="AD15" s="151">
        <v>4</v>
      </c>
      <c r="AE15" s="149"/>
      <c r="AF15" s="134">
        <f t="shared" si="4"/>
        <v>0</v>
      </c>
      <c r="AG15" s="152"/>
      <c r="AH15" s="129">
        <v>60.6</v>
      </c>
      <c r="AI15" s="134">
        <f t="shared" si="5"/>
        <v>641.60931709899421</v>
      </c>
      <c r="AJ15" s="136">
        <v>15.63</v>
      </c>
      <c r="AK15" s="154"/>
      <c r="AL15" s="155">
        <v>4.8600000000000003</v>
      </c>
      <c r="AM15" s="478">
        <f t="shared" si="23"/>
        <v>24.52</v>
      </c>
      <c r="AN15" s="126">
        <f t="shared" si="24"/>
        <v>0.2</v>
      </c>
      <c r="AO15" s="157" t="s">
        <v>339</v>
      </c>
      <c r="AP15" s="156">
        <v>8.6199999999999992</v>
      </c>
      <c r="AQ15" s="156">
        <v>7.71</v>
      </c>
      <c r="AR15" s="149"/>
      <c r="AS15" s="149">
        <v>7.6</v>
      </c>
      <c r="AT15" s="149">
        <v>122.6</v>
      </c>
      <c r="AU15" s="149">
        <v>1.23</v>
      </c>
      <c r="AV15" s="149"/>
      <c r="AW15" s="149"/>
      <c r="AX15" s="158">
        <f t="shared" si="6"/>
        <v>0</v>
      </c>
      <c r="AY15" s="125">
        <f t="shared" si="7"/>
        <v>94.45</v>
      </c>
      <c r="AZ15" s="125">
        <f t="shared" si="25"/>
        <v>98.499493422874068</v>
      </c>
      <c r="BA15" s="159">
        <f t="shared" si="8"/>
        <v>3.5677183098591545</v>
      </c>
      <c r="BB15" s="160">
        <f t="shared" si="9"/>
        <v>3.778</v>
      </c>
      <c r="BC15" s="161">
        <f t="shared" si="10"/>
        <v>0.84849782955255471</v>
      </c>
      <c r="BD15" s="159">
        <f t="shared" si="26"/>
        <v>7.345718309859155</v>
      </c>
      <c r="BE15" s="167">
        <v>0.88100000000000001</v>
      </c>
      <c r="BF15" s="25">
        <f t="shared" si="27"/>
        <v>863.2800000000002</v>
      </c>
      <c r="BG15" s="25">
        <f t="shared" si="11"/>
        <v>108.06451612903226</v>
      </c>
      <c r="BH15" s="25">
        <f t="shared" si="28"/>
        <v>972.58064516129002</v>
      </c>
      <c r="BI15" s="26">
        <f t="shared" si="12"/>
        <v>1</v>
      </c>
      <c r="BJ15" s="37">
        <f t="shared" si="29"/>
        <v>972.58064516129002</v>
      </c>
      <c r="BK15" s="38">
        <v>142.22399999999999</v>
      </c>
      <c r="BL15" s="42"/>
      <c r="BM15" s="31">
        <v>48.424999999999997</v>
      </c>
      <c r="BN15" s="31"/>
      <c r="BO15" s="40"/>
      <c r="BP15" s="40">
        <v>8.7669999999999995</v>
      </c>
      <c r="BQ15" s="32">
        <v>20.864000000000001</v>
      </c>
      <c r="BR15" s="33">
        <v>0.38</v>
      </c>
      <c r="BS15" s="35"/>
      <c r="BT15" s="35">
        <v>0.18</v>
      </c>
      <c r="BU15" s="28"/>
      <c r="BV15" s="287"/>
      <c r="BW15" s="287">
        <v>1.68</v>
      </c>
      <c r="BX15" s="36"/>
      <c r="BY15" s="33">
        <v>37.51</v>
      </c>
      <c r="BZ15" s="34"/>
      <c r="CA15" s="35">
        <v>37.65</v>
      </c>
      <c r="CB15" s="35"/>
      <c r="CC15" s="35"/>
      <c r="CD15" s="35">
        <v>30.63</v>
      </c>
      <c r="CE15" s="35">
        <v>43.57</v>
      </c>
      <c r="CF15" s="38">
        <v>90.637</v>
      </c>
      <c r="CG15" s="30">
        <v>44.024000000000001</v>
      </c>
      <c r="CH15" s="30"/>
      <c r="CI15" s="32"/>
      <c r="CJ15" s="33">
        <v>1.45</v>
      </c>
      <c r="CK15" s="33">
        <v>1.45</v>
      </c>
      <c r="CL15" s="33"/>
      <c r="CM15" s="36"/>
      <c r="CN15" s="286"/>
      <c r="CO15" s="249">
        <f t="shared" si="13"/>
        <v>141.68354880000001</v>
      </c>
      <c r="CP15" s="12">
        <f t="shared" si="13"/>
        <v>0</v>
      </c>
      <c r="CQ15" s="12">
        <f t="shared" si="13"/>
        <v>48.337834999999998</v>
      </c>
      <c r="CR15" s="17">
        <f t="shared" si="13"/>
        <v>0</v>
      </c>
      <c r="CS15" s="11">
        <f t="shared" si="13"/>
        <v>0</v>
      </c>
      <c r="CT15" s="11">
        <f t="shared" si="13"/>
        <v>8.6197143999999994</v>
      </c>
      <c r="CU15" s="272">
        <f t="shared" si="13"/>
        <v>20.864000000000001</v>
      </c>
      <c r="CV15" s="249">
        <f t="shared" si="14"/>
        <v>89.322763499999994</v>
      </c>
      <c r="CW15" s="12">
        <f t="shared" si="14"/>
        <v>43.385652</v>
      </c>
      <c r="CX15" s="249">
        <f t="shared" si="14"/>
        <v>0</v>
      </c>
      <c r="CY15" s="274">
        <f t="shared" si="14"/>
        <v>0</v>
      </c>
      <c r="CZ15" s="13"/>
      <c r="DA15" s="240">
        <f>(D15+'[2]июль 20'!D15)/(AY15+'[2]июль 20'!BA15)</f>
        <v>2.2806915621837858</v>
      </c>
      <c r="DB15" s="241">
        <f>(T15+'[2]июль 20'!R15)/(AY15+'[2]июль 20'!BA15)</f>
        <v>1.444309743837112</v>
      </c>
      <c r="DD15" s="292">
        <f t="shared" si="15"/>
        <v>8.8379999999999992</v>
      </c>
      <c r="DE15" s="291">
        <v>7.0000000000000007E-2</v>
      </c>
      <c r="DF15" s="291">
        <v>11.17</v>
      </c>
      <c r="DG15" s="145">
        <f t="shared" si="16"/>
        <v>8.8318133999999997</v>
      </c>
      <c r="DH15" s="293">
        <f t="shared" si="30"/>
        <v>1.322049794666309</v>
      </c>
      <c r="DJ15" s="322"/>
    </row>
    <row r="16" spans="1:114" s="76" customFormat="1" ht="16.5" customHeight="1" thickBot="1">
      <c r="A16" s="144">
        <v>10</v>
      </c>
      <c r="B16" s="122">
        <f>'[1]июль 20'!K15</f>
        <v>222.732</v>
      </c>
      <c r="C16" s="123">
        <f t="shared" si="17"/>
        <v>0.46579732593430667</v>
      </c>
      <c r="D16" s="145">
        <f t="shared" si="18"/>
        <v>221.69452030000002</v>
      </c>
      <c r="E16" s="125">
        <f t="shared" si="19"/>
        <v>37.826998186160949</v>
      </c>
      <c r="F16" s="146">
        <f t="shared" si="0"/>
        <v>2.33239895107838</v>
      </c>
      <c r="G16" s="127"/>
      <c r="H16" s="126">
        <f t="shared" si="20"/>
        <v>2.1445294087322462</v>
      </c>
      <c r="I16" s="230">
        <f>'[1]июль 20'!AI15</f>
        <v>0</v>
      </c>
      <c r="J16" s="247">
        <f>'[1]июль 20'!AA15</f>
        <v>8.7919999999999998</v>
      </c>
      <c r="K16" s="464">
        <f>'[1]сентябрь 20'!AM15</f>
        <v>0</v>
      </c>
      <c r="L16" s="247">
        <f>'[1]июль 20'!AE15</f>
        <v>17.856999999999999</v>
      </c>
      <c r="M16" s="468">
        <f t="shared" si="21"/>
        <v>0.18786954234613362</v>
      </c>
      <c r="N16" s="403">
        <f>'[1]июль 20'!W15</f>
        <v>0</v>
      </c>
      <c r="O16" s="403">
        <f>'[1]июль 20'!AU15</f>
        <v>0</v>
      </c>
      <c r="P16" s="401">
        <f t="shared" si="1"/>
        <v>136.70099999999999</v>
      </c>
      <c r="Q16" s="122">
        <f>'[1]июль 20'!S15</f>
        <v>136.70099999999999</v>
      </c>
      <c r="R16" s="123">
        <f t="shared" si="22"/>
        <v>1.49</v>
      </c>
      <c r="S16" s="129">
        <v>10.46</v>
      </c>
      <c r="T16" s="125">
        <f t="shared" si="2"/>
        <v>134.66415510000002</v>
      </c>
      <c r="U16" s="147">
        <f t="shared" si="3"/>
        <v>1.4167717527617045</v>
      </c>
      <c r="V16" s="130">
        <v>95.05</v>
      </c>
      <c r="W16" s="130">
        <v>95.05</v>
      </c>
      <c r="X16" s="129">
        <v>0.41</v>
      </c>
      <c r="Y16" s="131">
        <v>561</v>
      </c>
      <c r="Z16" s="150">
        <v>1152</v>
      </c>
      <c r="AA16" s="148" t="s">
        <v>329</v>
      </c>
      <c r="AB16" s="149">
        <v>76.41</v>
      </c>
      <c r="AC16" s="150">
        <v>89</v>
      </c>
      <c r="AD16" s="151">
        <v>4</v>
      </c>
      <c r="AE16" s="149">
        <v>2.4500000000000002</v>
      </c>
      <c r="AF16" s="134">
        <f t="shared" si="4"/>
        <v>25.775907417148872</v>
      </c>
      <c r="AG16" s="152"/>
      <c r="AH16" s="129">
        <v>68.95</v>
      </c>
      <c r="AI16" s="134">
        <f t="shared" si="5"/>
        <v>725.40768016833249</v>
      </c>
      <c r="AJ16" s="153">
        <v>13.28</v>
      </c>
      <c r="AK16" s="154"/>
      <c r="AL16" s="155">
        <v>4.3</v>
      </c>
      <c r="AM16" s="478">
        <f t="shared" si="23"/>
        <v>24.51</v>
      </c>
      <c r="AN16" s="126">
        <f t="shared" si="24"/>
        <v>0.2</v>
      </c>
      <c r="AO16" s="157" t="s">
        <v>320</v>
      </c>
      <c r="AP16" s="156">
        <v>7.97</v>
      </c>
      <c r="AQ16" s="156">
        <v>8.27</v>
      </c>
      <c r="AR16" s="149"/>
      <c r="AS16" s="149">
        <v>7.48</v>
      </c>
      <c r="AT16" s="149">
        <v>122.55</v>
      </c>
      <c r="AU16" s="149">
        <v>1.31</v>
      </c>
      <c r="AV16" s="149"/>
      <c r="AW16" s="149"/>
      <c r="AX16" s="158">
        <f t="shared" si="6"/>
        <v>0</v>
      </c>
      <c r="AY16" s="125">
        <f t="shared" si="7"/>
        <v>95.05</v>
      </c>
      <c r="AZ16" s="125">
        <f t="shared" si="25"/>
        <v>97.189297153731744</v>
      </c>
      <c r="BA16" s="159">
        <f t="shared" si="8"/>
        <v>3.9952154929577475</v>
      </c>
      <c r="BB16" s="160">
        <f t="shared" si="9"/>
        <v>3.802</v>
      </c>
      <c r="BC16" s="161">
        <f t="shared" si="10"/>
        <v>0.86605502047955096</v>
      </c>
      <c r="BD16" s="160">
        <f t="shared" si="26"/>
        <v>7.7972154929577471</v>
      </c>
      <c r="BE16" s="162">
        <v>0.879</v>
      </c>
      <c r="BF16" s="25">
        <f t="shared" si="27"/>
        <v>958.33000000000015</v>
      </c>
      <c r="BG16" s="25">
        <f t="shared" si="11"/>
        <v>108.06451612903226</v>
      </c>
      <c r="BH16" s="25">
        <f t="shared" si="28"/>
        <v>1080.6451612903222</v>
      </c>
      <c r="BI16" s="26">
        <f t="shared" si="12"/>
        <v>1</v>
      </c>
      <c r="BJ16" s="37">
        <f t="shared" si="29"/>
        <v>1080.6451612903222</v>
      </c>
      <c r="BK16" s="38">
        <v>146.91200000000001</v>
      </c>
      <c r="BL16" s="31"/>
      <c r="BM16" s="31">
        <v>48.968000000000004</v>
      </c>
      <c r="BN16" s="234"/>
      <c r="BO16" s="42"/>
      <c r="BP16" s="40">
        <v>8.9949999999999992</v>
      </c>
      <c r="BQ16" s="32">
        <v>17.856999999999999</v>
      </c>
      <c r="BR16" s="33">
        <v>0.59</v>
      </c>
      <c r="BS16" s="34"/>
      <c r="BT16" s="35">
        <v>0.13</v>
      </c>
      <c r="BU16" s="28"/>
      <c r="BV16" s="287"/>
      <c r="BW16" s="287">
        <v>1.19</v>
      </c>
      <c r="BX16" s="36"/>
      <c r="BY16" s="33">
        <v>37.32</v>
      </c>
      <c r="BZ16" s="34"/>
      <c r="CA16" s="35">
        <v>38.33</v>
      </c>
      <c r="CB16" s="405"/>
      <c r="CC16" s="404"/>
      <c r="CD16" s="235">
        <v>31.73</v>
      </c>
      <c r="CE16" s="36">
        <v>43.69</v>
      </c>
      <c r="CF16" s="38">
        <v>92.224000000000004</v>
      </c>
      <c r="CG16" s="30">
        <v>44.476999999999997</v>
      </c>
      <c r="CH16" s="30"/>
      <c r="CI16" s="32"/>
      <c r="CJ16" s="33">
        <v>1.49</v>
      </c>
      <c r="CK16" s="33">
        <v>1.49</v>
      </c>
      <c r="CL16" s="33"/>
      <c r="CM16" s="36"/>
      <c r="CN16" s="286"/>
      <c r="CO16" s="249">
        <f t="shared" si="13"/>
        <v>146.04521919999999</v>
      </c>
      <c r="CP16" s="12">
        <f t="shared" si="13"/>
        <v>0</v>
      </c>
      <c r="CQ16" s="12">
        <f t="shared" si="13"/>
        <v>48.904341600000002</v>
      </c>
      <c r="CR16" s="11">
        <f t="shared" si="13"/>
        <v>0</v>
      </c>
      <c r="CS16" s="11">
        <f t="shared" si="13"/>
        <v>0</v>
      </c>
      <c r="CT16" s="11">
        <f t="shared" si="13"/>
        <v>8.8879594999999991</v>
      </c>
      <c r="CU16" s="272">
        <f t="shared" si="13"/>
        <v>17.856999999999999</v>
      </c>
      <c r="CV16" s="249">
        <f t="shared" si="14"/>
        <v>90.849862400000006</v>
      </c>
      <c r="CW16" s="12">
        <f t="shared" si="14"/>
        <v>43.814292700000003</v>
      </c>
      <c r="CX16" s="249">
        <f t="shared" si="14"/>
        <v>0</v>
      </c>
      <c r="CY16" s="272">
        <f t="shared" si="14"/>
        <v>0</v>
      </c>
      <c r="CZ16" s="13"/>
      <c r="DA16" s="240">
        <f>(D16+'[2]июль 20'!D16)/(AY16+'[2]июль 20'!BA16)</f>
        <v>2.2518479600892065</v>
      </c>
      <c r="DB16" s="241">
        <f>(T16+'[2]июль 20'!R16)/(AY16+'[2]июль 20'!BA16)</f>
        <v>1.4335572605254183</v>
      </c>
      <c r="DD16" s="292">
        <f t="shared" si="15"/>
        <v>8.7919999999999998</v>
      </c>
      <c r="DE16" s="291">
        <v>0.1</v>
      </c>
      <c r="DF16" s="291">
        <v>11.98</v>
      </c>
      <c r="DG16" s="145">
        <f t="shared" si="16"/>
        <v>8.7832080000000001</v>
      </c>
      <c r="DH16" s="293">
        <f t="shared" si="30"/>
        <v>1.3770819505300353</v>
      </c>
      <c r="DJ16" s="322"/>
    </row>
    <row r="17" spans="1:114" s="76" customFormat="1" ht="16.5" customHeight="1" thickBot="1">
      <c r="A17" s="144">
        <v>11</v>
      </c>
      <c r="B17" s="122">
        <f>'[1]июль 20'!K16</f>
        <v>224.952</v>
      </c>
      <c r="C17" s="123">
        <f t="shared" si="17"/>
        <v>0.34391616878267367</v>
      </c>
      <c r="D17" s="145">
        <f t="shared" si="18"/>
        <v>224.17835370000003</v>
      </c>
      <c r="E17" s="125">
        <f t="shared" si="19"/>
        <v>37.045961983000815</v>
      </c>
      <c r="F17" s="146">
        <f t="shared" si="0"/>
        <v>2.3777933145948245</v>
      </c>
      <c r="G17" s="127"/>
      <c r="H17" s="126">
        <f t="shared" si="20"/>
        <v>2.1868726527365299</v>
      </c>
      <c r="I17" s="230">
        <f>'[1]июль 20'!AI16</f>
        <v>0</v>
      </c>
      <c r="J17" s="247">
        <f>'[1]июль 20'!AA16</f>
        <v>8.9190000000000005</v>
      </c>
      <c r="K17" s="465">
        <f>'[1]сентябрь 20'!AM16</f>
        <v>0</v>
      </c>
      <c r="L17" s="247">
        <f>'[1]июль 20'!AE16</f>
        <v>18</v>
      </c>
      <c r="M17" s="469">
        <f t="shared" si="21"/>
        <v>0.19092066185829445</v>
      </c>
      <c r="N17" s="403">
        <f>'[1]июль 20'!W16</f>
        <v>0</v>
      </c>
      <c r="O17" s="403">
        <f>'[1]июль 20'!AU16</f>
        <v>0</v>
      </c>
      <c r="P17" s="401">
        <f t="shared" si="1"/>
        <v>139.12299999999999</v>
      </c>
      <c r="Q17" s="122">
        <f>'[1]июль 20'!S16</f>
        <v>139.12299999999999</v>
      </c>
      <c r="R17" s="123">
        <f t="shared" si="22"/>
        <v>1.4500000000000002</v>
      </c>
      <c r="S17" s="129">
        <v>8.19</v>
      </c>
      <c r="T17" s="125">
        <f t="shared" si="2"/>
        <v>137.10571649999997</v>
      </c>
      <c r="U17" s="147">
        <f t="shared" si="3"/>
        <v>1.4542396743742043</v>
      </c>
      <c r="V17" s="130">
        <v>94.28</v>
      </c>
      <c r="W17" s="130">
        <v>94.28</v>
      </c>
      <c r="X17" s="129">
        <v>0.39</v>
      </c>
      <c r="Y17" s="131">
        <v>559</v>
      </c>
      <c r="Z17" s="150">
        <v>1146</v>
      </c>
      <c r="AA17" s="148" t="s">
        <v>301</v>
      </c>
      <c r="AB17" s="149">
        <v>76.709999999999994</v>
      </c>
      <c r="AC17" s="150">
        <v>90</v>
      </c>
      <c r="AD17" s="151">
        <v>4</v>
      </c>
      <c r="AE17" s="149"/>
      <c r="AF17" s="134">
        <f t="shared" si="4"/>
        <v>0</v>
      </c>
      <c r="AG17" s="152"/>
      <c r="AH17" s="129">
        <v>68.2</v>
      </c>
      <c r="AI17" s="134">
        <f t="shared" si="5"/>
        <v>723.37717437420463</v>
      </c>
      <c r="AJ17" s="136">
        <v>16.649999999999999</v>
      </c>
      <c r="AK17" s="154"/>
      <c r="AL17" s="155">
        <v>4.68</v>
      </c>
      <c r="AM17" s="478">
        <f t="shared" si="23"/>
        <v>24.5</v>
      </c>
      <c r="AN17" s="126">
        <f t="shared" si="24"/>
        <v>0.2</v>
      </c>
      <c r="AO17" s="157" t="s">
        <v>320</v>
      </c>
      <c r="AP17" s="156">
        <v>7.9</v>
      </c>
      <c r="AQ17" s="156">
        <v>8.33</v>
      </c>
      <c r="AR17" s="149"/>
      <c r="AS17" s="149">
        <v>8.43</v>
      </c>
      <c r="AT17" s="149">
        <v>122.5</v>
      </c>
      <c r="AU17" s="149">
        <v>0.96</v>
      </c>
      <c r="AV17" s="149"/>
      <c r="AW17" s="149"/>
      <c r="AX17" s="158">
        <f t="shared" si="6"/>
        <v>0</v>
      </c>
      <c r="AY17" s="125">
        <f t="shared" si="7"/>
        <v>94.279999999999987</v>
      </c>
      <c r="AZ17" s="125">
        <f t="shared" si="25"/>
        <v>95.749516615148082</v>
      </c>
      <c r="BA17" s="159">
        <f t="shared" si="8"/>
        <v>4.4536521126760569</v>
      </c>
      <c r="BB17" s="160">
        <f t="shared" si="9"/>
        <v>3.7711999999999994</v>
      </c>
      <c r="BC17" s="161">
        <f t="shared" si="10"/>
        <v>0.87083726342468948</v>
      </c>
      <c r="BD17" s="160">
        <f t="shared" si="26"/>
        <v>8.2248521126760572</v>
      </c>
      <c r="BE17" s="162">
        <v>0.879</v>
      </c>
      <c r="BF17" s="25">
        <f t="shared" si="27"/>
        <v>1052.6100000000001</v>
      </c>
      <c r="BG17" s="25">
        <f t="shared" si="11"/>
        <v>108.06451612903226</v>
      </c>
      <c r="BH17" s="25">
        <f t="shared" si="28"/>
        <v>1188.7096774193544</v>
      </c>
      <c r="BI17" s="26">
        <f t="shared" si="12"/>
        <v>1</v>
      </c>
      <c r="BJ17" s="37">
        <f t="shared" si="29"/>
        <v>1188.7096774193544</v>
      </c>
      <c r="BK17" s="39">
        <v>148.501</v>
      </c>
      <c r="BL17" s="31"/>
      <c r="BM17" s="31">
        <v>49.427</v>
      </c>
      <c r="BN17" s="234"/>
      <c r="BO17" s="42"/>
      <c r="BP17" s="40">
        <v>9.0239999999999991</v>
      </c>
      <c r="BQ17" s="32">
        <v>18</v>
      </c>
      <c r="BR17" s="33">
        <v>0.42</v>
      </c>
      <c r="BS17" s="34"/>
      <c r="BT17" s="35">
        <v>0.15</v>
      </c>
      <c r="BU17" s="28"/>
      <c r="BV17" s="287"/>
      <c r="BW17" s="287">
        <v>0.84</v>
      </c>
      <c r="BX17" s="36"/>
      <c r="BY17" s="33">
        <v>36.68</v>
      </c>
      <c r="BZ17" s="34"/>
      <c r="CA17" s="35">
        <v>37.119999999999997</v>
      </c>
      <c r="CB17" s="405"/>
      <c r="CC17" s="404"/>
      <c r="CD17" s="235">
        <v>29.43</v>
      </c>
      <c r="CE17" s="36">
        <v>43.68</v>
      </c>
      <c r="CF17" s="38">
        <v>94.102000000000004</v>
      </c>
      <c r="CG17" s="42">
        <v>45.021000000000001</v>
      </c>
      <c r="CH17" s="234"/>
      <c r="CI17" s="233"/>
      <c r="CJ17" s="33">
        <v>1.45</v>
      </c>
      <c r="CK17" s="33">
        <v>1.45</v>
      </c>
      <c r="CL17" s="33"/>
      <c r="CM17" s="36"/>
      <c r="CN17" s="286"/>
      <c r="CO17" s="249">
        <f t="shared" si="13"/>
        <v>147.87729580000001</v>
      </c>
      <c r="CP17" s="12">
        <f t="shared" si="13"/>
        <v>0</v>
      </c>
      <c r="CQ17" s="12">
        <f t="shared" si="13"/>
        <v>49.352859499999994</v>
      </c>
      <c r="CR17" s="12">
        <f t="shared" si="13"/>
        <v>0</v>
      </c>
      <c r="CS17" s="11">
        <f t="shared" si="13"/>
        <v>0</v>
      </c>
      <c r="CT17" s="11">
        <f t="shared" si="13"/>
        <v>8.948198399999999</v>
      </c>
      <c r="CU17" s="272">
        <f t="shared" si="13"/>
        <v>18</v>
      </c>
      <c r="CV17" s="249">
        <f t="shared" si="14"/>
        <v>92.737521000000001</v>
      </c>
      <c r="CW17" s="12">
        <f t="shared" si="14"/>
        <v>44.368195499999999</v>
      </c>
      <c r="CX17" s="254">
        <f t="shared" si="14"/>
        <v>0</v>
      </c>
      <c r="CY17" s="272">
        <f t="shared" si="14"/>
        <v>0</v>
      </c>
      <c r="CZ17" s="13"/>
      <c r="DA17" s="240">
        <f>(D17+'[2]июль 20'!D17)/(AY17+'[2]июль 20'!BA17)</f>
        <v>2.3124259296187684</v>
      </c>
      <c r="DB17" s="241">
        <f>(T17+'[2]июль 20'!R17)/(AY17+'[2]июль 20'!BA17)</f>
        <v>1.4738296059384162</v>
      </c>
      <c r="DD17" s="292">
        <f t="shared" si="15"/>
        <v>8.9190000000000005</v>
      </c>
      <c r="DE17" s="291">
        <v>0.14000000000000001</v>
      </c>
      <c r="DF17" s="291">
        <v>10.64</v>
      </c>
      <c r="DG17" s="145">
        <f t="shared" si="16"/>
        <v>8.9065134000000015</v>
      </c>
      <c r="DH17" s="293">
        <f t="shared" si="30"/>
        <v>1.2353709109112245</v>
      </c>
      <c r="DJ17" s="322"/>
    </row>
    <row r="18" spans="1:114" s="76" customFormat="1" ht="16.5" customHeight="1" thickBot="1">
      <c r="A18" s="144">
        <v>12</v>
      </c>
      <c r="B18" s="122">
        <f>'[1]июль 20'!K17</f>
        <v>220.04499999999999</v>
      </c>
      <c r="C18" s="123">
        <f t="shared" si="17"/>
        <v>0.23275557272376107</v>
      </c>
      <c r="D18" s="145">
        <f t="shared" si="18"/>
        <v>219.53283299999998</v>
      </c>
      <c r="E18" s="125">
        <f t="shared" si="19"/>
        <v>37.918873275920838</v>
      </c>
      <c r="F18" s="146">
        <f t="shared" si="0"/>
        <v>2.2970893899759335</v>
      </c>
      <c r="G18" s="127"/>
      <c r="H18" s="126">
        <f t="shared" si="20"/>
        <v>2.1127951553834885</v>
      </c>
      <c r="I18" s="230">
        <f>'[1]июль 20'!AI17</f>
        <v>0</v>
      </c>
      <c r="J18" s="247">
        <f>'[1]июль 20'!AA17</f>
        <v>8.5830000000000002</v>
      </c>
      <c r="K18" s="464">
        <f>'[1]сентябрь 20'!AM17</f>
        <v>0</v>
      </c>
      <c r="L18" s="247">
        <f>'[1]июль 20'!AE17</f>
        <v>17.613</v>
      </c>
      <c r="M18" s="468">
        <f t="shared" si="21"/>
        <v>0.18429423459244532</v>
      </c>
      <c r="N18" s="403">
        <f>'[1]июль 20'!W17</f>
        <v>0</v>
      </c>
      <c r="O18" s="403">
        <f>'[1]июль 20'!AU17</f>
        <v>0</v>
      </c>
      <c r="P18" s="401">
        <f t="shared" si="1"/>
        <v>136.309</v>
      </c>
      <c r="Q18" s="122">
        <f>'[1]июль 20'!S17</f>
        <v>136.309</v>
      </c>
      <c r="R18" s="123">
        <f t="shared" si="22"/>
        <v>1.52</v>
      </c>
      <c r="S18" s="129">
        <v>8.83</v>
      </c>
      <c r="T18" s="125">
        <f t="shared" si="2"/>
        <v>134.23710320000001</v>
      </c>
      <c r="U18" s="147">
        <f t="shared" si="3"/>
        <v>1.4045945715182588</v>
      </c>
      <c r="V18" s="130">
        <v>95.57</v>
      </c>
      <c r="W18" s="130">
        <v>71.78</v>
      </c>
      <c r="X18" s="129">
        <v>0.59</v>
      </c>
      <c r="Y18" s="131">
        <v>572</v>
      </c>
      <c r="Z18" s="150">
        <v>1145</v>
      </c>
      <c r="AA18" s="148" t="s">
        <v>345</v>
      </c>
      <c r="AB18" s="149">
        <v>76.680000000000007</v>
      </c>
      <c r="AC18" s="150">
        <v>88</v>
      </c>
      <c r="AD18" s="151">
        <v>4</v>
      </c>
      <c r="AE18" s="149"/>
      <c r="AF18" s="134">
        <f t="shared" si="4"/>
        <v>0</v>
      </c>
      <c r="AG18" s="152"/>
      <c r="AH18" s="129">
        <v>70.400000000000006</v>
      </c>
      <c r="AI18" s="134">
        <f t="shared" si="5"/>
        <v>736.63283457151829</v>
      </c>
      <c r="AJ18" s="153">
        <v>14.9</v>
      </c>
      <c r="AK18" s="154"/>
      <c r="AL18" s="155">
        <v>3.69</v>
      </c>
      <c r="AM18" s="478">
        <f t="shared" si="23"/>
        <v>24.480000000000004</v>
      </c>
      <c r="AN18" s="126">
        <f t="shared" si="24"/>
        <v>0.2</v>
      </c>
      <c r="AO18" s="157" t="s">
        <v>346</v>
      </c>
      <c r="AP18" s="156">
        <v>8.19</v>
      </c>
      <c r="AQ18" s="156">
        <v>8.31</v>
      </c>
      <c r="AR18" s="151"/>
      <c r="AS18" s="149">
        <v>8.4499999999999993</v>
      </c>
      <c r="AT18" s="149">
        <v>122.4</v>
      </c>
      <c r="AU18" s="149">
        <v>1.34</v>
      </c>
      <c r="AV18" s="149"/>
      <c r="AW18" s="149"/>
      <c r="AX18" s="158">
        <f t="shared" si="6"/>
        <v>0</v>
      </c>
      <c r="AY18" s="125">
        <f t="shared" si="7"/>
        <v>95.570000000000007</v>
      </c>
      <c r="AZ18" s="125">
        <f t="shared" si="25"/>
        <v>96.276463086634962</v>
      </c>
      <c r="BA18" s="159">
        <f t="shared" si="8"/>
        <v>4.6082253521126759</v>
      </c>
      <c r="BB18" s="160">
        <f t="shared" si="9"/>
        <v>3.8228000000000004</v>
      </c>
      <c r="BC18" s="161">
        <f t="shared" si="10"/>
        <v>0.88033665295007546</v>
      </c>
      <c r="BD18" s="160">
        <f t="shared" si="26"/>
        <v>8.4310253521126768</v>
      </c>
      <c r="BE18" s="162">
        <v>0.879</v>
      </c>
      <c r="BF18" s="25">
        <f t="shared" si="27"/>
        <v>1148.18</v>
      </c>
      <c r="BG18" s="25">
        <f t="shared" si="11"/>
        <v>108.06451612903226</v>
      </c>
      <c r="BH18" s="25">
        <f t="shared" si="28"/>
        <v>1296.7741935483866</v>
      </c>
      <c r="BI18" s="26">
        <f t="shared" si="12"/>
        <v>1</v>
      </c>
      <c r="BJ18" s="37">
        <f t="shared" si="29"/>
        <v>1296.7741935483866</v>
      </c>
      <c r="BK18" s="38">
        <v>145.19200000000001</v>
      </c>
      <c r="BL18" s="31"/>
      <c r="BM18" s="31">
        <v>48.386000000000003</v>
      </c>
      <c r="BN18" s="234"/>
      <c r="BO18" s="42"/>
      <c r="BP18" s="40">
        <v>8.8539999999999992</v>
      </c>
      <c r="BQ18" s="411">
        <v>17.613</v>
      </c>
      <c r="BR18" s="41">
        <v>0.22</v>
      </c>
      <c r="BS18" s="34"/>
      <c r="BT18" s="35">
        <v>0.23</v>
      </c>
      <c r="BU18" s="28"/>
      <c r="BV18" s="287"/>
      <c r="BW18" s="287">
        <v>0.92</v>
      </c>
      <c r="BX18" s="36"/>
      <c r="BY18" s="34">
        <v>37.43</v>
      </c>
      <c r="BZ18" s="34"/>
      <c r="CA18" s="35">
        <v>38.31</v>
      </c>
      <c r="CB18" s="405"/>
      <c r="CC18" s="404"/>
      <c r="CD18" s="235">
        <v>31.92</v>
      </c>
      <c r="CE18" s="405">
        <v>43.89</v>
      </c>
      <c r="CF18" s="38">
        <v>92.31</v>
      </c>
      <c r="CG18" s="42">
        <v>43.999000000000002</v>
      </c>
      <c r="CH18" s="234"/>
      <c r="CI18" s="233"/>
      <c r="CJ18" s="33">
        <v>1.52</v>
      </c>
      <c r="CK18" s="33">
        <v>1.52</v>
      </c>
      <c r="CL18" s="33"/>
      <c r="CM18" s="36"/>
      <c r="CN18" s="286"/>
      <c r="CO18" s="249">
        <f t="shared" si="13"/>
        <v>144.8725776</v>
      </c>
      <c r="CP18" s="12">
        <f t="shared" si="13"/>
        <v>0</v>
      </c>
      <c r="CQ18" s="12">
        <f t="shared" si="13"/>
        <v>48.274712199999996</v>
      </c>
      <c r="CR18" s="12">
        <f t="shared" si="13"/>
        <v>0</v>
      </c>
      <c r="CS18" s="11">
        <f t="shared" si="13"/>
        <v>0</v>
      </c>
      <c r="CT18" s="11">
        <f t="shared" si="13"/>
        <v>8.7725431999999994</v>
      </c>
      <c r="CU18" s="272">
        <f t="shared" si="13"/>
        <v>17.613</v>
      </c>
      <c r="CV18" s="249">
        <f t="shared" si="14"/>
        <v>90.906888000000009</v>
      </c>
      <c r="CW18" s="11">
        <f t="shared" si="14"/>
        <v>43.330215200000005</v>
      </c>
      <c r="CX18" s="249">
        <f t="shared" si="14"/>
        <v>0</v>
      </c>
      <c r="CY18" s="272">
        <f t="shared" si="14"/>
        <v>0</v>
      </c>
      <c r="CZ18" s="13"/>
      <c r="DA18" s="240">
        <f>(D18+'[2]июль 20'!D18)/(AY18+'[2]июль 20'!BA18)</f>
        <v>2.2191290758381959</v>
      </c>
      <c r="DB18" s="241">
        <f>(T18+'[2]июль 20'!R18)/(AY18+'[2]июль 20'!BA18)</f>
        <v>1.414267590685433</v>
      </c>
      <c r="DD18" s="292">
        <f t="shared" si="15"/>
        <v>8.5830000000000002</v>
      </c>
      <c r="DE18" s="291">
        <v>0.17</v>
      </c>
      <c r="DF18" s="291">
        <v>13.45</v>
      </c>
      <c r="DG18" s="145">
        <f t="shared" si="16"/>
        <v>8.5684088999999997</v>
      </c>
      <c r="DH18" s="293">
        <f t="shared" si="30"/>
        <v>1.5029355725743347</v>
      </c>
      <c r="DJ18" s="322"/>
    </row>
    <row r="19" spans="1:114" s="76" customFormat="1" ht="16.5" customHeight="1" thickBot="1">
      <c r="A19" s="144">
        <v>13</v>
      </c>
      <c r="B19" s="122">
        <f>'[1]июль 20'!K18</f>
        <v>202.53200000000001</v>
      </c>
      <c r="C19" s="123">
        <f t="shared" si="17"/>
        <v>0.39040813303576716</v>
      </c>
      <c r="D19" s="145">
        <f t="shared" si="18"/>
        <v>201.74129860000002</v>
      </c>
      <c r="E19" s="125">
        <f t="shared" si="19"/>
        <v>38.027373205221885</v>
      </c>
      <c r="F19" s="146">
        <f t="shared" si="0"/>
        <v>2.2057872140826595</v>
      </c>
      <c r="G19" s="127">
        <v>14.76</v>
      </c>
      <c r="H19" s="126">
        <f t="shared" si="20"/>
        <v>2.0286168663896786</v>
      </c>
      <c r="I19" s="230">
        <f>'[1]июль 20'!AI18</f>
        <v>0</v>
      </c>
      <c r="J19" s="247">
        <f>'[1]июль 20'!AA18</f>
        <v>8.1920000000000002</v>
      </c>
      <c r="K19" s="465">
        <f>'[1]сентябрь 20'!AM18</f>
        <v>0</v>
      </c>
      <c r="L19" s="247">
        <f>'[1]июль 20'!AE18</f>
        <v>16.204000000000001</v>
      </c>
      <c r="M19" s="469">
        <f t="shared" si="21"/>
        <v>0.17717034769298057</v>
      </c>
      <c r="N19" s="403">
        <f>'[1]июль 20'!W18</f>
        <v>0</v>
      </c>
      <c r="O19" s="403">
        <f>'[1]июль 20'!AU18</f>
        <v>0</v>
      </c>
      <c r="P19" s="401">
        <f t="shared" si="1"/>
        <v>126.36099999999999</v>
      </c>
      <c r="Q19" s="122">
        <f>'[1]июль 20'!S18</f>
        <v>126.361</v>
      </c>
      <c r="R19" s="123">
        <f t="shared" si="22"/>
        <v>1.39</v>
      </c>
      <c r="S19" s="129">
        <v>13.24</v>
      </c>
      <c r="T19" s="125">
        <f t="shared" si="2"/>
        <v>124.6045821</v>
      </c>
      <c r="U19" s="147">
        <f t="shared" si="3"/>
        <v>1.3623942936802975</v>
      </c>
      <c r="V19" s="130">
        <v>91.46</v>
      </c>
      <c r="W19" s="130">
        <v>67.790000000000006</v>
      </c>
      <c r="X19" s="129">
        <v>0.87</v>
      </c>
      <c r="Y19" s="131">
        <v>570</v>
      </c>
      <c r="Z19" s="150">
        <v>1150</v>
      </c>
      <c r="AA19" s="148" t="s">
        <v>287</v>
      </c>
      <c r="AB19" s="149">
        <v>76.86</v>
      </c>
      <c r="AC19" s="150">
        <v>81</v>
      </c>
      <c r="AD19" s="151">
        <v>4</v>
      </c>
      <c r="AE19" s="149"/>
      <c r="AF19" s="134">
        <f t="shared" si="4"/>
        <v>0</v>
      </c>
      <c r="AG19" s="152"/>
      <c r="AH19" s="129">
        <v>54.35</v>
      </c>
      <c r="AI19" s="134">
        <f t="shared" si="5"/>
        <v>594.24885195713978</v>
      </c>
      <c r="AJ19" s="136">
        <v>17.489999999999998</v>
      </c>
      <c r="AK19" s="154"/>
      <c r="AL19" s="155">
        <v>5.09</v>
      </c>
      <c r="AM19" s="478">
        <f t="shared" si="23"/>
        <v>23.91</v>
      </c>
      <c r="AN19" s="126">
        <f t="shared" si="24"/>
        <v>0.2</v>
      </c>
      <c r="AO19" s="157" t="s">
        <v>347</v>
      </c>
      <c r="AP19" s="156">
        <v>9.02</v>
      </c>
      <c r="AQ19" s="156">
        <v>7.69</v>
      </c>
      <c r="AR19" s="151"/>
      <c r="AS19" s="149">
        <v>6.93</v>
      </c>
      <c r="AT19" s="149">
        <v>119.55</v>
      </c>
      <c r="AU19" s="149">
        <v>0.91</v>
      </c>
      <c r="AV19" s="164"/>
      <c r="AW19" s="149"/>
      <c r="AX19" s="158">
        <f t="shared" si="6"/>
        <v>0</v>
      </c>
      <c r="AY19" s="125">
        <f t="shared" si="7"/>
        <v>91.46</v>
      </c>
      <c r="AZ19" s="125">
        <f t="shared" si="25"/>
        <v>88.435303751479751</v>
      </c>
      <c r="BA19" s="159">
        <f t="shared" si="8"/>
        <v>2.9176764084507036</v>
      </c>
      <c r="BB19" s="160">
        <f t="shared" si="9"/>
        <v>3.6583999999999999</v>
      </c>
      <c r="BC19" s="161">
        <f t="shared" si="10"/>
        <v>0.91630580557332264</v>
      </c>
      <c r="BD19" s="160">
        <f t="shared" si="26"/>
        <v>6.5760764084507031</v>
      </c>
      <c r="BE19" s="162">
        <v>0.88100000000000001</v>
      </c>
      <c r="BF19" s="25">
        <f t="shared" si="27"/>
        <v>1239.6400000000001</v>
      </c>
      <c r="BG19" s="25">
        <f t="shared" si="11"/>
        <v>108.06451612903226</v>
      </c>
      <c r="BH19" s="25">
        <f t="shared" si="28"/>
        <v>1404.8387096774188</v>
      </c>
      <c r="BI19" s="26">
        <f t="shared" si="12"/>
        <v>1</v>
      </c>
      <c r="BJ19" s="37">
        <f t="shared" si="29"/>
        <v>1404.8387096774188</v>
      </c>
      <c r="BK19" s="38">
        <v>133.62200000000001</v>
      </c>
      <c r="BL19" s="31"/>
      <c r="BM19" s="31">
        <v>44.570999999999998</v>
      </c>
      <c r="BN19" s="234"/>
      <c r="BO19" s="42"/>
      <c r="BP19" s="40">
        <v>8.1349999999999998</v>
      </c>
      <c r="BQ19" s="411">
        <v>16.204000000000001</v>
      </c>
      <c r="BR19" s="33">
        <v>0.47</v>
      </c>
      <c r="BS19" s="34"/>
      <c r="BT19" s="35">
        <v>0.25</v>
      </c>
      <c r="BU19" s="28"/>
      <c r="BV19" s="287"/>
      <c r="BW19" s="287">
        <v>0.63</v>
      </c>
      <c r="BX19" s="36"/>
      <c r="BY19" s="33">
        <v>37.65</v>
      </c>
      <c r="BZ19" s="34"/>
      <c r="CA19" s="35">
        <v>38.72</v>
      </c>
      <c r="CB19" s="405"/>
      <c r="CC19" s="404"/>
      <c r="CD19" s="235">
        <v>29.59</v>
      </c>
      <c r="CE19" s="413">
        <v>43.47</v>
      </c>
      <c r="CF19" s="41">
        <v>85.866</v>
      </c>
      <c r="CG19" s="41">
        <v>40.494999999999997</v>
      </c>
      <c r="CH19" s="30"/>
      <c r="CI19" s="32"/>
      <c r="CJ19" s="33">
        <v>1.39</v>
      </c>
      <c r="CK19" s="33">
        <v>1.39</v>
      </c>
      <c r="CL19" s="33"/>
      <c r="CM19" s="36"/>
      <c r="CN19" s="286"/>
      <c r="CO19" s="249">
        <f t="shared" si="13"/>
        <v>132.9939766</v>
      </c>
      <c r="CP19" s="12">
        <f t="shared" si="13"/>
        <v>0</v>
      </c>
      <c r="CQ19" s="12">
        <f t="shared" si="13"/>
        <v>44.4595725</v>
      </c>
      <c r="CR19" s="12">
        <f t="shared" si="13"/>
        <v>0</v>
      </c>
      <c r="CS19" s="11">
        <f t="shared" si="13"/>
        <v>0</v>
      </c>
      <c r="CT19" s="11">
        <f t="shared" si="13"/>
        <v>8.0837494999999997</v>
      </c>
      <c r="CU19" s="272">
        <f t="shared" si="13"/>
        <v>16.204000000000001</v>
      </c>
      <c r="CV19" s="249">
        <f t="shared" si="14"/>
        <v>84.672462600000003</v>
      </c>
      <c r="CW19" s="251">
        <f t="shared" si="14"/>
        <v>39.932119499999999</v>
      </c>
      <c r="CX19" s="249">
        <f t="shared" si="14"/>
        <v>0</v>
      </c>
      <c r="CY19" s="272">
        <f t="shared" si="14"/>
        <v>0</v>
      </c>
      <c r="CZ19" s="13"/>
      <c r="DA19" s="240">
        <f>(D19+'[2]июль 20'!D19)/(AY19+'[2]июль 20'!BA19)</f>
        <v>2.1531489671114183</v>
      </c>
      <c r="DB19" s="241">
        <f>(T19+'[2]июль 20'!R19)/(AY19+'[2]июль 20'!BA19)</f>
        <v>1.3761144435263215</v>
      </c>
      <c r="DD19" s="292">
        <f t="shared" si="15"/>
        <v>8.1920000000000002</v>
      </c>
      <c r="DE19" s="291">
        <v>0.11</v>
      </c>
      <c r="DF19" s="291">
        <v>12.19</v>
      </c>
      <c r="DG19" s="145">
        <f t="shared" si="16"/>
        <v>8.1829888000000004</v>
      </c>
      <c r="DH19" s="293">
        <f t="shared" si="30"/>
        <v>1.2978224495446267</v>
      </c>
      <c r="DJ19" s="322"/>
    </row>
    <row r="20" spans="1:114" s="76" customFormat="1" ht="16.5" customHeight="1" thickBot="1">
      <c r="A20" s="144">
        <v>14</v>
      </c>
      <c r="B20" s="122">
        <f>'[1]июль 20'!K19</f>
        <v>207.80799999999999</v>
      </c>
      <c r="C20" s="123">
        <f t="shared" si="17"/>
        <v>0.3221823991376655</v>
      </c>
      <c r="D20" s="145">
        <f t="shared" si="18"/>
        <v>207.13847920000001</v>
      </c>
      <c r="E20" s="125">
        <f t="shared" si="19"/>
        <v>37.942613181398215</v>
      </c>
      <c r="F20" s="146">
        <f t="shared" si="0"/>
        <v>2.1099977508403791</v>
      </c>
      <c r="G20" s="127"/>
      <c r="H20" s="126">
        <f t="shared" si="20"/>
        <v>1.9408829499847209</v>
      </c>
      <c r="I20" s="230">
        <f>'[1]июль 20'!AI19</f>
        <v>0</v>
      </c>
      <c r="J20" s="247">
        <f>'[1]июль 20'!AA19</f>
        <v>8.2249999999999996</v>
      </c>
      <c r="K20" s="464">
        <f>'[1]сентябрь 20'!AM19</f>
        <v>0</v>
      </c>
      <c r="L20" s="247">
        <f>'[1]июль 20'!AE19</f>
        <v>16.602</v>
      </c>
      <c r="M20" s="468">
        <f t="shared" si="21"/>
        <v>0.16911480085565858</v>
      </c>
      <c r="N20" s="403">
        <f>'[1]июль 20'!W19</f>
        <v>0</v>
      </c>
      <c r="O20" s="403">
        <f>'[1]июль 20'!AU19</f>
        <v>0</v>
      </c>
      <c r="P20" s="401">
        <f t="shared" si="1"/>
        <v>128.89500000000001</v>
      </c>
      <c r="Q20" s="122">
        <f>'[1]июль 20'!S19</f>
        <v>128.89500000000001</v>
      </c>
      <c r="R20" s="123">
        <f t="shared" si="22"/>
        <v>1.41</v>
      </c>
      <c r="S20" s="129">
        <v>2.3199999999999998</v>
      </c>
      <c r="T20" s="125">
        <f t="shared" si="2"/>
        <v>127.07758050000001</v>
      </c>
      <c r="U20" s="147">
        <f t="shared" si="3"/>
        <v>1.2944645054497304</v>
      </c>
      <c r="V20" s="130">
        <v>98.17</v>
      </c>
      <c r="W20" s="130">
        <v>98.17</v>
      </c>
      <c r="X20" s="129">
        <v>0.42</v>
      </c>
      <c r="Y20" s="131">
        <v>565</v>
      </c>
      <c r="Z20" s="150">
        <v>1164</v>
      </c>
      <c r="AA20" s="168" t="s">
        <v>330</v>
      </c>
      <c r="AB20" s="149">
        <v>76.67</v>
      </c>
      <c r="AC20" s="150">
        <v>83</v>
      </c>
      <c r="AD20" s="151">
        <v>4</v>
      </c>
      <c r="AE20" s="149"/>
      <c r="AF20" s="134">
        <f t="shared" si="4"/>
        <v>0</v>
      </c>
      <c r="AG20" s="152"/>
      <c r="AH20" s="129">
        <v>71.400000000000006</v>
      </c>
      <c r="AI20" s="134">
        <f t="shared" si="5"/>
        <v>727.30976876846296</v>
      </c>
      <c r="AJ20" s="153">
        <v>16.309999999999999</v>
      </c>
      <c r="AK20" s="154"/>
      <c r="AL20" s="155">
        <v>5.18</v>
      </c>
      <c r="AM20" s="478">
        <f t="shared" si="23"/>
        <v>25.450000000000003</v>
      </c>
      <c r="AN20" s="126">
        <f t="shared" si="24"/>
        <v>0.2</v>
      </c>
      <c r="AO20" s="157" t="s">
        <v>348</v>
      </c>
      <c r="AP20" s="156">
        <v>8.09</v>
      </c>
      <c r="AQ20" s="156">
        <v>8.59</v>
      </c>
      <c r="AR20" s="149"/>
      <c r="AS20" s="149">
        <v>7.42</v>
      </c>
      <c r="AT20" s="149">
        <v>127.25</v>
      </c>
      <c r="AU20" s="149">
        <v>1.55</v>
      </c>
      <c r="AV20" s="149"/>
      <c r="AW20" s="149"/>
      <c r="AX20" s="158">
        <f t="shared" si="6"/>
        <v>0</v>
      </c>
      <c r="AY20" s="125">
        <f t="shared" si="7"/>
        <v>98.169999999999987</v>
      </c>
      <c r="AZ20" s="125">
        <f t="shared" si="25"/>
        <v>90.883691365300308</v>
      </c>
      <c r="BA20" s="159">
        <f t="shared" si="8"/>
        <v>4.1039915492957748</v>
      </c>
      <c r="BB20" s="160">
        <f t="shared" si="9"/>
        <v>3.9267999999999996</v>
      </c>
      <c r="BC20" s="161">
        <f t="shared" si="10"/>
        <v>0.95767077112716414</v>
      </c>
      <c r="BD20" s="160">
        <f t="shared" si="26"/>
        <v>8.030791549295774</v>
      </c>
      <c r="BE20" s="162">
        <v>0.88700000000000001</v>
      </c>
      <c r="BF20" s="25">
        <f t="shared" si="27"/>
        <v>1337.8100000000002</v>
      </c>
      <c r="BG20" s="25">
        <f t="shared" si="11"/>
        <v>108.06451612903226</v>
      </c>
      <c r="BH20" s="25">
        <f t="shared" si="28"/>
        <v>1512.903225806451</v>
      </c>
      <c r="BI20" s="26">
        <f t="shared" si="12"/>
        <v>1</v>
      </c>
      <c r="BJ20" s="37">
        <f t="shared" si="29"/>
        <v>1512.903225806451</v>
      </c>
      <c r="BK20" s="38">
        <v>136.923</v>
      </c>
      <c r="BL20" s="31"/>
      <c r="BM20" s="31">
        <v>45.698999999999998</v>
      </c>
      <c r="BN20" s="234"/>
      <c r="BO20" s="42"/>
      <c r="BP20" s="40">
        <v>8.5839999999999996</v>
      </c>
      <c r="BQ20" s="411">
        <v>16.602</v>
      </c>
      <c r="BR20" s="33">
        <v>0.38</v>
      </c>
      <c r="BS20" s="34"/>
      <c r="BT20" s="35">
        <v>0.18</v>
      </c>
      <c r="BU20" s="28"/>
      <c r="BV20" s="287"/>
      <c r="BW20" s="287">
        <v>0.78</v>
      </c>
      <c r="BX20" s="36"/>
      <c r="BY20" s="33">
        <v>37.71</v>
      </c>
      <c r="BZ20" s="34"/>
      <c r="CA20" s="35">
        <v>37.770000000000003</v>
      </c>
      <c r="CB20" s="405"/>
      <c r="CC20" s="404"/>
      <c r="CD20" s="235">
        <v>31.05</v>
      </c>
      <c r="CE20" s="413">
        <v>43.9</v>
      </c>
      <c r="CF20" s="30">
        <v>87.397000000000006</v>
      </c>
      <c r="CG20" s="30">
        <v>41.497999999999998</v>
      </c>
      <c r="CH20" s="31"/>
      <c r="CI20" s="32"/>
      <c r="CJ20" s="33">
        <v>1.41</v>
      </c>
      <c r="CK20" s="33">
        <v>1.41</v>
      </c>
      <c r="CL20" s="35"/>
      <c r="CM20" s="36"/>
      <c r="CN20" s="286"/>
      <c r="CO20" s="249">
        <f t="shared" si="13"/>
        <v>136.40269260000002</v>
      </c>
      <c r="CP20" s="12">
        <f t="shared" si="13"/>
        <v>0</v>
      </c>
      <c r="CQ20" s="12">
        <f t="shared" si="13"/>
        <v>45.6167418</v>
      </c>
      <c r="CR20" s="12">
        <f t="shared" si="13"/>
        <v>0</v>
      </c>
      <c r="CS20" s="11">
        <f t="shared" si="13"/>
        <v>0</v>
      </c>
      <c r="CT20" s="11">
        <f t="shared" si="13"/>
        <v>8.517044799999999</v>
      </c>
      <c r="CU20" s="272">
        <f t="shared" si="13"/>
        <v>16.602</v>
      </c>
      <c r="CV20" s="249">
        <f t="shared" si="14"/>
        <v>86.164702300000002</v>
      </c>
      <c r="CW20" s="12">
        <f t="shared" si="14"/>
        <v>40.912878199999994</v>
      </c>
      <c r="CX20" s="249">
        <f t="shared" si="14"/>
        <v>0</v>
      </c>
      <c r="CY20" s="272">
        <f t="shared" si="14"/>
        <v>0</v>
      </c>
      <c r="CZ20" s="13"/>
      <c r="DA20" s="240">
        <f>(D20+'[2]июль 20'!D20)/(AY20+'[2]июль 20'!BA20)</f>
        <v>2.099347011464245</v>
      </c>
      <c r="DB20" s="241">
        <f>(T20+'[2]июль 20'!R20)/(AY20+'[2]июль 20'!BA20)</f>
        <v>1.3343714657167736</v>
      </c>
      <c r="DD20" s="292">
        <f t="shared" si="15"/>
        <v>8.2249999999999996</v>
      </c>
      <c r="DE20" s="291">
        <v>0.1</v>
      </c>
      <c r="DF20" s="407">
        <v>13</v>
      </c>
      <c r="DG20" s="145">
        <f t="shared" si="16"/>
        <v>8.2167750000000002</v>
      </c>
      <c r="DH20" s="293">
        <f t="shared" si="30"/>
        <v>1.3932186644058953</v>
      </c>
      <c r="DJ20" s="322"/>
    </row>
    <row r="21" spans="1:114" s="76" customFormat="1" ht="16.5" customHeight="1" thickBot="1">
      <c r="A21" s="144">
        <v>15</v>
      </c>
      <c r="B21" s="122">
        <f>'[1]июль 20'!K20</f>
        <v>222.01300000000001</v>
      </c>
      <c r="C21" s="123">
        <f t="shared" si="17"/>
        <v>0.41802353916212109</v>
      </c>
      <c r="D21" s="145">
        <f t="shared" si="18"/>
        <v>221.08493340000001</v>
      </c>
      <c r="E21" s="125">
        <f t="shared" si="19"/>
        <v>37.208199745059972</v>
      </c>
      <c r="F21" s="146">
        <f t="shared" si="0"/>
        <v>2.412800757393867</v>
      </c>
      <c r="G21" s="127"/>
      <c r="H21" s="126">
        <f t="shared" si="20"/>
        <v>2.2176790723562148</v>
      </c>
      <c r="I21" s="230">
        <f>'[1]июль 20'!AI20</f>
        <v>0</v>
      </c>
      <c r="J21" s="247">
        <f>'[1]июль 20'!AA20</f>
        <v>9.0169999999999995</v>
      </c>
      <c r="K21" s="465">
        <f>'[1]сентябрь 20'!AM20</f>
        <v>0</v>
      </c>
      <c r="L21" s="247">
        <f>'[1]июль 20'!AE20</f>
        <v>17.879000000000001</v>
      </c>
      <c r="M21" s="469">
        <f t="shared" si="21"/>
        <v>0.19512168503765145</v>
      </c>
      <c r="N21" s="403">
        <f>'[1]июль 20'!W20</f>
        <v>0</v>
      </c>
      <c r="O21" s="403">
        <f>'[1]июль 20'!AU20</f>
        <v>0</v>
      </c>
      <c r="P21" s="401">
        <f t="shared" si="1"/>
        <v>138.80000000000001</v>
      </c>
      <c r="Q21" s="122">
        <f>'[1]июль 20'!S20</f>
        <v>138.80000000000001</v>
      </c>
      <c r="R21" s="123">
        <f t="shared" si="22"/>
        <v>1.39</v>
      </c>
      <c r="S21" s="129">
        <v>2.15</v>
      </c>
      <c r="T21" s="125">
        <f t="shared" si="2"/>
        <v>136.87068000000002</v>
      </c>
      <c r="U21" s="147">
        <f t="shared" si="3"/>
        <v>1.4937321837826043</v>
      </c>
      <c r="V21" s="130">
        <v>91.63</v>
      </c>
      <c r="W21" s="130">
        <v>72</v>
      </c>
      <c r="X21" s="129">
        <v>0.73</v>
      </c>
      <c r="Y21" s="131">
        <v>568</v>
      </c>
      <c r="Z21" s="150">
        <v>1150</v>
      </c>
      <c r="AA21" s="168" t="s">
        <v>280</v>
      </c>
      <c r="AB21" s="149">
        <v>76.27</v>
      </c>
      <c r="AC21" s="150">
        <v>89</v>
      </c>
      <c r="AD21" s="151">
        <v>4</v>
      </c>
      <c r="AE21" s="149"/>
      <c r="AF21" s="134">
        <f t="shared" si="4"/>
        <v>0</v>
      </c>
      <c r="AG21" s="152"/>
      <c r="AH21" s="129">
        <v>55.5</v>
      </c>
      <c r="AI21" s="134">
        <f t="shared" si="5"/>
        <v>605.69682418421917</v>
      </c>
      <c r="AJ21" s="136">
        <v>15.44</v>
      </c>
      <c r="AK21" s="154"/>
      <c r="AL21" s="155">
        <v>4.8</v>
      </c>
      <c r="AM21" s="478">
        <f t="shared" si="23"/>
        <v>23.790000000000003</v>
      </c>
      <c r="AN21" s="126">
        <f t="shared" si="24"/>
        <v>0.2</v>
      </c>
      <c r="AO21" s="157" t="s">
        <v>349</v>
      </c>
      <c r="AP21" s="156">
        <v>8.35</v>
      </c>
      <c r="AQ21" s="156">
        <v>8.06</v>
      </c>
      <c r="AR21" s="149"/>
      <c r="AS21" s="149">
        <v>6.74</v>
      </c>
      <c r="AT21" s="149">
        <v>118.95</v>
      </c>
      <c r="AU21" s="149">
        <v>1.27</v>
      </c>
      <c r="AV21" s="149"/>
      <c r="AW21" s="149"/>
      <c r="AX21" s="158">
        <f t="shared" si="6"/>
        <v>0</v>
      </c>
      <c r="AY21" s="125">
        <f t="shared" si="7"/>
        <v>91.63</v>
      </c>
      <c r="AZ21" s="125">
        <f t="shared" si="25"/>
        <v>95.551406153258569</v>
      </c>
      <c r="BA21" s="159">
        <f t="shared" si="8"/>
        <v>2.8977253521126758</v>
      </c>
      <c r="BB21" s="160">
        <f t="shared" si="9"/>
        <v>3.6652</v>
      </c>
      <c r="BC21" s="161">
        <f t="shared" si="10"/>
        <v>0.84955916214430294</v>
      </c>
      <c r="BD21" s="160">
        <f t="shared" si="26"/>
        <v>6.5629253521126758</v>
      </c>
      <c r="BE21" s="162">
        <v>0.88400000000000001</v>
      </c>
      <c r="BF21" s="25">
        <f t="shared" si="27"/>
        <v>1429.44</v>
      </c>
      <c r="BG21" s="25">
        <f t="shared" si="11"/>
        <v>108.06451612903226</v>
      </c>
      <c r="BH21" s="25">
        <f t="shared" si="28"/>
        <v>1620.9677419354832</v>
      </c>
      <c r="BI21" s="26">
        <f t="shared" si="12"/>
        <v>1</v>
      </c>
      <c r="BJ21" s="37">
        <f t="shared" si="29"/>
        <v>1620.9677419354832</v>
      </c>
      <c r="BK21" s="38">
        <v>146.46199999999999</v>
      </c>
      <c r="BL21" s="31"/>
      <c r="BM21" s="31">
        <v>48.963999999999999</v>
      </c>
      <c r="BN21" s="234"/>
      <c r="BO21" s="42"/>
      <c r="BP21" s="40">
        <v>8.7080000000000002</v>
      </c>
      <c r="BQ21" s="411">
        <v>17.879000000000001</v>
      </c>
      <c r="BR21" s="33">
        <v>0.53</v>
      </c>
      <c r="BS21" s="34"/>
      <c r="BT21" s="35">
        <v>0.15</v>
      </c>
      <c r="BU21" s="35"/>
      <c r="BV21" s="235"/>
      <c r="BW21" s="235">
        <v>0.9</v>
      </c>
      <c r="BX21" s="36"/>
      <c r="BY21" s="33">
        <v>37.1</v>
      </c>
      <c r="BZ21" s="34"/>
      <c r="CA21" s="35">
        <v>36.5</v>
      </c>
      <c r="CB21" s="405"/>
      <c r="CC21" s="404"/>
      <c r="CD21" s="235">
        <v>30.4</v>
      </c>
      <c r="CE21" s="413">
        <v>43.35</v>
      </c>
      <c r="CF21" s="30">
        <v>94.299000000000007</v>
      </c>
      <c r="CG21" s="30">
        <v>44.500999999999998</v>
      </c>
      <c r="CH21" s="31"/>
      <c r="CI21" s="32"/>
      <c r="CJ21" s="33">
        <v>1.39</v>
      </c>
      <c r="CK21" s="33">
        <v>1.39</v>
      </c>
      <c r="CL21" s="35"/>
      <c r="CM21" s="36"/>
      <c r="CN21" s="286"/>
      <c r="CO21" s="249">
        <f t="shared" si="13"/>
        <v>145.68575139999999</v>
      </c>
      <c r="CP21" s="12">
        <f t="shared" si="13"/>
        <v>0</v>
      </c>
      <c r="CQ21" s="12">
        <f t="shared" si="13"/>
        <v>48.890553999999995</v>
      </c>
      <c r="CR21" s="12">
        <f t="shared" si="13"/>
        <v>0</v>
      </c>
      <c r="CS21" s="11">
        <f t="shared" si="13"/>
        <v>0</v>
      </c>
      <c r="CT21" s="11">
        <f t="shared" si="13"/>
        <v>8.6296280000000003</v>
      </c>
      <c r="CU21" s="272">
        <f t="shared" si="13"/>
        <v>17.879000000000001</v>
      </c>
      <c r="CV21" s="249">
        <f t="shared" si="14"/>
        <v>92.988243900000001</v>
      </c>
      <c r="CW21" s="12">
        <f t="shared" si="14"/>
        <v>43.8824361</v>
      </c>
      <c r="CX21" s="249">
        <f t="shared" si="14"/>
        <v>0</v>
      </c>
      <c r="CY21" s="272">
        <f t="shared" si="14"/>
        <v>0</v>
      </c>
      <c r="CZ21" s="13"/>
      <c r="DA21" s="240">
        <f>(D21+'[2]июль 20'!D21)/(AY21+'[2]июль 20'!BA21)</f>
        <v>2.3650424478651351</v>
      </c>
      <c r="DB21" s="241">
        <f>(T21+'[2]июль 20'!R21)/(AY21+'[2]июль 20'!BA21)</f>
        <v>1.5034000628141848</v>
      </c>
      <c r="DD21" s="292">
        <f t="shared" si="15"/>
        <v>9.0169999999999995</v>
      </c>
      <c r="DE21" s="291">
        <v>0.05</v>
      </c>
      <c r="DF21" s="291">
        <v>11.79</v>
      </c>
      <c r="DG21" s="145">
        <f t="shared" si="16"/>
        <v>9.0124914999999994</v>
      </c>
      <c r="DH21" s="293">
        <f t="shared" si="30"/>
        <v>1.3931726076438966</v>
      </c>
      <c r="DJ21" s="322"/>
    </row>
    <row r="22" spans="1:114" s="76" customFormat="1" ht="16.5" customHeight="1" thickBot="1">
      <c r="A22" s="144">
        <v>16</v>
      </c>
      <c r="B22" s="122">
        <f>'[1]июль 20'!K21</f>
        <v>212.93100000000001</v>
      </c>
      <c r="C22" s="123">
        <f t="shared" si="17"/>
        <v>0.220372984675787</v>
      </c>
      <c r="D22" s="145">
        <f t="shared" si="18"/>
        <v>212.4617576</v>
      </c>
      <c r="E22" s="125">
        <f t="shared" si="19"/>
        <v>37.987184909665572</v>
      </c>
      <c r="F22" s="146">
        <f t="shared" si="0"/>
        <v>2.2402125432307041</v>
      </c>
      <c r="G22" s="127"/>
      <c r="H22" s="126">
        <f t="shared" si="20"/>
        <v>2.056608578658794</v>
      </c>
      <c r="I22" s="230">
        <f>'[1]июль 20'!AI21</f>
        <v>0</v>
      </c>
      <c r="J22" s="247">
        <f>'[1]июль 20'!AA21</f>
        <v>8.4280000000000008</v>
      </c>
      <c r="K22" s="464">
        <f>'[1]сентябрь 20'!AM21</f>
        <v>0</v>
      </c>
      <c r="L22" s="247">
        <f>'[1]июль 20'!AE21</f>
        <v>17.413</v>
      </c>
      <c r="M22" s="468">
        <f t="shared" si="21"/>
        <v>0.18360396457191058</v>
      </c>
      <c r="N22" s="403">
        <f>'[1]июль 20'!W21</f>
        <v>0</v>
      </c>
      <c r="O22" s="403">
        <f>'[1]июль 20'!AU21</f>
        <v>0</v>
      </c>
      <c r="P22" s="401">
        <f t="shared" si="1"/>
        <v>131.417</v>
      </c>
      <c r="Q22" s="122">
        <f>'[1]июль 20'!S21</f>
        <v>131.417</v>
      </c>
      <c r="R22" s="123">
        <f t="shared" si="22"/>
        <v>1.39</v>
      </c>
      <c r="S22" s="129">
        <v>1.65</v>
      </c>
      <c r="T22" s="125">
        <f t="shared" si="2"/>
        <v>129.59030369999999</v>
      </c>
      <c r="U22" s="147">
        <f t="shared" si="3"/>
        <v>1.3664097817376633</v>
      </c>
      <c r="V22" s="130">
        <v>94.84</v>
      </c>
      <c r="W22" s="130">
        <v>70.989999999999995</v>
      </c>
      <c r="X22" s="129">
        <v>0.63</v>
      </c>
      <c r="Y22" s="131">
        <v>573</v>
      </c>
      <c r="Z22" s="150">
        <v>1157</v>
      </c>
      <c r="AA22" s="148" t="s">
        <v>330</v>
      </c>
      <c r="AB22" s="149">
        <v>76.456000000000003</v>
      </c>
      <c r="AC22" s="150">
        <v>85</v>
      </c>
      <c r="AD22" s="151">
        <v>4</v>
      </c>
      <c r="AE22" s="149"/>
      <c r="AF22" s="134">
        <f t="shared" si="4"/>
        <v>0</v>
      </c>
      <c r="AG22" s="152"/>
      <c r="AH22" s="129">
        <v>69.2</v>
      </c>
      <c r="AI22" s="134">
        <f t="shared" si="5"/>
        <v>729.64993673555466</v>
      </c>
      <c r="AJ22" s="153">
        <v>16.07</v>
      </c>
      <c r="AK22" s="154"/>
      <c r="AL22" s="155">
        <v>5.17</v>
      </c>
      <c r="AM22" s="478">
        <f t="shared" si="23"/>
        <v>24.66</v>
      </c>
      <c r="AN22" s="126">
        <f t="shared" si="24"/>
        <v>0.2</v>
      </c>
      <c r="AO22" s="157" t="s">
        <v>350</v>
      </c>
      <c r="AP22" s="156">
        <v>8.1300000000000008</v>
      </c>
      <c r="AQ22" s="156">
        <v>8.35</v>
      </c>
      <c r="AR22" s="151"/>
      <c r="AS22" s="149">
        <v>7.42</v>
      </c>
      <c r="AT22" s="149">
        <v>123.3</v>
      </c>
      <c r="AU22" s="149">
        <v>1.37</v>
      </c>
      <c r="AV22" s="149"/>
      <c r="AW22" s="149"/>
      <c r="AX22" s="158">
        <f t="shared" si="6"/>
        <v>0</v>
      </c>
      <c r="AY22" s="125">
        <f t="shared" si="7"/>
        <v>94.84</v>
      </c>
      <c r="AZ22" s="125">
        <f t="shared" si="25"/>
        <v>92.862764621643947</v>
      </c>
      <c r="BA22" s="159">
        <f t="shared" si="8"/>
        <v>3.9775380281690147</v>
      </c>
      <c r="BB22" s="160">
        <f t="shared" si="9"/>
        <v>3.7936000000000001</v>
      </c>
      <c r="BC22" s="161">
        <f t="shared" si="10"/>
        <v>0.89843205292889683</v>
      </c>
      <c r="BD22" s="160">
        <f t="shared" si="26"/>
        <v>7.7711380281690143</v>
      </c>
      <c r="BE22" s="162">
        <v>0.88500000000000001</v>
      </c>
      <c r="BF22" s="25">
        <f t="shared" si="27"/>
        <v>1524.28</v>
      </c>
      <c r="BG22" s="25">
        <f t="shared" si="11"/>
        <v>108.06451612903226</v>
      </c>
      <c r="BH22" s="25">
        <f t="shared" si="28"/>
        <v>1729.0322580645154</v>
      </c>
      <c r="BI22" s="26">
        <f t="shared" si="12"/>
        <v>1</v>
      </c>
      <c r="BJ22" s="37">
        <f t="shared" si="29"/>
        <v>1729.0322580645154</v>
      </c>
      <c r="BK22" s="38">
        <v>140.24600000000001</v>
      </c>
      <c r="BL22" s="31"/>
      <c r="BM22" s="31">
        <v>46.786000000000001</v>
      </c>
      <c r="BN22" s="234"/>
      <c r="BO22" s="42"/>
      <c r="BP22" s="40">
        <v>8.4860000000000007</v>
      </c>
      <c r="BQ22" s="411">
        <v>17.413</v>
      </c>
      <c r="BR22" s="33">
        <v>0.16</v>
      </c>
      <c r="BS22" s="34"/>
      <c r="BT22" s="35">
        <v>0.4</v>
      </c>
      <c r="BU22" s="35"/>
      <c r="BV22" s="235"/>
      <c r="BW22" s="235">
        <v>0.68</v>
      </c>
      <c r="BX22" s="36"/>
      <c r="BY22" s="33">
        <v>37.43</v>
      </c>
      <c r="BZ22" s="34"/>
      <c r="CA22" s="35">
        <v>38.21</v>
      </c>
      <c r="CB22" s="405"/>
      <c r="CC22" s="404"/>
      <c r="CD22" s="235">
        <v>34.06</v>
      </c>
      <c r="CE22" s="413">
        <v>43.79</v>
      </c>
      <c r="CF22" s="30">
        <v>88.918999999999997</v>
      </c>
      <c r="CG22" s="30">
        <v>42.497999999999998</v>
      </c>
      <c r="CH22" s="31"/>
      <c r="CI22" s="32"/>
      <c r="CJ22" s="33">
        <v>1.39</v>
      </c>
      <c r="CK22" s="33">
        <v>1.39</v>
      </c>
      <c r="CL22" s="35"/>
      <c r="CM22" s="36"/>
      <c r="CN22" s="286"/>
      <c r="CO22" s="249">
        <f t="shared" si="13"/>
        <v>140.02160640000002</v>
      </c>
      <c r="CP22" s="12">
        <f t="shared" si="13"/>
        <v>0</v>
      </c>
      <c r="CQ22" s="12">
        <f t="shared" si="13"/>
        <v>46.598855999999998</v>
      </c>
      <c r="CR22" s="12">
        <f t="shared" si="13"/>
        <v>0</v>
      </c>
      <c r="CS22" s="11">
        <f t="shared" si="13"/>
        <v>0</v>
      </c>
      <c r="CT22" s="11">
        <f t="shared" si="13"/>
        <v>8.4282952000000009</v>
      </c>
      <c r="CU22" s="272">
        <f t="shared" si="13"/>
        <v>17.413</v>
      </c>
      <c r="CV22" s="249">
        <f t="shared" si="14"/>
        <v>87.68302589999999</v>
      </c>
      <c r="CW22" s="12">
        <f t="shared" si="14"/>
        <v>41.907277799999996</v>
      </c>
      <c r="CX22" s="249">
        <f t="shared" si="14"/>
        <v>0</v>
      </c>
      <c r="CY22" s="272">
        <f t="shared" si="14"/>
        <v>0</v>
      </c>
      <c r="CZ22" s="13"/>
      <c r="DA22" s="240">
        <f>(D22+'[2]июль 20'!D22)/(AY22+'[2]июль 20'!BA22)</f>
        <v>2.250423028593219</v>
      </c>
      <c r="DB22" s="241">
        <f>(T22+'[2]июль 20'!R22)/(AY22+'[2]июль 20'!BA22)</f>
        <v>1.4115465207201801</v>
      </c>
      <c r="DD22" s="292">
        <f t="shared" si="15"/>
        <v>8.4280000000000008</v>
      </c>
      <c r="DE22" s="291">
        <v>0.04</v>
      </c>
      <c r="DF22" s="291">
        <v>6.42</v>
      </c>
      <c r="DG22" s="145">
        <f t="shared" si="16"/>
        <v>8.4246288000000007</v>
      </c>
      <c r="DH22" s="293">
        <f t="shared" si="30"/>
        <v>0.70741494318300724</v>
      </c>
      <c r="DJ22" s="322"/>
    </row>
    <row r="23" spans="1:114" s="76" customFormat="1" ht="16.5" customHeight="1" thickBot="1">
      <c r="A23" s="144">
        <v>17</v>
      </c>
      <c r="B23" s="122">
        <f>'[1]июль 20'!K22</f>
        <v>195.047</v>
      </c>
      <c r="C23" s="123">
        <f t="shared" si="17"/>
        <v>0.32827820986736528</v>
      </c>
      <c r="D23" s="145">
        <f t="shared" si="18"/>
        <v>194.40670320000001</v>
      </c>
      <c r="E23" s="125">
        <f t="shared" si="19"/>
        <v>37.660274139053669</v>
      </c>
      <c r="F23" s="146">
        <f t="shared" si="0"/>
        <v>2.0166670456431537</v>
      </c>
      <c r="G23" s="127"/>
      <c r="H23" s="126">
        <f t="shared" si="20"/>
        <v>1.8544160082987551</v>
      </c>
      <c r="I23" s="230">
        <f>'[1]июль 20'!AI22</f>
        <v>0</v>
      </c>
      <c r="J23" s="247">
        <f>'[1]июль 20'!AA22</f>
        <v>8.0190000000000001</v>
      </c>
      <c r="K23" s="465">
        <f>'[1]сентябрь 20'!AM22</f>
        <v>0</v>
      </c>
      <c r="L23" s="247">
        <f>'[1]июль 20'!AE22</f>
        <v>15.641</v>
      </c>
      <c r="M23" s="469">
        <f t="shared" si="21"/>
        <v>0.16225103734439833</v>
      </c>
      <c r="N23" s="403">
        <f>'[1]июль 20'!W22</f>
        <v>0</v>
      </c>
      <c r="O23" s="403">
        <f>'[1]июль 20'!AU22</f>
        <v>0</v>
      </c>
      <c r="P23" s="401">
        <f t="shared" si="1"/>
        <v>120.92000000000002</v>
      </c>
      <c r="Q23" s="122">
        <f>'[1]июль 20'!S22</f>
        <v>120.92</v>
      </c>
      <c r="R23" s="123">
        <f t="shared" si="22"/>
        <v>1.45</v>
      </c>
      <c r="S23" s="129">
        <v>16.78</v>
      </c>
      <c r="T23" s="125">
        <f t="shared" si="2"/>
        <v>119.16665999999999</v>
      </c>
      <c r="U23" s="147">
        <f t="shared" si="3"/>
        <v>1.23616867219917</v>
      </c>
      <c r="V23" s="130">
        <v>96.4</v>
      </c>
      <c r="W23" s="130">
        <v>96.4</v>
      </c>
      <c r="X23" s="129">
        <v>0.7</v>
      </c>
      <c r="Y23" s="131">
        <v>545</v>
      </c>
      <c r="Z23" s="150">
        <v>1150</v>
      </c>
      <c r="AA23" s="148" t="s">
        <v>280</v>
      </c>
      <c r="AB23" s="149">
        <v>76.19</v>
      </c>
      <c r="AC23" s="150">
        <v>78</v>
      </c>
      <c r="AD23" s="151">
        <v>4</v>
      </c>
      <c r="AE23" s="149"/>
      <c r="AF23" s="134">
        <f t="shared" si="4"/>
        <v>0</v>
      </c>
      <c r="AG23" s="152"/>
      <c r="AH23" s="129">
        <v>61.6</v>
      </c>
      <c r="AI23" s="134">
        <f t="shared" si="5"/>
        <v>639.00414937759331</v>
      </c>
      <c r="AJ23" s="136">
        <v>15.31</v>
      </c>
      <c r="AK23" s="154"/>
      <c r="AL23" s="155">
        <v>5.74</v>
      </c>
      <c r="AM23" s="478">
        <f t="shared" si="23"/>
        <v>25.230000000000004</v>
      </c>
      <c r="AN23" s="126">
        <f t="shared" si="24"/>
        <v>0.2</v>
      </c>
      <c r="AO23" s="157" t="s">
        <v>351</v>
      </c>
      <c r="AP23" s="156">
        <v>8.31</v>
      </c>
      <c r="AQ23" s="156">
        <v>8.24</v>
      </c>
      <c r="AR23" s="151"/>
      <c r="AS23" s="149">
        <v>6.64</v>
      </c>
      <c r="AT23" s="149">
        <v>126.15</v>
      </c>
      <c r="AU23" s="149">
        <v>1.22</v>
      </c>
      <c r="AV23" s="149"/>
      <c r="AW23" s="149"/>
      <c r="AX23" s="158">
        <f t="shared" si="6"/>
        <v>0</v>
      </c>
      <c r="AY23" s="125">
        <f t="shared" si="7"/>
        <v>96.4</v>
      </c>
      <c r="AZ23" s="125">
        <f t="shared" si="25"/>
        <v>84.813970315513501</v>
      </c>
      <c r="BA23" s="159">
        <f t="shared" si="8"/>
        <v>3.1684957746478868</v>
      </c>
      <c r="BB23" s="160">
        <f t="shared" si="9"/>
        <v>3.8560000000000003</v>
      </c>
      <c r="BC23" s="161">
        <f t="shared" si="10"/>
        <v>1.0031833026501213</v>
      </c>
      <c r="BD23" s="160">
        <f t="shared" si="26"/>
        <v>7.0244957746478871</v>
      </c>
      <c r="BE23" s="162">
        <v>0.89200000000000002</v>
      </c>
      <c r="BF23" s="25">
        <f t="shared" si="27"/>
        <v>1620.68</v>
      </c>
      <c r="BG23" s="25">
        <f t="shared" si="11"/>
        <v>108.06451612903226</v>
      </c>
      <c r="BH23" s="25">
        <f t="shared" si="28"/>
        <v>1837.0967741935476</v>
      </c>
      <c r="BI23" s="26">
        <f t="shared" si="12"/>
        <v>1</v>
      </c>
      <c r="BJ23" s="37">
        <f t="shared" si="29"/>
        <v>1837.0967741935476</v>
      </c>
      <c r="BK23" s="38">
        <v>128.59700000000001</v>
      </c>
      <c r="BL23" s="31"/>
      <c r="BM23" s="31">
        <v>42.984000000000002</v>
      </c>
      <c r="BN23" s="234"/>
      <c r="BO23" s="42"/>
      <c r="BP23" s="40">
        <v>7.8250000000000002</v>
      </c>
      <c r="BQ23" s="411">
        <v>15.641</v>
      </c>
      <c r="BR23" s="33">
        <v>0.3</v>
      </c>
      <c r="BS23" s="34"/>
      <c r="BT23" s="35">
        <v>0.37</v>
      </c>
      <c r="BU23" s="35"/>
      <c r="BV23" s="235"/>
      <c r="BW23" s="235">
        <v>1.22</v>
      </c>
      <c r="BX23" s="36"/>
      <c r="BY23" s="33">
        <v>37.49</v>
      </c>
      <c r="BZ23" s="34"/>
      <c r="CA23" s="35">
        <v>37.369999999999997</v>
      </c>
      <c r="CB23" s="405"/>
      <c r="CC23" s="404"/>
      <c r="CD23" s="235">
        <v>31.02</v>
      </c>
      <c r="CE23" s="413">
        <v>43.18</v>
      </c>
      <c r="CF23" s="30">
        <v>81.912000000000006</v>
      </c>
      <c r="CG23" s="30">
        <v>39.008000000000003</v>
      </c>
      <c r="CH23" s="31"/>
      <c r="CI23" s="32"/>
      <c r="CJ23" s="33">
        <v>1.45</v>
      </c>
      <c r="CK23" s="33">
        <v>1.45</v>
      </c>
      <c r="CL23" s="35"/>
      <c r="CM23" s="36"/>
      <c r="CN23" s="286"/>
      <c r="CO23" s="249">
        <f t="shared" ref="CO23:CU37" si="31">BK23*((100-BR23)/100)</f>
        <v>128.211209</v>
      </c>
      <c r="CP23" s="12">
        <f t="shared" si="31"/>
        <v>0</v>
      </c>
      <c r="CQ23" s="12">
        <f t="shared" si="31"/>
        <v>42.824959200000002</v>
      </c>
      <c r="CR23" s="12">
        <f t="shared" si="31"/>
        <v>0</v>
      </c>
      <c r="CS23" s="11">
        <f t="shared" si="31"/>
        <v>0</v>
      </c>
      <c r="CT23" s="11">
        <f t="shared" si="31"/>
        <v>7.7295350000000003</v>
      </c>
      <c r="CU23" s="272">
        <f t="shared" si="31"/>
        <v>15.641</v>
      </c>
      <c r="CV23" s="249">
        <f t="shared" si="14"/>
        <v>80.724276000000003</v>
      </c>
      <c r="CW23" s="11">
        <f t="shared" si="14"/>
        <v>38.442383999999997</v>
      </c>
      <c r="CX23" s="249">
        <f t="shared" si="14"/>
        <v>0</v>
      </c>
      <c r="CY23" s="272">
        <f t="shared" si="14"/>
        <v>0</v>
      </c>
      <c r="CZ23" s="13"/>
      <c r="DA23" s="240">
        <f>(D23+'[2]июль 20'!D23)/(AY23+'[2]июль 20'!BA23)</f>
        <v>2.1046400852824898</v>
      </c>
      <c r="DB23" s="241">
        <f>(T23+'[2]июль 20'!R23)/(AY23+'[2]июль 20'!BA23)</f>
        <v>1.320595972412407</v>
      </c>
      <c r="DD23" s="292">
        <f t="shared" si="15"/>
        <v>8.0190000000000001</v>
      </c>
      <c r="DE23" s="291">
        <v>0.03</v>
      </c>
      <c r="DF23" s="291">
        <v>8.7799999999999994</v>
      </c>
      <c r="DG23" s="145">
        <f t="shared" si="16"/>
        <v>8.0165942999999995</v>
      </c>
      <c r="DH23" s="293">
        <f t="shared" si="30"/>
        <v>0.92381805950912166</v>
      </c>
      <c r="DJ23" s="322"/>
    </row>
    <row r="24" spans="1:114" s="76" customFormat="1" ht="16.5" customHeight="1" thickBot="1">
      <c r="A24" s="144">
        <v>18</v>
      </c>
      <c r="B24" s="122">
        <f>'[1]июль 20'!K23</f>
        <v>227.7</v>
      </c>
      <c r="C24" s="123">
        <f t="shared" si="17"/>
        <v>0.368122178304787</v>
      </c>
      <c r="D24" s="145">
        <f t="shared" si="18"/>
        <v>226.86178579999998</v>
      </c>
      <c r="E24" s="125">
        <f t="shared" si="19"/>
        <v>37.739286693017135</v>
      </c>
      <c r="F24" s="146">
        <f t="shared" si="0"/>
        <v>2.3565159011114574</v>
      </c>
      <c r="G24" s="127"/>
      <c r="H24" s="126">
        <f t="shared" si="20"/>
        <v>2.1656049215747375</v>
      </c>
      <c r="I24" s="230">
        <f>'[1]июль 20'!AI23</f>
        <v>0</v>
      </c>
      <c r="J24" s="247">
        <f>'[1]июль 20'!AA23</f>
        <v>8.9920000000000009</v>
      </c>
      <c r="K24" s="464">
        <f>'[1]сентябрь 20'!AM23</f>
        <v>0</v>
      </c>
      <c r="L24" s="247">
        <f>'[1]июль 20'!AE23</f>
        <v>18.379000000000001</v>
      </c>
      <c r="M24" s="468">
        <f t="shared" si="21"/>
        <v>0.19091097953671968</v>
      </c>
      <c r="N24" s="403">
        <f>'[1]июль 20'!W23</f>
        <v>0</v>
      </c>
      <c r="O24" s="403">
        <f>'[1]июль 20'!AU23</f>
        <v>0</v>
      </c>
      <c r="P24" s="401">
        <f t="shared" si="1"/>
        <v>141.13200000000001</v>
      </c>
      <c r="Q24" s="122">
        <f>'[1]июль 20'!S23</f>
        <v>141.13200000000001</v>
      </c>
      <c r="R24" s="123">
        <f t="shared" si="22"/>
        <v>1.4899999999999998</v>
      </c>
      <c r="S24" s="129">
        <v>19.72</v>
      </c>
      <c r="T24" s="125">
        <f t="shared" si="2"/>
        <v>139.02913320000002</v>
      </c>
      <c r="U24" s="147">
        <f t="shared" si="3"/>
        <v>1.4441584418822064</v>
      </c>
      <c r="V24" s="130">
        <v>96.27</v>
      </c>
      <c r="W24" s="130">
        <v>96.27</v>
      </c>
      <c r="X24" s="129">
        <v>0.55000000000000004</v>
      </c>
      <c r="Y24" s="150">
        <v>547</v>
      </c>
      <c r="Z24" s="150">
        <v>1150</v>
      </c>
      <c r="AA24" s="148" t="s">
        <v>352</v>
      </c>
      <c r="AB24" s="149">
        <v>76.22</v>
      </c>
      <c r="AC24" s="150">
        <v>91</v>
      </c>
      <c r="AD24" s="151">
        <v>4</v>
      </c>
      <c r="AE24" s="149"/>
      <c r="AF24" s="134">
        <f t="shared" si="4"/>
        <v>0</v>
      </c>
      <c r="AG24" s="152"/>
      <c r="AH24" s="129">
        <v>68.5</v>
      </c>
      <c r="AI24" s="134">
        <f t="shared" si="5"/>
        <v>711.54045912537651</v>
      </c>
      <c r="AJ24" s="153">
        <v>15.63</v>
      </c>
      <c r="AK24" s="154"/>
      <c r="AL24" s="155">
        <v>4.83</v>
      </c>
      <c r="AM24" s="478">
        <f t="shared" si="23"/>
        <v>24.880000000000003</v>
      </c>
      <c r="AN24" s="126">
        <f t="shared" si="24"/>
        <v>0.2</v>
      </c>
      <c r="AO24" s="157" t="s">
        <v>353</v>
      </c>
      <c r="AP24" s="156">
        <v>8.31</v>
      </c>
      <c r="AQ24" s="156">
        <v>8.83</v>
      </c>
      <c r="AR24" s="151"/>
      <c r="AS24" s="149">
        <v>6.96</v>
      </c>
      <c r="AT24" s="149">
        <v>124.4</v>
      </c>
      <c r="AU24" s="149">
        <v>1.58</v>
      </c>
      <c r="AV24" s="164"/>
      <c r="AW24" s="149"/>
      <c r="AX24" s="158">
        <f t="shared" si="6"/>
        <v>0</v>
      </c>
      <c r="AY24" s="125">
        <f t="shared" si="7"/>
        <v>96.27</v>
      </c>
      <c r="AZ24" s="125">
        <f t="shared" si="25"/>
        <v>99.226326978989064</v>
      </c>
      <c r="BA24" s="159">
        <f t="shared" si="8"/>
        <v>3.6932112676056335</v>
      </c>
      <c r="BB24" s="160">
        <f t="shared" si="9"/>
        <v>3.8508</v>
      </c>
      <c r="BC24" s="161">
        <f t="shared" si="10"/>
        <v>0.8570474803998861</v>
      </c>
      <c r="BD24" s="160">
        <f t="shared" si="26"/>
        <v>7.544011267605633</v>
      </c>
      <c r="BE24" s="162">
        <v>0.89</v>
      </c>
      <c r="BF24" s="25">
        <f t="shared" si="27"/>
        <v>1716.95</v>
      </c>
      <c r="BG24" s="25">
        <f t="shared" si="11"/>
        <v>108.06451612903226</v>
      </c>
      <c r="BH24" s="25">
        <f t="shared" si="28"/>
        <v>1945.1612903225798</v>
      </c>
      <c r="BI24" s="26">
        <f t="shared" si="12"/>
        <v>1</v>
      </c>
      <c r="BJ24" s="37">
        <f t="shared" si="29"/>
        <v>1945.1612903225798</v>
      </c>
      <c r="BK24" s="38">
        <v>150.179</v>
      </c>
      <c r="BL24" s="31"/>
      <c r="BM24" s="31">
        <v>50.040999999999997</v>
      </c>
      <c r="BN24" s="234"/>
      <c r="BO24" s="42"/>
      <c r="BP24" s="40">
        <v>9.1010000000000009</v>
      </c>
      <c r="BQ24" s="411">
        <v>18.379000000000001</v>
      </c>
      <c r="BR24" s="33">
        <v>0.41</v>
      </c>
      <c r="BS24" s="34"/>
      <c r="BT24" s="35">
        <v>0.27</v>
      </c>
      <c r="BU24" s="35"/>
      <c r="BV24" s="235"/>
      <c r="BW24" s="235">
        <v>0.96</v>
      </c>
      <c r="BX24" s="36"/>
      <c r="BY24" s="33">
        <v>37.159999999999997</v>
      </c>
      <c r="BZ24" s="34"/>
      <c r="CA24" s="35">
        <v>38.17</v>
      </c>
      <c r="CB24" s="405"/>
      <c r="CC24" s="404"/>
      <c r="CD24" s="235">
        <v>32.61</v>
      </c>
      <c r="CE24" s="413">
        <v>43.84</v>
      </c>
      <c r="CF24" s="30">
        <v>95.625</v>
      </c>
      <c r="CG24" s="30">
        <v>45.506999999999998</v>
      </c>
      <c r="CH24" s="31"/>
      <c r="CI24" s="32"/>
      <c r="CJ24" s="33">
        <v>1.49</v>
      </c>
      <c r="CK24" s="33">
        <v>1.49</v>
      </c>
      <c r="CL24" s="35"/>
      <c r="CM24" s="36"/>
      <c r="CN24" s="286"/>
      <c r="CO24" s="249">
        <f t="shared" si="31"/>
        <v>149.56326609999999</v>
      </c>
      <c r="CP24" s="12">
        <f t="shared" si="31"/>
        <v>0</v>
      </c>
      <c r="CQ24" s="12">
        <f t="shared" si="31"/>
        <v>49.905889299999998</v>
      </c>
      <c r="CR24" s="12">
        <f t="shared" si="31"/>
        <v>0</v>
      </c>
      <c r="CS24" s="11">
        <f t="shared" si="31"/>
        <v>0</v>
      </c>
      <c r="CT24" s="11">
        <f t="shared" si="31"/>
        <v>9.013630400000002</v>
      </c>
      <c r="CU24" s="272">
        <f t="shared" si="31"/>
        <v>18.379000000000001</v>
      </c>
      <c r="CV24" s="249">
        <f t="shared" si="14"/>
        <v>94.200187500000013</v>
      </c>
      <c r="CW24" s="12">
        <f t="shared" si="14"/>
        <v>44.828945699999998</v>
      </c>
      <c r="CX24" s="249">
        <f t="shared" si="14"/>
        <v>0</v>
      </c>
      <c r="CY24" s="272">
        <f t="shared" si="14"/>
        <v>0</v>
      </c>
      <c r="CZ24" s="13"/>
      <c r="DA24" s="240">
        <f>(D24+'[2]июль 20'!D24)/(AY24+'[2]июль 20'!BA24)</f>
        <v>2.1872360973011986</v>
      </c>
      <c r="DB24" s="241">
        <f>(T24+'[2]июль 20'!R24)/(AY24+'[2]июль 20'!BA24)</f>
        <v>1.3716313443555708</v>
      </c>
      <c r="DD24" s="292">
        <f t="shared" si="15"/>
        <v>8.9920000000000009</v>
      </c>
      <c r="DE24" s="291">
        <v>0.1</v>
      </c>
      <c r="DF24" s="291">
        <v>9.8800000000000008</v>
      </c>
      <c r="DG24" s="145">
        <f t="shared" si="16"/>
        <v>8.9830080000000017</v>
      </c>
      <c r="DH24" s="293">
        <f t="shared" si="30"/>
        <v>1.1644203495145635</v>
      </c>
      <c r="DJ24" s="322"/>
    </row>
    <row r="25" spans="1:114" s="76" customFormat="1" ht="16.5" customHeight="1" thickBot="1">
      <c r="A25" s="144">
        <v>19</v>
      </c>
      <c r="B25" s="122">
        <f>'[1]июль 20'!K24</f>
        <v>153.10599999999999</v>
      </c>
      <c r="C25" s="123">
        <f t="shared" si="17"/>
        <v>0.27366399749193371</v>
      </c>
      <c r="D25" s="145">
        <f t="shared" si="18"/>
        <v>152.687004</v>
      </c>
      <c r="E25" s="125">
        <f t="shared" si="19"/>
        <v>37.777555223178716</v>
      </c>
      <c r="F25" s="146">
        <f t="shared" si="0"/>
        <v>2.2090133680555555</v>
      </c>
      <c r="G25" s="127"/>
      <c r="H25" s="126">
        <f t="shared" si="20"/>
        <v>2.0284433449074073</v>
      </c>
      <c r="I25" s="230">
        <f>'[1]июль 20'!AI24</f>
        <v>0</v>
      </c>
      <c r="J25" s="247">
        <f>'[1]июль 20'!AA24</f>
        <v>6.2140000000000004</v>
      </c>
      <c r="K25" s="465">
        <f>'[1]сентябрь 20'!AM24</f>
        <v>0</v>
      </c>
      <c r="L25" s="247">
        <f>'[1]июль 20'!AE24</f>
        <v>12.481</v>
      </c>
      <c r="M25" s="469">
        <f t="shared" si="21"/>
        <v>0.18057002314814813</v>
      </c>
      <c r="N25" s="403">
        <f>'[1]июль 20'!W24</f>
        <v>0</v>
      </c>
      <c r="O25" s="403">
        <f>'[1]июль 20'!AU24</f>
        <v>0</v>
      </c>
      <c r="P25" s="401">
        <f t="shared" si="1"/>
        <v>96.51400000000001</v>
      </c>
      <c r="Q25" s="122">
        <f>'[1]июль 20'!S24</f>
        <v>96.513999999999996</v>
      </c>
      <c r="R25" s="123">
        <f>IF(Q25=0,0,(CI25*CM25+CG25*CK25+CH25*CL25+CF25*CJ25)/Q25)</f>
        <v>1.3600000000000003</v>
      </c>
      <c r="S25" s="129">
        <v>11.97</v>
      </c>
      <c r="T25" s="125">
        <f t="shared" si="2"/>
        <v>95.201409600000005</v>
      </c>
      <c r="U25" s="147">
        <f t="shared" si="3"/>
        <v>1.3773352083333332</v>
      </c>
      <c r="V25" s="130">
        <v>69.12</v>
      </c>
      <c r="W25" s="130">
        <v>69.12</v>
      </c>
      <c r="X25" s="129">
        <v>0.47</v>
      </c>
      <c r="Y25" s="150">
        <v>531</v>
      </c>
      <c r="Z25" s="150">
        <v>1082</v>
      </c>
      <c r="AA25" s="148" t="s">
        <v>273</v>
      </c>
      <c r="AB25" s="149">
        <v>75.37</v>
      </c>
      <c r="AC25" s="150">
        <v>59</v>
      </c>
      <c r="AD25" s="151">
        <v>4</v>
      </c>
      <c r="AE25" s="149"/>
      <c r="AF25" s="134">
        <f t="shared" si="4"/>
        <v>0</v>
      </c>
      <c r="AG25" s="152"/>
      <c r="AH25" s="129">
        <v>46.45</v>
      </c>
      <c r="AI25" s="134">
        <f t="shared" si="5"/>
        <v>672.01967592592598</v>
      </c>
      <c r="AJ25" s="136">
        <v>17.98</v>
      </c>
      <c r="AK25" s="154"/>
      <c r="AL25" s="155">
        <v>3.85</v>
      </c>
      <c r="AM25" s="478">
        <f t="shared" si="23"/>
        <v>17.98</v>
      </c>
      <c r="AN25" s="126">
        <f t="shared" si="24"/>
        <v>0.19999999999999998</v>
      </c>
      <c r="AO25" s="157" t="s">
        <v>354</v>
      </c>
      <c r="AP25" s="156">
        <v>8.09</v>
      </c>
      <c r="AQ25" s="156">
        <v>8.19</v>
      </c>
      <c r="AR25" s="152"/>
      <c r="AS25" s="149">
        <v>6.62</v>
      </c>
      <c r="AT25" s="149">
        <v>89.9</v>
      </c>
      <c r="AU25" s="149">
        <v>1.05</v>
      </c>
      <c r="AV25" s="164"/>
      <c r="AW25" s="149"/>
      <c r="AX25" s="158">
        <f t="shared" si="6"/>
        <v>0</v>
      </c>
      <c r="AY25" s="125">
        <f t="shared" si="7"/>
        <v>69.12</v>
      </c>
      <c r="AZ25" s="125">
        <f t="shared" si="25"/>
        <v>67.515403321862834</v>
      </c>
      <c r="BA25" s="159">
        <f t="shared" si="8"/>
        <v>2.3820345070422535</v>
      </c>
      <c r="BB25" s="160">
        <f t="shared" si="9"/>
        <v>2.7648000000000001</v>
      </c>
      <c r="BC25" s="161">
        <f t="shared" si="10"/>
        <v>0.90316338397076568</v>
      </c>
      <c r="BD25" s="160">
        <f t="shared" si="26"/>
        <v>5.1468345070422536</v>
      </c>
      <c r="BE25" s="162">
        <v>0.89</v>
      </c>
      <c r="BF25" s="25">
        <f t="shared" si="27"/>
        <v>1786.0700000000002</v>
      </c>
      <c r="BG25" s="25">
        <f t="shared" si="11"/>
        <v>108.06451612903226</v>
      </c>
      <c r="BH25" s="25">
        <f t="shared" si="28"/>
        <v>2053.2258064516122</v>
      </c>
      <c r="BI25" s="26">
        <f t="shared" si="12"/>
        <v>1</v>
      </c>
      <c r="BJ25" s="37">
        <f t="shared" si="29"/>
        <v>2053.2258064516122</v>
      </c>
      <c r="BK25" s="38">
        <v>100.676</v>
      </c>
      <c r="BL25" s="31"/>
      <c r="BM25" s="31">
        <v>33.582999999999998</v>
      </c>
      <c r="BN25" s="234"/>
      <c r="BO25" s="42"/>
      <c r="BP25" s="40">
        <v>6.3659999999999997</v>
      </c>
      <c r="BQ25" s="411">
        <v>12.481</v>
      </c>
      <c r="BR25" s="33">
        <v>0.25</v>
      </c>
      <c r="BS25" s="34"/>
      <c r="BT25" s="35">
        <v>0.32</v>
      </c>
      <c r="BU25" s="35"/>
      <c r="BV25" s="235"/>
      <c r="BW25" s="235">
        <v>0.94</v>
      </c>
      <c r="BX25" s="36"/>
      <c r="BY25" s="33">
        <v>37.299999999999997</v>
      </c>
      <c r="BZ25" s="34"/>
      <c r="CA25" s="35">
        <v>37.520000000000003</v>
      </c>
      <c r="CB25" s="405"/>
      <c r="CC25" s="404"/>
      <c r="CD25" s="235">
        <v>34.94</v>
      </c>
      <c r="CE25" s="413">
        <v>43.77</v>
      </c>
      <c r="CF25" s="30">
        <v>65.974000000000004</v>
      </c>
      <c r="CG25" s="30">
        <v>30.54</v>
      </c>
      <c r="CH25" s="31"/>
      <c r="CI25" s="32"/>
      <c r="CJ25" s="33">
        <v>1.36</v>
      </c>
      <c r="CK25" s="33">
        <v>1.36</v>
      </c>
      <c r="CL25" s="35"/>
      <c r="CM25" s="36"/>
      <c r="CN25" s="286"/>
      <c r="CO25" s="249">
        <f t="shared" si="31"/>
        <v>100.42431000000001</v>
      </c>
      <c r="CP25" s="12">
        <f t="shared" si="31"/>
        <v>0</v>
      </c>
      <c r="CQ25" s="12">
        <f t="shared" si="31"/>
        <v>33.475534400000001</v>
      </c>
      <c r="CR25" s="12">
        <f t="shared" si="31"/>
        <v>0</v>
      </c>
      <c r="CS25" s="11">
        <f t="shared" si="31"/>
        <v>0</v>
      </c>
      <c r="CT25" s="11">
        <f t="shared" si="31"/>
        <v>6.3061596</v>
      </c>
      <c r="CU25" s="272">
        <f t="shared" si="31"/>
        <v>12.481</v>
      </c>
      <c r="CV25" s="249">
        <f t="shared" si="14"/>
        <v>65.076753600000004</v>
      </c>
      <c r="CW25" s="251">
        <f t="shared" si="14"/>
        <v>30.124656000000002</v>
      </c>
      <c r="CX25" s="249">
        <f t="shared" si="14"/>
        <v>0</v>
      </c>
      <c r="CY25" s="272">
        <f t="shared" si="14"/>
        <v>0</v>
      </c>
      <c r="CZ25" s="13"/>
      <c r="DA25" s="240">
        <f>(D25+'[2]июль 20'!D25)/(AY25+'[2]июль 20'!BA25)</f>
        <v>2.1873008602008301</v>
      </c>
      <c r="DB25" s="241">
        <f>(T25+'[2]июль 20'!R25)/(AY25+'[2]июль 20'!BA25)</f>
        <v>1.3797777312640791</v>
      </c>
      <c r="DD25" s="292">
        <f t="shared" si="15"/>
        <v>6.2140000000000004</v>
      </c>
      <c r="DE25" s="291">
        <v>0.27</v>
      </c>
      <c r="DF25" s="291">
        <v>8.56</v>
      </c>
      <c r="DG25" s="145">
        <f t="shared" si="16"/>
        <v>6.1972222000000006</v>
      </c>
      <c r="DH25" s="293">
        <f t="shared" si="30"/>
        <v>0.70383736277033315</v>
      </c>
      <c r="DJ25" s="322"/>
    </row>
    <row r="26" spans="1:114" s="76" customFormat="1" ht="16.5" customHeight="1" thickBot="1">
      <c r="A26" s="144">
        <v>20</v>
      </c>
      <c r="B26" s="122">
        <f>'[1]июль 20'!K25</f>
        <v>220.232</v>
      </c>
      <c r="C26" s="123">
        <f t="shared" si="17"/>
        <v>1.0833737149914635</v>
      </c>
      <c r="D26" s="145">
        <f t="shared" si="18"/>
        <v>217.84606439999999</v>
      </c>
      <c r="E26" s="125">
        <f t="shared" si="19"/>
        <v>37.699766609756985</v>
      </c>
      <c r="F26" s="146">
        <f t="shared" si="0"/>
        <v>2.6186568626036784</v>
      </c>
      <c r="G26" s="127"/>
      <c r="H26" s="126">
        <f t="shared" si="20"/>
        <v>2.4036310181512204</v>
      </c>
      <c r="I26" s="230">
        <f>'[1]июль 20'!AI25</f>
        <v>0</v>
      </c>
      <c r="J26" s="247">
        <f>'[1]июль 20'!AA25</f>
        <v>8.7110000000000003</v>
      </c>
      <c r="K26" s="464">
        <f>'[1]сентябрь 20'!AM25</f>
        <v>0</v>
      </c>
      <c r="L26" s="247">
        <f>'[1]июль 20'!AE25</f>
        <v>17.888000000000002</v>
      </c>
      <c r="M26" s="468">
        <f t="shared" si="21"/>
        <v>0.21502584445245826</v>
      </c>
      <c r="N26" s="403">
        <f>'[1]июль 20'!W25</f>
        <v>0</v>
      </c>
      <c r="O26" s="403">
        <f>'[1]июль 20'!AU25</f>
        <v>0</v>
      </c>
      <c r="P26" s="401">
        <f t="shared" si="1"/>
        <v>139.00399999999999</v>
      </c>
      <c r="Q26" s="122">
        <f>'[1]июль 20'!S25</f>
        <v>139.00399999999999</v>
      </c>
      <c r="R26" s="123">
        <f t="shared" si="22"/>
        <v>1.18</v>
      </c>
      <c r="S26" s="129"/>
      <c r="T26" s="125">
        <f t="shared" si="2"/>
        <v>137.36375279999999</v>
      </c>
      <c r="U26" s="147">
        <f t="shared" si="3"/>
        <v>1.6512051063829787</v>
      </c>
      <c r="V26" s="169">
        <v>83.19</v>
      </c>
      <c r="W26" s="169">
        <v>83.19</v>
      </c>
      <c r="X26" s="170">
        <v>0.47</v>
      </c>
      <c r="Y26" s="166">
        <v>530</v>
      </c>
      <c r="Z26" s="166">
        <v>1138</v>
      </c>
      <c r="AA26" s="148" t="s">
        <v>310</v>
      </c>
      <c r="AB26" s="164">
        <v>76.36</v>
      </c>
      <c r="AC26" s="166">
        <v>88</v>
      </c>
      <c r="AD26" s="171">
        <v>4</v>
      </c>
      <c r="AE26" s="164">
        <v>2.4</v>
      </c>
      <c r="AF26" s="172">
        <f t="shared" si="4"/>
        <v>28.849621348719797</v>
      </c>
      <c r="AG26" s="173"/>
      <c r="AH26" s="170">
        <v>64.75</v>
      </c>
      <c r="AI26" s="134">
        <f t="shared" si="5"/>
        <v>778.33874263733628</v>
      </c>
      <c r="AJ26" s="174">
        <v>14.59</v>
      </c>
      <c r="AK26" s="175"/>
      <c r="AL26" s="176">
        <v>2.73</v>
      </c>
      <c r="AM26" s="478">
        <f t="shared" si="23"/>
        <v>21.16</v>
      </c>
      <c r="AN26" s="126">
        <f t="shared" si="24"/>
        <v>0.2</v>
      </c>
      <c r="AO26" s="178" t="s">
        <v>353</v>
      </c>
      <c r="AP26" s="177">
        <v>7.86</v>
      </c>
      <c r="AQ26" s="177">
        <v>8.2100000000000009</v>
      </c>
      <c r="AR26" s="171"/>
      <c r="AS26" s="164">
        <v>8.42</v>
      </c>
      <c r="AT26" s="149">
        <v>105.8</v>
      </c>
      <c r="AU26" s="164">
        <v>1.28</v>
      </c>
      <c r="AV26" s="164"/>
      <c r="AW26" s="164"/>
      <c r="AX26" s="179">
        <f t="shared" si="6"/>
        <v>0</v>
      </c>
      <c r="AY26" s="125">
        <f t="shared" si="7"/>
        <v>83.19</v>
      </c>
      <c r="AZ26" s="125">
        <f t="shared" si="25"/>
        <v>94.722110286574903</v>
      </c>
      <c r="BA26" s="159">
        <f t="shared" si="8"/>
        <v>4.2233415492957747</v>
      </c>
      <c r="BB26" s="159">
        <f t="shared" si="9"/>
        <v>3.3275999999999999</v>
      </c>
      <c r="BC26" s="180">
        <f t="shared" si="10"/>
        <v>0.77347924390985834</v>
      </c>
      <c r="BD26" s="159">
        <f t="shared" si="26"/>
        <v>7.550941549295775</v>
      </c>
      <c r="BE26" s="167">
        <v>0.88400000000000001</v>
      </c>
      <c r="BF26" s="25">
        <f t="shared" si="27"/>
        <v>1869.2600000000002</v>
      </c>
      <c r="BG26" s="25">
        <f t="shared" si="11"/>
        <v>108.06451612903226</v>
      </c>
      <c r="BH26" s="25">
        <f t="shared" si="28"/>
        <v>2161.2903225806444</v>
      </c>
      <c r="BI26" s="26">
        <f t="shared" si="12"/>
        <v>1</v>
      </c>
      <c r="BJ26" s="37">
        <f t="shared" si="29"/>
        <v>2161.2903225806444</v>
      </c>
      <c r="BK26" s="38">
        <v>145.142</v>
      </c>
      <c r="BL26" s="43"/>
      <c r="BM26" s="31">
        <v>48.427999999999997</v>
      </c>
      <c r="BN26" s="406"/>
      <c r="BO26" s="42"/>
      <c r="BP26" s="40">
        <v>8.7739999999999991</v>
      </c>
      <c r="BQ26" s="412">
        <v>17.888000000000002</v>
      </c>
      <c r="BR26" s="33">
        <v>1.19</v>
      </c>
      <c r="BS26" s="34"/>
      <c r="BT26" s="35">
        <v>0.92</v>
      </c>
      <c r="BU26" s="35"/>
      <c r="BV26" s="235"/>
      <c r="BW26" s="235">
        <v>2.4300000000000002</v>
      </c>
      <c r="BX26" s="36"/>
      <c r="BY26" s="33">
        <v>37.19</v>
      </c>
      <c r="BZ26" s="34"/>
      <c r="CA26" s="35">
        <v>38.26</v>
      </c>
      <c r="CB26" s="405"/>
      <c r="CC26" s="404"/>
      <c r="CD26" s="235">
        <v>30.95</v>
      </c>
      <c r="CE26" s="413">
        <v>43.63</v>
      </c>
      <c r="CF26" s="30">
        <v>139.00399999999999</v>
      </c>
      <c r="CG26" s="30"/>
      <c r="CH26" s="43"/>
      <c r="CI26" s="32"/>
      <c r="CJ26" s="33">
        <v>1.18</v>
      </c>
      <c r="CK26" s="33"/>
      <c r="CL26" s="35"/>
      <c r="CM26" s="36"/>
      <c r="CN26" s="286"/>
      <c r="CO26" s="249">
        <f t="shared" si="31"/>
        <v>143.41481020000001</v>
      </c>
      <c r="CP26" s="12">
        <f t="shared" si="31"/>
        <v>0</v>
      </c>
      <c r="CQ26" s="12">
        <f t="shared" si="31"/>
        <v>47.982462399999996</v>
      </c>
      <c r="CR26" s="12">
        <f t="shared" si="31"/>
        <v>0</v>
      </c>
      <c r="CS26" s="11">
        <f t="shared" si="31"/>
        <v>0</v>
      </c>
      <c r="CT26" s="11">
        <f t="shared" si="31"/>
        <v>8.5607917999999987</v>
      </c>
      <c r="CU26" s="272">
        <f t="shared" si="31"/>
        <v>17.888000000000002</v>
      </c>
      <c r="CV26" s="249">
        <f t="shared" si="14"/>
        <v>137.36375279999999</v>
      </c>
      <c r="CW26" s="12">
        <f t="shared" si="14"/>
        <v>0</v>
      </c>
      <c r="CX26" s="249">
        <f t="shared" si="14"/>
        <v>0</v>
      </c>
      <c r="CY26" s="274">
        <f t="shared" si="14"/>
        <v>0</v>
      </c>
      <c r="CZ26" s="13"/>
      <c r="DA26" s="240">
        <f>(D26+'[2]июль 20'!D26)/(AY26+'[2]июль 20'!BA26)</f>
        <v>2.265433386350491</v>
      </c>
      <c r="DB26" s="241">
        <f>(T26+'[2]июль 20'!R26)/(AY26+'[2]июль 20'!BA26)</f>
        <v>1.4341461750059952</v>
      </c>
      <c r="DD26" s="292">
        <f t="shared" si="15"/>
        <v>8.7110000000000003</v>
      </c>
      <c r="DE26" s="291">
        <v>0.53</v>
      </c>
      <c r="DF26" s="291">
        <v>7.3</v>
      </c>
      <c r="DG26" s="145">
        <f t="shared" si="16"/>
        <v>8.6648317000000006</v>
      </c>
      <c r="DH26" s="293">
        <f t="shared" si="30"/>
        <v>0.8283560949449974</v>
      </c>
      <c r="DJ26" s="322"/>
    </row>
    <row r="27" spans="1:114" s="76" customFormat="1" ht="16.5" customHeight="1" thickBot="1">
      <c r="A27" s="144">
        <v>21</v>
      </c>
      <c r="B27" s="122">
        <f>'[1]июль 20'!K26</f>
        <v>197.74199999999999</v>
      </c>
      <c r="C27" s="123">
        <f t="shared" si="17"/>
        <v>1.1630067461641937</v>
      </c>
      <c r="D27" s="145">
        <f t="shared" si="18"/>
        <v>195.4422472</v>
      </c>
      <c r="E27" s="125">
        <f t="shared" si="19"/>
        <v>37.399627747266642</v>
      </c>
      <c r="F27" s="146">
        <f t="shared" si="0"/>
        <v>2.0259380864517467</v>
      </c>
      <c r="G27" s="127"/>
      <c r="H27" s="126">
        <f t="shared" si="20"/>
        <v>1.8591712159220486</v>
      </c>
      <c r="I27" s="230">
        <f>'[1]июль 20'!AI26</f>
        <v>0</v>
      </c>
      <c r="J27" s="247">
        <f>'[1]июль 20'!AA26</f>
        <v>7.8360000000000003</v>
      </c>
      <c r="K27" s="465">
        <f>'[1]сентябрь 20'!AM26</f>
        <v>0</v>
      </c>
      <c r="L27" s="247">
        <f>'[1]июль 20'!AE26</f>
        <v>16.088000000000001</v>
      </c>
      <c r="M27" s="469">
        <f t="shared" si="21"/>
        <v>0.16676687052969835</v>
      </c>
      <c r="N27" s="403">
        <f>'[1]июль 20'!W26</f>
        <v>0</v>
      </c>
      <c r="O27" s="403">
        <f>'[1]июль 20'!AU26</f>
        <v>0</v>
      </c>
      <c r="P27" s="401">
        <f t="shared" si="1"/>
        <v>125.651</v>
      </c>
      <c r="Q27" s="122">
        <f>'[1]июль 20'!S26</f>
        <v>125.651</v>
      </c>
      <c r="R27" s="123">
        <f t="shared" si="22"/>
        <v>1.52</v>
      </c>
      <c r="S27" s="129">
        <v>13.18</v>
      </c>
      <c r="T27" s="125">
        <f t="shared" si="2"/>
        <v>123.7411048</v>
      </c>
      <c r="U27" s="147">
        <f t="shared" si="3"/>
        <v>1.2826900051829584</v>
      </c>
      <c r="V27" s="130">
        <v>96.47</v>
      </c>
      <c r="W27" s="130">
        <v>72.06</v>
      </c>
      <c r="X27" s="129">
        <v>0.71</v>
      </c>
      <c r="Y27" s="150">
        <v>572</v>
      </c>
      <c r="Z27" s="150">
        <v>1144</v>
      </c>
      <c r="AA27" s="148" t="s">
        <v>301</v>
      </c>
      <c r="AB27" s="149">
        <v>76.25</v>
      </c>
      <c r="AC27" s="150">
        <v>78</v>
      </c>
      <c r="AD27" s="151">
        <v>4</v>
      </c>
      <c r="AE27" s="149">
        <v>0.25</v>
      </c>
      <c r="AF27" s="134">
        <f t="shared" si="4"/>
        <v>2.5914792163366851</v>
      </c>
      <c r="AG27" s="152"/>
      <c r="AH27" s="129">
        <v>67.400000000000006</v>
      </c>
      <c r="AI27" s="134">
        <f t="shared" si="5"/>
        <v>698.66279672437042</v>
      </c>
      <c r="AJ27" s="136">
        <v>15.62</v>
      </c>
      <c r="AK27" s="154"/>
      <c r="AL27" s="155">
        <v>5.73</v>
      </c>
      <c r="AM27" s="478">
        <f t="shared" si="23"/>
        <v>25.200000000000003</v>
      </c>
      <c r="AN27" s="126">
        <f t="shared" si="24"/>
        <v>0.2</v>
      </c>
      <c r="AO27" s="157" t="s">
        <v>355</v>
      </c>
      <c r="AP27" s="156">
        <v>8.59</v>
      </c>
      <c r="AQ27" s="156">
        <v>8.3800000000000008</v>
      </c>
      <c r="AR27" s="151"/>
      <c r="AS27" s="149">
        <v>6.82</v>
      </c>
      <c r="AT27" s="149">
        <v>126</v>
      </c>
      <c r="AU27" s="149">
        <v>1.4</v>
      </c>
      <c r="AV27" s="164"/>
      <c r="AW27" s="149"/>
      <c r="AX27" s="158">
        <f t="shared" si="6"/>
        <v>0</v>
      </c>
      <c r="AY27" s="125">
        <f t="shared" si="7"/>
        <v>96.47</v>
      </c>
      <c r="AZ27" s="125">
        <f t="shared" si="25"/>
        <v>84.514888355899913</v>
      </c>
      <c r="BA27" s="159">
        <f t="shared" si="8"/>
        <v>3.5608084507042261</v>
      </c>
      <c r="BB27" s="160">
        <f t="shared" si="9"/>
        <v>3.8588</v>
      </c>
      <c r="BC27" s="161">
        <f t="shared" si="10"/>
        <v>1.0063438560954348</v>
      </c>
      <c r="BD27" s="160">
        <f t="shared" si="26"/>
        <v>7.4196084507042261</v>
      </c>
      <c r="BE27" s="162">
        <v>0.88900000000000001</v>
      </c>
      <c r="BF27" s="25">
        <f t="shared" si="27"/>
        <v>1965.7300000000002</v>
      </c>
      <c r="BG27" s="25">
        <f t="shared" si="11"/>
        <v>108.06451612903226</v>
      </c>
      <c r="BH27" s="25">
        <f t="shared" si="28"/>
        <v>2269.3548387096766</v>
      </c>
      <c r="BI27" s="26">
        <f t="shared" si="12"/>
        <v>1</v>
      </c>
      <c r="BJ27" s="37">
        <f t="shared" si="29"/>
        <v>2269.3548387096766</v>
      </c>
      <c r="BK27" s="38">
        <v>130.36799999999999</v>
      </c>
      <c r="BL27" s="31"/>
      <c r="BM27" s="31">
        <v>43.478999999999999</v>
      </c>
      <c r="BN27" s="234"/>
      <c r="BO27" s="42"/>
      <c r="BP27" s="40">
        <v>7.8070000000000004</v>
      </c>
      <c r="BQ27" s="411">
        <v>16.088000000000001</v>
      </c>
      <c r="BR27" s="33">
        <v>1.32</v>
      </c>
      <c r="BS27" s="34"/>
      <c r="BT27" s="35">
        <v>0.94</v>
      </c>
      <c r="BU27" s="35"/>
      <c r="BV27" s="235"/>
      <c r="BW27" s="235">
        <v>2.1800000000000002</v>
      </c>
      <c r="BX27" s="36"/>
      <c r="BY27" s="33">
        <v>37</v>
      </c>
      <c r="BZ27" s="34"/>
      <c r="CA27" s="35">
        <v>37.299999999999997</v>
      </c>
      <c r="CB27" s="405"/>
      <c r="CC27" s="404"/>
      <c r="CD27" s="235">
        <v>31.83</v>
      </c>
      <c r="CE27" s="413">
        <v>43.61</v>
      </c>
      <c r="CF27" s="30">
        <v>125.651</v>
      </c>
      <c r="CG27" s="30"/>
      <c r="CH27" s="31"/>
      <c r="CI27" s="32"/>
      <c r="CJ27" s="33">
        <v>1.52</v>
      </c>
      <c r="CK27" s="33"/>
      <c r="CL27" s="35"/>
      <c r="CM27" s="36"/>
      <c r="CN27" s="286"/>
      <c r="CO27" s="249">
        <f t="shared" si="31"/>
        <v>128.64714240000001</v>
      </c>
      <c r="CP27" s="12">
        <f t="shared" si="31"/>
        <v>0</v>
      </c>
      <c r="CQ27" s="12">
        <f t="shared" si="31"/>
        <v>43.070297400000001</v>
      </c>
      <c r="CR27" s="12">
        <f t="shared" si="31"/>
        <v>0</v>
      </c>
      <c r="CS27" s="11">
        <f t="shared" si="31"/>
        <v>0</v>
      </c>
      <c r="CT27" s="11">
        <f t="shared" si="31"/>
        <v>7.6368074000000004</v>
      </c>
      <c r="CU27" s="272">
        <f t="shared" si="31"/>
        <v>16.088000000000001</v>
      </c>
      <c r="CV27" s="249">
        <f t="shared" si="14"/>
        <v>123.7411048</v>
      </c>
      <c r="CW27" s="11">
        <f t="shared" si="14"/>
        <v>0</v>
      </c>
      <c r="CX27" s="249">
        <f t="shared" si="14"/>
        <v>0</v>
      </c>
      <c r="CY27" s="272">
        <f t="shared" si="14"/>
        <v>0</v>
      </c>
      <c r="CZ27" s="13"/>
      <c r="DA27" s="240">
        <f>(D27+'[2]июль 20'!D27)/(AY27+'[2]июль 20'!BA27)</f>
        <v>2.1254900740096536</v>
      </c>
      <c r="DB27" s="241">
        <f>(T27+'[2]июль 20'!R27)/(AY27+'[2]июль 20'!BA27)</f>
        <v>1.3410587634908901</v>
      </c>
      <c r="DD27" s="292">
        <f t="shared" si="15"/>
        <v>7.8360000000000003</v>
      </c>
      <c r="DE27" s="291">
        <v>0.47</v>
      </c>
      <c r="DF27" s="291">
        <v>8.09</v>
      </c>
      <c r="DG27" s="145">
        <f t="shared" si="16"/>
        <v>7.7991707999999997</v>
      </c>
      <c r="DH27" s="293">
        <f t="shared" si="30"/>
        <v>0.82747923635409837</v>
      </c>
      <c r="DJ27" s="322"/>
    </row>
    <row r="28" spans="1:114" s="76" customFormat="1" ht="16.5" customHeight="1" thickBot="1">
      <c r="A28" s="144">
        <v>22</v>
      </c>
      <c r="B28" s="122">
        <f>'[1]июль 20'!K27</f>
        <v>205.09200000000001</v>
      </c>
      <c r="C28" s="123">
        <f t="shared" si="17"/>
        <v>0.63345386460710307</v>
      </c>
      <c r="D28" s="145">
        <f t="shared" si="18"/>
        <v>203.7928368</v>
      </c>
      <c r="E28" s="125">
        <f t="shared" si="19"/>
        <v>37.186760624500224</v>
      </c>
      <c r="F28" s="146">
        <f t="shared" si="0"/>
        <v>2.2668836129032259</v>
      </c>
      <c r="G28" s="127"/>
      <c r="H28" s="126">
        <f t="shared" si="20"/>
        <v>2.0834798309232485</v>
      </c>
      <c r="I28" s="230">
        <f>'[1]июль 20'!AI27</f>
        <v>0</v>
      </c>
      <c r="J28" s="247">
        <f>'[1]июль 20'!AA27</f>
        <v>8.2119999999999997</v>
      </c>
      <c r="K28" s="464">
        <f>'[1]сентябрь 20'!AM27</f>
        <v>0</v>
      </c>
      <c r="L28" s="247">
        <f>'[1]июль 20'!AE27</f>
        <v>16.488</v>
      </c>
      <c r="M28" s="468">
        <f t="shared" si="21"/>
        <v>0.18340378197997775</v>
      </c>
      <c r="N28" s="403">
        <f>'[1]июль 20'!W27</f>
        <v>0</v>
      </c>
      <c r="O28" s="403">
        <f>'[1]июль 20'!AU27</f>
        <v>0</v>
      </c>
      <c r="P28" s="401">
        <f t="shared" si="1"/>
        <v>130.11000000000001</v>
      </c>
      <c r="Q28" s="122">
        <f>'[1]июль 20'!S27</f>
        <v>130.11000000000001</v>
      </c>
      <c r="R28" s="123">
        <f t="shared" si="22"/>
        <v>1.25</v>
      </c>
      <c r="S28" s="129"/>
      <c r="T28" s="125">
        <f t="shared" si="2"/>
        <v>128.48362500000002</v>
      </c>
      <c r="U28" s="147">
        <f t="shared" si="3"/>
        <v>1.4291838153503897</v>
      </c>
      <c r="V28" s="130">
        <v>23.08</v>
      </c>
      <c r="W28" s="130">
        <v>21.79</v>
      </c>
      <c r="X28" s="129">
        <v>1.24</v>
      </c>
      <c r="Y28" s="150">
        <v>580</v>
      </c>
      <c r="Z28" s="150">
        <v>1155</v>
      </c>
      <c r="AA28" s="148" t="s">
        <v>333</v>
      </c>
      <c r="AB28" s="149">
        <v>74.72</v>
      </c>
      <c r="AC28" s="150">
        <v>82</v>
      </c>
      <c r="AD28" s="151">
        <v>4</v>
      </c>
      <c r="AE28" s="149"/>
      <c r="AF28" s="134">
        <f t="shared" si="4"/>
        <v>0</v>
      </c>
      <c r="AG28" s="152"/>
      <c r="AH28" s="129">
        <v>51.15</v>
      </c>
      <c r="AI28" s="134">
        <f t="shared" si="5"/>
        <v>568.9655172413793</v>
      </c>
      <c r="AJ28" s="153">
        <v>14.3</v>
      </c>
      <c r="AK28" s="154"/>
      <c r="AL28" s="155">
        <v>5.4</v>
      </c>
      <c r="AM28" s="478">
        <f t="shared" si="23"/>
        <v>23.52</v>
      </c>
      <c r="AN28" s="126">
        <f t="shared" si="24"/>
        <v>0.2</v>
      </c>
      <c r="AO28" s="157" t="s">
        <v>356</v>
      </c>
      <c r="AP28" s="156">
        <v>9.7100000000000009</v>
      </c>
      <c r="AQ28" s="156">
        <v>8.3699999999999992</v>
      </c>
      <c r="AR28" s="151"/>
      <c r="AS28" s="149">
        <v>6.04</v>
      </c>
      <c r="AT28" s="149">
        <v>117.6</v>
      </c>
      <c r="AU28" s="149">
        <v>1.22</v>
      </c>
      <c r="AV28" s="164"/>
      <c r="AW28" s="149"/>
      <c r="AX28" s="158">
        <f t="shared" si="6"/>
        <v>0</v>
      </c>
      <c r="AY28" s="125">
        <f t="shared" si="7"/>
        <v>89.899999999999991</v>
      </c>
      <c r="AZ28" s="125">
        <f t="shared" si="25"/>
        <v>89.681758775583816</v>
      </c>
      <c r="BA28" s="159">
        <f t="shared" si="8"/>
        <v>2.3932436619718307</v>
      </c>
      <c r="BB28" s="160">
        <f t="shared" si="9"/>
        <v>3.5959999999999996</v>
      </c>
      <c r="BC28" s="161">
        <f t="shared" si="10"/>
        <v>0.88637866076104732</v>
      </c>
      <c r="BD28" s="160">
        <f t="shared" si="26"/>
        <v>5.9892436619718303</v>
      </c>
      <c r="BE28" s="162">
        <v>0.88900000000000001</v>
      </c>
      <c r="BF28" s="25">
        <f t="shared" si="27"/>
        <v>2055.63</v>
      </c>
      <c r="BG28" s="25">
        <f t="shared" si="11"/>
        <v>108.06451612903226</v>
      </c>
      <c r="BH28" s="25">
        <f t="shared" si="28"/>
        <v>2377.4193548387088</v>
      </c>
      <c r="BI28" s="26">
        <f t="shared" si="12"/>
        <v>1</v>
      </c>
      <c r="BJ28" s="37">
        <f t="shared" si="29"/>
        <v>2377.4193548387088</v>
      </c>
      <c r="BK28" s="38">
        <v>135.30500000000001</v>
      </c>
      <c r="BL28" s="31"/>
      <c r="BM28" s="31">
        <v>45.125999999999998</v>
      </c>
      <c r="BN28" s="234"/>
      <c r="BO28" s="42"/>
      <c r="BP28" s="40">
        <v>8.173</v>
      </c>
      <c r="BQ28" s="411">
        <v>16.488</v>
      </c>
      <c r="BR28" s="33">
        <v>0.61</v>
      </c>
      <c r="BS28" s="34"/>
      <c r="BT28" s="35">
        <v>0.56999999999999995</v>
      </c>
      <c r="BU28" s="35"/>
      <c r="BV28" s="235"/>
      <c r="BW28" s="235">
        <v>2.65</v>
      </c>
      <c r="BX28" s="36"/>
      <c r="BY28" s="33">
        <v>37.15</v>
      </c>
      <c r="BZ28" s="34"/>
      <c r="CA28" s="35">
        <v>36.11</v>
      </c>
      <c r="CB28" s="405"/>
      <c r="CC28" s="404"/>
      <c r="CD28" s="235">
        <v>30.5</v>
      </c>
      <c r="CE28" s="36">
        <v>43.75</v>
      </c>
      <c r="CF28" s="30">
        <v>130.11000000000001</v>
      </c>
      <c r="CG28" s="30"/>
      <c r="CH28" s="31"/>
      <c r="CI28" s="32"/>
      <c r="CJ28" s="33">
        <v>1.25</v>
      </c>
      <c r="CK28" s="33"/>
      <c r="CL28" s="35"/>
      <c r="CM28" s="36"/>
      <c r="CN28" s="286"/>
      <c r="CO28" s="249">
        <f t="shared" si="31"/>
        <v>134.47963950000002</v>
      </c>
      <c r="CP28" s="12">
        <f t="shared" si="31"/>
        <v>0</v>
      </c>
      <c r="CQ28" s="12">
        <f t="shared" si="31"/>
        <v>44.868781800000001</v>
      </c>
      <c r="CR28" s="12">
        <f t="shared" si="31"/>
        <v>0</v>
      </c>
      <c r="CS28" s="11">
        <f t="shared" si="31"/>
        <v>0</v>
      </c>
      <c r="CT28" s="11">
        <f t="shared" si="31"/>
        <v>7.9564154999999994</v>
      </c>
      <c r="CU28" s="272">
        <f t="shared" si="31"/>
        <v>16.488</v>
      </c>
      <c r="CV28" s="249">
        <f t="shared" si="14"/>
        <v>128.48362500000002</v>
      </c>
      <c r="CW28" s="12">
        <f t="shared" si="14"/>
        <v>0</v>
      </c>
      <c r="CX28" s="249">
        <f t="shared" si="14"/>
        <v>0</v>
      </c>
      <c r="CY28" s="272">
        <f t="shared" si="14"/>
        <v>0</v>
      </c>
      <c r="CZ28" s="13"/>
      <c r="DA28" s="240">
        <f>(D28+'[2]июль 20'!D28)/(AY28+'[2]июль 20'!BA28)</f>
        <v>2.2172882046809028</v>
      </c>
      <c r="DB28" s="241">
        <f>(T28+'[2]июль 20'!R28)/(AY28+'[2]июль 20'!BA28)</f>
        <v>1.39253604834913</v>
      </c>
      <c r="DD28" s="292">
        <f t="shared" si="15"/>
        <v>8.2119999999999997</v>
      </c>
      <c r="DE28" s="305">
        <v>0.09</v>
      </c>
      <c r="DF28" s="291">
        <v>10.37</v>
      </c>
      <c r="DG28" s="145">
        <f t="shared" si="16"/>
        <v>8.2046092000000002</v>
      </c>
      <c r="DH28" s="293">
        <f t="shared" si="30"/>
        <v>1.1386750187901498</v>
      </c>
      <c r="DJ28" s="322"/>
    </row>
    <row r="29" spans="1:114" s="76" customFormat="1" ht="16.5" customHeight="1" thickBot="1">
      <c r="A29" s="144">
        <v>23</v>
      </c>
      <c r="B29" s="122">
        <f>'[1]июль 20'!K28</f>
        <v>198.309</v>
      </c>
      <c r="C29" s="123">
        <f t="shared" si="17"/>
        <v>0.73563171616013401</v>
      </c>
      <c r="D29" s="145">
        <f t="shared" si="18"/>
        <v>196.85017610000003</v>
      </c>
      <c r="E29" s="125">
        <f t="shared" si="19"/>
        <v>37.409611616215102</v>
      </c>
      <c r="F29" s="146">
        <f t="shared" si="0"/>
        <v>2.1324902621601129</v>
      </c>
      <c r="G29" s="127"/>
      <c r="H29" s="126">
        <f t="shared" si="20"/>
        <v>1.9545030451738707</v>
      </c>
      <c r="I29" s="230">
        <f>'[1]июль 20'!AI28</f>
        <v>0</v>
      </c>
      <c r="J29" s="247">
        <f>'[1]июль 20'!AA28</f>
        <v>8.0530000000000008</v>
      </c>
      <c r="K29" s="465">
        <f>'[1]сентябрь 20'!AM28</f>
        <v>0</v>
      </c>
      <c r="L29" s="247">
        <f>'[1]июль 20'!AE28</f>
        <v>16.43</v>
      </c>
      <c r="M29" s="469">
        <f t="shared" si="21"/>
        <v>0.17798721698624201</v>
      </c>
      <c r="N29" s="403">
        <f>'[1]июль 20'!W28</f>
        <v>0</v>
      </c>
      <c r="O29" s="403">
        <f>'[1]июль 20'!AU28</f>
        <v>0</v>
      </c>
      <c r="P29" s="401">
        <f t="shared" si="1"/>
        <v>123.967</v>
      </c>
      <c r="Q29" s="122">
        <f>'[1]июль 20'!S28</f>
        <v>123.967</v>
      </c>
      <c r="R29" s="123">
        <f t="shared" si="22"/>
        <v>1.58</v>
      </c>
      <c r="S29" s="129"/>
      <c r="T29" s="125">
        <f t="shared" si="2"/>
        <v>122.0083214</v>
      </c>
      <c r="U29" s="147">
        <f t="shared" si="3"/>
        <v>1.3217237720723649</v>
      </c>
      <c r="V29" s="130">
        <v>92.31</v>
      </c>
      <c r="W29" s="130">
        <v>92.31</v>
      </c>
      <c r="X29" s="129">
        <v>0.78</v>
      </c>
      <c r="Y29" s="150">
        <v>562</v>
      </c>
      <c r="Z29" s="150">
        <v>1147</v>
      </c>
      <c r="AA29" s="148" t="s">
        <v>276</v>
      </c>
      <c r="AB29" s="149">
        <v>75.89</v>
      </c>
      <c r="AC29" s="150">
        <v>79</v>
      </c>
      <c r="AD29" s="151">
        <v>4</v>
      </c>
      <c r="AE29" s="149"/>
      <c r="AF29" s="134">
        <f t="shared" si="4"/>
        <v>0</v>
      </c>
      <c r="AG29" s="152"/>
      <c r="AH29" s="129">
        <v>61.05</v>
      </c>
      <c r="AI29" s="134">
        <f t="shared" si="5"/>
        <v>661.35846603834898</v>
      </c>
      <c r="AJ29" s="136">
        <v>16.579999999999998</v>
      </c>
      <c r="AK29" s="154"/>
      <c r="AL29" s="155">
        <v>4.1100000000000003</v>
      </c>
      <c r="AM29" s="478">
        <f t="shared" si="23"/>
        <v>23.78</v>
      </c>
      <c r="AN29" s="126">
        <f t="shared" si="24"/>
        <v>0.2</v>
      </c>
      <c r="AO29" s="157" t="s">
        <v>357</v>
      </c>
      <c r="AP29" s="156">
        <v>8.39</v>
      </c>
      <c r="AQ29" s="156">
        <v>9.2799999999999994</v>
      </c>
      <c r="AR29" s="149"/>
      <c r="AS29" s="149">
        <v>7.87</v>
      </c>
      <c r="AT29" s="149">
        <v>118.9</v>
      </c>
      <c r="AU29" s="149">
        <v>1.3</v>
      </c>
      <c r="AV29" s="164"/>
      <c r="AW29" s="149"/>
      <c r="AX29" s="158">
        <f t="shared" si="6"/>
        <v>0</v>
      </c>
      <c r="AY29" s="125">
        <f t="shared" si="7"/>
        <v>92.31</v>
      </c>
      <c r="AZ29" s="125">
        <f t="shared" si="25"/>
        <v>85.702118145118078</v>
      </c>
      <c r="BA29" s="159">
        <f t="shared" si="8"/>
        <v>3.7219003521126761</v>
      </c>
      <c r="BB29" s="160">
        <f t="shared" si="9"/>
        <v>3.6924000000000001</v>
      </c>
      <c r="BC29" s="161">
        <f t="shared" si="10"/>
        <v>0.95129299058067962</v>
      </c>
      <c r="BD29" s="160">
        <f t="shared" si="26"/>
        <v>7.4143003521126758</v>
      </c>
      <c r="BE29" s="162">
        <v>0.89200000000000002</v>
      </c>
      <c r="BF29" s="25">
        <f t="shared" si="27"/>
        <v>2147.94</v>
      </c>
      <c r="BG29" s="25">
        <f t="shared" si="11"/>
        <v>108.06451612903226</v>
      </c>
      <c r="BH29" s="25">
        <f t="shared" si="28"/>
        <v>2485.483870967741</v>
      </c>
      <c r="BI29" s="26">
        <f t="shared" si="12"/>
        <v>1</v>
      </c>
      <c r="BJ29" s="37">
        <f t="shared" si="29"/>
        <v>2485.483870967741</v>
      </c>
      <c r="BK29" s="328">
        <v>130.36500000000001</v>
      </c>
      <c r="BL29" s="31"/>
      <c r="BM29" s="31">
        <v>43.49</v>
      </c>
      <c r="BN29" s="31"/>
      <c r="BO29" s="40"/>
      <c r="BP29" s="40">
        <v>8.0239999999999991</v>
      </c>
      <c r="BQ29" s="32">
        <v>16.43</v>
      </c>
      <c r="BR29" s="33">
        <v>0.75</v>
      </c>
      <c r="BS29" s="34"/>
      <c r="BT29" s="35">
        <v>0.68</v>
      </c>
      <c r="BU29" s="35"/>
      <c r="BV29" s="235"/>
      <c r="BW29" s="235">
        <v>2.31</v>
      </c>
      <c r="BX29" s="36"/>
      <c r="BY29" s="33">
        <v>37.21</v>
      </c>
      <c r="BZ29" s="34"/>
      <c r="CA29" s="35">
        <v>37.15</v>
      </c>
      <c r="CB29" s="35"/>
      <c r="CC29" s="235"/>
      <c r="CD29" s="235">
        <v>29.63</v>
      </c>
      <c r="CE29" s="36">
        <v>43.48</v>
      </c>
      <c r="CF29" s="30">
        <v>123.967</v>
      </c>
      <c r="CG29" s="30"/>
      <c r="CH29" s="31"/>
      <c r="CI29" s="32"/>
      <c r="CJ29" s="33">
        <v>1.58</v>
      </c>
      <c r="CK29" s="33"/>
      <c r="CL29" s="35"/>
      <c r="CM29" s="36"/>
      <c r="CN29" s="286"/>
      <c r="CO29" s="249">
        <f t="shared" si="31"/>
        <v>129.38726250000002</v>
      </c>
      <c r="CP29" s="12">
        <f t="shared" si="31"/>
        <v>0</v>
      </c>
      <c r="CQ29" s="12">
        <f t="shared" si="31"/>
        <v>43.194268000000001</v>
      </c>
      <c r="CR29" s="12">
        <f t="shared" si="31"/>
        <v>0</v>
      </c>
      <c r="CS29" s="11">
        <f t="shared" si="31"/>
        <v>0</v>
      </c>
      <c r="CT29" s="11">
        <f t="shared" si="31"/>
        <v>7.8386455999999987</v>
      </c>
      <c r="CU29" s="272">
        <f t="shared" si="31"/>
        <v>16.43</v>
      </c>
      <c r="CV29" s="249">
        <f t="shared" si="14"/>
        <v>122.0083214</v>
      </c>
      <c r="CW29" s="12">
        <f t="shared" si="14"/>
        <v>0</v>
      </c>
      <c r="CX29" s="249">
        <f t="shared" si="14"/>
        <v>0</v>
      </c>
      <c r="CY29" s="272">
        <f t="shared" si="14"/>
        <v>0</v>
      </c>
      <c r="CZ29" s="13"/>
      <c r="DA29" s="240">
        <f>(D29+'[2]июль 20'!D29)/(AY29+'[2]июль 20'!BA29)</f>
        <v>2.1517898852788138</v>
      </c>
      <c r="DB29" s="241">
        <f>(T29+'[2]июль 20'!R29)/(AY29+'[2]июль 20'!BA29)</f>
        <v>1.3385393810951622</v>
      </c>
      <c r="DD29" s="292">
        <f t="shared" si="15"/>
        <v>8.0530000000000008</v>
      </c>
      <c r="DE29" s="291">
        <v>1.44</v>
      </c>
      <c r="DF29" s="291">
        <v>9.4600000000000009</v>
      </c>
      <c r="DG29" s="145">
        <f t="shared" si="16"/>
        <v>7.9370368000000013</v>
      </c>
      <c r="DH29" s="293">
        <f t="shared" si="30"/>
        <v>0.98938421568059043</v>
      </c>
      <c r="DJ29" s="322"/>
    </row>
    <row r="30" spans="1:114" s="76" customFormat="1" ht="16.5" customHeight="1" thickBot="1">
      <c r="A30" s="144">
        <v>24</v>
      </c>
      <c r="B30" s="122">
        <f>'[1]июль 20'!K29</f>
        <v>207.40799999999999</v>
      </c>
      <c r="C30" s="123">
        <f t="shared" si="17"/>
        <v>2.1954371576795495</v>
      </c>
      <c r="D30" s="145">
        <f t="shared" si="18"/>
        <v>202.85448769999999</v>
      </c>
      <c r="E30" s="125">
        <f t="shared" si="19"/>
        <v>37.919601702923714</v>
      </c>
      <c r="F30" s="146">
        <f t="shared" si="0"/>
        <v>2.1321682541517766</v>
      </c>
      <c r="G30" s="127"/>
      <c r="H30" s="126">
        <f t="shared" si="20"/>
        <v>1.9576990508723988</v>
      </c>
      <c r="I30" s="230">
        <f>'[1]июль 20'!AI29</f>
        <v>0</v>
      </c>
      <c r="J30" s="247">
        <f>'[1]июль 20'!AA29</f>
        <v>8.1929999999999996</v>
      </c>
      <c r="K30" s="464">
        <f>'[1]сентябрь 20'!AM29</f>
        <v>0</v>
      </c>
      <c r="L30" s="247">
        <f>'[1]июль 20'!AE29</f>
        <v>16.599</v>
      </c>
      <c r="M30" s="468">
        <f t="shared" si="21"/>
        <v>0.17446920327937779</v>
      </c>
      <c r="N30" s="403">
        <f>'[1]июль 20'!W29</f>
        <v>0</v>
      </c>
      <c r="O30" s="403">
        <f>'[1]июль 20'!AU29</f>
        <v>0</v>
      </c>
      <c r="P30" s="401">
        <f t="shared" si="1"/>
        <v>130.316</v>
      </c>
      <c r="Q30" s="122">
        <f>'[1]июль 20'!S29</f>
        <v>130.316</v>
      </c>
      <c r="R30" s="123">
        <f t="shared" si="22"/>
        <v>1.19</v>
      </c>
      <c r="S30" s="170">
        <v>19.760000000000002</v>
      </c>
      <c r="T30" s="125">
        <f t="shared" si="2"/>
        <v>128.7652396</v>
      </c>
      <c r="U30" s="147">
        <f t="shared" si="3"/>
        <v>1.3534290477191508</v>
      </c>
      <c r="V30" s="169">
        <v>95.14</v>
      </c>
      <c r="W30" s="169">
        <v>95.14</v>
      </c>
      <c r="X30" s="170">
        <v>0.56999999999999995</v>
      </c>
      <c r="Y30" s="166">
        <v>557</v>
      </c>
      <c r="Z30" s="166">
        <v>1149</v>
      </c>
      <c r="AA30" s="148" t="s">
        <v>330</v>
      </c>
      <c r="AB30" s="164">
        <v>75.930000000000007</v>
      </c>
      <c r="AC30" s="166">
        <v>83</v>
      </c>
      <c r="AD30" s="171">
        <v>4</v>
      </c>
      <c r="AE30" s="164"/>
      <c r="AF30" s="172">
        <f t="shared" si="4"/>
        <v>0</v>
      </c>
      <c r="AG30" s="173"/>
      <c r="AH30" s="170">
        <v>66.25</v>
      </c>
      <c r="AI30" s="134">
        <f t="shared" si="5"/>
        <v>696.34223249947456</v>
      </c>
      <c r="AJ30" s="174">
        <v>14.67</v>
      </c>
      <c r="AK30" s="175"/>
      <c r="AL30" s="176">
        <v>4.1500000000000004</v>
      </c>
      <c r="AM30" s="478">
        <f t="shared" si="23"/>
        <v>24.540000000000003</v>
      </c>
      <c r="AN30" s="126">
        <f t="shared" si="24"/>
        <v>0.2</v>
      </c>
      <c r="AO30" s="178" t="s">
        <v>358</v>
      </c>
      <c r="AP30" s="177">
        <v>7.99</v>
      </c>
      <c r="AQ30" s="177">
        <v>9.3699999999999992</v>
      </c>
      <c r="AR30" s="171"/>
      <c r="AS30" s="164">
        <v>7.51</v>
      </c>
      <c r="AT30" s="149">
        <v>122.7</v>
      </c>
      <c r="AU30" s="164">
        <v>1.1299999999999999</v>
      </c>
      <c r="AV30" s="164"/>
      <c r="AW30" s="164"/>
      <c r="AX30" s="179">
        <f t="shared" si="6"/>
        <v>0</v>
      </c>
      <c r="AY30" s="125">
        <f t="shared" si="7"/>
        <v>95.139999999999986</v>
      </c>
      <c r="AZ30" s="125">
        <f t="shared" si="25"/>
        <v>90.429873895190795</v>
      </c>
      <c r="BA30" s="159">
        <f t="shared" si="8"/>
        <v>3.8541637323943658</v>
      </c>
      <c r="BB30" s="159">
        <f t="shared" si="9"/>
        <v>3.8055999999999996</v>
      </c>
      <c r="BC30" s="180">
        <f t="shared" si="10"/>
        <v>0.93913528925429923</v>
      </c>
      <c r="BD30" s="159">
        <f t="shared" si="26"/>
        <v>7.6597637323943655</v>
      </c>
      <c r="BE30" s="167">
        <v>0.89400000000000002</v>
      </c>
      <c r="BF30" s="25">
        <f t="shared" si="27"/>
        <v>2243.08</v>
      </c>
      <c r="BG30" s="25">
        <f t="shared" si="11"/>
        <v>108.06451612903226</v>
      </c>
      <c r="BH30" s="25">
        <f t="shared" si="28"/>
        <v>2593.5483870967732</v>
      </c>
      <c r="BI30" s="26">
        <f t="shared" si="12"/>
        <v>1</v>
      </c>
      <c r="BJ30" s="37">
        <f t="shared" si="29"/>
        <v>2593.5483870967732</v>
      </c>
      <c r="BK30" s="38">
        <v>136.934</v>
      </c>
      <c r="BL30" s="31"/>
      <c r="BM30" s="31">
        <v>45.664999999999999</v>
      </c>
      <c r="BN30" s="31"/>
      <c r="BO30" s="40"/>
      <c r="BP30" s="40">
        <v>8.2100000000000009</v>
      </c>
      <c r="BQ30" s="44">
        <v>16.599</v>
      </c>
      <c r="BR30" s="45">
        <v>2.72</v>
      </c>
      <c r="BS30" s="46"/>
      <c r="BT30" s="47">
        <v>1.47</v>
      </c>
      <c r="BU30" s="47"/>
      <c r="BV30" s="283"/>
      <c r="BW30" s="283">
        <v>1.92</v>
      </c>
      <c r="BX30" s="48"/>
      <c r="BY30" s="45">
        <v>37.39</v>
      </c>
      <c r="BZ30" s="46"/>
      <c r="CA30" s="47">
        <v>38.11</v>
      </c>
      <c r="CB30" s="47"/>
      <c r="CC30" s="283"/>
      <c r="CD30" s="283">
        <v>34.29</v>
      </c>
      <c r="CE30" s="48">
        <v>43.56</v>
      </c>
      <c r="CF30" s="49">
        <v>130.316</v>
      </c>
      <c r="CG30" s="49"/>
      <c r="CH30" s="43"/>
      <c r="CI30" s="32"/>
      <c r="CJ30" s="33">
        <v>1.19</v>
      </c>
      <c r="CK30" s="33"/>
      <c r="CL30" s="35"/>
      <c r="CM30" s="36"/>
      <c r="CN30" s="286"/>
      <c r="CO30" s="249">
        <f t="shared" si="31"/>
        <v>133.20939519999999</v>
      </c>
      <c r="CP30" s="12">
        <f t="shared" si="31"/>
        <v>0</v>
      </c>
      <c r="CQ30" s="12">
        <f t="shared" si="31"/>
        <v>44.993724499999999</v>
      </c>
      <c r="CR30" s="12">
        <f t="shared" si="31"/>
        <v>0</v>
      </c>
      <c r="CS30" s="11">
        <f t="shared" si="31"/>
        <v>0</v>
      </c>
      <c r="CT30" s="11">
        <f t="shared" si="31"/>
        <v>8.0523680000000013</v>
      </c>
      <c r="CU30" s="272">
        <f t="shared" si="31"/>
        <v>16.599</v>
      </c>
      <c r="CV30" s="249">
        <f t="shared" si="14"/>
        <v>128.7652396</v>
      </c>
      <c r="CW30" s="11">
        <f t="shared" si="14"/>
        <v>0</v>
      </c>
      <c r="CX30" s="252">
        <f t="shared" si="14"/>
        <v>0</v>
      </c>
      <c r="CY30" s="272">
        <f t="shared" si="14"/>
        <v>0</v>
      </c>
      <c r="CZ30" s="13"/>
      <c r="DA30" s="240">
        <f>(D30+'[2]июль 20'!D30)/(AY30+'[2]июль 20'!BA30)</f>
        <v>2.0787669697364666</v>
      </c>
      <c r="DB30" s="241">
        <f>(T30+'[2]июль 20'!R30)/(AY30+'[2]июль 20'!BA30)</f>
        <v>1.3104812349184318</v>
      </c>
      <c r="DD30" s="292">
        <f t="shared" si="15"/>
        <v>8.1929999999999996</v>
      </c>
      <c r="DE30" s="291">
        <v>1.07</v>
      </c>
      <c r="DF30" s="291">
        <v>18.64</v>
      </c>
      <c r="DG30" s="145">
        <f t="shared" si="16"/>
        <v>8.1053349000000008</v>
      </c>
      <c r="DH30" s="293">
        <f t="shared" si="30"/>
        <v>1.9897727187672856</v>
      </c>
      <c r="DJ30" s="322"/>
    </row>
    <row r="31" spans="1:114" s="76" customFormat="1" ht="16.5" customHeight="1" thickBot="1">
      <c r="A31" s="144">
        <v>25</v>
      </c>
      <c r="B31" s="122">
        <f>'[1]июль 20'!K30</f>
        <v>191.203</v>
      </c>
      <c r="C31" s="123">
        <f t="shared" si="17"/>
        <v>0.95844573568406355</v>
      </c>
      <c r="D31" s="145">
        <f t="shared" si="18"/>
        <v>189.37042299999999</v>
      </c>
      <c r="E31" s="125">
        <f t="shared" si="19"/>
        <v>37.670741463261557</v>
      </c>
      <c r="F31" s="146">
        <f t="shared" si="0"/>
        <v>2.1210844870071681</v>
      </c>
      <c r="G31" s="127"/>
      <c r="H31" s="126">
        <f t="shared" si="20"/>
        <v>1.950620777329749</v>
      </c>
      <c r="I31" s="230">
        <f>'[1]июль 20'!AI30</f>
        <v>0</v>
      </c>
      <c r="J31" s="247">
        <f>'[1]июль 20'!AA30</f>
        <v>7.7619999999999996</v>
      </c>
      <c r="K31" s="465">
        <f>'[1]сентябрь 20'!AM30</f>
        <v>0</v>
      </c>
      <c r="L31" s="247">
        <f>'[1]июль 20'!AE30</f>
        <v>15.218999999999999</v>
      </c>
      <c r="M31" s="469">
        <f t="shared" si="21"/>
        <v>0.17046370967741933</v>
      </c>
      <c r="N31" s="403">
        <f>'[1]июль 20'!W30</f>
        <v>0</v>
      </c>
      <c r="O31" s="403">
        <f>'[1]июль 20'!AU30</f>
        <v>0</v>
      </c>
      <c r="P31" s="401">
        <f t="shared" si="1"/>
        <v>120.575</v>
      </c>
      <c r="Q31" s="122">
        <f>'[1]июль 20'!S30</f>
        <v>120.575</v>
      </c>
      <c r="R31" s="123">
        <f t="shared" si="22"/>
        <v>1.61</v>
      </c>
      <c r="S31" s="129"/>
      <c r="T31" s="125">
        <f t="shared" si="2"/>
        <v>118.6337425</v>
      </c>
      <c r="U31" s="147">
        <f t="shared" si="3"/>
        <v>1.3287829581093189</v>
      </c>
      <c r="V31" s="130">
        <v>89.28</v>
      </c>
      <c r="W31" s="130">
        <v>89.28</v>
      </c>
      <c r="X31" s="129">
        <v>0.77</v>
      </c>
      <c r="Y31" s="150">
        <v>563</v>
      </c>
      <c r="Z31" s="150">
        <v>1144</v>
      </c>
      <c r="AA31" s="148" t="s">
        <v>297</v>
      </c>
      <c r="AB31" s="149">
        <v>75.83</v>
      </c>
      <c r="AC31" s="150">
        <v>77</v>
      </c>
      <c r="AD31" s="151">
        <v>4</v>
      </c>
      <c r="AE31" s="149"/>
      <c r="AF31" s="134">
        <f t="shared" si="4"/>
        <v>0</v>
      </c>
      <c r="AG31" s="152"/>
      <c r="AH31" s="129">
        <v>58.4</v>
      </c>
      <c r="AI31" s="134">
        <f t="shared" si="5"/>
        <v>654.12186379928312</v>
      </c>
      <c r="AJ31" s="136">
        <v>14.93</v>
      </c>
      <c r="AK31" s="154"/>
      <c r="AL31" s="155">
        <v>6.4</v>
      </c>
      <c r="AM31" s="478">
        <f t="shared" si="23"/>
        <v>23.69</v>
      </c>
      <c r="AN31" s="126">
        <f t="shared" si="24"/>
        <v>0.2</v>
      </c>
      <c r="AO31" s="157" t="s">
        <v>359</v>
      </c>
      <c r="AP31" s="156">
        <v>8.7100000000000009</v>
      </c>
      <c r="AQ31" s="156">
        <v>9.14</v>
      </c>
      <c r="AR31" s="151"/>
      <c r="AS31" s="149">
        <v>7.54</v>
      </c>
      <c r="AT31" s="149">
        <v>118.45</v>
      </c>
      <c r="AU31" s="149">
        <v>0.92</v>
      </c>
      <c r="AV31" s="164"/>
      <c r="AW31" s="149"/>
      <c r="AX31" s="158">
        <f t="shared" si="6"/>
        <v>0</v>
      </c>
      <c r="AY31" s="125">
        <f t="shared" si="7"/>
        <v>89.28</v>
      </c>
      <c r="AZ31" s="125">
        <f t="shared" si="25"/>
        <v>83.513491674502859</v>
      </c>
      <c r="BA31" s="159">
        <f t="shared" si="8"/>
        <v>3.4110535211267607</v>
      </c>
      <c r="BB31" s="160">
        <f t="shared" si="9"/>
        <v>3.5712000000000002</v>
      </c>
      <c r="BC31" s="161">
        <f t="shared" si="10"/>
        <v>0.9490277682313466</v>
      </c>
      <c r="BD31" s="160">
        <f t="shared" si="26"/>
        <v>6.9822535211267613</v>
      </c>
      <c r="BE31" s="162">
        <v>0.89600000000000002</v>
      </c>
      <c r="BF31" s="25">
        <f t="shared" si="27"/>
        <v>2332.36</v>
      </c>
      <c r="BG31" s="25">
        <f t="shared" si="11"/>
        <v>108.06451612903226</v>
      </c>
      <c r="BH31" s="25">
        <f t="shared" si="28"/>
        <v>2701.6129032258054</v>
      </c>
      <c r="BI31" s="26">
        <f t="shared" si="12"/>
        <v>1</v>
      </c>
      <c r="BJ31" s="37">
        <f t="shared" si="29"/>
        <v>2701.6129032258054</v>
      </c>
      <c r="BK31" s="38">
        <v>125.937</v>
      </c>
      <c r="BL31" s="31"/>
      <c r="BM31" s="31">
        <v>42.429000000000002</v>
      </c>
      <c r="BN31" s="31"/>
      <c r="BO31" s="40"/>
      <c r="BP31" s="40">
        <v>7.6180000000000003</v>
      </c>
      <c r="BQ31" s="32">
        <v>15.218999999999999</v>
      </c>
      <c r="BR31" s="33">
        <v>1.02</v>
      </c>
      <c r="BS31" s="34"/>
      <c r="BT31" s="35">
        <v>1.06</v>
      </c>
      <c r="BU31" s="35"/>
      <c r="BV31" s="235"/>
      <c r="BW31" s="235">
        <v>1.29</v>
      </c>
      <c r="BX31" s="36"/>
      <c r="BY31" s="33">
        <v>37.369999999999997</v>
      </c>
      <c r="BZ31" s="34"/>
      <c r="CA31" s="35">
        <v>37.549999999999997</v>
      </c>
      <c r="CB31" s="35"/>
      <c r="CC31" s="235"/>
      <c r="CD31" s="235">
        <v>31.15</v>
      </c>
      <c r="CE31" s="36">
        <v>43.76</v>
      </c>
      <c r="CF31" s="30">
        <v>120.575</v>
      </c>
      <c r="CG31" s="30"/>
      <c r="CH31" s="31"/>
      <c r="CI31" s="32"/>
      <c r="CJ31" s="33">
        <v>1.61</v>
      </c>
      <c r="CK31" s="33"/>
      <c r="CL31" s="35"/>
      <c r="CM31" s="36"/>
      <c r="CN31" s="286"/>
      <c r="CO31" s="249">
        <f t="shared" si="31"/>
        <v>124.6524426</v>
      </c>
      <c r="CP31" s="12">
        <f t="shared" si="31"/>
        <v>0</v>
      </c>
      <c r="CQ31" s="12">
        <f t="shared" si="31"/>
        <v>41.979252600000002</v>
      </c>
      <c r="CR31" s="12">
        <f t="shared" si="31"/>
        <v>0</v>
      </c>
      <c r="CS31" s="11">
        <f t="shared" si="31"/>
        <v>0</v>
      </c>
      <c r="CT31" s="11">
        <f t="shared" si="31"/>
        <v>7.5197278000000001</v>
      </c>
      <c r="CU31" s="272">
        <f t="shared" si="31"/>
        <v>15.218999999999999</v>
      </c>
      <c r="CV31" s="249">
        <f t="shared" si="14"/>
        <v>118.6337425</v>
      </c>
      <c r="CW31" s="12">
        <f t="shared" si="14"/>
        <v>0</v>
      </c>
      <c r="CX31" s="249">
        <f t="shared" si="14"/>
        <v>0</v>
      </c>
      <c r="CY31" s="272">
        <f t="shared" si="14"/>
        <v>0</v>
      </c>
      <c r="CZ31" s="13"/>
      <c r="DA31" s="240">
        <f>(D31+'[2]июль 20'!D31)/(AY31+'[2]июль 20'!BA31)</f>
        <v>2.2534217152000475</v>
      </c>
      <c r="DB31" s="241">
        <f>(T31+'[2]июль 20'!R31)/(AY31+'[2]июль 20'!BA31)</f>
        <v>1.4108018286133355</v>
      </c>
      <c r="DD31" s="292">
        <f t="shared" si="15"/>
        <v>7.7619999999999996</v>
      </c>
      <c r="DE31" s="291">
        <v>1.25</v>
      </c>
      <c r="DF31" s="291">
        <v>13.71</v>
      </c>
      <c r="DG31" s="145">
        <f t="shared" si="16"/>
        <v>7.6649750000000001</v>
      </c>
      <c r="DH31" s="293">
        <f t="shared" si="30"/>
        <v>1.3858210108136622</v>
      </c>
      <c r="DJ31" s="322"/>
    </row>
    <row r="32" spans="1:114" s="76" customFormat="1" ht="16.5" customHeight="1" thickBot="1">
      <c r="A32" s="144">
        <v>26</v>
      </c>
      <c r="B32" s="122">
        <f>'[1]июль 20'!K31</f>
        <v>217.48699999999999</v>
      </c>
      <c r="C32" s="123">
        <f t="shared" si="17"/>
        <v>2.7186112273377261</v>
      </c>
      <c r="D32" s="145">
        <f t="shared" si="18"/>
        <v>211.57437399999998</v>
      </c>
      <c r="E32" s="125">
        <f t="shared" si="19"/>
        <v>37.679659565859112</v>
      </c>
      <c r="F32" s="146">
        <f t="shared" si="0"/>
        <v>2.1558424088037493</v>
      </c>
      <c r="G32" s="127"/>
      <c r="H32" s="126">
        <f t="shared" si="20"/>
        <v>1.9786465661300179</v>
      </c>
      <c r="I32" s="230">
        <f>'[1]июль 20'!AI31</f>
        <v>0</v>
      </c>
      <c r="J32" s="247">
        <f>'[1]июль 20'!AA31</f>
        <v>8.6020000000000003</v>
      </c>
      <c r="K32" s="464">
        <f>'[1]сентябрь 20'!AM31</f>
        <v>0</v>
      </c>
      <c r="L32" s="247">
        <f>'[1]июль 20'!AE31</f>
        <v>17.39</v>
      </c>
      <c r="M32" s="468">
        <f t="shared" si="21"/>
        <v>0.1771958426737314</v>
      </c>
      <c r="N32" s="403">
        <f>'[1]июль 20'!W31</f>
        <v>0</v>
      </c>
      <c r="O32" s="403">
        <f>'[1]июль 20'!AU31</f>
        <v>0</v>
      </c>
      <c r="P32" s="401">
        <f t="shared" si="1"/>
        <v>136.46</v>
      </c>
      <c r="Q32" s="122">
        <f>'[1]июль 20'!S31</f>
        <v>136.46</v>
      </c>
      <c r="R32" s="123">
        <f t="shared" si="22"/>
        <v>1.9500000000000002</v>
      </c>
      <c r="S32" s="129"/>
      <c r="T32" s="125">
        <f t="shared" si="2"/>
        <v>133.79902999999999</v>
      </c>
      <c r="U32" s="147">
        <f t="shared" si="3"/>
        <v>1.3633485836560015</v>
      </c>
      <c r="V32" s="130">
        <v>98.14</v>
      </c>
      <c r="W32" s="130">
        <v>98.14</v>
      </c>
      <c r="X32" s="129">
        <v>0.51</v>
      </c>
      <c r="Y32" s="150">
        <v>537</v>
      </c>
      <c r="Z32" s="150">
        <v>1144</v>
      </c>
      <c r="AA32" s="148" t="s">
        <v>360</v>
      </c>
      <c r="AB32" s="149">
        <v>75.849999999999994</v>
      </c>
      <c r="AC32" s="150">
        <v>87</v>
      </c>
      <c r="AD32" s="151">
        <v>4</v>
      </c>
      <c r="AE32" s="149"/>
      <c r="AF32" s="134">
        <f t="shared" si="4"/>
        <v>0</v>
      </c>
      <c r="AG32" s="152"/>
      <c r="AH32" s="129">
        <v>59.4</v>
      </c>
      <c r="AI32" s="134">
        <f t="shared" si="5"/>
        <v>605.25779498675354</v>
      </c>
      <c r="AJ32" s="153">
        <v>15.66</v>
      </c>
      <c r="AK32" s="154"/>
      <c r="AL32" s="155">
        <v>4.4400000000000004</v>
      </c>
      <c r="AM32" s="478">
        <f t="shared" si="23"/>
        <v>25.11</v>
      </c>
      <c r="AN32" s="126">
        <f t="shared" si="24"/>
        <v>0.2</v>
      </c>
      <c r="AO32" s="157" t="s">
        <v>359</v>
      </c>
      <c r="AP32" s="156">
        <v>8.7200000000000006</v>
      </c>
      <c r="AQ32" s="156">
        <v>9.06</v>
      </c>
      <c r="AR32" s="151"/>
      <c r="AS32" s="149">
        <v>7.01</v>
      </c>
      <c r="AT32" s="149">
        <v>125.55</v>
      </c>
      <c r="AU32" s="149">
        <v>2.14</v>
      </c>
      <c r="AV32" s="149"/>
      <c r="AW32" s="149"/>
      <c r="AX32" s="158">
        <f t="shared" si="6"/>
        <v>0</v>
      </c>
      <c r="AY32" s="125">
        <f t="shared" si="7"/>
        <v>98.14</v>
      </c>
      <c r="AZ32" s="125">
        <f t="shared" si="25"/>
        <v>93.128568401238297</v>
      </c>
      <c r="BA32" s="159">
        <f t="shared" si="8"/>
        <v>3.2255873239436621</v>
      </c>
      <c r="BB32" s="160">
        <f t="shared" si="9"/>
        <v>3.9256000000000002</v>
      </c>
      <c r="BC32" s="161">
        <f t="shared" si="10"/>
        <v>0.93375212653427753</v>
      </c>
      <c r="BD32" s="160">
        <f t="shared" si="26"/>
        <v>7.1511873239436623</v>
      </c>
      <c r="BE32" s="162">
        <v>0.89700000000000002</v>
      </c>
      <c r="BF32" s="25">
        <f t="shared" si="27"/>
        <v>2430.5</v>
      </c>
      <c r="BG32" s="25">
        <f t="shared" si="11"/>
        <v>108.06451612903226</v>
      </c>
      <c r="BH32" s="25">
        <f t="shared" si="28"/>
        <v>2809.6774193548376</v>
      </c>
      <c r="BI32" s="26">
        <f t="shared" si="12"/>
        <v>1</v>
      </c>
      <c r="BJ32" s="37">
        <f t="shared" si="29"/>
        <v>2809.6774193548376</v>
      </c>
      <c r="BK32" s="38">
        <v>143.523</v>
      </c>
      <c r="BL32" s="31"/>
      <c r="BM32" s="31">
        <v>47.869</v>
      </c>
      <c r="BN32" s="31"/>
      <c r="BO32" s="40"/>
      <c r="BP32" s="40">
        <v>8.7050000000000001</v>
      </c>
      <c r="BQ32" s="32">
        <v>17.39</v>
      </c>
      <c r="BR32" s="33">
        <v>3.23</v>
      </c>
      <c r="BS32" s="34"/>
      <c r="BT32" s="35">
        <v>2.2400000000000002</v>
      </c>
      <c r="BU32" s="35"/>
      <c r="BV32" s="235"/>
      <c r="BW32" s="235">
        <v>2.35</v>
      </c>
      <c r="BX32" s="36"/>
      <c r="BY32" s="33">
        <v>37.24</v>
      </c>
      <c r="BZ32" s="34"/>
      <c r="CA32" s="35">
        <v>37.4</v>
      </c>
      <c r="CB32" s="35"/>
      <c r="CC32" s="235"/>
      <c r="CD32" s="235">
        <v>34.020000000000003</v>
      </c>
      <c r="CE32" s="36">
        <v>43.91</v>
      </c>
      <c r="CF32" s="30">
        <v>136.46</v>
      </c>
      <c r="CG32" s="30"/>
      <c r="CH32" s="31"/>
      <c r="CI32" s="50"/>
      <c r="CJ32" s="33">
        <v>1.95</v>
      </c>
      <c r="CK32" s="33"/>
      <c r="CL32" s="35"/>
      <c r="CM32" s="36"/>
      <c r="CN32" s="286"/>
      <c r="CO32" s="249">
        <f t="shared" si="31"/>
        <v>138.88720709999998</v>
      </c>
      <c r="CP32" s="12">
        <f t="shared" si="31"/>
        <v>0</v>
      </c>
      <c r="CQ32" s="12">
        <f t="shared" si="31"/>
        <v>46.796734399999998</v>
      </c>
      <c r="CR32" s="12">
        <f t="shared" si="31"/>
        <v>0</v>
      </c>
      <c r="CS32" s="11">
        <f t="shared" si="31"/>
        <v>0</v>
      </c>
      <c r="CT32" s="11">
        <f t="shared" si="31"/>
        <v>8.5004325000000005</v>
      </c>
      <c r="CU32" s="272">
        <f t="shared" si="31"/>
        <v>17.39</v>
      </c>
      <c r="CV32" s="249">
        <f t="shared" si="14"/>
        <v>133.79902999999999</v>
      </c>
      <c r="CW32" s="11">
        <f t="shared" si="14"/>
        <v>0</v>
      </c>
      <c r="CX32" s="249">
        <f t="shared" si="14"/>
        <v>0</v>
      </c>
      <c r="CY32" s="272">
        <f t="shared" si="14"/>
        <v>0</v>
      </c>
      <c r="CZ32" s="13"/>
      <c r="DA32" s="240">
        <f>(D32+'[2]июль 20'!D32)/(AY32+'[2]июль 20'!BA32)</f>
        <v>2.1653974442526969</v>
      </c>
      <c r="DB32" s="241">
        <f>(T32+'[2]июль 20'!R32)/(AY32+'[2]июль 20'!BA32)</f>
        <v>1.3838331691023256</v>
      </c>
      <c r="DD32" s="292">
        <f t="shared" si="15"/>
        <v>8.6020000000000003</v>
      </c>
      <c r="DE32" s="291">
        <v>0.87</v>
      </c>
      <c r="DF32" s="291">
        <v>12.22</v>
      </c>
      <c r="DG32" s="145">
        <f t="shared" si="16"/>
        <v>8.5271626000000005</v>
      </c>
      <c r="DH32" s="293">
        <f t="shared" si="30"/>
        <v>1.3737894129466055</v>
      </c>
      <c r="DJ32" s="322"/>
    </row>
    <row r="33" spans="1:114" s="76" customFormat="1" ht="16.5" customHeight="1" thickBot="1">
      <c r="A33" s="144">
        <v>27</v>
      </c>
      <c r="B33" s="122">
        <f>'[1]июль 20'!K32</f>
        <v>217.703</v>
      </c>
      <c r="C33" s="123">
        <f t="shared" si="17"/>
        <v>1.3225968865840161</v>
      </c>
      <c r="D33" s="145">
        <f t="shared" si="18"/>
        <v>214.82366689999998</v>
      </c>
      <c r="E33" s="125">
        <f t="shared" si="19"/>
        <v>37.911860929798856</v>
      </c>
      <c r="F33" s="146">
        <f t="shared" si="0"/>
        <v>2.2636845827186511</v>
      </c>
      <c r="G33" s="127"/>
      <c r="H33" s="126">
        <f t="shared" si="20"/>
        <v>2.0786687766069551</v>
      </c>
      <c r="I33" s="230">
        <f>'[1]июль 20'!AI32</f>
        <v>0</v>
      </c>
      <c r="J33" s="247">
        <f>'[1]июль 20'!AA32</f>
        <v>8.8119999999999994</v>
      </c>
      <c r="K33" s="465">
        <f>'[1]сентябрь 20'!AM32</f>
        <v>0</v>
      </c>
      <c r="L33" s="247">
        <f>'[1]июль 20'!AE32</f>
        <v>17.558</v>
      </c>
      <c r="M33" s="469">
        <f t="shared" si="21"/>
        <v>0.18501580611169655</v>
      </c>
      <c r="N33" s="403">
        <f>'[1]июль 20'!W32</f>
        <v>0</v>
      </c>
      <c r="O33" s="403">
        <f>'[1]июль 20'!AU32</f>
        <v>0</v>
      </c>
      <c r="P33" s="401">
        <f t="shared" si="1"/>
        <v>136.57900000000001</v>
      </c>
      <c r="Q33" s="122">
        <f>'[1]июль 20'!S32</f>
        <v>136.57900000000001</v>
      </c>
      <c r="R33" s="123">
        <f t="shared" si="22"/>
        <v>1.72</v>
      </c>
      <c r="S33" s="129">
        <v>6.83</v>
      </c>
      <c r="T33" s="125">
        <f t="shared" si="2"/>
        <v>134.22984120000001</v>
      </c>
      <c r="U33" s="147">
        <f t="shared" si="3"/>
        <v>1.4144345753424661</v>
      </c>
      <c r="V33" s="130">
        <v>94.9</v>
      </c>
      <c r="W33" s="130">
        <v>94.9</v>
      </c>
      <c r="X33" s="129">
        <v>0.7</v>
      </c>
      <c r="Y33" s="150">
        <v>547</v>
      </c>
      <c r="Z33" s="150">
        <v>1152</v>
      </c>
      <c r="AA33" s="148" t="s">
        <v>303</v>
      </c>
      <c r="AB33" s="149">
        <v>76.42</v>
      </c>
      <c r="AC33" s="150">
        <v>87</v>
      </c>
      <c r="AD33" s="151">
        <v>4</v>
      </c>
      <c r="AE33" s="149"/>
      <c r="AF33" s="134">
        <f t="shared" si="4"/>
        <v>0</v>
      </c>
      <c r="AG33" s="152"/>
      <c r="AH33" s="129">
        <v>59.1</v>
      </c>
      <c r="AI33" s="134">
        <f t="shared" si="5"/>
        <v>622.76080084299269</v>
      </c>
      <c r="AJ33" s="136">
        <v>14.51</v>
      </c>
      <c r="AK33" s="154"/>
      <c r="AL33" s="155">
        <v>5.5</v>
      </c>
      <c r="AM33" s="478">
        <f t="shared" si="23"/>
        <v>24.810000000000002</v>
      </c>
      <c r="AN33" s="126">
        <f t="shared" si="24"/>
        <v>0.2</v>
      </c>
      <c r="AO33" s="157" t="s">
        <v>361</v>
      </c>
      <c r="AP33" s="156">
        <v>8.99</v>
      </c>
      <c r="AQ33" s="156">
        <v>8.84</v>
      </c>
      <c r="AR33" s="151"/>
      <c r="AS33" s="149">
        <v>7.8</v>
      </c>
      <c r="AT33" s="149">
        <v>124.05</v>
      </c>
      <c r="AU33" s="149">
        <v>1.1599999999999999</v>
      </c>
      <c r="AV33" s="149"/>
      <c r="AW33" s="149"/>
      <c r="AX33" s="158">
        <f t="shared" si="6"/>
        <v>0</v>
      </c>
      <c r="AY33" s="125">
        <f t="shared" si="7"/>
        <v>94.899999999999991</v>
      </c>
      <c r="AZ33" s="125">
        <f t="shared" si="25"/>
        <v>94.180918698214725</v>
      </c>
      <c r="BA33" s="159">
        <f t="shared" si="8"/>
        <v>3.5709718309859153</v>
      </c>
      <c r="BB33" s="160">
        <f t="shared" si="9"/>
        <v>3.7959999999999998</v>
      </c>
      <c r="BC33" s="161">
        <f t="shared" si="10"/>
        <v>0.89046328526519281</v>
      </c>
      <c r="BD33" s="160">
        <f t="shared" si="26"/>
        <v>7.3669718309859151</v>
      </c>
      <c r="BE33" s="162">
        <v>0.89700000000000002</v>
      </c>
      <c r="BF33" s="25">
        <f t="shared" si="27"/>
        <v>2525.4</v>
      </c>
      <c r="BG33" s="25">
        <f t="shared" si="11"/>
        <v>108.06451612903226</v>
      </c>
      <c r="BH33" s="25">
        <f t="shared" si="28"/>
        <v>2917.7419354838698</v>
      </c>
      <c r="BI33" s="26">
        <f t="shared" si="12"/>
        <v>1</v>
      </c>
      <c r="BJ33" s="37">
        <f t="shared" si="29"/>
        <v>2917.7419354838698</v>
      </c>
      <c r="BK33" s="38">
        <v>143.64500000000001</v>
      </c>
      <c r="BL33" s="31"/>
      <c r="BM33" s="31">
        <v>47.796999999999997</v>
      </c>
      <c r="BN33" s="31"/>
      <c r="BO33" s="40"/>
      <c r="BP33" s="40">
        <v>8.7029999999999994</v>
      </c>
      <c r="BQ33" s="32">
        <v>17.558</v>
      </c>
      <c r="BR33" s="33">
        <v>1.53</v>
      </c>
      <c r="BS33" s="34"/>
      <c r="BT33" s="35">
        <v>1.08</v>
      </c>
      <c r="BU33" s="35"/>
      <c r="BV33" s="235"/>
      <c r="BW33" s="235">
        <v>1.9</v>
      </c>
      <c r="BX33" s="36"/>
      <c r="BY33" s="33">
        <v>37.4</v>
      </c>
      <c r="BZ33" s="34"/>
      <c r="CA33" s="35">
        <v>38.28</v>
      </c>
      <c r="CB33" s="35"/>
      <c r="CC33" s="235"/>
      <c r="CD33" s="235">
        <v>32.54</v>
      </c>
      <c r="CE33" s="36">
        <v>43.76</v>
      </c>
      <c r="CF33" s="30">
        <v>136.57900000000001</v>
      </c>
      <c r="CG33" s="30"/>
      <c r="CH33" s="31"/>
      <c r="CI33" s="32"/>
      <c r="CJ33" s="33">
        <v>1.72</v>
      </c>
      <c r="CK33" s="33"/>
      <c r="CL33" s="35"/>
      <c r="CM33" s="36"/>
      <c r="CN33" s="270"/>
      <c r="CO33" s="249">
        <f t="shared" si="31"/>
        <v>141.44723150000002</v>
      </c>
      <c r="CP33" s="12">
        <f t="shared" si="31"/>
        <v>0</v>
      </c>
      <c r="CQ33" s="12">
        <f t="shared" si="31"/>
        <v>47.280792399999996</v>
      </c>
      <c r="CR33" s="12">
        <f t="shared" si="31"/>
        <v>0</v>
      </c>
      <c r="CS33" s="11">
        <f t="shared" si="31"/>
        <v>0</v>
      </c>
      <c r="CT33" s="11">
        <f t="shared" si="31"/>
        <v>8.5376429999999992</v>
      </c>
      <c r="CU33" s="272">
        <f t="shared" si="31"/>
        <v>17.558</v>
      </c>
      <c r="CV33" s="249">
        <f t="shared" si="14"/>
        <v>134.22984120000001</v>
      </c>
      <c r="CW33" s="12">
        <f t="shared" si="14"/>
        <v>0</v>
      </c>
      <c r="CX33" s="254">
        <f t="shared" si="14"/>
        <v>0</v>
      </c>
      <c r="CY33" s="275">
        <f t="shared" si="14"/>
        <v>0</v>
      </c>
      <c r="CZ33" s="13"/>
      <c r="DA33" s="240">
        <f>(D33+'[2]июль 20'!D33)/(AY33+'[2]июль 20'!BA33)</f>
        <v>2.1795925703855916</v>
      </c>
      <c r="DB33" s="241">
        <f>(T33+'[2]июль 20'!R33)/(AY33+'[2]июль 20'!BA33)</f>
        <v>1.3626429285556447</v>
      </c>
      <c r="DD33" s="292">
        <f t="shared" si="15"/>
        <v>8.8119999999999994</v>
      </c>
      <c r="DE33" s="291">
        <v>3.28</v>
      </c>
      <c r="DF33" s="291">
        <v>10.24</v>
      </c>
      <c r="DG33" s="145">
        <f t="shared" si="16"/>
        <v>8.5229663999999996</v>
      </c>
      <c r="DH33" s="293">
        <f t="shared" si="30"/>
        <v>1.1420462697723111</v>
      </c>
      <c r="DJ33" s="322"/>
    </row>
    <row r="34" spans="1:114" s="76" customFormat="1" ht="16.5" customHeight="1" thickBot="1">
      <c r="A34" s="144">
        <v>28</v>
      </c>
      <c r="B34" s="122">
        <f>'[1]июль 20'!K33</f>
        <v>217.517</v>
      </c>
      <c r="C34" s="123">
        <f t="shared" si="17"/>
        <v>0.37233742649999768</v>
      </c>
      <c r="D34" s="145">
        <f t="shared" si="18"/>
        <v>216.7071028</v>
      </c>
      <c r="E34" s="125">
        <f t="shared" si="19"/>
        <v>37.638696147887295</v>
      </c>
      <c r="F34" s="146">
        <f t="shared" si="0"/>
        <v>2.3122823602219378</v>
      </c>
      <c r="G34" s="127">
        <v>12.59</v>
      </c>
      <c r="H34" s="126">
        <f t="shared" si="20"/>
        <v>2.1267616602646182</v>
      </c>
      <c r="I34" s="230">
        <f>'[1]июль 20'!AI33</f>
        <v>0</v>
      </c>
      <c r="J34" s="247">
        <f>'[1]июль 20'!AA33</f>
        <v>8.6310000000000002</v>
      </c>
      <c r="K34" s="464">
        <f>'[1]сентябрь 20'!AM33</f>
        <v>0</v>
      </c>
      <c r="L34" s="247">
        <f>'[1]июль 20'!AE33</f>
        <v>17.387</v>
      </c>
      <c r="M34" s="468">
        <f t="shared" si="21"/>
        <v>0.18552069995731968</v>
      </c>
      <c r="N34" s="403">
        <f>'[1]июль 20'!W33</f>
        <v>0</v>
      </c>
      <c r="O34" s="403">
        <f>'[1]июль 20'!AU33</f>
        <v>0</v>
      </c>
      <c r="P34" s="401">
        <f t="shared" si="1"/>
        <v>135.77799999999999</v>
      </c>
      <c r="Q34" s="122">
        <f>'[1]июль 20'!S33</f>
        <v>135.77799999999999</v>
      </c>
      <c r="R34" s="123">
        <f t="shared" si="22"/>
        <v>1.73</v>
      </c>
      <c r="S34" s="170">
        <v>0.71</v>
      </c>
      <c r="T34" s="125">
        <f t="shared" si="2"/>
        <v>133.42904059999998</v>
      </c>
      <c r="U34" s="147">
        <f t="shared" si="3"/>
        <v>1.4236986833119929</v>
      </c>
      <c r="V34" s="169">
        <v>93.72</v>
      </c>
      <c r="W34" s="169">
        <v>70.27</v>
      </c>
      <c r="X34" s="170">
        <v>0.78</v>
      </c>
      <c r="Y34" s="166">
        <v>578</v>
      </c>
      <c r="Z34" s="166">
        <v>1152</v>
      </c>
      <c r="AA34" s="148" t="s">
        <v>337</v>
      </c>
      <c r="AB34" s="164">
        <v>76.349999999999994</v>
      </c>
      <c r="AC34" s="166">
        <v>87</v>
      </c>
      <c r="AD34" s="171">
        <v>4</v>
      </c>
      <c r="AE34" s="164"/>
      <c r="AF34" s="172">
        <f t="shared" si="4"/>
        <v>0</v>
      </c>
      <c r="AG34" s="173"/>
      <c r="AH34" s="170">
        <v>62.55</v>
      </c>
      <c r="AI34" s="134">
        <f t="shared" si="5"/>
        <v>667.41357234314978</v>
      </c>
      <c r="AJ34" s="174">
        <v>13.25</v>
      </c>
      <c r="AK34" s="175"/>
      <c r="AL34" s="176">
        <v>6.09</v>
      </c>
      <c r="AM34" s="478">
        <f t="shared" si="23"/>
        <v>24.57</v>
      </c>
      <c r="AN34" s="126">
        <f t="shared" si="24"/>
        <v>0.2</v>
      </c>
      <c r="AO34" s="178" t="s">
        <v>362</v>
      </c>
      <c r="AP34" s="177">
        <v>8.73</v>
      </c>
      <c r="AQ34" s="177">
        <v>9.09</v>
      </c>
      <c r="AR34" s="171"/>
      <c r="AS34" s="164">
        <v>8.27</v>
      </c>
      <c r="AT34" s="149">
        <v>122.85</v>
      </c>
      <c r="AU34" s="164">
        <v>1.53</v>
      </c>
      <c r="AV34" s="164"/>
      <c r="AW34" s="164"/>
      <c r="AX34" s="179">
        <f t="shared" si="6"/>
        <v>0</v>
      </c>
      <c r="AY34" s="125">
        <f t="shared" si="7"/>
        <v>93.72</v>
      </c>
      <c r="AZ34" s="125">
        <f t="shared" si="25"/>
        <v>95.299424027939068</v>
      </c>
      <c r="BA34" s="159">
        <f t="shared" si="8"/>
        <v>4.0071644366197177</v>
      </c>
      <c r="BB34" s="159">
        <f t="shared" si="9"/>
        <v>3.7488000000000001</v>
      </c>
      <c r="BC34" s="180">
        <f t="shared" si="10"/>
        <v>0.87727066005646259</v>
      </c>
      <c r="BD34" s="159">
        <f t="shared" si="26"/>
        <v>7.7559644366197178</v>
      </c>
      <c r="BE34" s="167">
        <v>0.89600000000000002</v>
      </c>
      <c r="BF34" s="25">
        <f t="shared" si="27"/>
        <v>2619.12</v>
      </c>
      <c r="BG34" s="25">
        <f t="shared" si="11"/>
        <v>108.06451612903226</v>
      </c>
      <c r="BH34" s="25">
        <f t="shared" si="28"/>
        <v>3025.806451612902</v>
      </c>
      <c r="BI34" s="26">
        <f t="shared" si="12"/>
        <v>1</v>
      </c>
      <c r="BJ34" s="37">
        <f t="shared" si="29"/>
        <v>3025.806451612902</v>
      </c>
      <c r="BK34" s="38">
        <v>143.547</v>
      </c>
      <c r="BL34" s="30"/>
      <c r="BM34" s="43">
        <v>47.902000000000001</v>
      </c>
      <c r="BN34" s="43"/>
      <c r="BO34" s="281"/>
      <c r="BP34" s="281">
        <v>8.6809999999999992</v>
      </c>
      <c r="BQ34" s="44">
        <v>17.387</v>
      </c>
      <c r="BR34" s="45">
        <v>0.39</v>
      </c>
      <c r="BS34" s="46"/>
      <c r="BT34" s="47">
        <v>0.31</v>
      </c>
      <c r="BU34" s="47"/>
      <c r="BV34" s="283"/>
      <c r="BW34" s="283">
        <v>1.17</v>
      </c>
      <c r="BX34" s="48"/>
      <c r="BY34" s="45">
        <v>37.17</v>
      </c>
      <c r="BZ34" s="46"/>
      <c r="CA34" s="47">
        <v>37.409999999999997</v>
      </c>
      <c r="CB34" s="47"/>
      <c r="CC34" s="283"/>
      <c r="CD34" s="283">
        <v>33.93</v>
      </c>
      <c r="CE34" s="48">
        <v>43.99</v>
      </c>
      <c r="CF34" s="49">
        <v>135.77799999999999</v>
      </c>
      <c r="CG34" s="49"/>
      <c r="CH34" s="43"/>
      <c r="CI34" s="32"/>
      <c r="CJ34" s="33">
        <v>1.73</v>
      </c>
      <c r="CK34" s="33"/>
      <c r="CL34" s="35"/>
      <c r="CM34" s="36"/>
      <c r="CN34" s="270"/>
      <c r="CO34" s="249">
        <f t="shared" si="31"/>
        <v>142.98716669999999</v>
      </c>
      <c r="CP34" s="12">
        <f t="shared" si="31"/>
        <v>0</v>
      </c>
      <c r="CQ34" s="12">
        <f t="shared" si="31"/>
        <v>47.753503800000004</v>
      </c>
      <c r="CR34" s="12">
        <f t="shared" si="31"/>
        <v>0</v>
      </c>
      <c r="CS34" s="11">
        <f t="shared" si="31"/>
        <v>0</v>
      </c>
      <c r="CT34" s="11">
        <f t="shared" si="31"/>
        <v>8.5794322999999988</v>
      </c>
      <c r="CU34" s="272">
        <f t="shared" si="31"/>
        <v>17.387</v>
      </c>
      <c r="CV34" s="249">
        <f t="shared" si="14"/>
        <v>133.42904059999998</v>
      </c>
      <c r="CW34" s="12">
        <f t="shared" si="14"/>
        <v>0</v>
      </c>
      <c r="CX34" s="249">
        <f t="shared" si="14"/>
        <v>0</v>
      </c>
      <c r="CY34" s="272">
        <f t="shared" si="14"/>
        <v>0</v>
      </c>
      <c r="CZ34" s="13"/>
      <c r="DA34" s="240">
        <f>(D34+'[2]июль 20'!D34)/(AY34+'[2]июль 20'!BA34)</f>
        <v>2.3727865234299799</v>
      </c>
      <c r="DB34" s="241">
        <f>(T34+'[2]июль 20'!R34)/(AY34+'[2]июль 20'!BA34)</f>
        <v>1.4608640061900546</v>
      </c>
      <c r="DD34" s="292">
        <f t="shared" si="15"/>
        <v>8.6310000000000002</v>
      </c>
      <c r="DE34" s="291">
        <v>0.18</v>
      </c>
      <c r="DF34" s="291">
        <v>18.04</v>
      </c>
      <c r="DG34" s="145">
        <f t="shared" si="16"/>
        <v>8.6154641999999999</v>
      </c>
      <c r="DH34" s="293">
        <f t="shared" si="30"/>
        <v>2.0356643636935168</v>
      </c>
      <c r="DJ34" s="322"/>
    </row>
    <row r="35" spans="1:114" s="76" customFormat="1" ht="16.5" customHeight="1" thickBot="1">
      <c r="A35" s="144">
        <v>29</v>
      </c>
      <c r="B35" s="122">
        <f>'[1]июль 20'!K34</f>
        <v>187.45099999999999</v>
      </c>
      <c r="C35" s="123">
        <f t="shared" si="17"/>
        <v>0.70064390160628642</v>
      </c>
      <c r="D35" s="145">
        <f t="shared" si="18"/>
        <v>186.13763600000001</v>
      </c>
      <c r="E35" s="125">
        <f t="shared" si="19"/>
        <v>37.815332220153543</v>
      </c>
      <c r="F35" s="146">
        <f t="shared" si="0"/>
        <v>1.8636126952342813</v>
      </c>
      <c r="G35" s="127"/>
      <c r="H35" s="126">
        <f t="shared" si="20"/>
        <v>1.7132322386864238</v>
      </c>
      <c r="I35" s="230">
        <f>'[1]июль 20'!AI34</f>
        <v>0</v>
      </c>
      <c r="J35" s="247">
        <f>'[1]июль 20'!AA34</f>
        <v>7.6059999999999999</v>
      </c>
      <c r="K35" s="465">
        <f>'[1]сентябрь 20'!AM34</f>
        <v>0</v>
      </c>
      <c r="L35" s="247">
        <f>'[1]июль 20'!AE34</f>
        <v>15.02</v>
      </c>
      <c r="M35" s="469">
        <f t="shared" si="21"/>
        <v>0.15038045654785742</v>
      </c>
      <c r="N35" s="403">
        <f>'[1]июль 20'!W34</f>
        <v>0</v>
      </c>
      <c r="O35" s="403">
        <f>'[1]июль 20'!AU34</f>
        <v>0</v>
      </c>
      <c r="P35" s="401">
        <f t="shared" si="1"/>
        <v>116.355</v>
      </c>
      <c r="Q35" s="122">
        <f>'[1]июль 20'!S34</f>
        <v>116.355</v>
      </c>
      <c r="R35" s="123">
        <f t="shared" si="22"/>
        <v>1.63</v>
      </c>
      <c r="S35" s="129"/>
      <c r="T35" s="125">
        <f t="shared" si="2"/>
        <v>114.45841350000001</v>
      </c>
      <c r="U35" s="147">
        <f t="shared" si="3"/>
        <v>1.1459592861433721</v>
      </c>
      <c r="V35" s="130">
        <v>39.4</v>
      </c>
      <c r="W35" s="130">
        <v>63.62</v>
      </c>
      <c r="X35" s="129">
        <v>1.03</v>
      </c>
      <c r="Y35" s="150">
        <v>612</v>
      </c>
      <c r="Z35" s="150">
        <v>1147</v>
      </c>
      <c r="AA35" s="148" t="s">
        <v>310</v>
      </c>
      <c r="AB35" s="149">
        <v>74.83</v>
      </c>
      <c r="AC35" s="150">
        <v>75</v>
      </c>
      <c r="AD35" s="151">
        <v>5</v>
      </c>
      <c r="AE35" s="181"/>
      <c r="AF35" s="134">
        <f t="shared" si="4"/>
        <v>0</v>
      </c>
      <c r="AG35" s="182"/>
      <c r="AH35" s="129">
        <v>65.8</v>
      </c>
      <c r="AI35" s="134">
        <f t="shared" si="5"/>
        <v>658.79054865839009</v>
      </c>
      <c r="AJ35" s="136">
        <v>17.21</v>
      </c>
      <c r="AK35" s="154"/>
      <c r="AL35" s="155">
        <v>7.56</v>
      </c>
      <c r="AM35" s="478">
        <f t="shared" si="23"/>
        <v>26.430000000000003</v>
      </c>
      <c r="AN35" s="126">
        <f t="shared" si="24"/>
        <v>0.2</v>
      </c>
      <c r="AO35" s="184" t="s">
        <v>363</v>
      </c>
      <c r="AP35" s="183">
        <v>9.08</v>
      </c>
      <c r="AQ35" s="183">
        <v>8.9499999999999993</v>
      </c>
      <c r="AR35" s="185"/>
      <c r="AS35" s="181">
        <v>7.82</v>
      </c>
      <c r="AT35" s="149">
        <v>132.15</v>
      </c>
      <c r="AU35" s="181">
        <v>1.72</v>
      </c>
      <c r="AV35" s="149"/>
      <c r="AW35" s="149"/>
      <c r="AX35" s="158">
        <f t="shared" si="6"/>
        <v>0</v>
      </c>
      <c r="AY35" s="125">
        <f t="shared" si="7"/>
        <v>99.88</v>
      </c>
      <c r="AZ35" s="125">
        <f t="shared" si="25"/>
        <v>83.639561335697351</v>
      </c>
      <c r="BA35" s="159">
        <f t="shared" si="8"/>
        <v>3.9859971830985916</v>
      </c>
      <c r="BB35" s="160">
        <f t="shared" si="9"/>
        <v>3.9952000000000001</v>
      </c>
      <c r="BC35" s="161">
        <f t="shared" si="10"/>
        <v>1.0618230891999154</v>
      </c>
      <c r="BD35" s="160">
        <f t="shared" si="26"/>
        <v>7.9811971830985922</v>
      </c>
      <c r="BE35" s="162">
        <v>0.90100000000000002</v>
      </c>
      <c r="BF35" s="25">
        <f t="shared" si="27"/>
        <v>2719</v>
      </c>
      <c r="BG35" s="25">
        <f t="shared" si="11"/>
        <v>108.06451612903226</v>
      </c>
      <c r="BH35" s="25">
        <f t="shared" si="28"/>
        <v>3133.8709677419342</v>
      </c>
      <c r="BI35" s="26">
        <f t="shared" si="12"/>
        <v>1</v>
      </c>
      <c r="BJ35" s="37">
        <f t="shared" si="29"/>
        <v>3133.8709677419342</v>
      </c>
      <c r="BK35" s="38">
        <v>146.584</v>
      </c>
      <c r="BL35" s="31"/>
      <c r="BM35" s="31">
        <v>18.471</v>
      </c>
      <c r="BN35" s="31"/>
      <c r="BO35" s="40"/>
      <c r="BP35" s="40">
        <v>7.3760000000000003</v>
      </c>
      <c r="BQ35" s="32">
        <v>15.02</v>
      </c>
      <c r="BR35" s="33">
        <v>0.76</v>
      </c>
      <c r="BS35" s="34"/>
      <c r="BT35" s="35">
        <v>0.56000000000000005</v>
      </c>
      <c r="BU35" s="35"/>
      <c r="BV35" s="235"/>
      <c r="BW35" s="235">
        <v>1.3</v>
      </c>
      <c r="BX35" s="36"/>
      <c r="BY35" s="33">
        <v>37.450000000000003</v>
      </c>
      <c r="BZ35" s="34"/>
      <c r="CA35" s="35">
        <v>37.4</v>
      </c>
      <c r="CB35" s="35"/>
      <c r="CC35" s="235"/>
      <c r="CD35" s="235">
        <v>33.99</v>
      </c>
      <c r="CE35" s="36">
        <v>43.77</v>
      </c>
      <c r="CF35" s="30">
        <v>116.355</v>
      </c>
      <c r="CG35" s="30"/>
      <c r="CH35" s="31"/>
      <c r="CI35" s="50"/>
      <c r="CJ35" s="33">
        <v>1.63</v>
      </c>
      <c r="CK35" s="33"/>
      <c r="CL35" s="35"/>
      <c r="CM35" s="36"/>
      <c r="CN35" s="270"/>
      <c r="CO35" s="249">
        <f t="shared" si="31"/>
        <v>145.4699616</v>
      </c>
      <c r="CP35" s="12">
        <f t="shared" si="31"/>
        <v>0</v>
      </c>
      <c r="CQ35" s="12">
        <f t="shared" si="31"/>
        <v>18.367562400000001</v>
      </c>
      <c r="CR35" s="12">
        <f t="shared" si="31"/>
        <v>0</v>
      </c>
      <c r="CS35" s="11">
        <f t="shared" si="31"/>
        <v>0</v>
      </c>
      <c r="CT35" s="11">
        <f t="shared" si="31"/>
        <v>7.2801119999999999</v>
      </c>
      <c r="CU35" s="272">
        <f t="shared" si="31"/>
        <v>15.02</v>
      </c>
      <c r="CV35" s="249">
        <f t="shared" si="14"/>
        <v>114.45841350000001</v>
      </c>
      <c r="CW35" s="12">
        <f t="shared" si="14"/>
        <v>0</v>
      </c>
      <c r="CX35" s="249">
        <f t="shared" si="14"/>
        <v>0</v>
      </c>
      <c r="CY35" s="272">
        <f t="shared" si="14"/>
        <v>0</v>
      </c>
      <c r="CZ35" s="13"/>
      <c r="DA35" s="240">
        <f>(D35+'[2]июль 20'!D35)/(AY35+'[2]июль 20'!BA35)</f>
        <v>2.0625269142477256</v>
      </c>
      <c r="DB35" s="241">
        <f>(T35+'[2]июль 20'!R35)/(AY35+'[2]июль 20'!BA35)</f>
        <v>1.2795237419241099</v>
      </c>
      <c r="DD35" s="292">
        <f t="shared" si="15"/>
        <v>7.6059999999999999</v>
      </c>
      <c r="DE35" s="291">
        <v>0.43</v>
      </c>
      <c r="DF35" s="291">
        <v>15.03</v>
      </c>
      <c r="DG35" s="145">
        <f t="shared" si="16"/>
        <v>7.5732941999999994</v>
      </c>
      <c r="DH35" s="293">
        <f t="shared" si="30"/>
        <v>1.5211360660964852</v>
      </c>
      <c r="DJ35" s="322"/>
    </row>
    <row r="36" spans="1:114" s="76" customFormat="1" ht="16.5" customHeight="1" thickBot="1">
      <c r="A36" s="144">
        <v>30</v>
      </c>
      <c r="B36" s="122">
        <f>'[1]июль 20'!K35</f>
        <v>214.93100000000001</v>
      </c>
      <c r="C36" s="123">
        <f t="shared" si="17"/>
        <v>0.7265635483015479</v>
      </c>
      <c r="D36" s="145">
        <f t="shared" si="18"/>
        <v>213.36938970000003</v>
      </c>
      <c r="E36" s="125">
        <f t="shared" si="19"/>
        <v>37.78251322517459</v>
      </c>
      <c r="F36" s="146">
        <f t="shared" si="0"/>
        <v>2.6293208835489836</v>
      </c>
      <c r="G36" s="127"/>
      <c r="H36" s="126">
        <f t="shared" si="20"/>
        <v>2.2538680184842881</v>
      </c>
      <c r="I36" s="230">
        <f>'[1]июль 20'!AI35</f>
        <v>0</v>
      </c>
      <c r="J36" s="247">
        <f>'[1]июль 20'!AA35</f>
        <v>8.5009999999999994</v>
      </c>
      <c r="K36" s="464">
        <f>'[1]сентябрь 20'!AM35</f>
        <v>0</v>
      </c>
      <c r="L36" s="247">
        <f>'[1]июль 20'!AE35</f>
        <v>30.468</v>
      </c>
      <c r="M36" s="468">
        <f t="shared" si="21"/>
        <v>0.37545286506469505</v>
      </c>
      <c r="N36" s="403">
        <f>'[1]июль 20'!W35</f>
        <v>0</v>
      </c>
      <c r="O36" s="403">
        <f>'[1]июль 20'!AU35</f>
        <v>0</v>
      </c>
      <c r="P36" s="401">
        <f t="shared" si="1"/>
        <v>133.93199999999999</v>
      </c>
      <c r="Q36" s="122">
        <f>'[1]июль 20'!S35</f>
        <v>133.93199999999999</v>
      </c>
      <c r="R36" s="123">
        <f t="shared" si="22"/>
        <v>1.67</v>
      </c>
      <c r="S36" s="129">
        <v>20.93</v>
      </c>
      <c r="T36" s="125">
        <f t="shared" si="2"/>
        <v>131.69533559999999</v>
      </c>
      <c r="U36" s="147">
        <f t="shared" si="3"/>
        <v>1.6228630388170053</v>
      </c>
      <c r="V36" s="130">
        <v>46.3</v>
      </c>
      <c r="W36" s="130">
        <v>81.150000000000006</v>
      </c>
      <c r="X36" s="129">
        <v>0.59</v>
      </c>
      <c r="Y36" s="150">
        <v>619</v>
      </c>
      <c r="Z36" s="150">
        <v>1154</v>
      </c>
      <c r="AA36" s="148" t="s">
        <v>337</v>
      </c>
      <c r="AB36" s="149">
        <v>75.31</v>
      </c>
      <c r="AC36" s="150">
        <v>86</v>
      </c>
      <c r="AD36" s="151">
        <v>4</v>
      </c>
      <c r="AE36" s="149"/>
      <c r="AF36" s="134">
        <f t="shared" si="4"/>
        <v>0</v>
      </c>
      <c r="AG36" s="152"/>
      <c r="AH36" s="129">
        <v>51.8</v>
      </c>
      <c r="AI36" s="134">
        <f t="shared" si="5"/>
        <v>638.32409118915575</v>
      </c>
      <c r="AJ36" s="153">
        <v>16.11</v>
      </c>
      <c r="AK36" s="154"/>
      <c r="AL36" s="155">
        <v>5.57</v>
      </c>
      <c r="AM36" s="478">
        <f t="shared" si="23"/>
        <v>21.680000000000003</v>
      </c>
      <c r="AN36" s="126">
        <f t="shared" si="24"/>
        <v>0.2</v>
      </c>
      <c r="AO36" s="157" t="s">
        <v>370</v>
      </c>
      <c r="AP36" s="156">
        <v>8.76</v>
      </c>
      <c r="AQ36" s="156">
        <v>7.88</v>
      </c>
      <c r="AR36" s="151"/>
      <c r="AS36" s="149">
        <v>9.4</v>
      </c>
      <c r="AT36" s="149">
        <v>108.4</v>
      </c>
      <c r="AU36" s="149"/>
      <c r="AV36" s="149"/>
      <c r="AW36" s="149"/>
      <c r="AX36" s="158">
        <f t="shared" si="6"/>
        <v>0</v>
      </c>
      <c r="AY36" s="125">
        <f t="shared" si="7"/>
        <v>81.150000000000006</v>
      </c>
      <c r="AZ36" s="125">
        <f t="shared" si="25"/>
        <v>95.339006728374002</v>
      </c>
      <c r="BA36" s="159">
        <f t="shared" si="8"/>
        <v>3.7719154929577465</v>
      </c>
      <c r="BB36" s="160">
        <f t="shared" si="9"/>
        <v>3.2460000000000004</v>
      </c>
      <c r="BC36" s="161">
        <f t="shared" si="10"/>
        <v>0.75808554155930918</v>
      </c>
      <c r="BD36" s="160">
        <f t="shared" si="26"/>
        <v>7.017915492957747</v>
      </c>
      <c r="BE36" s="162">
        <v>0.89600000000000002</v>
      </c>
      <c r="BF36" s="25">
        <f t="shared" si="27"/>
        <v>2800.15</v>
      </c>
      <c r="BG36" s="25">
        <f t="shared" si="11"/>
        <v>108.06451612903226</v>
      </c>
      <c r="BH36" s="25">
        <f t="shared" si="28"/>
        <v>3241.9354838709664</v>
      </c>
      <c r="BI36" s="26">
        <f t="shared" si="12"/>
        <v>1</v>
      </c>
      <c r="BJ36" s="37">
        <f t="shared" si="29"/>
        <v>3241.9354838709664</v>
      </c>
      <c r="BK36" s="38">
        <v>9.8960000000000008</v>
      </c>
      <c r="BL36" s="31">
        <v>56.112000000000002</v>
      </c>
      <c r="BM36" s="31"/>
      <c r="BN36" s="31">
        <v>16.094000000000001</v>
      </c>
      <c r="BO36" s="40">
        <v>107.697</v>
      </c>
      <c r="BP36" s="40">
        <v>10.757999999999999</v>
      </c>
      <c r="BQ36" s="32">
        <v>14.374000000000001</v>
      </c>
      <c r="BR36" s="33">
        <v>0.79</v>
      </c>
      <c r="BS36" s="34">
        <v>0.79</v>
      </c>
      <c r="BT36" s="35"/>
      <c r="BU36" s="35"/>
      <c r="BV36" s="235">
        <v>0.79</v>
      </c>
      <c r="BW36" s="235">
        <v>1.76</v>
      </c>
      <c r="BX36" s="36"/>
      <c r="BY36" s="33">
        <v>37.49</v>
      </c>
      <c r="BZ36" s="34">
        <v>37.49</v>
      </c>
      <c r="CA36" s="35"/>
      <c r="CB36" s="35">
        <v>41.62</v>
      </c>
      <c r="CC36" s="235">
        <v>37.49</v>
      </c>
      <c r="CD36" s="235">
        <v>28.11</v>
      </c>
      <c r="CE36" s="36">
        <v>44.26</v>
      </c>
      <c r="CF36" s="30">
        <v>133.93199999999999</v>
      </c>
      <c r="CG36" s="30"/>
      <c r="CH36" s="34"/>
      <c r="CI36" s="50"/>
      <c r="CJ36" s="33">
        <v>1.67</v>
      </c>
      <c r="CK36" s="33"/>
      <c r="CL36" s="35"/>
      <c r="CM36" s="36"/>
      <c r="CN36" s="270"/>
      <c r="CO36" s="249">
        <f t="shared" si="31"/>
        <v>9.8178216000000003</v>
      </c>
      <c r="CP36" s="12">
        <f t="shared" si="31"/>
        <v>55.668715200000001</v>
      </c>
      <c r="CQ36" s="12">
        <f t="shared" si="31"/>
        <v>0</v>
      </c>
      <c r="CR36" s="12">
        <f t="shared" si="31"/>
        <v>16.094000000000001</v>
      </c>
      <c r="CS36" s="11">
        <f t="shared" si="31"/>
        <v>106.8461937</v>
      </c>
      <c r="CT36" s="11">
        <f t="shared" si="31"/>
        <v>10.568659199999999</v>
      </c>
      <c r="CU36" s="272">
        <f t="shared" si="31"/>
        <v>14.374000000000001</v>
      </c>
      <c r="CV36" s="249">
        <f t="shared" si="14"/>
        <v>131.69533559999999</v>
      </c>
      <c r="CW36" s="12">
        <f t="shared" si="14"/>
        <v>0</v>
      </c>
      <c r="CX36" s="249">
        <f t="shared" si="14"/>
        <v>0</v>
      </c>
      <c r="CY36" s="274">
        <f t="shared" si="14"/>
        <v>0</v>
      </c>
      <c r="CZ36" s="13"/>
      <c r="DA36" s="240">
        <f>(D36+'[2]июль 20'!D36)/(AY36+'[2]июль 20'!BA36)</f>
        <v>2.4812798807354652</v>
      </c>
      <c r="DB36" s="241">
        <f>(T36+'[2]июль 20'!R36)/(AY36+'[2]июль 20'!BA36)</f>
        <v>1.5428556669167586</v>
      </c>
      <c r="DD36" s="292">
        <f t="shared" si="15"/>
        <v>8.5009999999999994</v>
      </c>
      <c r="DE36" s="291">
        <v>0.33</v>
      </c>
      <c r="DF36" s="291">
        <v>16.78</v>
      </c>
      <c r="DG36" s="145">
        <f t="shared" si="16"/>
        <v>8.4729466999999996</v>
      </c>
      <c r="DH36" s="293">
        <f t="shared" si="30"/>
        <v>1.8878773818350816</v>
      </c>
      <c r="DJ36" s="322"/>
    </row>
    <row r="37" spans="1:114" s="76" customFormat="1" ht="16.5" customHeight="1" thickBot="1">
      <c r="A37" s="186">
        <v>31</v>
      </c>
      <c r="B37" s="122">
        <f>'[1]июль 20'!K36</f>
        <v>207.49700000000001</v>
      </c>
      <c r="C37" s="123">
        <f t="shared" si="17"/>
        <v>0.60312293671715733</v>
      </c>
      <c r="D37" s="187">
        <f t="shared" si="18"/>
        <v>206.24553800000001</v>
      </c>
      <c r="E37" s="285">
        <f t="shared" si="19"/>
        <v>37.767971199583606</v>
      </c>
      <c r="F37" s="189">
        <f t="shared" si="0"/>
        <v>3.1808380320789635</v>
      </c>
      <c r="G37" s="127">
        <v>1.74</v>
      </c>
      <c r="H37" s="126">
        <f t="shared" si="20"/>
        <v>1.708614096236891</v>
      </c>
      <c r="I37" s="230">
        <f>'[1]июль 20'!AI36</f>
        <v>0</v>
      </c>
      <c r="J37" s="277">
        <f>'[1]июль 20'!AA36</f>
        <v>8.1639999999999997</v>
      </c>
      <c r="K37" s="276">
        <f>'[1]сентябрь 20'!AM36</f>
        <v>0</v>
      </c>
      <c r="L37" s="438">
        <f>'[1]июль 20'!AE36</f>
        <v>95.459000000000003</v>
      </c>
      <c r="M37" s="128">
        <f t="shared" si="21"/>
        <v>1.4722239358420728</v>
      </c>
      <c r="N37" s="399">
        <f>'[1]июль 20'!W36</f>
        <v>0</v>
      </c>
      <c r="O37" s="399">
        <f>'[1]июль 20'!AU36</f>
        <v>0</v>
      </c>
      <c r="P37" s="125">
        <f t="shared" si="1"/>
        <v>129.68</v>
      </c>
      <c r="Q37" s="122">
        <f>'[1]июль 20'!S36</f>
        <v>129.68</v>
      </c>
      <c r="R37" s="123">
        <f t="shared" si="22"/>
        <v>1.79</v>
      </c>
      <c r="S37" s="190">
        <v>1.59</v>
      </c>
      <c r="T37" s="125">
        <f t="shared" si="2"/>
        <v>127.358728</v>
      </c>
      <c r="U37" s="191">
        <f t="shared" si="3"/>
        <v>1.9641999999999999</v>
      </c>
      <c r="V37" s="192">
        <v>64.84</v>
      </c>
      <c r="W37" s="192">
        <v>64.84</v>
      </c>
      <c r="X37" s="190">
        <v>0.41</v>
      </c>
      <c r="Y37" s="193">
        <v>613</v>
      </c>
      <c r="Z37" s="194">
        <v>1152</v>
      </c>
      <c r="AA37" s="195" t="s">
        <v>352</v>
      </c>
      <c r="AB37" s="196">
        <v>75.760000000000005</v>
      </c>
      <c r="AC37" s="194">
        <v>83</v>
      </c>
      <c r="AD37" s="193">
        <v>4</v>
      </c>
      <c r="AE37" s="196"/>
      <c r="AF37" s="134">
        <f t="shared" si="4"/>
        <v>0</v>
      </c>
      <c r="AG37" s="197"/>
      <c r="AH37" s="190">
        <v>78.150000000000006</v>
      </c>
      <c r="AI37" s="134">
        <f t="shared" si="5"/>
        <v>1205.2745219000617</v>
      </c>
      <c r="AJ37" s="196">
        <v>16.71</v>
      </c>
      <c r="AK37" s="198"/>
      <c r="AL37" s="199">
        <v>5.77</v>
      </c>
      <c r="AM37" s="478">
        <v>52.09</v>
      </c>
      <c r="AN37" s="126">
        <f t="shared" si="24"/>
        <v>0.4245313773431133</v>
      </c>
      <c r="AO37" s="201" t="s">
        <v>372</v>
      </c>
      <c r="AP37" s="200">
        <v>8.61</v>
      </c>
      <c r="AQ37" s="200">
        <v>8.09</v>
      </c>
      <c r="AR37" s="193"/>
      <c r="AS37" s="196">
        <v>7.96</v>
      </c>
      <c r="AT37" s="242">
        <v>122.7</v>
      </c>
      <c r="AU37" s="196"/>
      <c r="AV37" s="196"/>
      <c r="AW37" s="196"/>
      <c r="AX37" s="202">
        <f t="shared" si="6"/>
        <v>0</v>
      </c>
      <c r="AY37" s="188">
        <f t="shared" si="7"/>
        <v>64.84</v>
      </c>
      <c r="AZ37" s="125">
        <f t="shared" si="25"/>
        <v>91.274143535386017</v>
      </c>
      <c r="BA37" s="203">
        <f t="shared" si="8"/>
        <v>4.8188830985915496</v>
      </c>
      <c r="BB37" s="204">
        <f t="shared" si="9"/>
        <v>2.5936000000000003</v>
      </c>
      <c r="BC37" s="205">
        <f t="shared" si="10"/>
        <v>0.63063018495436629</v>
      </c>
      <c r="BD37" s="206">
        <f t="shared" si="26"/>
        <v>7.41248309859155</v>
      </c>
      <c r="BE37" s="207">
        <v>0.88800000000000001</v>
      </c>
      <c r="BF37" s="25">
        <f t="shared" si="27"/>
        <v>2864.9900000000002</v>
      </c>
      <c r="BG37" s="25">
        <f t="shared" si="11"/>
        <v>108.06451612903226</v>
      </c>
      <c r="BH37" s="25">
        <f t="shared" si="28"/>
        <v>3349.9999999999986</v>
      </c>
      <c r="BI37" s="26">
        <f t="shared" si="12"/>
        <v>1</v>
      </c>
      <c r="BJ37" s="37">
        <f t="shared" si="29"/>
        <v>3349.9999999999986</v>
      </c>
      <c r="BK37" s="51"/>
      <c r="BL37" s="53"/>
      <c r="BM37" s="53"/>
      <c r="BN37" s="53">
        <v>95.459000000000003</v>
      </c>
      <c r="BO37" s="282">
        <v>91.316000000000003</v>
      </c>
      <c r="BP37" s="282">
        <v>20.722000000000001</v>
      </c>
      <c r="BQ37" s="54"/>
      <c r="BR37" s="55"/>
      <c r="BS37" s="52"/>
      <c r="BT37" s="56"/>
      <c r="BU37" s="56"/>
      <c r="BV37" s="284">
        <v>0.49</v>
      </c>
      <c r="BW37" s="284">
        <v>3.88</v>
      </c>
      <c r="BX37" s="57"/>
      <c r="BY37" s="55"/>
      <c r="BZ37" s="52"/>
      <c r="CA37" s="56"/>
      <c r="CB37" s="56">
        <v>41.8</v>
      </c>
      <c r="CC37" s="284">
        <v>35.520000000000003</v>
      </c>
      <c r="CD37" s="284">
        <v>29.1</v>
      </c>
      <c r="CE37" s="57"/>
      <c r="CF37" s="58">
        <v>129.68</v>
      </c>
      <c r="CG37" s="58"/>
      <c r="CH37" s="52"/>
      <c r="CI37" s="54"/>
      <c r="CJ37" s="33">
        <v>1.79</v>
      </c>
      <c r="CK37" s="265"/>
      <c r="CL37" s="59"/>
      <c r="CM37" s="60"/>
      <c r="CN37" s="270"/>
      <c r="CO37" s="269">
        <f t="shared" si="31"/>
        <v>0</v>
      </c>
      <c r="CP37" s="18">
        <f t="shared" si="31"/>
        <v>0</v>
      </c>
      <c r="CQ37" s="18">
        <f t="shared" si="31"/>
        <v>0</v>
      </c>
      <c r="CR37" s="18">
        <f t="shared" si="31"/>
        <v>95.459000000000003</v>
      </c>
      <c r="CS37" s="251">
        <f t="shared" si="31"/>
        <v>90.868551600000018</v>
      </c>
      <c r="CT37" s="11">
        <f t="shared" si="31"/>
        <v>19.917986400000004</v>
      </c>
      <c r="CU37" s="273">
        <f t="shared" si="31"/>
        <v>0</v>
      </c>
      <c r="CV37" s="269">
        <f t="shared" si="14"/>
        <v>127.358728</v>
      </c>
      <c r="CW37" s="18">
        <f t="shared" si="14"/>
        <v>0</v>
      </c>
      <c r="CX37" s="261">
        <f t="shared" si="14"/>
        <v>0</v>
      </c>
      <c r="CY37" s="273">
        <f t="shared" si="14"/>
        <v>0</v>
      </c>
      <c r="CZ37" s="13"/>
      <c r="DA37" s="240">
        <f>(D37+'[2]июль 20'!D37)/(AY37+'[2]июль 20'!BA37)</f>
        <v>2.277038637976764</v>
      </c>
      <c r="DB37" s="241">
        <f>(T37+'[2]июль 20'!R37)/(AY37+'[2]июль 20'!BA37)</f>
        <v>1.4224914191789007</v>
      </c>
      <c r="DD37" s="292">
        <f t="shared" si="15"/>
        <v>8.1639999999999997</v>
      </c>
      <c r="DE37" s="294">
        <v>0.06</v>
      </c>
      <c r="DF37" s="294">
        <v>14.06</v>
      </c>
      <c r="DG37" s="323">
        <f t="shared" si="16"/>
        <v>8.1591015999999996</v>
      </c>
      <c r="DH37" s="293">
        <f t="shared" si="30"/>
        <v>1.5142155292502637</v>
      </c>
      <c r="DJ37" s="322"/>
    </row>
    <row r="38" spans="1:114" s="214" customFormat="1" ht="16.5" customHeight="1" thickBot="1">
      <c r="A38" s="91" t="s">
        <v>56</v>
      </c>
      <c r="B38" s="92">
        <f>SUM(B7:B37)</f>
        <v>6530.3600000000006</v>
      </c>
      <c r="C38" s="330"/>
      <c r="D38" s="331">
        <f>SUM(D7:D37)</f>
        <v>6486.4672165799502</v>
      </c>
      <c r="E38" s="332"/>
      <c r="F38" s="331"/>
      <c r="G38" s="333">
        <f>SUM(G7:G37)</f>
        <v>29.09</v>
      </c>
      <c r="H38" s="329"/>
      <c r="I38" s="334">
        <f>SUM(I7:I37)</f>
        <v>0</v>
      </c>
      <c r="J38" s="329">
        <f>SUM(J7:J37)</f>
        <v>260.226</v>
      </c>
      <c r="K38" s="329">
        <f>SUM(K7:K37)</f>
        <v>0</v>
      </c>
      <c r="L38" s="396">
        <f>SUM(L7:L37)</f>
        <v>666.7679999999998</v>
      </c>
      <c r="M38" s="335"/>
      <c r="N38" s="329">
        <f>SUM(N7:N37)</f>
        <v>0</v>
      </c>
      <c r="O38" s="396">
        <f>SUM(O7:O37)</f>
        <v>0</v>
      </c>
      <c r="P38" s="330">
        <f>SUM(P7:P37)</f>
        <v>4049.7670019999996</v>
      </c>
      <c r="Q38" s="396">
        <f>SUM(Q7:Q37)</f>
        <v>4049.7669999999998</v>
      </c>
      <c r="R38" s="336">
        <f>IF(Q38=0,0,(CA38*CH38+CE38*CI38+CF38*CJ38)/Q38)</f>
        <v>0</v>
      </c>
      <c r="S38" s="398">
        <f>SUM(S7:S37)</f>
        <v>257.06</v>
      </c>
      <c r="T38" s="331">
        <f>SUM(T7:T37)</f>
        <v>3988.6513252</v>
      </c>
      <c r="U38" s="337"/>
      <c r="V38" s="229">
        <f>SUM(V7:V37)</f>
        <v>2455.6400000000003</v>
      </c>
      <c r="W38" s="229">
        <f>SUM(W7:W37)</f>
        <v>2471.11</v>
      </c>
      <c r="X38" s="338"/>
      <c r="Y38" s="337"/>
      <c r="Z38" s="339"/>
      <c r="AA38" s="340"/>
      <c r="AB38" s="338"/>
      <c r="AC38" s="339"/>
      <c r="AD38" s="339">
        <f>SUM(AD7:AD37)</f>
        <v>125</v>
      </c>
      <c r="AE38" s="90">
        <f>SUM(AE7:AE37)</f>
        <v>5.0999999999999996</v>
      </c>
      <c r="AF38" s="341"/>
      <c r="AG38" s="342">
        <f>SUM(AG7:AG37)</f>
        <v>0</v>
      </c>
      <c r="AH38" s="90">
        <f>SUM(AH7:AH37)</f>
        <v>1970.9000000000003</v>
      </c>
      <c r="AI38" s="341"/>
      <c r="AJ38" s="332">
        <f>SUM(AJ7:AJ37)</f>
        <v>467.55</v>
      </c>
      <c r="AK38" s="343"/>
      <c r="AL38" s="397">
        <f>SUM(AL7:AL37)</f>
        <v>154.80000000000001</v>
      </c>
      <c r="AM38" s="344">
        <f>SUM(AM7:AM37)</f>
        <v>779.47</v>
      </c>
      <c r="AN38" s="345"/>
      <c r="AO38" s="342"/>
      <c r="AP38" s="332"/>
      <c r="AQ38" s="342"/>
      <c r="AR38" s="342"/>
      <c r="AS38" s="346"/>
      <c r="AT38" s="332">
        <f>SUM(AT7:AT37)</f>
        <v>3759.6000000000004</v>
      </c>
      <c r="AU38" s="332">
        <f>SUM(AU7:AU37)</f>
        <v>39.660000000000004</v>
      </c>
      <c r="AV38" s="347">
        <f>SUM(AV7:AV37)</f>
        <v>0</v>
      </c>
      <c r="AW38" s="332">
        <f>SUM(AW7:AW37)</f>
        <v>0</v>
      </c>
      <c r="AX38" s="331"/>
      <c r="AY38" s="90">
        <f>SUM(AY7:AY37)</f>
        <v>2864.9900000000002</v>
      </c>
      <c r="AZ38" s="330">
        <f>SUM(AZ7:AZ37)</f>
        <v>2859.1611003902053</v>
      </c>
      <c r="BA38" s="342">
        <f>SUM(BA7:BA37)</f>
        <v>119.08594964788729</v>
      </c>
      <c r="BB38" s="342">
        <f>SUM(BB7:BB37)</f>
        <v>114.59960000000001</v>
      </c>
      <c r="BC38" s="332"/>
      <c r="BD38" s="89">
        <f>SUM(BD7:BD37)</f>
        <v>233.68554964788734</v>
      </c>
      <c r="BE38" s="348"/>
      <c r="BF38" s="19"/>
      <c r="BG38" s="19">
        <f t="shared" si="11"/>
        <v>0</v>
      </c>
      <c r="BH38" s="19"/>
      <c r="BI38" s="208">
        <f>SUM(BI7:BI37)</f>
        <v>31</v>
      </c>
      <c r="BJ38" s="209"/>
      <c r="BK38" s="278">
        <f t="shared" ref="BK38:BQ38" si="32">SUM(BK7:BK37)</f>
        <v>3981.663</v>
      </c>
      <c r="BL38" s="61">
        <f>SUM(BL7:BL37)</f>
        <v>56.112000999999999</v>
      </c>
      <c r="BM38" s="61">
        <f t="shared" si="32"/>
        <v>1320.8980000000001</v>
      </c>
      <c r="BN38" s="61">
        <f t="shared" si="32"/>
        <v>111.55300100000001</v>
      </c>
      <c r="BO38" s="61">
        <f t="shared" si="32"/>
        <v>199.013001</v>
      </c>
      <c r="BP38" s="61">
        <f t="shared" si="32"/>
        <v>305.90599999999989</v>
      </c>
      <c r="BQ38" s="64">
        <f t="shared" si="32"/>
        <v>555.21499999999992</v>
      </c>
      <c r="BR38" s="63"/>
      <c r="BS38" s="24"/>
      <c r="BT38" s="24"/>
      <c r="BU38" s="24"/>
      <c r="BV38" s="62"/>
      <c r="BW38" s="62"/>
      <c r="BX38" s="65"/>
      <c r="BY38" s="63"/>
      <c r="BZ38" s="24"/>
      <c r="CA38" s="24"/>
      <c r="CB38" s="24"/>
      <c r="CC38" s="62"/>
      <c r="CD38" s="62"/>
      <c r="CE38" s="62"/>
      <c r="CF38" s="66">
        <f>SUM(CF7:CF37)</f>
        <v>3240.6919999999991</v>
      </c>
      <c r="CG38" s="66">
        <f>SUM(CG7:CG37)</f>
        <v>809.07500000000005</v>
      </c>
      <c r="CH38" s="61">
        <f>SUM(CH7:CH37)</f>
        <v>9.9999999999999995E-7</v>
      </c>
      <c r="CI38" s="67">
        <f>SUM(CI7:CI37)</f>
        <v>9.9999999999999995E-7</v>
      </c>
      <c r="CJ38" s="210"/>
      <c r="CK38" s="266"/>
      <c r="CL38" s="211"/>
      <c r="CM38" s="212"/>
      <c r="CN38" s="213"/>
      <c r="CO38" s="68">
        <f t="shared" ref="CO38:CY38" si="33">SUM(CO7:CO37)</f>
        <v>3952.1054262999992</v>
      </c>
      <c r="CP38" s="69">
        <f t="shared" si="33"/>
        <v>55.668716199999992</v>
      </c>
      <c r="CQ38" s="70">
        <f t="shared" si="33"/>
        <v>1313.7945465</v>
      </c>
      <c r="CR38" s="69">
        <f t="shared" si="33"/>
        <v>111.55300099999999</v>
      </c>
      <c r="CS38" s="72">
        <f t="shared" si="33"/>
        <v>197.7147463</v>
      </c>
      <c r="CT38" s="72">
        <f t="shared" si="33"/>
        <v>300.41578350000003</v>
      </c>
      <c r="CU38" s="71">
        <f t="shared" si="33"/>
        <v>555.21499977994995</v>
      </c>
      <c r="CV38" s="72">
        <f t="shared" si="33"/>
        <v>3191.4879237000005</v>
      </c>
      <c r="CW38" s="72">
        <f t="shared" si="33"/>
        <v>797.16340149999985</v>
      </c>
      <c r="CX38" s="72">
        <f t="shared" si="33"/>
        <v>9.9999998999999992E-7</v>
      </c>
      <c r="CY38" s="72">
        <f t="shared" si="33"/>
        <v>9.9999998999999992E-7</v>
      </c>
      <c r="CZ38" s="70"/>
      <c r="DA38" s="240">
        <f>(D38+'[2]июль 20'!D38)/(AY38+'[2]июль 20'!BA38)</f>
        <v>2.227254140153792</v>
      </c>
      <c r="DB38" s="241">
        <f>(T38+'[2]июль 20'!R38)/(AY38+'[2]июль 20'!BA38)</f>
        <v>1.4014458039350348</v>
      </c>
      <c r="DD38" s="295">
        <f>SUM(DD7:DD37)</f>
        <v>260.226</v>
      </c>
      <c r="DE38" s="296">
        <f>(SUMPRODUCT(DD7:DD37,DE7:DE37))/DD38</f>
        <v>0.4037763713080168</v>
      </c>
      <c r="DF38" s="296">
        <f>(SUMPRODUCT(DD7:DD37,DF7:DF37))/DD38</f>
        <v>12.310436812616725</v>
      </c>
      <c r="DG38" s="296">
        <f>(SUMPRODUCT(DE7:DE37,DG7:DG37))/DE38</f>
        <v>256.49431111954652</v>
      </c>
      <c r="DH38" s="324">
        <f>IF(J38=0,0,(DG38*DF38%)/(AB39/100))</f>
        <v>41.591627238311418</v>
      </c>
    </row>
    <row r="39" spans="1:114" s="214" customFormat="1" ht="16.5" customHeight="1" thickBot="1">
      <c r="A39" s="93" t="s">
        <v>57</v>
      </c>
      <c r="B39" s="349">
        <f>B38/AU2</f>
        <v>210.65677419354842</v>
      </c>
      <c r="C39" s="349">
        <f>(BK38*BR39+BM38*BT39+BQ38*BX39+BL38*BS39+BN38*BU39+BO38*BV39+BP38*BW39)/B38</f>
        <v>0.67213420730327322</v>
      </c>
      <c r="D39" s="350">
        <f>D38/AU2</f>
        <v>209.24087795419194</v>
      </c>
      <c r="E39" s="349">
        <f>(BK38*BY39+BM38*CA39+BQ38*CE39+BL38*BZ39+BN38*CB39+BO38*CC39+BP38*CD39)/B38</f>
        <v>37.768618086904851</v>
      </c>
      <c r="F39" s="351">
        <f>IF($AY$38=0,0,$D$38/$AY$38)</f>
        <v>2.2640453253169994</v>
      </c>
      <c r="G39" s="352">
        <f>G38/AU2</f>
        <v>0.93838709677419352</v>
      </c>
      <c r="H39" s="353">
        <f>IF($AY$38=0,0,(CP38+CO38+CS38+CQ38+CT38)/AY38)</f>
        <v>2.0313157179606205</v>
      </c>
      <c r="I39" s="349">
        <f>I38/AU2</f>
        <v>0</v>
      </c>
      <c r="J39" s="349">
        <f>J38/AU2</f>
        <v>8.394387096774194</v>
      </c>
      <c r="K39" s="349">
        <f>K38/AU2</f>
        <v>0</v>
      </c>
      <c r="L39" s="349">
        <f>L38/AU2</f>
        <v>21.508645161290318</v>
      </c>
      <c r="M39" s="354">
        <f>IF($AY$38=0,0,(CR38+CU38)/$AY$38)</f>
        <v>0.23272960840350224</v>
      </c>
      <c r="N39" s="349">
        <f>N38/AU2</f>
        <v>0</v>
      </c>
      <c r="O39" s="349">
        <f>O38/AU2</f>
        <v>0</v>
      </c>
      <c r="P39" s="349">
        <f>P38/AU2</f>
        <v>130.63764522580644</v>
      </c>
      <c r="Q39" s="349">
        <f>Q38/AU2</f>
        <v>130.63764516129032</v>
      </c>
      <c r="R39" s="349">
        <f>(SUMPRODUCT(R7:R37,Q7:Q37))/Q38</f>
        <v>1.5091158281451755</v>
      </c>
      <c r="S39" s="355">
        <f>S38/AU2</f>
        <v>8.2922580645161297</v>
      </c>
      <c r="T39" s="356"/>
      <c r="U39" s="354">
        <f>IF($AY$38=0,0,$T$38/$AY$38)</f>
        <v>1.3922042747793184</v>
      </c>
      <c r="V39" s="349">
        <f>V38/AU2</f>
        <v>79.214193548387101</v>
      </c>
      <c r="W39" s="349">
        <f>W38/AU2</f>
        <v>79.713225806451618</v>
      </c>
      <c r="X39" s="349">
        <f>(SUMPRODUCT(X7:X37,AY7:AY37))/AY38</f>
        <v>0.66357976816673003</v>
      </c>
      <c r="Y39" s="357">
        <f>AVERAGE(Y7:Y37)</f>
        <v>561.61290322580646</v>
      </c>
      <c r="Z39" s="357">
        <f>AVERAGE(Z7:Z37)</f>
        <v>1147.9677419354839</v>
      </c>
      <c r="AA39" s="357"/>
      <c r="AB39" s="349">
        <f>(SUMPRODUCT(AB7:AB37,AY7:AY37))/AY38</f>
        <v>75.918092642557227</v>
      </c>
      <c r="AC39" s="358">
        <f>AVERAGE(AC7:AC37)</f>
        <v>84.129032258064512</v>
      </c>
      <c r="AD39" s="358">
        <f>AVERAGE(AD7:AD37)</f>
        <v>4.032258064516129</v>
      </c>
      <c r="AE39" s="349">
        <f>AE38/AU2</f>
        <v>0.16451612903225804</v>
      </c>
      <c r="AF39" s="355">
        <f>IF(AY38=0,0,AE38/AY38*1000)</f>
        <v>1.7801109253435436</v>
      </c>
      <c r="AG39" s="356" t="e">
        <f>AG38/$AW$2</f>
        <v>#DIV/0!</v>
      </c>
      <c r="AH39" s="349">
        <f>AH38/AU2</f>
        <v>63.577419354838717</v>
      </c>
      <c r="AI39" s="355">
        <f>IF(AY38=0,0,AH38/AY38*1000)</f>
        <v>687.92561230580213</v>
      </c>
      <c r="AJ39" s="349">
        <f>AJ38/AU2</f>
        <v>15.082258064516129</v>
      </c>
      <c r="AK39" s="359"/>
      <c r="AL39" s="349">
        <f>AL38/AU2</f>
        <v>4.9935483870967747</v>
      </c>
      <c r="AM39" s="349">
        <f>AM38/AU2</f>
        <v>25.144193548387097</v>
      </c>
      <c r="AN39" s="360">
        <f>IF(AM39=0,0,AM39/AT39)</f>
        <v>0.20732790722417277</v>
      </c>
      <c r="AO39" s="356"/>
      <c r="AP39" s="349">
        <f>AVERAGE(AP7:AP37)</f>
        <v>8.4422580645161318</v>
      </c>
      <c r="AQ39" s="349">
        <f>AVERAGE(AQ7:AQ37)</f>
        <v>8.3448387096774201</v>
      </c>
      <c r="AR39" s="356"/>
      <c r="AS39" s="349">
        <f>AVERAGE(AS7:AS37)</f>
        <v>7.7706451612903216</v>
      </c>
      <c r="AT39" s="349">
        <f>AT38/AU2</f>
        <v>121.27741935483873</v>
      </c>
      <c r="AU39" s="349">
        <f>AU38/AU2</f>
        <v>1.2793548387096776</v>
      </c>
      <c r="AV39" s="349" t="e">
        <f>AV38/$AW$2</f>
        <v>#DIV/0!</v>
      </c>
      <c r="AW39" s="349" t="e">
        <f>AW38/$AW$2</f>
        <v>#DIV/0!</v>
      </c>
      <c r="AX39" s="349" t="e">
        <f>IF(AY39=0,0,AW39/AY39*100)</f>
        <v>#DIV/0!</v>
      </c>
      <c r="AY39" s="349">
        <f>AY38/AU2</f>
        <v>92.419032258064519</v>
      </c>
      <c r="AZ39" s="349">
        <f>AZ38/AU2</f>
        <v>92.231003238393725</v>
      </c>
      <c r="BA39" s="356"/>
      <c r="BB39" s="356"/>
      <c r="BC39" s="351">
        <f>(AY38*AB39)/(D38*E39)</f>
        <v>0.88782848879397247</v>
      </c>
      <c r="BD39" s="349">
        <f>BD38/AU2</f>
        <v>7.5382435370286238</v>
      </c>
      <c r="BE39" s="361"/>
      <c r="BF39" s="19"/>
      <c r="BG39" s="19"/>
      <c r="BH39" s="19"/>
      <c r="BI39" s="19"/>
      <c r="BJ39" s="215"/>
      <c r="BK39" s="73"/>
      <c r="BL39" s="216"/>
      <c r="BM39" s="216"/>
      <c r="BN39" s="216"/>
      <c r="BO39" s="219"/>
      <c r="BP39" s="219"/>
      <c r="BQ39" s="217"/>
      <c r="BR39" s="73">
        <f t="shared" ref="BR39:BX39" si="34">(SUMPRODUCT(BK7:BK37,BR7:BR37))/BK38</f>
        <v>0.74234242576531484</v>
      </c>
      <c r="BS39" s="29">
        <f>(SUMPRODUCT(BL7:BL37,BS7:BS37))/BL38</f>
        <v>0.78999998592103338</v>
      </c>
      <c r="BT39" s="29">
        <f t="shared" si="34"/>
        <v>0.53777456699911708</v>
      </c>
      <c r="BU39" s="29">
        <f t="shared" si="34"/>
        <v>8.9643487045229735E-15</v>
      </c>
      <c r="BV39" s="29">
        <f t="shared" si="34"/>
        <v>0.65234667759218901</v>
      </c>
      <c r="BW39" s="29">
        <f t="shared" si="34"/>
        <v>1.794739723967494</v>
      </c>
      <c r="BX39" s="74">
        <f t="shared" si="34"/>
        <v>3.9633295209963711E-8</v>
      </c>
      <c r="BY39" s="73">
        <f t="shared" ref="BY39:CE39" si="35">(SUMPRODUCT(BK7:BK37,BY7:BY37))/BK38</f>
        <v>37.33144347977214</v>
      </c>
      <c r="BZ39" s="29">
        <f t="shared" si="35"/>
        <v>37.489999331871999</v>
      </c>
      <c r="CA39" s="29">
        <f t="shared" si="35"/>
        <v>37.846792644095153</v>
      </c>
      <c r="CB39" s="29">
        <f t="shared" si="35"/>
        <v>41.774030624241121</v>
      </c>
      <c r="CC39" s="29">
        <f t="shared" si="35"/>
        <v>36.586076353876003</v>
      </c>
      <c r="CD39" s="29">
        <f t="shared" si="35"/>
        <v>31.684051767536449</v>
      </c>
      <c r="CE39" s="74">
        <f t="shared" si="35"/>
        <v>43.717459200489898</v>
      </c>
      <c r="CF39" s="218"/>
      <c r="CG39" s="218"/>
      <c r="CH39" s="216"/>
      <c r="CI39" s="219"/>
      <c r="CJ39" s="75">
        <f>(SUMPRODUCT(CF7:CF37,CJ7:CJ37))/CF38</f>
        <v>1.5183200470763656</v>
      </c>
      <c r="CK39" s="75">
        <f>(SUMPRODUCT(CG7:CG37,CK7:CK37))/CG38</f>
        <v>1.4722489880418996</v>
      </c>
      <c r="CL39" s="29">
        <f>(SUMPRODUCT(CH7:CH37,CL7:CL37))/CH38</f>
        <v>9.9999999999999995E-7</v>
      </c>
      <c r="CM39" s="74">
        <f>(SUMPRODUCT(CI7:CI37,CM7:CM37))/CI38</f>
        <v>9.9999999999999995E-7</v>
      </c>
      <c r="CN39" s="19"/>
      <c r="CO39" s="596">
        <f>CO38+CP38</f>
        <v>4007.774142499999</v>
      </c>
      <c r="CP39" s="596"/>
      <c r="CQ39" s="597">
        <f>CQ38+CR38+CU38+CS38+CT38</f>
        <v>2478.6930770799499</v>
      </c>
      <c r="CR39" s="597"/>
      <c r="CS39" s="597"/>
      <c r="CT39" s="597"/>
      <c r="CU39" s="597"/>
      <c r="CV39" s="597">
        <f>CV38+CX38+CY38+CW38</f>
        <v>3988.6513272000002</v>
      </c>
      <c r="CW39" s="597"/>
      <c r="CX39" s="597"/>
      <c r="CY39" s="597"/>
      <c r="DA39" s="236"/>
      <c r="DB39" s="238"/>
      <c r="DD39" s="297"/>
      <c r="DE39" s="298"/>
      <c r="DF39" s="298"/>
      <c r="DG39" s="299"/>
      <c r="DH39" s="300"/>
    </row>
    <row r="40" spans="1:114" s="214" customFormat="1" ht="16.5" customHeight="1" thickBot="1">
      <c r="A40" s="94" t="s">
        <v>58</v>
      </c>
      <c r="B40" s="362"/>
      <c r="C40" s="362"/>
      <c r="D40" s="363"/>
      <c r="E40" s="364">
        <v>38</v>
      </c>
      <c r="F40" s="363">
        <v>2.2200000000000002</v>
      </c>
      <c r="G40" s="365"/>
      <c r="H40" s="410">
        <v>1.9314</v>
      </c>
      <c r="I40" s="363"/>
      <c r="J40" s="363">
        <v>4.3226000000000004</v>
      </c>
      <c r="K40" s="363"/>
      <c r="L40" s="363"/>
      <c r="M40" s="410">
        <v>0.28860000000000002</v>
      </c>
      <c r="N40" s="363">
        <v>20.532350000000001</v>
      </c>
      <c r="O40" s="363"/>
      <c r="P40" s="366"/>
      <c r="Q40" s="362"/>
      <c r="R40" s="367"/>
      <c r="S40" s="368">
        <v>12.859735000000001</v>
      </c>
      <c r="T40" s="362"/>
      <c r="U40" s="369">
        <v>1.32</v>
      </c>
      <c r="V40" s="370">
        <v>3350</v>
      </c>
      <c r="W40" s="370">
        <v>3350</v>
      </c>
      <c r="X40" s="371"/>
      <c r="Y40" s="371"/>
      <c r="Z40" s="372">
        <v>1190</v>
      </c>
      <c r="AA40" s="372"/>
      <c r="AB40" s="362">
        <v>76</v>
      </c>
      <c r="AC40" s="362"/>
      <c r="AD40" s="362"/>
      <c r="AE40" s="362"/>
      <c r="AF40" s="362"/>
      <c r="AG40" s="362"/>
      <c r="AH40" s="362"/>
      <c r="AI40" s="362">
        <v>685</v>
      </c>
      <c r="AJ40" s="373"/>
      <c r="AK40" s="374"/>
      <c r="AL40" s="375"/>
      <c r="AM40" s="362"/>
      <c r="AN40" s="362"/>
      <c r="AO40" s="362"/>
      <c r="AP40" s="362"/>
      <c r="AQ40" s="362"/>
      <c r="AR40" s="362"/>
      <c r="AS40" s="362"/>
      <c r="AT40" s="376">
        <v>3350</v>
      </c>
      <c r="AU40" s="377">
        <v>23.5</v>
      </c>
      <c r="AV40" s="377"/>
      <c r="AW40" s="378"/>
      <c r="AX40" s="362"/>
      <c r="AY40" s="379">
        <v>108.06</v>
      </c>
      <c r="AZ40" s="362"/>
      <c r="BA40" s="362"/>
      <c r="BB40" s="362"/>
      <c r="BC40" s="363">
        <v>0.9</v>
      </c>
      <c r="BD40" s="362"/>
      <c r="BE40" s="380"/>
      <c r="BF40" s="19"/>
      <c r="BG40" s="19"/>
      <c r="BH40" s="19"/>
      <c r="BI40" s="19"/>
      <c r="BJ40" s="215"/>
      <c r="BK40" s="220"/>
      <c r="BL40" s="221"/>
      <c r="BM40" s="216"/>
      <c r="BN40" s="216"/>
      <c r="BO40" s="219"/>
      <c r="BP40" s="219"/>
      <c r="BQ40" s="217"/>
      <c r="BR40" s="218"/>
      <c r="BS40" s="216"/>
      <c r="BT40" s="216"/>
      <c r="BU40" s="216"/>
      <c r="BV40" s="219"/>
      <c r="BW40" s="219"/>
      <c r="BX40" s="217"/>
      <c r="BY40" s="218"/>
      <c r="BZ40" s="216"/>
      <c r="CA40" s="216"/>
      <c r="CB40" s="216"/>
      <c r="CC40" s="219"/>
      <c r="CD40" s="219"/>
      <c r="CE40" s="217"/>
      <c r="CF40" s="218"/>
      <c r="CG40" s="218"/>
      <c r="CH40" s="216"/>
      <c r="CI40" s="219"/>
      <c r="CJ40" s="220"/>
      <c r="CK40" s="218"/>
      <c r="CL40" s="216"/>
      <c r="CM40" s="217"/>
      <c r="CN40" s="213"/>
      <c r="CO40" s="604">
        <f>CO39+CQ39</f>
        <v>6486.4672195799485</v>
      </c>
      <c r="CP40" s="604"/>
      <c r="CQ40" s="604"/>
      <c r="CR40" s="604"/>
      <c r="CS40" s="604"/>
      <c r="CT40" s="604"/>
      <c r="CU40" s="604"/>
      <c r="DA40" s="237"/>
      <c r="DB40" s="239"/>
      <c r="DD40" s="301"/>
      <c r="DE40" s="302"/>
      <c r="DF40" s="302"/>
      <c r="DG40" s="303"/>
      <c r="DH40" s="304"/>
    </row>
    <row r="41" spans="1:114" s="214" customFormat="1" ht="16.5" customHeight="1" thickBot="1">
      <c r="A41" s="95" t="s">
        <v>59</v>
      </c>
      <c r="B41" s="381"/>
      <c r="C41" s="381"/>
      <c r="D41" s="382"/>
      <c r="E41" s="381"/>
      <c r="F41" s="383">
        <f>F39-F40</f>
        <v>4.4045325316999229E-2</v>
      </c>
      <c r="G41" s="384">
        <f>G39-G40</f>
        <v>0.93838709677419352</v>
      </c>
      <c r="H41" s="383"/>
      <c r="I41" s="385">
        <f>I39-I40</f>
        <v>0</v>
      </c>
      <c r="J41" s="385"/>
      <c r="K41" s="385"/>
      <c r="L41" s="385"/>
      <c r="M41" s="385"/>
      <c r="N41" s="385"/>
      <c r="O41" s="385"/>
      <c r="P41" s="383"/>
      <c r="Q41" s="386"/>
      <c r="R41" s="385">
        <f>R39-R40</f>
        <v>1.5091158281451755</v>
      </c>
      <c r="S41" s="386"/>
      <c r="T41" s="386"/>
      <c r="U41" s="383">
        <f>U39-U40</f>
        <v>7.2204274779318345E-2</v>
      </c>
      <c r="V41" s="383"/>
      <c r="W41" s="383"/>
      <c r="X41" s="383"/>
      <c r="Y41" s="383"/>
      <c r="Z41" s="387">
        <f>Z39-Z40</f>
        <v>-42.0322580645161</v>
      </c>
      <c r="AA41" s="388"/>
      <c r="AB41" s="381"/>
      <c r="AC41" s="381"/>
      <c r="AD41" s="381"/>
      <c r="AE41" s="381"/>
      <c r="AF41" s="381"/>
      <c r="AG41" s="381"/>
      <c r="AH41" s="381"/>
      <c r="AI41" s="381"/>
      <c r="AJ41" s="381"/>
      <c r="AK41" s="389"/>
      <c r="AL41" s="390"/>
      <c r="AM41" s="381"/>
      <c r="AN41" s="381"/>
      <c r="AO41" s="381"/>
      <c r="AP41" s="381"/>
      <c r="AQ41" s="381"/>
      <c r="AR41" s="381"/>
      <c r="AS41" s="381"/>
      <c r="AT41" s="391">
        <f>AT38+AV38-AT40</f>
        <v>409.60000000000036</v>
      </c>
      <c r="AU41" s="392"/>
      <c r="AV41" s="393"/>
      <c r="AW41" s="390"/>
      <c r="AX41" s="381"/>
      <c r="AY41" s="385"/>
      <c r="AZ41" s="381"/>
      <c r="BA41" s="381"/>
      <c r="BB41" s="381"/>
      <c r="BC41" s="394"/>
      <c r="BD41" s="381"/>
      <c r="BE41" s="395"/>
      <c r="BF41" s="222"/>
      <c r="BG41" s="222"/>
      <c r="BH41" s="222"/>
      <c r="BI41" s="222"/>
      <c r="BJ41" s="222"/>
      <c r="BK41" s="223"/>
      <c r="BL41" s="224"/>
      <c r="BM41" s="225"/>
      <c r="BN41" s="225"/>
      <c r="BO41" s="224"/>
      <c r="BP41" s="224"/>
      <c r="BQ41" s="226"/>
      <c r="BR41" s="227"/>
      <c r="BS41" s="225"/>
      <c r="BT41" s="225"/>
      <c r="BU41" s="225"/>
      <c r="BV41" s="224"/>
      <c r="BW41" s="224"/>
      <c r="BX41" s="224"/>
      <c r="BY41" s="228"/>
      <c r="BZ41" s="225"/>
      <c r="CA41" s="225"/>
      <c r="CB41" s="225"/>
      <c r="CC41" s="224"/>
      <c r="CD41" s="224"/>
      <c r="CE41" s="226"/>
      <c r="CF41" s="227"/>
      <c r="CG41" s="227"/>
      <c r="CH41" s="225"/>
      <c r="CI41" s="224"/>
      <c r="CJ41" s="228"/>
      <c r="CK41" s="227"/>
      <c r="CL41" s="225"/>
      <c r="CM41" s="226"/>
      <c r="CN41" s="213"/>
      <c r="CO41" s="213"/>
      <c r="CP41" s="213"/>
      <c r="CQ41" s="213"/>
      <c r="DA41" s="21"/>
      <c r="DH41" s="309"/>
    </row>
    <row r="42" spans="1:114" ht="15" hidden="1" customHeight="1">
      <c r="A42" s="96"/>
      <c r="B42" s="96"/>
      <c r="C42" s="96"/>
      <c r="D42" s="97"/>
      <c r="E42" s="96"/>
      <c r="F42" s="98"/>
      <c r="G42" s="99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1"/>
      <c r="AF42" s="101"/>
      <c r="AG42" s="100"/>
      <c r="AH42" s="100"/>
      <c r="AI42" s="100"/>
      <c r="AJ42" s="100"/>
      <c r="AK42" s="100"/>
      <c r="AL42" s="100"/>
      <c r="AM42" s="100"/>
      <c r="AN42" s="100"/>
      <c r="AO42" s="100"/>
      <c r="AP42" s="100"/>
      <c r="AQ42" s="100"/>
      <c r="AR42" s="100"/>
      <c r="AS42" s="96"/>
      <c r="AT42" s="612"/>
      <c r="AU42" s="612"/>
      <c r="AV42" s="612"/>
      <c r="AW42" s="96"/>
      <c r="AX42" s="96"/>
      <c r="AY42" s="100"/>
      <c r="AZ42" s="100"/>
      <c r="BA42" s="100"/>
      <c r="BB42" s="100"/>
      <c r="BC42" s="100"/>
      <c r="BD42" s="100"/>
      <c r="BE42" s="100"/>
      <c r="BK42" s="20"/>
      <c r="BL42" s="20"/>
      <c r="BM42" s="20"/>
    </row>
    <row r="43" spans="1:114" ht="13.5" thickBot="1">
      <c r="A43" s="100"/>
      <c r="B43" s="100"/>
      <c r="C43" s="100"/>
      <c r="D43" s="102"/>
      <c r="E43" s="100"/>
      <c r="F43" s="100"/>
      <c r="G43" s="96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1"/>
      <c r="AF43" s="101"/>
      <c r="AG43" s="100"/>
      <c r="AH43" s="100"/>
      <c r="AI43" s="100"/>
      <c r="AJ43" s="100"/>
      <c r="AK43" s="100"/>
      <c r="AL43" s="100"/>
      <c r="AM43" s="100"/>
      <c r="AN43" s="100"/>
      <c r="AO43" s="100"/>
      <c r="AP43" s="100"/>
      <c r="AQ43" s="100"/>
      <c r="AR43" s="100"/>
      <c r="AS43" s="96" t="s">
        <v>60</v>
      </c>
      <c r="AT43" s="103">
        <f>AT40/BE43</f>
        <v>108.06451612903226</v>
      </c>
      <c r="AU43" s="104"/>
      <c r="AV43" s="96"/>
      <c r="AW43" s="96" t="s">
        <v>61</v>
      </c>
      <c r="AX43" s="96"/>
      <c r="AY43" s="100"/>
      <c r="AZ43" s="100"/>
      <c r="BA43" s="100"/>
      <c r="BB43" s="100"/>
      <c r="BC43" s="100"/>
      <c r="BD43" s="105" t="s">
        <v>62</v>
      </c>
      <c r="BE43" s="100">
        <v>31</v>
      </c>
      <c r="CO43" s="1"/>
      <c r="CR43" s="1"/>
      <c r="CV43" s="511"/>
      <c r="CW43" s="511"/>
    </row>
    <row r="44" spans="1:114" ht="16.5" customHeight="1" thickBot="1">
      <c r="A44" s="100"/>
      <c r="B44" s="100"/>
      <c r="C44" s="100"/>
      <c r="D44" s="102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489" t="s">
        <v>343</v>
      </c>
      <c r="AG44" s="488"/>
      <c r="AH44" s="488"/>
      <c r="AI44" s="488"/>
      <c r="AJ44" s="488"/>
      <c r="AK44" s="488"/>
      <c r="AL44" s="488"/>
      <c r="AM44" s="490">
        <f>AM38/AT38</f>
        <v>0.20732790722417277</v>
      </c>
      <c r="AN44" s="479"/>
      <c r="AO44" s="480" t="s">
        <v>88</v>
      </c>
      <c r="AP44" s="100"/>
      <c r="AQ44" s="100"/>
      <c r="AR44" s="100"/>
      <c r="AS44" s="100"/>
      <c r="AT44" s="100"/>
      <c r="AU44" s="100"/>
      <c r="AV44" s="100"/>
      <c r="AW44" s="100"/>
      <c r="AX44" s="100"/>
      <c r="AY44" s="100"/>
      <c r="AZ44" s="100"/>
      <c r="BA44" s="100"/>
      <c r="BB44" s="100"/>
      <c r="BC44" s="100"/>
      <c r="BD44" s="96"/>
      <c r="BE44" s="96"/>
      <c r="CO44" s="511"/>
      <c r="CP44" s="511"/>
      <c r="CQ44" s="511"/>
      <c r="CR44" s="511">
        <v>6486.4669999999996</v>
      </c>
      <c r="CS44" s="511"/>
      <c r="CT44" s="511"/>
    </row>
    <row r="45" spans="1:114" ht="13.5" thickBot="1">
      <c r="A45" s="100"/>
      <c r="B45" s="100"/>
      <c r="C45" s="100"/>
      <c r="D45" s="102"/>
      <c r="E45" s="100"/>
      <c r="F45" s="100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101"/>
      <c r="AE45" s="101"/>
      <c r="AF45" s="101"/>
      <c r="AG45" s="100"/>
      <c r="AH45" s="100"/>
      <c r="AI45" s="100"/>
      <c r="AJ45" s="100"/>
      <c r="AK45" s="100"/>
      <c r="AL45" s="100"/>
      <c r="AM45" s="106" t="s">
        <v>63</v>
      </c>
      <c r="AN45" s="106"/>
      <c r="AO45" s="106"/>
      <c r="AP45" s="106"/>
      <c r="AQ45" s="106"/>
      <c r="AR45" s="106"/>
      <c r="AS45" s="107" t="s">
        <v>64</v>
      </c>
      <c r="AT45" s="108">
        <v>30</v>
      </c>
      <c r="AU45" s="108"/>
      <c r="AV45" s="100"/>
      <c r="AW45" s="100"/>
      <c r="AX45" s="100"/>
      <c r="AY45" s="100"/>
      <c r="AZ45" s="100"/>
      <c r="BA45" s="100"/>
      <c r="BB45" s="100"/>
      <c r="BC45" s="100"/>
      <c r="BD45" s="96"/>
      <c r="BE45" s="96"/>
      <c r="BM45" s="1"/>
      <c r="BS45" s="1"/>
    </row>
    <row r="46" spans="1:114" ht="12.75" customHeight="1" thickBot="1">
      <c r="A46" s="100"/>
      <c r="B46" s="100"/>
      <c r="C46" s="109" t="s">
        <v>65</v>
      </c>
      <c r="D46" s="102"/>
      <c r="E46" s="100"/>
      <c r="F46" s="100"/>
      <c r="G46" s="100"/>
      <c r="H46" s="100"/>
      <c r="I46" s="100"/>
      <c r="J46" s="100"/>
      <c r="K46" s="100"/>
      <c r="L46" s="110">
        <f>AT38/AD38</f>
        <v>30.076800000000002</v>
      </c>
      <c r="M46" s="109" t="s">
        <v>88</v>
      </c>
      <c r="N46" s="606"/>
      <c r="O46" s="606"/>
      <c r="P46" s="111"/>
      <c r="Q46" s="100"/>
      <c r="R46" s="100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101"/>
      <c r="AE46" s="101"/>
      <c r="AF46" s="101"/>
      <c r="AG46" s="100"/>
      <c r="AH46" s="100"/>
      <c r="AI46" s="100"/>
      <c r="AJ46" s="100"/>
      <c r="AK46" s="100"/>
      <c r="AL46" s="100"/>
      <c r="AM46" s="100"/>
      <c r="AN46" s="100"/>
      <c r="AO46" s="106"/>
      <c r="AP46" s="106"/>
      <c r="AQ46" s="106"/>
      <c r="AR46" s="106"/>
      <c r="AS46" s="107" t="s">
        <v>66</v>
      </c>
      <c r="AT46" s="112">
        <f>AT40/AT45</f>
        <v>111.66666666666667</v>
      </c>
      <c r="AU46" s="112"/>
      <c r="AV46" s="100"/>
      <c r="AW46" s="100"/>
      <c r="AX46" s="100">
        <v>0</v>
      </c>
      <c r="AY46" s="100"/>
      <c r="AZ46" s="607" t="s">
        <v>67</v>
      </c>
      <c r="BA46" s="607"/>
      <c r="BB46" s="607"/>
      <c r="BC46" s="607"/>
      <c r="BD46" s="607"/>
      <c r="BE46" s="607"/>
    </row>
    <row r="47" spans="1:114">
      <c r="A47" s="100"/>
      <c r="B47" s="100"/>
      <c r="C47" s="100"/>
      <c r="D47" s="102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100"/>
      <c r="AI47" s="100"/>
      <c r="AJ47" s="100"/>
      <c r="AK47" s="100"/>
      <c r="AL47" s="100"/>
      <c r="AM47" s="100"/>
      <c r="AN47" s="100"/>
      <c r="AO47" s="100"/>
      <c r="AP47" s="100"/>
      <c r="AQ47" s="100"/>
      <c r="AR47" s="100"/>
      <c r="AS47" s="100"/>
      <c r="AT47" s="100"/>
      <c r="AU47" s="100"/>
      <c r="AV47" s="100"/>
      <c r="AW47" s="100"/>
      <c r="AX47" s="100"/>
      <c r="AY47" s="100"/>
      <c r="AZ47" s="607"/>
      <c r="BA47" s="607"/>
      <c r="BB47" s="607"/>
      <c r="BC47" s="607"/>
      <c r="BD47" s="607"/>
      <c r="BE47" s="607"/>
    </row>
    <row r="48" spans="1:114">
      <c r="A48" s="100"/>
      <c r="B48" s="100"/>
      <c r="C48" s="100"/>
      <c r="D48" s="102"/>
      <c r="E48" s="100"/>
      <c r="F48" s="100"/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13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  <c r="AE48" s="100"/>
      <c r="AF48" s="100"/>
      <c r="AG48" s="100"/>
      <c r="AH48" s="100"/>
      <c r="AI48" s="100"/>
      <c r="AJ48" s="100"/>
      <c r="AK48" s="100"/>
      <c r="AL48" s="100"/>
      <c r="AM48" s="100"/>
      <c r="AN48" s="100"/>
      <c r="AO48" s="100"/>
      <c r="AP48" s="100"/>
      <c r="AQ48" s="100"/>
      <c r="AR48" s="100"/>
      <c r="AS48" s="100"/>
      <c r="AT48" s="100"/>
      <c r="AU48" s="100"/>
      <c r="AV48" s="100"/>
      <c r="AW48" s="100"/>
      <c r="AX48" s="100"/>
      <c r="AY48" s="100"/>
      <c r="AZ48" s="608">
        <f>BF37-BJ37</f>
        <v>-485.0099999999984</v>
      </c>
      <c r="BA48" s="608"/>
      <c r="BB48" s="608"/>
      <c r="BC48" s="608"/>
      <c r="BD48" s="609" t="s">
        <v>68</v>
      </c>
      <c r="BE48" s="114"/>
    </row>
    <row r="49" spans="1:57" ht="12" customHeight="1">
      <c r="A49" s="100"/>
      <c r="B49" s="100"/>
      <c r="C49" s="100"/>
      <c r="D49" s="102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15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100"/>
      <c r="AI49" s="100"/>
      <c r="AJ49" s="100"/>
      <c r="AK49" s="100"/>
      <c r="AL49" s="100"/>
      <c r="AM49" s="100"/>
      <c r="AN49" s="100"/>
      <c r="AO49" s="100"/>
      <c r="AP49" s="100"/>
      <c r="AQ49" s="100"/>
      <c r="AR49" s="100"/>
      <c r="AS49" s="100"/>
      <c r="AT49" s="100"/>
      <c r="AU49" s="100"/>
      <c r="AV49" s="100"/>
      <c r="AW49" s="100"/>
      <c r="AX49" s="100"/>
      <c r="AY49" s="100"/>
      <c r="AZ49" s="608"/>
      <c r="BA49" s="608"/>
      <c r="BB49" s="608"/>
      <c r="BC49" s="608"/>
      <c r="BD49" s="609"/>
      <c r="BE49" s="114"/>
    </row>
    <row r="50" spans="1:57" ht="13.5" customHeight="1">
      <c r="A50" s="100"/>
      <c r="B50" s="100"/>
      <c r="C50" s="100"/>
      <c r="D50" s="102"/>
      <c r="E50" s="100"/>
      <c r="F50" s="100"/>
      <c r="G50" s="100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100"/>
      <c r="AC50" s="100"/>
      <c r="AD50" s="100"/>
      <c r="AE50" s="100"/>
      <c r="AF50" s="100"/>
      <c r="AG50" s="100"/>
      <c r="AH50" s="100"/>
      <c r="AI50" s="100"/>
      <c r="AJ50" s="100"/>
      <c r="AK50" s="100"/>
      <c r="AL50" s="100"/>
      <c r="AM50" s="100"/>
      <c r="AN50" s="100"/>
      <c r="AO50" s="100"/>
      <c r="AP50" s="100"/>
      <c r="AQ50" s="100"/>
      <c r="AR50" s="100"/>
      <c r="AS50" s="100"/>
      <c r="AT50" s="100"/>
      <c r="AU50" s="100"/>
      <c r="AV50" s="100"/>
      <c r="AW50" s="100"/>
      <c r="AX50" s="100"/>
      <c r="AY50" s="100"/>
      <c r="AZ50" s="116"/>
      <c r="BA50" s="96"/>
      <c r="BB50" s="96"/>
      <c r="BC50" s="96"/>
      <c r="BD50" s="96"/>
      <c r="BE50" s="114"/>
    </row>
    <row r="51" spans="1:57" ht="13.5" customHeight="1" thickBot="1">
      <c r="A51" s="100"/>
      <c r="B51" s="100"/>
      <c r="C51" s="100"/>
      <c r="D51" s="102"/>
      <c r="E51" s="100"/>
      <c r="F51" s="100"/>
      <c r="G51" s="100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0"/>
      <c r="AC51" s="100"/>
      <c r="AD51" s="100"/>
      <c r="AE51" s="100"/>
      <c r="AF51" s="100"/>
      <c r="AG51" s="100"/>
      <c r="AH51" s="100"/>
      <c r="AI51" s="100"/>
      <c r="AJ51" s="100"/>
      <c r="AK51" s="100"/>
      <c r="AL51" s="100"/>
      <c r="AM51" s="100"/>
      <c r="AN51" s="100"/>
      <c r="AO51" s="100"/>
      <c r="AP51" s="100"/>
      <c r="AQ51" s="100"/>
      <c r="AR51" s="100"/>
      <c r="AS51" s="100"/>
      <c r="AT51" s="100"/>
      <c r="AU51" s="100"/>
      <c r="AV51" s="100"/>
      <c r="AW51" s="100"/>
      <c r="AX51" s="100"/>
      <c r="AY51" s="100"/>
      <c r="AZ51" s="610">
        <f>AZ48/AT40*100</f>
        <v>-14.477910447761147</v>
      </c>
      <c r="BA51" s="610"/>
      <c r="BB51" s="610"/>
      <c r="BC51" s="610"/>
      <c r="BD51" s="611" t="s">
        <v>69</v>
      </c>
      <c r="BE51" s="114"/>
    </row>
    <row r="52" spans="1:57" ht="13.5" thickBot="1">
      <c r="A52" s="100"/>
      <c r="B52" s="100"/>
      <c r="C52" s="100"/>
      <c r="D52" s="102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  <c r="AF52" s="100"/>
      <c r="AG52" s="100"/>
      <c r="AH52" s="100"/>
      <c r="AI52" s="100"/>
      <c r="AJ52" s="100"/>
      <c r="AK52" s="100"/>
      <c r="AL52" s="100"/>
      <c r="AM52" s="100"/>
      <c r="AN52" s="100"/>
      <c r="AO52" s="100"/>
      <c r="AP52" s="100"/>
      <c r="AQ52" s="100"/>
      <c r="AR52" s="100"/>
      <c r="AS52" s="100"/>
      <c r="AT52" s="100"/>
      <c r="AU52" s="100"/>
      <c r="AV52" s="100"/>
      <c r="AW52" s="100"/>
      <c r="AX52" s="100"/>
      <c r="AY52" s="100"/>
      <c r="AZ52" s="610"/>
      <c r="BA52" s="610"/>
      <c r="BB52" s="610"/>
      <c r="BC52" s="610"/>
      <c r="BD52" s="611"/>
      <c r="BE52" s="117"/>
    </row>
    <row r="53" spans="1:57">
      <c r="A53" s="100"/>
      <c r="B53" s="100"/>
      <c r="C53" s="100"/>
      <c r="D53" s="102"/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100"/>
      <c r="AI53" s="100"/>
      <c r="AJ53" s="100"/>
      <c r="AK53" s="100"/>
      <c r="AL53" s="100"/>
      <c r="AM53" s="100"/>
      <c r="AN53" s="100"/>
      <c r="AO53" s="100"/>
      <c r="AP53" s="100"/>
      <c r="AQ53" s="100"/>
      <c r="AR53" s="100"/>
      <c r="AS53" s="100"/>
      <c r="AT53" s="100"/>
      <c r="AU53" s="100"/>
      <c r="AV53" s="100"/>
      <c r="AW53" s="100"/>
      <c r="AX53" s="100"/>
      <c r="AY53" s="100"/>
      <c r="AZ53" s="100"/>
      <c r="BA53" s="100"/>
      <c r="BB53" s="100"/>
      <c r="BC53" s="100"/>
      <c r="BD53" s="100"/>
      <c r="BE53" s="100"/>
    </row>
    <row r="54" spans="1:57">
      <c r="A54" s="100"/>
      <c r="B54" s="100"/>
      <c r="C54" s="100"/>
      <c r="D54" s="102"/>
      <c r="E54" s="100"/>
      <c r="F54" s="100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100"/>
      <c r="AI54" s="100"/>
      <c r="AJ54" s="100"/>
      <c r="AK54" s="100"/>
      <c r="AL54" s="100"/>
      <c r="AM54" s="100"/>
      <c r="AN54" s="100"/>
      <c r="AO54" s="100"/>
      <c r="AP54" s="100"/>
      <c r="AQ54" s="100"/>
      <c r="AR54" s="100"/>
      <c r="AS54" s="100"/>
      <c r="AT54" s="100"/>
      <c r="AU54" s="100"/>
      <c r="AV54" s="100"/>
      <c r="AW54" s="100"/>
      <c r="AX54" s="100"/>
      <c r="AY54" s="100"/>
      <c r="AZ54" s="100"/>
      <c r="BA54" s="100"/>
      <c r="BB54" s="100"/>
      <c r="BC54" s="100"/>
      <c r="BD54" s="100"/>
      <c r="BE54" s="100"/>
    </row>
    <row r="55" spans="1:57">
      <c r="A55" s="100"/>
      <c r="B55" s="100"/>
      <c r="C55" s="100"/>
      <c r="D55" s="102"/>
      <c r="E55" s="100"/>
      <c r="F55" s="100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  <c r="AH55" s="100"/>
      <c r="AI55" s="100"/>
      <c r="AJ55" s="100"/>
      <c r="AK55" s="100"/>
      <c r="AL55" s="100"/>
      <c r="AM55" s="100"/>
      <c r="AN55" s="100"/>
      <c r="AO55" s="100"/>
      <c r="AP55" s="100"/>
      <c r="AQ55" s="100"/>
      <c r="AR55" s="100"/>
      <c r="AS55" s="100"/>
      <c r="AT55" s="100"/>
      <c r="AU55" s="100"/>
      <c r="AV55" s="100"/>
      <c r="AW55" s="100"/>
      <c r="AX55" s="100"/>
      <c r="AY55" s="100"/>
      <c r="AZ55" s="100"/>
      <c r="BA55" s="100"/>
      <c r="BB55" s="100"/>
      <c r="BC55" s="100"/>
      <c r="BD55" s="100"/>
      <c r="BE55" s="100"/>
    </row>
    <row r="56" spans="1:57" ht="13.5" thickBot="1">
      <c r="A56" s="100"/>
      <c r="B56" s="100"/>
      <c r="C56" s="100"/>
      <c r="D56" s="102"/>
      <c r="E56" s="100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/>
      <c r="AE56" s="100"/>
      <c r="AF56" s="100"/>
      <c r="AG56" s="100"/>
      <c r="AH56" s="100"/>
      <c r="AI56" s="100"/>
      <c r="AJ56" s="100"/>
      <c r="AK56" s="100"/>
      <c r="AL56" s="100"/>
      <c r="AM56" s="100"/>
      <c r="AN56" s="100"/>
      <c r="AO56" s="100"/>
      <c r="AP56" s="100"/>
      <c r="AQ56" s="100"/>
      <c r="AR56" s="100"/>
      <c r="AS56" s="100"/>
      <c r="AT56" s="100"/>
      <c r="AU56" s="100"/>
      <c r="AV56" s="100"/>
      <c r="AW56" s="100"/>
      <c r="AX56" s="100"/>
      <c r="AY56" s="100"/>
      <c r="AZ56" s="100"/>
      <c r="BA56" s="100"/>
      <c r="BB56" s="100"/>
      <c r="BC56" s="100"/>
      <c r="BD56" s="100"/>
      <c r="BE56" s="100"/>
    </row>
    <row r="57" spans="1:57" ht="15.75">
      <c r="A57" s="100"/>
      <c r="B57" s="100"/>
      <c r="C57" s="100"/>
      <c r="D57" s="102"/>
      <c r="E57" s="100"/>
      <c r="F57" s="100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100"/>
      <c r="AI57" s="100"/>
      <c r="AJ57" s="100"/>
      <c r="AK57" s="100"/>
      <c r="AL57" s="100"/>
      <c r="AM57" s="100"/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X57" s="100"/>
      <c r="AY57" s="100"/>
      <c r="AZ57" s="481" t="s">
        <v>344</v>
      </c>
      <c r="BA57" s="482"/>
      <c r="BB57" s="482"/>
      <c r="BC57" s="482"/>
      <c r="BD57" s="482"/>
      <c r="BE57" s="483"/>
    </row>
    <row r="58" spans="1:57" ht="15.75">
      <c r="A58" s="100"/>
      <c r="B58" s="100"/>
      <c r="C58" s="100"/>
      <c r="D58" s="102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  <c r="AA58" s="100"/>
      <c r="AB58" s="100"/>
      <c r="AC58" s="100"/>
      <c r="AD58" s="100"/>
      <c r="AE58" s="100"/>
      <c r="AF58" s="100"/>
      <c r="AG58" s="100"/>
      <c r="AH58" s="100"/>
      <c r="AI58" s="100"/>
      <c r="AJ58" s="100"/>
      <c r="AK58" s="100"/>
      <c r="AL58" s="100"/>
      <c r="AM58" s="100"/>
      <c r="AN58" s="100"/>
      <c r="AO58" s="100"/>
      <c r="AP58" s="100"/>
      <c r="AQ58" s="100"/>
      <c r="AR58" s="100"/>
      <c r="AS58" s="100"/>
      <c r="AT58" s="100"/>
      <c r="AU58" s="100"/>
      <c r="AV58" s="100"/>
      <c r="AW58" s="100"/>
      <c r="AX58" s="100"/>
      <c r="AY58" s="100"/>
      <c r="AZ58" s="484" t="s">
        <v>340</v>
      </c>
      <c r="BA58" s="485"/>
      <c r="BB58" s="485"/>
      <c r="BC58" s="485"/>
      <c r="BD58" s="617">
        <f>'[5]июль 20 '!$F$38</f>
        <v>779.47</v>
      </c>
      <c r="BE58" s="618"/>
    </row>
    <row r="59" spans="1:57" ht="16.5" thickBot="1">
      <c r="A59" s="100"/>
      <c r="B59" s="100"/>
      <c r="C59" s="100"/>
      <c r="D59" s="102"/>
      <c r="E59" s="100"/>
      <c r="F59" s="100"/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  <c r="AE59" s="100"/>
      <c r="AF59" s="100"/>
      <c r="AG59" s="100"/>
      <c r="AH59" s="100"/>
      <c r="AI59" s="100"/>
      <c r="AJ59" s="100"/>
      <c r="AK59" s="100"/>
      <c r="AL59" s="100"/>
      <c r="AM59" s="100"/>
      <c r="AN59" s="100"/>
      <c r="AO59" s="100"/>
      <c r="AP59" s="100"/>
      <c r="AQ59" s="100"/>
      <c r="AR59" s="100"/>
      <c r="AS59" s="100"/>
      <c r="AT59" s="100"/>
      <c r="AU59" s="100"/>
      <c r="AV59" s="100"/>
      <c r="AW59" s="100"/>
      <c r="AX59" s="100"/>
      <c r="AY59" s="100"/>
      <c r="AZ59" s="484" t="s">
        <v>341</v>
      </c>
      <c r="BA59" s="485"/>
      <c r="BB59" s="485"/>
      <c r="BC59" s="485"/>
      <c r="BD59" s="619">
        <f>'[5]июль 20 '!$B$38</f>
        <v>779.46999999999991</v>
      </c>
      <c r="BE59" s="620"/>
    </row>
    <row r="60" spans="1:57" ht="16.5" thickBot="1">
      <c r="A60" s="100"/>
      <c r="B60" s="100"/>
      <c r="C60" s="100"/>
      <c r="D60" s="102"/>
      <c r="E60" s="100"/>
      <c r="F60" s="100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  <c r="AE60" s="100"/>
      <c r="AF60" s="100"/>
      <c r="AG60" s="100"/>
      <c r="AH60" s="100"/>
      <c r="AI60" s="100"/>
      <c r="AJ60" s="100"/>
      <c r="AK60" s="100"/>
      <c r="AL60" s="100"/>
      <c r="AM60" s="100"/>
      <c r="AN60" s="100"/>
      <c r="AO60" s="100"/>
      <c r="AP60" s="100"/>
      <c r="AQ60" s="100"/>
      <c r="AR60" s="100"/>
      <c r="AS60" s="100"/>
      <c r="AT60" s="100"/>
      <c r="AU60" s="100"/>
      <c r="AV60" s="100"/>
      <c r="AW60" s="100"/>
      <c r="AX60" s="100"/>
      <c r="AY60" s="100"/>
      <c r="AZ60" s="486" t="s">
        <v>342</v>
      </c>
      <c r="BA60" s="487"/>
      <c r="BB60" s="487"/>
      <c r="BC60" s="487"/>
      <c r="BD60" s="621">
        <f>BD59-BD58</f>
        <v>0</v>
      </c>
      <c r="BE60" s="622"/>
    </row>
    <row r="61" spans="1:57">
      <c r="A61" s="100"/>
      <c r="B61" s="100"/>
      <c r="C61" s="100"/>
      <c r="D61" s="102"/>
      <c r="E61" s="100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/>
      <c r="AE61" s="100"/>
      <c r="AF61" s="100"/>
      <c r="AG61" s="100"/>
      <c r="AH61" s="100"/>
      <c r="AI61" s="100"/>
      <c r="AJ61" s="100"/>
      <c r="AK61" s="100"/>
      <c r="AL61" s="100"/>
      <c r="AM61" s="100"/>
      <c r="AN61" s="100"/>
      <c r="AO61" s="100"/>
      <c r="AP61" s="100"/>
      <c r="AQ61" s="100"/>
      <c r="AR61" s="100"/>
      <c r="AS61" s="100"/>
      <c r="AT61" s="100"/>
      <c r="AU61" s="100"/>
      <c r="AV61" s="100"/>
      <c r="AW61" s="100"/>
      <c r="AX61" s="100"/>
      <c r="AY61" s="100"/>
      <c r="AZ61" s="100"/>
      <c r="BA61" s="100"/>
      <c r="BB61" s="100"/>
      <c r="BC61" s="100"/>
      <c r="BD61" s="100"/>
      <c r="BE61" s="100"/>
    </row>
    <row r="62" spans="1:57">
      <c r="A62" s="100"/>
      <c r="B62" s="100"/>
      <c r="C62" s="100"/>
      <c r="D62" s="102"/>
      <c r="E62" s="100"/>
      <c r="F62" s="100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100"/>
      <c r="AC62" s="100"/>
      <c r="AD62" s="100"/>
      <c r="AE62" s="100"/>
      <c r="AF62" s="100"/>
      <c r="AG62" s="100"/>
      <c r="AH62" s="100"/>
      <c r="AI62" s="100"/>
      <c r="AJ62" s="100"/>
      <c r="AK62" s="100"/>
      <c r="AL62" s="100"/>
      <c r="AM62" s="100"/>
      <c r="AN62" s="100"/>
      <c r="AO62" s="100"/>
      <c r="AP62" s="100"/>
      <c r="AQ62" s="100"/>
      <c r="AR62" s="100"/>
      <c r="AS62" s="100"/>
      <c r="AT62" s="100"/>
      <c r="AU62" s="100"/>
      <c r="AV62" s="100"/>
      <c r="AW62" s="100"/>
      <c r="AX62" s="100"/>
      <c r="AY62" s="100"/>
      <c r="AZ62" s="100"/>
      <c r="BA62" s="100"/>
      <c r="BB62" s="100"/>
      <c r="BC62" s="100"/>
      <c r="BD62" s="100"/>
      <c r="BE62" s="100"/>
    </row>
    <row r="63" spans="1:57">
      <c r="A63" s="100"/>
      <c r="B63" s="100"/>
      <c r="C63" s="100"/>
      <c r="D63" s="102"/>
      <c r="E63" s="100"/>
      <c r="F63" s="100"/>
      <c r="G63" s="100"/>
      <c r="H63" s="100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  <c r="AA63" s="100"/>
      <c r="AB63" s="100"/>
      <c r="AC63" s="100"/>
      <c r="AD63" s="100"/>
      <c r="AE63" s="100"/>
      <c r="AF63" s="100"/>
      <c r="AG63" s="100"/>
      <c r="AH63" s="100"/>
      <c r="AI63" s="100"/>
      <c r="AJ63" s="100"/>
      <c r="AK63" s="100"/>
      <c r="AL63" s="100"/>
      <c r="AM63" s="100"/>
      <c r="AN63" s="100"/>
      <c r="AO63" s="100"/>
      <c r="AP63" s="100"/>
      <c r="AQ63" s="100"/>
      <c r="AR63" s="100"/>
      <c r="AS63" s="100"/>
      <c r="AT63" s="100"/>
      <c r="AU63" s="100"/>
      <c r="AV63" s="100"/>
      <c r="AW63" s="100"/>
      <c r="AX63" s="100"/>
      <c r="AY63" s="100"/>
      <c r="AZ63" s="100"/>
      <c r="BA63" s="100"/>
      <c r="BB63" s="100"/>
      <c r="BC63" s="100"/>
      <c r="BD63" s="100"/>
      <c r="BE63" s="100"/>
    </row>
    <row r="64" spans="1:57">
      <c r="A64" s="100"/>
      <c r="B64" s="100"/>
      <c r="C64" s="100"/>
      <c r="D64" s="102"/>
      <c r="E64" s="100"/>
      <c r="F64" s="100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  <c r="AE64" s="100"/>
      <c r="AF64" s="100"/>
      <c r="AG64" s="100"/>
      <c r="AH64" s="100"/>
      <c r="AI64" s="100"/>
      <c r="AJ64" s="100"/>
      <c r="AK64" s="100"/>
      <c r="AL64" s="100"/>
      <c r="AM64" s="100"/>
      <c r="AN64" s="100"/>
      <c r="AO64" s="100"/>
      <c r="AP64" s="100"/>
      <c r="AQ64" s="100"/>
      <c r="AR64" s="100"/>
      <c r="AS64" s="100"/>
      <c r="AT64" s="100"/>
      <c r="AU64" s="100"/>
      <c r="AV64" s="100"/>
      <c r="AW64" s="100"/>
      <c r="AX64" s="100"/>
      <c r="AY64" s="100"/>
      <c r="AZ64" s="100"/>
      <c r="BA64" s="100"/>
      <c r="BB64" s="100"/>
      <c r="BC64" s="100"/>
      <c r="BD64" s="100"/>
      <c r="BE64" s="100"/>
    </row>
    <row r="65" spans="1:57">
      <c r="A65" s="100"/>
      <c r="B65" s="100"/>
      <c r="C65" s="100"/>
      <c r="D65" s="102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/>
      <c r="AE65" s="100"/>
      <c r="AF65" s="100"/>
      <c r="AG65" s="100"/>
      <c r="AH65" s="100"/>
      <c r="AI65" s="100"/>
      <c r="AJ65" s="100"/>
      <c r="AK65" s="100"/>
      <c r="AL65" s="100"/>
      <c r="AM65" s="100"/>
      <c r="AN65" s="100"/>
      <c r="AO65" s="100"/>
      <c r="AP65" s="100"/>
      <c r="AQ65" s="100"/>
      <c r="AR65" s="100"/>
      <c r="AS65" s="100"/>
      <c r="AT65" s="100"/>
      <c r="AU65" s="100"/>
      <c r="AV65" s="100"/>
      <c r="AW65" s="100"/>
      <c r="AX65" s="100"/>
      <c r="AY65" s="100"/>
      <c r="AZ65" s="100"/>
      <c r="BA65" s="100"/>
      <c r="BB65" s="100"/>
      <c r="BC65" s="100"/>
      <c r="BD65" s="100"/>
      <c r="BE65" s="100"/>
    </row>
    <row r="66" spans="1:57">
      <c r="A66" s="100"/>
      <c r="B66" s="100"/>
      <c r="C66" s="100"/>
      <c r="D66" s="102"/>
      <c r="E66" s="100"/>
      <c r="F66" s="100"/>
      <c r="G66" s="100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/>
      <c r="AE66" s="100"/>
      <c r="AF66" s="100"/>
      <c r="AG66" s="100"/>
      <c r="AH66" s="100"/>
      <c r="AI66" s="100"/>
      <c r="AJ66" s="100"/>
      <c r="AK66" s="100"/>
      <c r="AL66" s="100"/>
      <c r="AM66" s="100"/>
      <c r="AN66" s="100"/>
      <c r="AO66" s="100"/>
      <c r="AP66" s="100"/>
      <c r="AQ66" s="100"/>
      <c r="AR66" s="100"/>
      <c r="AS66" s="100"/>
      <c r="AT66" s="100"/>
      <c r="AU66" s="100"/>
      <c r="AV66" s="100"/>
      <c r="AW66" s="100"/>
      <c r="AX66" s="100"/>
      <c r="AY66" s="100"/>
      <c r="AZ66" s="100"/>
      <c r="BA66" s="100"/>
      <c r="BB66" s="100"/>
      <c r="BC66" s="100"/>
      <c r="BD66" s="100"/>
      <c r="BE66" s="100"/>
    </row>
    <row r="67" spans="1:57">
      <c r="A67" s="100"/>
      <c r="B67" s="100"/>
      <c r="C67" s="100"/>
      <c r="D67" s="102"/>
      <c r="E67" s="100"/>
      <c r="F67" s="100"/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  <c r="AD67" s="100"/>
      <c r="AE67" s="100"/>
      <c r="AF67" s="100"/>
      <c r="AG67" s="100"/>
      <c r="AH67" s="100"/>
      <c r="AI67" s="100"/>
      <c r="AJ67" s="100"/>
      <c r="AK67" s="100"/>
      <c r="AL67" s="100"/>
      <c r="AM67" s="100"/>
      <c r="AN67" s="100"/>
      <c r="AO67" s="100"/>
      <c r="AP67" s="100"/>
      <c r="AQ67" s="100"/>
      <c r="AR67" s="100"/>
      <c r="AS67" s="100"/>
      <c r="AT67" s="100"/>
      <c r="AU67" s="100"/>
      <c r="AV67" s="100"/>
      <c r="AW67" s="100"/>
      <c r="AX67" s="100"/>
      <c r="AY67" s="100"/>
      <c r="AZ67" s="100"/>
      <c r="BA67" s="100"/>
      <c r="BB67" s="100"/>
      <c r="BC67" s="100"/>
      <c r="BD67" s="100"/>
      <c r="BE67" s="100"/>
    </row>
    <row r="68" spans="1:57">
      <c r="A68" s="100"/>
      <c r="B68" s="100"/>
      <c r="C68" s="100"/>
      <c r="D68" s="102"/>
      <c r="E68" s="100"/>
      <c r="F68" s="100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  <c r="AI68" s="100"/>
      <c r="AJ68" s="100"/>
      <c r="AK68" s="100"/>
      <c r="AL68" s="100"/>
      <c r="AM68" s="100"/>
      <c r="AN68" s="100"/>
      <c r="AO68" s="100"/>
      <c r="AP68" s="100"/>
      <c r="AQ68" s="100"/>
      <c r="AR68" s="100"/>
      <c r="AS68" s="100"/>
      <c r="AT68" s="100"/>
      <c r="AU68" s="100"/>
      <c r="AV68" s="100"/>
      <c r="AW68" s="100"/>
      <c r="AX68" s="100"/>
      <c r="AY68" s="100"/>
      <c r="AZ68" s="100"/>
      <c r="BA68" s="100"/>
      <c r="BB68" s="100"/>
      <c r="BC68" s="100"/>
      <c r="BD68" s="100"/>
      <c r="BE68" s="100"/>
    </row>
    <row r="69" spans="1:57">
      <c r="A69" s="100"/>
      <c r="B69" s="100"/>
      <c r="C69" s="100"/>
      <c r="D69" s="102"/>
      <c r="E69" s="100"/>
      <c r="F69" s="100"/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100"/>
      <c r="AC69" s="100"/>
      <c r="AD69" s="100"/>
      <c r="AE69" s="100"/>
      <c r="AF69" s="100"/>
      <c r="AG69" s="100"/>
      <c r="AH69" s="100"/>
      <c r="AI69" s="100"/>
      <c r="AJ69" s="100"/>
      <c r="AK69" s="100"/>
      <c r="AL69" s="100"/>
      <c r="AM69" s="100"/>
      <c r="AN69" s="100"/>
      <c r="AO69" s="100"/>
      <c r="AP69" s="100"/>
      <c r="AQ69" s="100"/>
      <c r="AR69" s="100"/>
      <c r="AS69" s="100"/>
      <c r="AT69" s="100"/>
      <c r="AU69" s="100"/>
      <c r="AV69" s="100"/>
      <c r="AW69" s="100"/>
      <c r="AX69" s="100"/>
      <c r="AY69" s="100"/>
      <c r="AZ69" s="100"/>
      <c r="BA69" s="100"/>
      <c r="BB69" s="100"/>
      <c r="BC69" s="100"/>
      <c r="BD69" s="100"/>
      <c r="BE69" s="100"/>
    </row>
    <row r="70" spans="1:57">
      <c r="A70" s="100"/>
      <c r="B70" s="100"/>
      <c r="C70" s="100"/>
      <c r="D70" s="102"/>
      <c r="E70" s="100"/>
      <c r="F70" s="100"/>
      <c r="G70" s="100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  <c r="AE70" s="100"/>
      <c r="AF70" s="100"/>
      <c r="AG70" s="100"/>
      <c r="AH70" s="100"/>
      <c r="AI70" s="100"/>
      <c r="AJ70" s="100"/>
      <c r="AK70" s="100"/>
      <c r="AL70" s="100"/>
      <c r="AM70" s="100"/>
      <c r="AN70" s="100"/>
      <c r="AO70" s="100"/>
      <c r="AP70" s="100"/>
      <c r="AQ70" s="100"/>
      <c r="AR70" s="100"/>
      <c r="AS70" s="100"/>
      <c r="AT70" s="100"/>
      <c r="AU70" s="100"/>
      <c r="AV70" s="100"/>
      <c r="AW70" s="100"/>
      <c r="AX70" s="100"/>
      <c r="AY70" s="100"/>
      <c r="AZ70" s="100"/>
      <c r="BA70" s="100"/>
      <c r="BB70" s="100"/>
      <c r="BC70" s="100"/>
      <c r="BD70" s="100"/>
      <c r="BE70" s="100"/>
    </row>
    <row r="71" spans="1:57" ht="18" customHeight="1">
      <c r="A71" s="318" t="s">
        <v>70</v>
      </c>
      <c r="B71" s="319"/>
      <c r="C71" s="318"/>
      <c r="D71" s="318"/>
      <c r="E71" s="318"/>
      <c r="F71" s="318"/>
      <c r="G71" s="318"/>
      <c r="H71" s="318"/>
      <c r="I71" s="318"/>
      <c r="J71" s="320"/>
      <c r="K71" s="320"/>
      <c r="L71" s="605" t="s">
        <v>371</v>
      </c>
      <c r="M71" s="605"/>
      <c r="N71" s="605"/>
      <c r="O71" s="605"/>
      <c r="P71" s="605"/>
      <c r="Q71" s="605"/>
      <c r="R71" s="109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/>
      <c r="AE71" s="100"/>
      <c r="AF71" s="100"/>
      <c r="AG71" s="100"/>
      <c r="AH71" s="100"/>
      <c r="AI71" s="100"/>
      <c r="AJ71" s="100"/>
      <c r="AK71" s="100"/>
      <c r="AL71" s="100"/>
      <c r="AM71" s="100"/>
      <c r="AN71" s="100"/>
      <c r="AO71" s="100"/>
      <c r="AP71" s="100"/>
      <c r="AQ71" s="100"/>
      <c r="AR71" s="100"/>
      <c r="AS71" s="100"/>
      <c r="AT71" s="100"/>
      <c r="AU71" s="100"/>
      <c r="AV71" s="100"/>
      <c r="AW71" s="100"/>
      <c r="AX71" s="100"/>
      <c r="AY71" s="100"/>
      <c r="AZ71" s="100"/>
      <c r="BA71" s="100"/>
      <c r="BB71" s="100"/>
      <c r="BC71" s="100"/>
      <c r="BD71" s="100"/>
      <c r="BE71" s="100"/>
    </row>
    <row r="72" spans="1:57" ht="15">
      <c r="A72" s="118"/>
      <c r="B72" s="118"/>
      <c r="C72" s="119"/>
      <c r="D72" s="120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  <c r="AE72" s="100"/>
      <c r="AF72" s="100"/>
      <c r="AG72" s="100"/>
      <c r="AH72" s="100"/>
      <c r="AI72" s="100"/>
      <c r="AJ72" s="100"/>
      <c r="AK72" s="100"/>
      <c r="AL72" s="100"/>
      <c r="AM72" s="100"/>
      <c r="AN72" s="100"/>
      <c r="AO72" s="100"/>
      <c r="AP72" s="100"/>
      <c r="AQ72" s="100"/>
      <c r="AR72" s="100"/>
      <c r="AS72" s="100"/>
      <c r="AT72" s="100"/>
      <c r="AU72" s="100"/>
      <c r="AV72" s="100"/>
      <c r="AW72" s="100"/>
      <c r="AX72" s="100"/>
      <c r="AY72" s="100"/>
      <c r="AZ72" s="100"/>
      <c r="BA72" s="100"/>
      <c r="BB72" s="100"/>
      <c r="BC72" s="100"/>
      <c r="BD72" s="100"/>
      <c r="BE72" s="100"/>
    </row>
    <row r="73" spans="1:57" ht="15.75">
      <c r="A73" s="100"/>
      <c r="B73" s="100"/>
      <c r="C73" s="100"/>
      <c r="D73" s="102"/>
      <c r="E73" s="100"/>
      <c r="F73" s="100"/>
      <c r="G73" s="100"/>
      <c r="H73" s="100"/>
      <c r="I73" s="100"/>
      <c r="J73" s="100"/>
      <c r="K73" s="100"/>
      <c r="L73" s="111"/>
      <c r="M73" s="111"/>
      <c r="N73" s="111"/>
      <c r="O73" s="111"/>
      <c r="P73" s="111"/>
      <c r="Q73" s="111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00"/>
      <c r="AK73" s="100"/>
      <c r="AL73" s="100"/>
      <c r="AM73" s="100"/>
      <c r="AN73" s="100"/>
      <c r="AO73" s="100"/>
      <c r="AP73" s="100"/>
      <c r="AQ73" s="100"/>
      <c r="AR73" s="100"/>
      <c r="AS73" s="100"/>
      <c r="AT73" s="100"/>
      <c r="AU73" s="100"/>
      <c r="AV73" s="100"/>
      <c r="AW73" s="100"/>
      <c r="AX73" s="100"/>
      <c r="AY73" s="100"/>
      <c r="AZ73" s="100"/>
      <c r="BA73" s="100"/>
      <c r="BB73" s="100"/>
      <c r="BC73" s="100"/>
      <c r="BD73" s="100"/>
      <c r="BE73" s="100"/>
    </row>
    <row r="74" spans="1:57">
      <c r="A74" s="100"/>
      <c r="B74" s="100"/>
      <c r="C74" s="100"/>
      <c r="D74" s="102"/>
      <c r="E74" s="100"/>
      <c r="F74" s="100"/>
      <c r="G74" s="100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00"/>
      <c r="AK74" s="100"/>
      <c r="AL74" s="100"/>
      <c r="AM74" s="100"/>
      <c r="AN74" s="100"/>
      <c r="AO74" s="100"/>
      <c r="AP74" s="100"/>
      <c r="AQ74" s="100"/>
      <c r="AR74" s="100"/>
      <c r="AS74" s="100"/>
      <c r="AT74" s="100"/>
      <c r="AU74" s="100"/>
      <c r="AV74" s="100"/>
      <c r="AW74" s="100"/>
      <c r="AX74" s="100"/>
      <c r="AY74" s="100"/>
      <c r="AZ74" s="100"/>
      <c r="BA74" s="100"/>
      <c r="BB74" s="100"/>
      <c r="BC74" s="100"/>
      <c r="BD74" s="100"/>
      <c r="BE74" s="100"/>
    </row>
    <row r="75" spans="1:57">
      <c r="A75" s="100"/>
      <c r="B75" s="100"/>
      <c r="C75" s="100"/>
      <c r="D75" s="102"/>
      <c r="E75" s="100"/>
      <c r="F75" s="100"/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  <c r="AD75" s="100"/>
      <c r="AE75" s="100"/>
      <c r="AF75" s="100"/>
      <c r="AG75" s="100"/>
      <c r="AH75" s="100"/>
      <c r="AI75" s="100"/>
      <c r="AJ75" s="100"/>
      <c r="AK75" s="100"/>
      <c r="AL75" s="100"/>
      <c r="AM75" s="100"/>
      <c r="AN75" s="100"/>
      <c r="AO75" s="100"/>
      <c r="AP75" s="100"/>
      <c r="AQ75" s="100"/>
      <c r="AR75" s="100"/>
      <c r="AS75" s="100"/>
      <c r="AT75" s="100"/>
      <c r="AU75" s="100"/>
      <c r="AV75" s="100"/>
      <c r="AW75" s="100"/>
      <c r="AX75" s="100"/>
      <c r="AY75" s="100"/>
      <c r="AZ75" s="100"/>
      <c r="BA75" s="100"/>
      <c r="BB75" s="100"/>
      <c r="BC75" s="100"/>
      <c r="BD75" s="100"/>
      <c r="BE75" s="100"/>
    </row>
    <row r="77" spans="1:57">
      <c r="AY77" t="s">
        <v>302</v>
      </c>
    </row>
  </sheetData>
  <sheetProtection selectLockedCells="1" selectUnlockedCells="1"/>
  <mergeCells count="81">
    <mergeCell ref="CO40:CU40"/>
    <mergeCell ref="L71:Q71"/>
    <mergeCell ref="N46:O46"/>
    <mergeCell ref="AZ46:BE47"/>
    <mergeCell ref="AZ48:BC49"/>
    <mergeCell ref="BD48:BD49"/>
    <mergeCell ref="AZ51:BC52"/>
    <mergeCell ref="BD51:BD52"/>
    <mergeCell ref="AT42:AV42"/>
    <mergeCell ref="BD58:BE58"/>
    <mergeCell ref="BD59:BE59"/>
    <mergeCell ref="BD60:BE60"/>
    <mergeCell ref="AC3:AC6"/>
    <mergeCell ref="AD3:AD6"/>
    <mergeCell ref="DA5:DB5"/>
    <mergeCell ref="CO39:CP39"/>
    <mergeCell ref="CQ39:CU39"/>
    <mergeCell ref="CV39:CY39"/>
    <mergeCell ref="AX5:AX6"/>
    <mergeCell ref="AY5:AY6"/>
    <mergeCell ref="AJ3:AK6"/>
    <mergeCell ref="AL3:AL6"/>
    <mergeCell ref="AM3:AM6"/>
    <mergeCell ref="AN3:AN6"/>
    <mergeCell ref="AO3:AO6"/>
    <mergeCell ref="AP3:AP6"/>
    <mergeCell ref="AT5:AT6"/>
    <mergeCell ref="AW5:AW6"/>
    <mergeCell ref="Q4:Q6"/>
    <mergeCell ref="R4:R6"/>
    <mergeCell ref="S4:S6"/>
    <mergeCell ref="T4:T6"/>
    <mergeCell ref="U4:U6"/>
    <mergeCell ref="AA3:AA6"/>
    <mergeCell ref="AB3:AB6"/>
    <mergeCell ref="N4:N6"/>
    <mergeCell ref="O4:O6"/>
    <mergeCell ref="DD4:DH4"/>
    <mergeCell ref="AE5:AE6"/>
    <mergeCell ref="AF5:AF6"/>
    <mergeCell ref="AG5:AG6"/>
    <mergeCell ref="AH5:AH6"/>
    <mergeCell ref="CF3:CI5"/>
    <mergeCell ref="AQ3:AQ6"/>
    <mergeCell ref="AS3:AS6"/>
    <mergeCell ref="AT3:AY4"/>
    <mergeCell ref="AZ3:AZ6"/>
    <mergeCell ref="BA3:BB4"/>
    <mergeCell ref="BC3:BC6"/>
    <mergeCell ref="CJ3:CM5"/>
    <mergeCell ref="B4:B6"/>
    <mergeCell ref="C4:C6"/>
    <mergeCell ref="D4:D6"/>
    <mergeCell ref="E4:E6"/>
    <mergeCell ref="F4:F6"/>
    <mergeCell ref="G4:G6"/>
    <mergeCell ref="H4:H6"/>
    <mergeCell ref="I4:I6"/>
    <mergeCell ref="J4:J6"/>
    <mergeCell ref="BD3:BD6"/>
    <mergeCell ref="BE3:BE6"/>
    <mergeCell ref="BK3:BQ5"/>
    <mergeCell ref="BR3:BX5"/>
    <mergeCell ref="BY3:CE5"/>
    <mergeCell ref="K4:K6"/>
    <mergeCell ref="AE3:AF4"/>
    <mergeCell ref="AG3:AI4"/>
    <mergeCell ref="AI5:AI6"/>
    <mergeCell ref="AY2:BC2"/>
    <mergeCell ref="A3:A6"/>
    <mergeCell ref="B3:G3"/>
    <mergeCell ref="H3:P3"/>
    <mergeCell ref="Q3:U3"/>
    <mergeCell ref="V3:V6"/>
    <mergeCell ref="W3:W6"/>
    <mergeCell ref="X3:X6"/>
    <mergeCell ref="Y3:Y6"/>
    <mergeCell ref="Z3:Z6"/>
    <mergeCell ref="P4:P6"/>
    <mergeCell ref="L4:L6"/>
    <mergeCell ref="M4:M6"/>
  </mergeCells>
  <printOptions horizontalCentered="1" verticalCentered="1"/>
  <pageMargins left="0" right="0" top="0" bottom="0" header="0" footer="0"/>
  <pageSetup paperSize="9" scale="46" firstPageNumber="0" orientation="landscape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N77"/>
  <sheetViews>
    <sheetView showZeros="0" zoomScale="90" zoomScaleNormal="90" workbookViewId="0">
      <pane xSplit="1" ySplit="6" topLeftCell="B16" activePane="bottomRight" state="frozen"/>
      <selection pane="topRight" activeCell="B1" sqref="B1"/>
      <selection pane="bottomLeft" activeCell="A7" sqref="A7"/>
      <selection pane="bottomRight" activeCell="S7" sqref="S7"/>
    </sheetView>
  </sheetViews>
  <sheetFormatPr defaultColWidth="8.7109375" defaultRowHeight="12.75"/>
  <cols>
    <col min="1" max="1" width="3.5703125" customWidth="1"/>
    <col min="2" max="2" width="9.7109375" customWidth="1"/>
    <col min="3" max="3" width="6" customWidth="1"/>
    <col min="4" max="4" width="12" style="1" hidden="1" customWidth="1"/>
    <col min="5" max="5" width="7.140625" customWidth="1"/>
    <col min="6" max="6" width="7.5703125" customWidth="1"/>
    <col min="7" max="7" width="8" customWidth="1"/>
    <col min="8" max="8" width="7.28515625" customWidth="1"/>
    <col min="9" max="9" width="7.42578125" hidden="1" customWidth="1"/>
    <col min="10" max="10" width="9.140625" customWidth="1"/>
    <col min="11" max="11" width="5.5703125" hidden="1" customWidth="1"/>
    <col min="12" max="12" width="8.42578125" customWidth="1"/>
    <col min="13" max="13" width="7.42578125" customWidth="1"/>
    <col min="14" max="14" width="8.42578125" customWidth="1"/>
    <col min="15" max="15" width="7.28515625" customWidth="1"/>
    <col min="16" max="16" width="9.85546875" hidden="1" customWidth="1"/>
    <col min="17" max="17" width="9.28515625" customWidth="1"/>
    <col min="18" max="18" width="6" customWidth="1"/>
    <col min="19" max="19" width="6.7109375" customWidth="1"/>
    <col min="20" max="20" width="9.140625" hidden="1" customWidth="1"/>
    <col min="21" max="21" width="7.140625" customWidth="1"/>
    <col min="22" max="22" width="7.85546875" customWidth="1"/>
    <col min="23" max="23" width="8.28515625" customWidth="1"/>
    <col min="24" max="24" width="6" customWidth="1"/>
    <col min="25" max="25" width="5.42578125" customWidth="1"/>
    <col min="26" max="26" width="6.85546875" customWidth="1"/>
    <col min="27" max="27" width="6.5703125" customWidth="1"/>
    <col min="28" max="28" width="7.5703125" customWidth="1"/>
    <col min="29" max="29" width="6.5703125" customWidth="1"/>
    <col min="30" max="30" width="4.28515625" customWidth="1"/>
    <col min="31" max="32" width="6.85546875" customWidth="1"/>
    <col min="33" max="33" width="0" hidden="1" customWidth="1"/>
    <col min="34" max="34" width="8.42578125" customWidth="1"/>
    <col min="35" max="35" width="7" customWidth="1"/>
    <col min="36" max="36" width="7.85546875" customWidth="1"/>
    <col min="37" max="37" width="0" hidden="1" customWidth="1"/>
    <col min="38" max="38" width="6.7109375" customWidth="1"/>
    <col min="39" max="39" width="7.7109375" customWidth="1"/>
    <col min="40" max="40" width="7" hidden="1" customWidth="1"/>
    <col min="41" max="41" width="9.42578125" customWidth="1"/>
    <col min="42" max="42" width="6.28515625" customWidth="1"/>
    <col min="43" max="43" width="6.85546875" customWidth="1"/>
    <col min="44" max="44" width="0" hidden="1" customWidth="1"/>
    <col min="45" max="45" width="6.7109375" customWidth="1"/>
    <col min="46" max="46" width="9.7109375" customWidth="1"/>
    <col min="47" max="47" width="7" customWidth="1"/>
    <col min="48" max="48" width="0" hidden="1" customWidth="1"/>
    <col min="49" max="49" width="6.140625" hidden="1" customWidth="1"/>
    <col min="50" max="50" width="5.140625" hidden="1" customWidth="1"/>
    <col min="51" max="51" width="8.42578125" customWidth="1"/>
    <col min="52" max="52" width="10" customWidth="1"/>
    <col min="53" max="53" width="8.7109375" hidden="1" customWidth="1"/>
    <col min="54" max="54" width="3.85546875" hidden="1" customWidth="1"/>
    <col min="55" max="55" width="6.5703125" customWidth="1"/>
    <col min="56" max="56" width="6.140625" customWidth="1"/>
    <col min="57" max="57" width="6.7109375" customWidth="1"/>
    <col min="58" max="58" width="8.85546875" customWidth="1"/>
    <col min="59" max="59" width="7.85546875" customWidth="1"/>
    <col min="60" max="60" width="9.85546875" customWidth="1"/>
    <col min="61" max="62" width="8.7109375" customWidth="1"/>
    <col min="63" max="63" width="10.28515625" customWidth="1"/>
    <col min="64" max="64" width="10.85546875" customWidth="1"/>
    <col min="65" max="65" width="10.7109375" customWidth="1"/>
    <col min="66" max="66" width="11.28515625" customWidth="1"/>
    <col min="67" max="68" width="8.85546875" customWidth="1"/>
    <col min="69" max="69" width="11.28515625" customWidth="1"/>
    <col min="70" max="70" width="7.7109375" customWidth="1"/>
    <col min="71" max="71" width="10" customWidth="1"/>
    <col min="72" max="72" width="8.85546875" customWidth="1"/>
    <col min="73" max="73" width="10.140625" customWidth="1"/>
    <col min="74" max="75" width="8.85546875" customWidth="1"/>
    <col min="76" max="76" width="10.85546875" customWidth="1"/>
    <col min="77" max="78" width="8.7109375" customWidth="1"/>
    <col min="79" max="79" width="10" customWidth="1"/>
    <col min="80" max="80" width="10.42578125" customWidth="1"/>
    <col min="81" max="82" width="8.42578125" customWidth="1"/>
    <col min="83" max="83" width="9.85546875" customWidth="1"/>
    <col min="84" max="85" width="11.42578125" customWidth="1"/>
    <col min="86" max="86" width="11.140625" customWidth="1"/>
    <col min="87" max="87" width="11.28515625" customWidth="1"/>
    <col min="88" max="89" width="10" customWidth="1"/>
    <col min="90" max="90" width="8.7109375" customWidth="1"/>
    <col min="91" max="91" width="11.85546875" customWidth="1"/>
    <col min="92" max="92" width="8.7109375" customWidth="1"/>
    <col min="93" max="93" width="12.140625" customWidth="1"/>
    <col min="94" max="94" width="12.5703125" customWidth="1"/>
    <col min="95" max="95" width="11.7109375" customWidth="1"/>
    <col min="96" max="98" width="12.28515625" customWidth="1"/>
    <col min="99" max="99" width="13.28515625" customWidth="1"/>
    <col min="100" max="100" width="12.85546875" customWidth="1"/>
    <col min="101" max="101" width="13.42578125" customWidth="1"/>
    <col min="102" max="103" width="12.5703125" customWidth="1"/>
    <col min="104" max="104" width="9.5703125" customWidth="1"/>
    <col min="105" max="105" width="19.140625" customWidth="1"/>
    <col min="106" max="106" width="19.42578125" customWidth="1"/>
    <col min="111" max="111" width="8.7109375" hidden="1" customWidth="1"/>
    <col min="112" max="112" width="9" bestFit="1" customWidth="1"/>
    <col min="114" max="114" width="9.5703125" bestFit="1" customWidth="1"/>
  </cols>
  <sheetData>
    <row r="1" spans="1:118" ht="17.25" customHeight="1">
      <c r="A1" s="310" t="s">
        <v>0</v>
      </c>
      <c r="B1" s="310"/>
      <c r="C1" s="310"/>
      <c r="D1" s="311"/>
      <c r="E1" s="310"/>
      <c r="F1" s="310"/>
      <c r="G1" s="310"/>
      <c r="H1" s="310"/>
      <c r="I1" s="310"/>
      <c r="J1" s="310"/>
      <c r="K1" s="310"/>
      <c r="L1" s="310"/>
      <c r="M1" s="310"/>
      <c r="N1" s="310"/>
      <c r="O1" s="310"/>
      <c r="P1" s="77"/>
      <c r="Q1" s="77"/>
      <c r="R1" s="77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</row>
    <row r="2" spans="1:118" ht="19.5" customHeight="1" thickBot="1">
      <c r="A2" s="22"/>
      <c r="B2" s="78"/>
      <c r="C2" s="78"/>
      <c r="D2" s="79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80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80"/>
      <c r="AT2" s="312" t="s">
        <v>1</v>
      </c>
      <c r="AU2" s="313">
        <v>31</v>
      </c>
      <c r="AV2" s="314"/>
      <c r="AW2" s="314"/>
      <c r="AX2" s="315" t="s">
        <v>81</v>
      </c>
      <c r="AY2" s="556" t="s">
        <v>326</v>
      </c>
      <c r="AZ2" s="556"/>
      <c r="BA2" s="556"/>
      <c r="BB2" s="556"/>
      <c r="BC2" s="556"/>
      <c r="BD2" s="316" t="s">
        <v>107</v>
      </c>
      <c r="BE2" s="317"/>
    </row>
    <row r="3" spans="1:118" ht="39.75" customHeight="1" thickBot="1">
      <c r="A3" s="557" t="s">
        <v>3</v>
      </c>
      <c r="B3" s="558" t="s">
        <v>71</v>
      </c>
      <c r="C3" s="558"/>
      <c r="D3" s="558"/>
      <c r="E3" s="558"/>
      <c r="F3" s="558"/>
      <c r="G3" s="558"/>
      <c r="H3" s="554" t="s">
        <v>4</v>
      </c>
      <c r="I3" s="554"/>
      <c r="J3" s="554"/>
      <c r="K3" s="554"/>
      <c r="L3" s="554"/>
      <c r="M3" s="554"/>
      <c r="N3" s="554"/>
      <c r="O3" s="554"/>
      <c r="P3" s="559"/>
      <c r="Q3" s="560" t="s">
        <v>5</v>
      </c>
      <c r="R3" s="561"/>
      <c r="S3" s="561"/>
      <c r="T3" s="561"/>
      <c r="U3" s="562"/>
      <c r="V3" s="563" t="s">
        <v>6</v>
      </c>
      <c r="W3" s="563" t="s">
        <v>7</v>
      </c>
      <c r="X3" s="564" t="s">
        <v>8</v>
      </c>
      <c r="Y3" s="564" t="s">
        <v>9</v>
      </c>
      <c r="Z3" s="564" t="s">
        <v>10</v>
      </c>
      <c r="AA3" s="564" t="s">
        <v>11</v>
      </c>
      <c r="AB3" s="564" t="s">
        <v>12</v>
      </c>
      <c r="AC3" s="564" t="s">
        <v>13</v>
      </c>
      <c r="AD3" s="564" t="s">
        <v>14</v>
      </c>
      <c r="AE3" s="554" t="s">
        <v>15</v>
      </c>
      <c r="AF3" s="554"/>
      <c r="AG3" s="554" t="s">
        <v>16</v>
      </c>
      <c r="AH3" s="554"/>
      <c r="AI3" s="554"/>
      <c r="AJ3" s="593" t="s">
        <v>17</v>
      </c>
      <c r="AK3" s="593"/>
      <c r="AL3" s="564" t="s">
        <v>18</v>
      </c>
      <c r="AM3" s="599" t="s">
        <v>19</v>
      </c>
      <c r="AN3" s="600" t="s">
        <v>95</v>
      </c>
      <c r="AO3" s="603" t="s">
        <v>20</v>
      </c>
      <c r="AP3" s="564" t="s">
        <v>105</v>
      </c>
      <c r="AQ3" s="564" t="s">
        <v>21</v>
      </c>
      <c r="AR3" s="81"/>
      <c r="AS3" s="593" t="s">
        <v>22</v>
      </c>
      <c r="AT3" s="554" t="s">
        <v>23</v>
      </c>
      <c r="AU3" s="554"/>
      <c r="AV3" s="554"/>
      <c r="AW3" s="554"/>
      <c r="AX3" s="554"/>
      <c r="AY3" s="554"/>
      <c r="AZ3" s="564" t="s">
        <v>24</v>
      </c>
      <c r="BA3" s="594" t="s">
        <v>25</v>
      </c>
      <c r="BB3" s="594"/>
      <c r="BC3" s="564" t="s">
        <v>26</v>
      </c>
      <c r="BD3" s="564" t="s">
        <v>27</v>
      </c>
      <c r="BE3" s="572" t="s">
        <v>28</v>
      </c>
      <c r="BF3" s="3"/>
      <c r="BG3" s="3"/>
      <c r="BH3" s="3"/>
      <c r="BI3" s="3"/>
      <c r="BJ3" s="3"/>
      <c r="BK3" s="573" t="s">
        <v>29</v>
      </c>
      <c r="BL3" s="574"/>
      <c r="BM3" s="574"/>
      <c r="BN3" s="574"/>
      <c r="BO3" s="575"/>
      <c r="BP3" s="575"/>
      <c r="BQ3" s="576"/>
      <c r="BR3" s="573" t="s">
        <v>30</v>
      </c>
      <c r="BS3" s="585"/>
      <c r="BT3" s="585"/>
      <c r="BU3" s="585"/>
      <c r="BV3" s="585"/>
      <c r="BW3" s="585"/>
      <c r="BX3" s="586"/>
      <c r="BY3" s="566" t="s">
        <v>31</v>
      </c>
      <c r="BZ3" s="566"/>
      <c r="CA3" s="566"/>
      <c r="CB3" s="566"/>
      <c r="CC3" s="566"/>
      <c r="CD3" s="566"/>
      <c r="CE3" s="566"/>
      <c r="CF3" s="566" t="s">
        <v>87</v>
      </c>
      <c r="CG3" s="566"/>
      <c r="CH3" s="566"/>
      <c r="CI3" s="566"/>
      <c r="CJ3" s="566" t="s">
        <v>32</v>
      </c>
      <c r="CK3" s="566"/>
      <c r="CL3" s="566"/>
      <c r="CM3" s="566"/>
      <c r="CN3" s="4"/>
      <c r="CO3" s="5"/>
      <c r="CP3" s="6"/>
      <c r="CQ3" s="6"/>
    </row>
    <row r="4" spans="1:118" s="7" customFormat="1" ht="30.75" customHeight="1" thickBot="1">
      <c r="A4" s="557"/>
      <c r="B4" s="565" t="s">
        <v>72</v>
      </c>
      <c r="C4" s="613" t="s">
        <v>73</v>
      </c>
      <c r="D4" s="615" t="s">
        <v>33</v>
      </c>
      <c r="E4" s="613" t="s">
        <v>74</v>
      </c>
      <c r="F4" s="569" t="s">
        <v>75</v>
      </c>
      <c r="G4" s="569" t="s">
        <v>34</v>
      </c>
      <c r="H4" s="555" t="s">
        <v>76</v>
      </c>
      <c r="I4" s="570" t="s">
        <v>101</v>
      </c>
      <c r="J4" s="555" t="s">
        <v>89</v>
      </c>
      <c r="K4" s="565" t="s">
        <v>35</v>
      </c>
      <c r="L4" s="565" t="s">
        <v>77</v>
      </c>
      <c r="M4" s="565" t="s">
        <v>78</v>
      </c>
      <c r="N4" s="565" t="s">
        <v>101</v>
      </c>
      <c r="O4" s="565" t="s">
        <v>96</v>
      </c>
      <c r="P4" s="555" t="s">
        <v>79</v>
      </c>
      <c r="Q4" s="555" t="s">
        <v>36</v>
      </c>
      <c r="R4" s="555" t="s">
        <v>32</v>
      </c>
      <c r="S4" s="555" t="s">
        <v>37</v>
      </c>
      <c r="T4" s="555" t="s">
        <v>38</v>
      </c>
      <c r="U4" s="555" t="s">
        <v>39</v>
      </c>
      <c r="V4" s="563"/>
      <c r="W4" s="563"/>
      <c r="X4" s="564"/>
      <c r="Y4" s="564"/>
      <c r="Z4" s="564"/>
      <c r="AA4" s="564"/>
      <c r="AB4" s="564"/>
      <c r="AC4" s="564"/>
      <c r="AD4" s="564"/>
      <c r="AE4" s="554"/>
      <c r="AF4" s="554"/>
      <c r="AG4" s="554"/>
      <c r="AH4" s="554"/>
      <c r="AI4" s="554"/>
      <c r="AJ4" s="593"/>
      <c r="AK4" s="593"/>
      <c r="AL4" s="564"/>
      <c r="AM4" s="599"/>
      <c r="AN4" s="601"/>
      <c r="AO4" s="603"/>
      <c r="AP4" s="564"/>
      <c r="AQ4" s="564"/>
      <c r="AR4" s="82"/>
      <c r="AS4" s="593"/>
      <c r="AT4" s="554"/>
      <c r="AU4" s="554"/>
      <c r="AV4" s="554"/>
      <c r="AW4" s="554"/>
      <c r="AX4" s="554"/>
      <c r="AY4" s="554"/>
      <c r="AZ4" s="564"/>
      <c r="BA4" s="594"/>
      <c r="BB4" s="594"/>
      <c r="BC4" s="564"/>
      <c r="BD4" s="564"/>
      <c r="BE4" s="572"/>
      <c r="BF4" s="3"/>
      <c r="BG4" s="3"/>
      <c r="BH4" s="3"/>
      <c r="BI4" s="3"/>
      <c r="BJ4" s="3"/>
      <c r="BK4" s="577"/>
      <c r="BL4" s="578"/>
      <c r="BM4" s="578"/>
      <c r="BN4" s="578"/>
      <c r="BO4" s="579"/>
      <c r="BP4" s="579"/>
      <c r="BQ4" s="580"/>
      <c r="BR4" s="577"/>
      <c r="BS4" s="566"/>
      <c r="BT4" s="566"/>
      <c r="BU4" s="566"/>
      <c r="BV4" s="566"/>
      <c r="BW4" s="566"/>
      <c r="BX4" s="587"/>
      <c r="BY4" s="566"/>
      <c r="BZ4" s="566"/>
      <c r="CA4" s="566"/>
      <c r="CB4" s="566"/>
      <c r="CC4" s="566"/>
      <c r="CD4" s="566"/>
      <c r="CE4" s="566"/>
      <c r="CF4" s="566"/>
      <c r="CG4" s="566"/>
      <c r="CH4" s="566"/>
      <c r="CI4" s="566"/>
      <c r="CJ4" s="566"/>
      <c r="CK4" s="566"/>
      <c r="CL4" s="566"/>
      <c r="CM4" s="566"/>
      <c r="CN4" s="4"/>
      <c r="CO4" s="6"/>
      <c r="CP4" s="6"/>
      <c r="CQ4" s="262"/>
      <c r="CR4" s="231"/>
      <c r="CS4" s="231"/>
      <c r="CT4" s="231"/>
      <c r="CU4" s="231"/>
      <c r="CV4" s="231"/>
      <c r="CW4" s="231"/>
      <c r="CX4" s="231"/>
      <c r="CY4" s="231"/>
      <c r="DD4" s="590" t="s">
        <v>90</v>
      </c>
      <c r="DE4" s="591"/>
      <c r="DF4" s="591"/>
      <c r="DG4" s="591"/>
      <c r="DH4" s="592"/>
    </row>
    <row r="5" spans="1:118" s="7" customFormat="1" ht="8.25" hidden="1" customHeight="1">
      <c r="A5" s="557"/>
      <c r="B5" s="565"/>
      <c r="C5" s="614"/>
      <c r="D5" s="616"/>
      <c r="E5" s="614"/>
      <c r="F5" s="569"/>
      <c r="G5" s="569"/>
      <c r="H5" s="555"/>
      <c r="I5" s="570"/>
      <c r="J5" s="565"/>
      <c r="K5" s="565"/>
      <c r="L5" s="565"/>
      <c r="M5" s="565"/>
      <c r="N5" s="565"/>
      <c r="O5" s="565"/>
      <c r="P5" s="555"/>
      <c r="Q5" s="555"/>
      <c r="R5" s="555"/>
      <c r="S5" s="555"/>
      <c r="T5" s="555"/>
      <c r="U5" s="555"/>
      <c r="V5" s="563"/>
      <c r="W5" s="563"/>
      <c r="X5" s="564"/>
      <c r="Y5" s="564"/>
      <c r="Z5" s="564"/>
      <c r="AA5" s="564"/>
      <c r="AB5" s="564"/>
      <c r="AC5" s="564"/>
      <c r="AD5" s="564"/>
      <c r="AE5" s="555" t="s">
        <v>40</v>
      </c>
      <c r="AF5" s="555" t="s">
        <v>41</v>
      </c>
      <c r="AG5" s="555" t="s">
        <v>42</v>
      </c>
      <c r="AH5" s="555" t="s">
        <v>40</v>
      </c>
      <c r="AI5" s="555" t="s">
        <v>41</v>
      </c>
      <c r="AJ5" s="593"/>
      <c r="AK5" s="593"/>
      <c r="AL5" s="564"/>
      <c r="AM5" s="599"/>
      <c r="AN5" s="601"/>
      <c r="AO5" s="603"/>
      <c r="AP5" s="564"/>
      <c r="AQ5" s="564"/>
      <c r="AR5" s="83"/>
      <c r="AS5" s="593"/>
      <c r="AT5" s="555" t="s">
        <v>43</v>
      </c>
      <c r="AU5" s="84"/>
      <c r="AV5" s="85"/>
      <c r="AW5" s="598" t="s">
        <v>44</v>
      </c>
      <c r="AX5" s="598" t="s">
        <v>45</v>
      </c>
      <c r="AY5" s="555" t="s">
        <v>46</v>
      </c>
      <c r="AZ5" s="564"/>
      <c r="BA5" s="86" t="s">
        <v>47</v>
      </c>
      <c r="BB5" s="86" t="s">
        <v>48</v>
      </c>
      <c r="BC5" s="564"/>
      <c r="BD5" s="564"/>
      <c r="BE5" s="572"/>
      <c r="BF5" s="3"/>
      <c r="BG5" s="3"/>
      <c r="BH5" s="3"/>
      <c r="BI5" s="3"/>
      <c r="BJ5" s="3"/>
      <c r="BK5" s="581"/>
      <c r="BL5" s="582"/>
      <c r="BM5" s="582"/>
      <c r="BN5" s="582"/>
      <c r="BO5" s="583"/>
      <c r="BP5" s="583"/>
      <c r="BQ5" s="584"/>
      <c r="BR5" s="581"/>
      <c r="BS5" s="588"/>
      <c r="BT5" s="588"/>
      <c r="BU5" s="588"/>
      <c r="BV5" s="588"/>
      <c r="BW5" s="588"/>
      <c r="BX5" s="589"/>
      <c r="BY5" s="567"/>
      <c r="BZ5" s="566"/>
      <c r="CA5" s="566"/>
      <c r="CB5" s="566"/>
      <c r="CC5" s="566"/>
      <c r="CD5" s="566"/>
      <c r="CE5" s="566"/>
      <c r="CF5" s="567"/>
      <c r="CG5" s="567"/>
      <c r="CH5" s="567"/>
      <c r="CI5" s="567"/>
      <c r="CJ5" s="567"/>
      <c r="CK5" s="567"/>
      <c r="CL5" s="567"/>
      <c r="CM5" s="567"/>
      <c r="CN5" s="4"/>
      <c r="CO5"/>
      <c r="CP5"/>
      <c r="CQ5" s="255"/>
      <c r="CR5" s="256"/>
      <c r="CS5" s="256"/>
      <c r="CT5" s="256"/>
      <c r="CU5" s="256"/>
      <c r="CV5" s="257"/>
      <c r="CW5" s="257"/>
      <c r="CX5" s="257"/>
      <c r="CY5" s="258"/>
      <c r="DA5" s="595" t="s">
        <v>49</v>
      </c>
      <c r="DB5" s="595"/>
    </row>
    <row r="6" spans="1:118" s="7" customFormat="1" ht="106.5" customHeight="1" thickBot="1">
      <c r="A6" s="557"/>
      <c r="B6" s="565"/>
      <c r="C6" s="565"/>
      <c r="D6" s="568"/>
      <c r="E6" s="565"/>
      <c r="F6" s="569"/>
      <c r="G6" s="569"/>
      <c r="H6" s="555"/>
      <c r="I6" s="570"/>
      <c r="J6" s="571"/>
      <c r="K6" s="565"/>
      <c r="L6" s="565"/>
      <c r="M6" s="565"/>
      <c r="N6" s="565"/>
      <c r="O6" s="565"/>
      <c r="P6" s="565"/>
      <c r="Q6" s="565"/>
      <c r="R6" s="565"/>
      <c r="S6" s="565"/>
      <c r="T6" s="555"/>
      <c r="U6" s="555"/>
      <c r="V6" s="563"/>
      <c r="W6" s="563"/>
      <c r="X6" s="564"/>
      <c r="Y6" s="564"/>
      <c r="Z6" s="564"/>
      <c r="AA6" s="564"/>
      <c r="AB6" s="564"/>
      <c r="AC6" s="564"/>
      <c r="AD6" s="564"/>
      <c r="AE6" s="555"/>
      <c r="AF6" s="555"/>
      <c r="AG6" s="555"/>
      <c r="AH6" s="555"/>
      <c r="AI6" s="555"/>
      <c r="AJ6" s="593"/>
      <c r="AK6" s="593"/>
      <c r="AL6" s="564"/>
      <c r="AM6" s="599"/>
      <c r="AN6" s="602"/>
      <c r="AO6" s="603"/>
      <c r="AP6" s="564"/>
      <c r="AQ6" s="564"/>
      <c r="AR6" s="498"/>
      <c r="AS6" s="593"/>
      <c r="AT6" s="555"/>
      <c r="AU6" s="497" t="s">
        <v>50</v>
      </c>
      <c r="AV6" s="497" t="s">
        <v>51</v>
      </c>
      <c r="AW6" s="598"/>
      <c r="AX6" s="598"/>
      <c r="AY6" s="555"/>
      <c r="AZ6" s="555"/>
      <c r="BA6" s="87"/>
      <c r="BB6" s="88">
        <v>0.04</v>
      </c>
      <c r="BC6" s="564"/>
      <c r="BD6" s="564"/>
      <c r="BE6" s="572"/>
      <c r="BF6" s="8" t="s">
        <v>52</v>
      </c>
      <c r="BG6" s="8" t="s">
        <v>53</v>
      </c>
      <c r="BH6" s="8" t="s">
        <v>54</v>
      </c>
      <c r="BI6" s="3"/>
      <c r="BJ6" s="3"/>
      <c r="BK6" s="308" t="s">
        <v>100</v>
      </c>
      <c r="BL6" s="280" t="s">
        <v>82</v>
      </c>
      <c r="BM6" s="279" t="s">
        <v>262</v>
      </c>
      <c r="BN6" s="307" t="s">
        <v>365</v>
      </c>
      <c r="BO6" s="308" t="s">
        <v>364</v>
      </c>
      <c r="BP6" s="326" t="s">
        <v>99</v>
      </c>
      <c r="BQ6" s="495" t="s">
        <v>366</v>
      </c>
      <c r="BR6" s="308" t="s">
        <v>100</v>
      </c>
      <c r="BS6" s="280" t="s">
        <v>82</v>
      </c>
      <c r="BT6" s="279" t="s">
        <v>262</v>
      </c>
      <c r="BU6" s="327"/>
      <c r="BV6" s="308" t="s">
        <v>364</v>
      </c>
      <c r="BW6" s="326" t="s">
        <v>99</v>
      </c>
      <c r="BX6" s="306"/>
      <c r="BY6" s="308" t="s">
        <v>100</v>
      </c>
      <c r="BZ6" s="280" t="s">
        <v>82</v>
      </c>
      <c r="CA6" s="279" t="s">
        <v>262</v>
      </c>
      <c r="CB6" s="307" t="s">
        <v>365</v>
      </c>
      <c r="CC6" s="308" t="s">
        <v>364</v>
      </c>
      <c r="CD6" s="326" t="s">
        <v>99</v>
      </c>
      <c r="CE6" s="495" t="s">
        <v>366</v>
      </c>
      <c r="CF6" s="267" t="s">
        <v>106</v>
      </c>
      <c r="CG6" s="268" t="s">
        <v>85</v>
      </c>
      <c r="CH6" s="244" t="s">
        <v>109</v>
      </c>
      <c r="CI6" s="245" t="s">
        <v>103</v>
      </c>
      <c r="CJ6" s="267" t="s">
        <v>106</v>
      </c>
      <c r="CK6" s="268" t="s">
        <v>85</v>
      </c>
      <c r="CL6" s="244" t="s">
        <v>109</v>
      </c>
      <c r="CM6" s="245" t="s">
        <v>103</v>
      </c>
      <c r="CN6" s="243"/>
      <c r="CO6" s="248" t="s">
        <v>100</v>
      </c>
      <c r="CP6" s="10" t="s">
        <v>82</v>
      </c>
      <c r="CQ6" s="264" t="s">
        <v>263</v>
      </c>
      <c r="CR6" s="23" t="s">
        <v>367</v>
      </c>
      <c r="CS6" s="248" t="s">
        <v>364</v>
      </c>
      <c r="CT6" s="248" t="s">
        <v>99</v>
      </c>
      <c r="CU6" s="496" t="s">
        <v>368</v>
      </c>
      <c r="CV6" s="259" t="s">
        <v>106</v>
      </c>
      <c r="CW6" s="248" t="s">
        <v>84</v>
      </c>
      <c r="CX6" s="232" t="s">
        <v>108</v>
      </c>
      <c r="CY6" s="263" t="s">
        <v>103</v>
      </c>
      <c r="CZ6" s="253"/>
      <c r="DA6" s="321" t="s">
        <v>80</v>
      </c>
      <c r="DB6" s="321" t="s">
        <v>55</v>
      </c>
      <c r="DD6" s="288" t="s">
        <v>91</v>
      </c>
      <c r="DE6" s="289" t="s">
        <v>92</v>
      </c>
      <c r="DF6" s="290" t="s">
        <v>93</v>
      </c>
      <c r="DG6" s="290"/>
      <c r="DH6" s="289" t="s">
        <v>94</v>
      </c>
    </row>
    <row r="7" spans="1:118" s="76" customFormat="1" ht="16.5" customHeight="1" thickBot="1">
      <c r="A7" s="121">
        <v>1</v>
      </c>
      <c r="B7" s="122">
        <f>BK7+BL7+BM7+BN7+BO7+BP7+BQ7</f>
        <v>232.99700299999998</v>
      </c>
      <c r="C7" s="123">
        <f>IF(B7=0,0,(BK7*BR7+BL7*BS7+BM7*BT7+BN7*BU7+BQ7*BX7+BO7*BV7+BP7*BW7)/B7)</f>
        <v>0.96262217589555443</v>
      </c>
      <c r="D7" s="124">
        <f>B7*((100-C7)/100)</f>
        <v>230.75412217994995</v>
      </c>
      <c r="E7" s="125">
        <f>IF(B7=0,0,(BK7*BY7+BL7*BZ7+BM7*CA7+BQ7*CE7+BN7*CB7+BO7*CC7+BP7*CD7)/B7)</f>
        <v>38.028466271731418</v>
      </c>
      <c r="F7" s="126">
        <f t="shared" ref="F7:F37" si="0">IF(AY7=0,0,D7/AY7)</f>
        <v>2.3217036138439471</v>
      </c>
      <c r="G7" s="127"/>
      <c r="H7" s="126">
        <f>IF(AY7=0,0,(CP7+CO7+CS7+CQ7+CT7)/AY7)</f>
        <v>2.1003030626823618</v>
      </c>
      <c r="I7" s="230">
        <f>'[1]июль 20'!AI6</f>
        <v>0</v>
      </c>
      <c r="J7" s="246">
        <f>'[1]июль 20'!AA6</f>
        <v>8.7469999999999999</v>
      </c>
      <c r="K7" s="437">
        <f>'[1]сентябрь 20'!AM6</f>
        <v>0</v>
      </c>
      <c r="L7" s="438">
        <f>'[1]июль 20'!AE6</f>
        <v>22.004999999999999</v>
      </c>
      <c r="M7" s="399">
        <f>IF(AY7=0,0,(CR7+CU7)/AY7)</f>
        <v>0.22140055116158555</v>
      </c>
      <c r="N7" s="399">
        <f>'[1]июль 20'!W6</f>
        <v>0</v>
      </c>
      <c r="O7" s="402">
        <f>'[1]июль 20'!AU6</f>
        <v>0</v>
      </c>
      <c r="P7" s="125">
        <f t="shared" ref="P7:P37" si="1">CF7+CH7+CI7+CG7</f>
        <v>143.10400200000001</v>
      </c>
      <c r="Q7" s="122">
        <f>CF7+CG7</f>
        <v>143.10400000000001</v>
      </c>
      <c r="R7" s="123">
        <f>IF(Q7=0,0,(CI7*CM7+CG7*CK7+CH7*CL7+CF7*CJ7)/Q7)</f>
        <v>1.5000000000000138</v>
      </c>
      <c r="S7" s="129">
        <v>8.5399999999999991</v>
      </c>
      <c r="T7" s="125">
        <f t="shared" ref="T7:T37" si="2">Q7*((100-R7)/100)</f>
        <v>140.95743999999999</v>
      </c>
      <c r="U7" s="128">
        <f t="shared" ref="U7:U37" si="3">IF(AY7=0,0,T7/AY7)</f>
        <v>1.4182255760136833</v>
      </c>
      <c r="V7" s="130">
        <v>98.47</v>
      </c>
      <c r="W7" s="130">
        <v>98.47</v>
      </c>
      <c r="X7" s="129">
        <v>0.56000000000000005</v>
      </c>
      <c r="Y7" s="131">
        <v>550</v>
      </c>
      <c r="Z7" s="131">
        <v>1154</v>
      </c>
      <c r="AA7" s="132" t="s">
        <v>329</v>
      </c>
      <c r="AB7" s="129">
        <v>76.069999999999993</v>
      </c>
      <c r="AC7" s="131">
        <v>88</v>
      </c>
      <c r="AD7" s="133">
        <v>4</v>
      </c>
      <c r="AE7" s="129"/>
      <c r="AF7" s="134">
        <f t="shared" ref="AF7:AF37" si="4">IF(AY7=0,0,AE7/AY7*1000)</f>
        <v>0</v>
      </c>
      <c r="AG7" s="135"/>
      <c r="AH7" s="129">
        <v>61.05</v>
      </c>
      <c r="AI7" s="134">
        <f t="shared" ref="AI7:AI37" si="5">IF(AY7=0,0,AH7/AY7*1000)</f>
        <v>614.24690612737686</v>
      </c>
      <c r="AJ7" s="136">
        <v>12.54</v>
      </c>
      <c r="AK7" s="127"/>
      <c r="AL7" s="137">
        <v>6.32</v>
      </c>
      <c r="AM7" s="478">
        <f>AT7*0.2</f>
        <v>25.6</v>
      </c>
      <c r="AN7" s="126">
        <f>IF(AM7=0,0,AM7/AT7)</f>
        <v>0.2</v>
      </c>
      <c r="AO7" s="139" t="s">
        <v>304</v>
      </c>
      <c r="AP7" s="138">
        <v>8.4</v>
      </c>
      <c r="AQ7" s="138">
        <v>7.77</v>
      </c>
      <c r="AR7" s="129"/>
      <c r="AS7" s="129">
        <v>8.0500000000000007</v>
      </c>
      <c r="AT7" s="129">
        <v>128</v>
      </c>
      <c r="AU7" s="129">
        <v>3.31</v>
      </c>
      <c r="AV7" s="129"/>
      <c r="AW7" s="129"/>
      <c r="AX7" s="140">
        <f t="shared" ref="AX7:AX37" si="6">IF(AY7=0,0,AW7/AY7*100)</f>
        <v>0</v>
      </c>
      <c r="AY7" s="125">
        <f t="shared" ref="AY7:AY37" si="7">AT7-AL7-AM7+AV7+AW7+AU7</f>
        <v>99.390000000000015</v>
      </c>
      <c r="AZ7" s="125">
        <f>IF(AB7=0,0,((D7*0.97)*(E7/100)*0.9)/(AB7/100))+DH7</f>
        <v>102.5902249018082</v>
      </c>
      <c r="BA7" s="141">
        <f t="shared" ref="BA7:BA37" si="8">(AH7*AS7)/100*(55/71)</f>
        <v>3.8070264084507044</v>
      </c>
      <c r="BB7" s="142">
        <f t="shared" ref="BB7:BB37" si="9">AY7*$BB$6</f>
        <v>3.9756000000000005</v>
      </c>
      <c r="BC7" s="122">
        <f t="shared" ref="BC7:BC37" si="10">IF((D7*E7)=0,0,(AY7*AB7)/(D7*E7))</f>
        <v>0.86158440340756126</v>
      </c>
      <c r="BD7" s="142">
        <f>BA7+BB7</f>
        <v>7.7826264084507049</v>
      </c>
      <c r="BE7" s="143">
        <v>0.86199999999999999</v>
      </c>
      <c r="BF7" s="25">
        <f>AY7</f>
        <v>99.390000000000015</v>
      </c>
      <c r="BG7" s="25">
        <f t="shared" ref="BG7:BG38" si="11">IF(A7&lt;=$BE$43,$AT$43,0)</f>
        <v>108.06451612903226</v>
      </c>
      <c r="BH7" s="25">
        <f>BG7</f>
        <v>108.06451612903226</v>
      </c>
      <c r="BI7" s="26">
        <f t="shared" ref="BI7:BI37" si="12">IF(AY7&lt;&gt;0,1,0)</f>
        <v>1</v>
      </c>
      <c r="BJ7" s="27">
        <f>BG7*BI7</f>
        <v>108.06451612903226</v>
      </c>
      <c r="BK7" s="28">
        <f>DK7</f>
        <v>149.31899999999999</v>
      </c>
      <c r="BL7" s="28">
        <v>9.9999999999999995E-7</v>
      </c>
      <c r="BM7" s="28">
        <v>48.4</v>
      </c>
      <c r="BN7" s="28">
        <v>9.9999999999999995E-7</v>
      </c>
      <c r="BO7" s="28">
        <v>9.9999999999999995E-7</v>
      </c>
      <c r="BP7" s="28">
        <v>13.273</v>
      </c>
      <c r="BQ7" s="28">
        <v>22.004999999999999</v>
      </c>
      <c r="BR7" s="28">
        <v>0.81</v>
      </c>
      <c r="BS7" s="28">
        <v>9.9999999999999995E-7</v>
      </c>
      <c r="BT7" s="28">
        <v>1.37</v>
      </c>
      <c r="BU7" s="28">
        <v>9.9999999999999995E-7</v>
      </c>
      <c r="BV7" s="28">
        <v>9.9999999999999995E-7</v>
      </c>
      <c r="BW7" s="28">
        <v>2.79</v>
      </c>
      <c r="BX7" s="28">
        <v>9.9999999999999995E-7</v>
      </c>
      <c r="BY7" s="28">
        <v>37.04</v>
      </c>
      <c r="BZ7" s="28">
        <v>9.9999999999999995E-7</v>
      </c>
      <c r="CA7" s="28">
        <v>39.74</v>
      </c>
      <c r="CB7" s="28">
        <v>9.9999999999999995E-7</v>
      </c>
      <c r="CC7" s="28">
        <v>9.9999999999999995E-7</v>
      </c>
      <c r="CD7" s="28">
        <v>33.770000000000003</v>
      </c>
      <c r="CE7" s="28">
        <v>43.54</v>
      </c>
      <c r="CF7" s="28">
        <f>DN7</f>
        <v>99.138000000000005</v>
      </c>
      <c r="CG7" s="28">
        <v>43.966000000000001</v>
      </c>
      <c r="CH7" s="28">
        <v>9.9999999999999995E-7</v>
      </c>
      <c r="CI7" s="28">
        <v>9.9999999999999995E-7</v>
      </c>
      <c r="CJ7" s="28">
        <v>1.5</v>
      </c>
      <c r="CK7" s="28">
        <v>1.5</v>
      </c>
      <c r="CL7" s="28">
        <v>9.9999999999999995E-7</v>
      </c>
      <c r="CM7" s="28">
        <v>9.9999999999999995E-7</v>
      </c>
      <c r="CN7" s="286"/>
      <c r="CO7" s="252">
        <f t="shared" ref="CO7:CU22" si="13">BK7*((100-BR7)/100)</f>
        <v>148.10951609999998</v>
      </c>
      <c r="CP7" s="11">
        <f t="shared" si="13"/>
        <v>9.9999998999999992E-7</v>
      </c>
      <c r="CQ7" s="11">
        <f t="shared" si="13"/>
        <v>47.736919999999998</v>
      </c>
      <c r="CR7" s="11">
        <f t="shared" si="13"/>
        <v>9.9999998999999992E-7</v>
      </c>
      <c r="CS7" s="11">
        <f t="shared" si="13"/>
        <v>9.9999998999999992E-7</v>
      </c>
      <c r="CT7" s="11">
        <f t="shared" si="13"/>
        <v>12.9026833</v>
      </c>
      <c r="CU7" s="271">
        <f t="shared" si="13"/>
        <v>22.004999779950001</v>
      </c>
      <c r="CV7" s="260">
        <f t="shared" ref="CV7:CY37" si="14">CF7*((100-CJ7)/100)</f>
        <v>97.650930000000002</v>
      </c>
      <c r="CW7" s="250">
        <f t="shared" si="14"/>
        <v>43.306510000000003</v>
      </c>
      <c r="CX7" s="260">
        <f t="shared" si="14"/>
        <v>9.9999998999999992E-7</v>
      </c>
      <c r="CY7" s="271">
        <f t="shared" si="14"/>
        <v>9.9999998999999992E-7</v>
      </c>
      <c r="CZ7" s="13"/>
      <c r="DA7" s="240">
        <f>(D7+'[2]июль 20'!D7)/(AY7+'[2]июль 20'!BA7)</f>
        <v>2.3336477831929878</v>
      </c>
      <c r="DB7" s="241">
        <f>(T7+'[2]июль 20'!R7)/(AY7+'[2]июль 20'!BA7)</f>
        <v>1.4573513709332149</v>
      </c>
      <c r="DD7" s="292">
        <f t="shared" ref="DD7:DD37" si="15">J7</f>
        <v>8.7469999999999999</v>
      </c>
      <c r="DE7" s="291">
        <v>0.25</v>
      </c>
      <c r="DF7" s="291">
        <v>16.420000000000002</v>
      </c>
      <c r="DG7" s="145">
        <f t="shared" ref="DG7:DG37" si="16">DD7*((100-DE7)/100)</f>
        <v>8.7251325000000008</v>
      </c>
      <c r="DH7" s="293">
        <f>IF(AB7=0,0,(DG7*DF7%)/(AB7/100))</f>
        <v>1.8833531701064814</v>
      </c>
      <c r="DJ7" s="28">
        <v>136.31899999999999</v>
      </c>
      <c r="DK7" s="460">
        <f>DJ7+13</f>
        <v>149.31899999999999</v>
      </c>
      <c r="DM7" s="28">
        <v>89.138000000000005</v>
      </c>
      <c r="DN7" s="460">
        <f>DM7+10</f>
        <v>99.138000000000005</v>
      </c>
    </row>
    <row r="8" spans="1:118" s="76" customFormat="1" ht="16.5" customHeight="1" thickBot="1">
      <c r="A8" s="144">
        <v>2</v>
      </c>
      <c r="B8" s="122">
        <f t="shared" ref="B8:B37" si="17">BK8+BL8+BM8+BN8+BO8+BP8+BQ8</f>
        <v>230.72300000000001</v>
      </c>
      <c r="C8" s="123">
        <f t="shared" ref="C8:C37" si="18">IF(B8=0,0,(BK8*BR8+BL8*BS8+BM8*BT8+BN8*BU8+BQ8*BX8+BO8*BV8+BP8*BW8)/B8)</f>
        <v>0.52097359170953905</v>
      </c>
      <c r="D8" s="145">
        <f t="shared" ref="D8:D37" si="19">B8*((100-C8)/100)</f>
        <v>229.52099410000002</v>
      </c>
      <c r="E8" s="125">
        <f t="shared" ref="E8:E37" si="20">IF(B8=0,0,(BK8*BY8+BL8*BZ8+BM8*CA8+BQ8*CE8+BN8*CB8+BO8*CC8+BP8*CD8)/B8)</f>
        <v>38.022425072489519</v>
      </c>
      <c r="F8" s="146">
        <f t="shared" si="0"/>
        <v>2.3379952541509628</v>
      </c>
      <c r="G8" s="127"/>
      <c r="H8" s="126">
        <f t="shared" ref="H8:H37" si="21">IF(AY8=0,0,(CP8+CO8+CS8+CQ8+CT8)/AY8)</f>
        <v>2.1161759610879085</v>
      </c>
      <c r="I8" s="230">
        <f>'[1]июль 20'!AI7</f>
        <v>0</v>
      </c>
      <c r="J8" s="247">
        <f>'[1]июль 20'!AA7</f>
        <v>8.6479999999999997</v>
      </c>
      <c r="K8" s="464">
        <f>'[1]сентябрь 20'!AM7</f>
        <v>0</v>
      </c>
      <c r="L8" s="247">
        <f>'[1]июль 20'!AE7</f>
        <v>21.776</v>
      </c>
      <c r="M8" s="468">
        <f t="shared" ref="M8:M37" si="22">IF(AY8=0,0,(CR8+CU8)/AY8)</f>
        <v>0.22181929306305387</v>
      </c>
      <c r="N8" s="403">
        <f>'[1]июль 20'!W7</f>
        <v>0</v>
      </c>
      <c r="O8" s="403">
        <f>'[1]июль 20'!AU7</f>
        <v>0</v>
      </c>
      <c r="P8" s="401">
        <f t="shared" si="1"/>
        <v>140.73400000000001</v>
      </c>
      <c r="Q8" s="122">
        <f t="shared" ref="Q8:Q37" si="23">CF8+CG8</f>
        <v>140.73400000000001</v>
      </c>
      <c r="R8" s="123">
        <f t="shared" ref="R8:R37" si="24">IF(Q8=0,0,(CI8*CM8+CG8*CK8+CH8*CL8+CF8*CJ8)/Q8)</f>
        <v>1.4699999999999998</v>
      </c>
      <c r="S8" s="129">
        <v>23.81</v>
      </c>
      <c r="T8" s="125">
        <f t="shared" si="2"/>
        <v>138.66521020000002</v>
      </c>
      <c r="U8" s="147">
        <f t="shared" si="3"/>
        <v>1.4125008678822453</v>
      </c>
      <c r="V8" s="130">
        <v>48.51</v>
      </c>
      <c r="W8" s="130">
        <v>48.51</v>
      </c>
      <c r="X8" s="129">
        <v>0.85</v>
      </c>
      <c r="Y8" s="131">
        <v>563</v>
      </c>
      <c r="Z8" s="131">
        <v>1159</v>
      </c>
      <c r="AA8" s="148" t="s">
        <v>330</v>
      </c>
      <c r="AB8" s="149">
        <v>74.989999999999995</v>
      </c>
      <c r="AC8" s="150">
        <v>87</v>
      </c>
      <c r="AD8" s="151">
        <v>4</v>
      </c>
      <c r="AE8" s="149"/>
      <c r="AF8" s="134">
        <f t="shared" si="4"/>
        <v>0</v>
      </c>
      <c r="AG8" s="152"/>
      <c r="AH8" s="129">
        <v>59.45</v>
      </c>
      <c r="AI8" s="134">
        <f t="shared" si="5"/>
        <v>605.58215340735467</v>
      </c>
      <c r="AJ8" s="153">
        <v>15.18</v>
      </c>
      <c r="AK8" s="154"/>
      <c r="AL8" s="155">
        <v>5.16</v>
      </c>
      <c r="AM8" s="478">
        <f t="shared" ref="AM8:AM36" si="25">AT8*0.2</f>
        <v>25.42</v>
      </c>
      <c r="AN8" s="126">
        <f t="shared" ref="AN8:AN37" si="26">IF(AM8=0,0,AM8/AT8)</f>
        <v>0.2</v>
      </c>
      <c r="AO8" s="157" t="s">
        <v>331</v>
      </c>
      <c r="AP8" s="156">
        <v>8.92</v>
      </c>
      <c r="AQ8" s="156">
        <v>8.16</v>
      </c>
      <c r="AR8" s="149"/>
      <c r="AS8" s="149">
        <v>7.27</v>
      </c>
      <c r="AT8" s="149">
        <v>127.1</v>
      </c>
      <c r="AU8" s="149">
        <v>1.65</v>
      </c>
      <c r="AV8" s="149"/>
      <c r="AW8" s="149"/>
      <c r="AX8" s="158">
        <f t="shared" si="6"/>
        <v>0</v>
      </c>
      <c r="AY8" s="125">
        <f t="shared" si="7"/>
        <v>98.17</v>
      </c>
      <c r="AZ8" s="125">
        <f t="shared" ref="AZ8:AZ37" si="27">IF(AB8=0,0,((D8*0.97)*(E8/100)*0.9)/(AB8/100))+DH8</f>
        <v>103.17649677137992</v>
      </c>
      <c r="BA8" s="159">
        <f t="shared" si="8"/>
        <v>3.3480397887323945</v>
      </c>
      <c r="BB8" s="160">
        <f t="shared" si="9"/>
        <v>3.9268000000000001</v>
      </c>
      <c r="BC8" s="161">
        <f t="shared" si="10"/>
        <v>0.84356764802542616</v>
      </c>
      <c r="BD8" s="160">
        <f t="shared" ref="BD8:BD37" si="28">BA8+BB8</f>
        <v>7.274839788732395</v>
      </c>
      <c r="BE8" s="162">
        <v>0.85299999999999998</v>
      </c>
      <c r="BF8" s="25">
        <f t="shared" ref="BF8:BF37" si="29">BF7+AY8</f>
        <v>197.56</v>
      </c>
      <c r="BG8" s="25">
        <f t="shared" si="11"/>
        <v>108.06451612903226</v>
      </c>
      <c r="BH8" s="25">
        <f t="shared" ref="BH8:BH37" si="30">BG8+BH7</f>
        <v>216.12903225806451</v>
      </c>
      <c r="BI8" s="26">
        <f t="shared" si="12"/>
        <v>1</v>
      </c>
      <c r="BJ8" s="27">
        <f t="shared" ref="BJ8:BJ37" si="31">BG8*BI8+BJ7</f>
        <v>216.12903225806451</v>
      </c>
      <c r="BK8" s="28">
        <f t="shared" ref="BK8:BK37" si="32">DK8</f>
        <v>147.928</v>
      </c>
      <c r="BL8" s="31"/>
      <c r="BM8" s="31">
        <v>47.84</v>
      </c>
      <c r="BN8" s="31"/>
      <c r="BO8" s="40"/>
      <c r="BP8" s="40">
        <v>13.179</v>
      </c>
      <c r="BQ8" s="32">
        <v>21.776</v>
      </c>
      <c r="BR8" s="33">
        <v>0.51</v>
      </c>
      <c r="BS8" s="34"/>
      <c r="BT8" s="35">
        <v>0.47</v>
      </c>
      <c r="BU8" s="28"/>
      <c r="BV8" s="287"/>
      <c r="BW8" s="28">
        <v>1.69</v>
      </c>
      <c r="BX8" s="36"/>
      <c r="BY8" s="33">
        <v>37.51</v>
      </c>
      <c r="BZ8" s="34"/>
      <c r="CA8" s="35">
        <v>37.979999999999997</v>
      </c>
      <c r="CB8" s="35"/>
      <c r="CC8" s="235"/>
      <c r="CD8" s="235">
        <v>34.58</v>
      </c>
      <c r="CE8" s="36">
        <v>43.68</v>
      </c>
      <c r="CF8" s="28">
        <f t="shared" ref="CF8:CF37" si="33">DN8</f>
        <v>97.227000000000004</v>
      </c>
      <c r="CG8" s="30">
        <v>43.506999999999998</v>
      </c>
      <c r="CH8" s="31"/>
      <c r="CI8" s="32"/>
      <c r="CJ8" s="33">
        <v>1.47</v>
      </c>
      <c r="CK8" s="33">
        <v>1.47</v>
      </c>
      <c r="CL8" s="35"/>
      <c r="CM8" s="28"/>
      <c r="CN8" s="286"/>
      <c r="CO8" s="249">
        <f t="shared" si="13"/>
        <v>147.17356719999998</v>
      </c>
      <c r="CP8" s="12">
        <f t="shared" si="13"/>
        <v>0</v>
      </c>
      <c r="CQ8" s="12">
        <f t="shared" si="13"/>
        <v>47.615152000000002</v>
      </c>
      <c r="CR8" s="12">
        <f t="shared" si="13"/>
        <v>0</v>
      </c>
      <c r="CS8" s="11">
        <f t="shared" si="13"/>
        <v>0</v>
      </c>
      <c r="CT8" s="11">
        <f t="shared" si="13"/>
        <v>12.9562749</v>
      </c>
      <c r="CU8" s="272">
        <f t="shared" si="13"/>
        <v>21.776</v>
      </c>
      <c r="CV8" s="249">
        <f t="shared" si="14"/>
        <v>95.797763100000012</v>
      </c>
      <c r="CW8" s="12">
        <f t="shared" si="14"/>
        <v>42.8674471</v>
      </c>
      <c r="CX8" s="254">
        <f t="shared" si="14"/>
        <v>0</v>
      </c>
      <c r="CY8" s="272">
        <f t="shared" si="14"/>
        <v>0</v>
      </c>
      <c r="CZ8" s="13"/>
      <c r="DA8" s="240">
        <f>(D8+'[2]июль 20'!D8)/(AY8+'[2]июль 20'!BA8)</f>
        <v>2.2696788648749364</v>
      </c>
      <c r="DB8" s="241">
        <f>(T8+'[2]июль 20'!R8)/(AY8+'[2]июль 20'!BA8)</f>
        <v>1.4054730471843124</v>
      </c>
      <c r="DD8" s="292">
        <f t="shared" si="15"/>
        <v>8.6479999999999997</v>
      </c>
      <c r="DE8" s="291">
        <v>0.13</v>
      </c>
      <c r="DF8" s="291">
        <v>13.73</v>
      </c>
      <c r="DG8" s="145">
        <f t="shared" si="16"/>
        <v>8.6367575999999993</v>
      </c>
      <c r="DH8" s="293">
        <f t="shared" ref="DH8:DH37" si="34">IF(AB8=0,0,(DG8*DF8%)/(AB8/100))</f>
        <v>1.5813132664088547</v>
      </c>
      <c r="DJ8" s="30">
        <v>134.928</v>
      </c>
      <c r="DK8" s="460">
        <f t="shared" ref="DK8:DK35" si="35">DJ8+13</f>
        <v>147.928</v>
      </c>
      <c r="DM8" s="30">
        <v>87.227000000000004</v>
      </c>
      <c r="DN8" s="460">
        <f t="shared" ref="DN8:DN36" si="36">DM8+10</f>
        <v>97.227000000000004</v>
      </c>
    </row>
    <row r="9" spans="1:118" s="76" customFormat="1" ht="16.5" customHeight="1" thickBot="1">
      <c r="A9" s="144">
        <v>3</v>
      </c>
      <c r="B9" s="122">
        <f t="shared" si="17"/>
        <v>230.70599999999996</v>
      </c>
      <c r="C9" s="123">
        <f t="shared" si="18"/>
        <v>0.44168929286624542</v>
      </c>
      <c r="D9" s="145">
        <f>B9*((100-C9)/100)</f>
        <v>229.68699629999998</v>
      </c>
      <c r="E9" s="125">
        <f t="shared" si="20"/>
        <v>37.868901762416243</v>
      </c>
      <c r="F9" s="146">
        <f t="shared" si="0"/>
        <v>2.3203050439438324</v>
      </c>
      <c r="G9" s="127"/>
      <c r="H9" s="126">
        <f t="shared" si="21"/>
        <v>2.0966965986463277</v>
      </c>
      <c r="I9" s="230">
        <f>'[1]июль 20'!AI8</f>
        <v>0</v>
      </c>
      <c r="J9" s="247">
        <f>'[1]июль 20'!AA8</f>
        <v>8.1340000000000003</v>
      </c>
      <c r="K9" s="465">
        <f>'[1]сентябрь 20'!AM8</f>
        <v>0</v>
      </c>
      <c r="L9" s="247">
        <f>'[1]июль 20'!AE8</f>
        <v>22.135000000000002</v>
      </c>
      <c r="M9" s="469">
        <f t="shared" si="22"/>
        <v>0.22360844529750482</v>
      </c>
      <c r="N9" s="403">
        <f>'[1]июль 20'!W8</f>
        <v>0</v>
      </c>
      <c r="O9" s="403">
        <f>'[1]июль 20'!AU8</f>
        <v>0</v>
      </c>
      <c r="P9" s="401">
        <f t="shared" si="1"/>
        <v>140.684</v>
      </c>
      <c r="Q9" s="122">
        <f t="shared" si="23"/>
        <v>140.684</v>
      </c>
      <c r="R9" s="123">
        <f t="shared" si="24"/>
        <v>1.49</v>
      </c>
      <c r="S9" s="129">
        <v>2.4700000000000002</v>
      </c>
      <c r="T9" s="125">
        <f t="shared" si="2"/>
        <v>138.5878084</v>
      </c>
      <c r="U9" s="147">
        <f>IF(AY9=0,0,T9/AY9)</f>
        <v>1.4000182685119711</v>
      </c>
      <c r="V9" s="130">
        <v>101.36</v>
      </c>
      <c r="W9" s="130">
        <v>101.36</v>
      </c>
      <c r="X9" s="129">
        <v>0.64</v>
      </c>
      <c r="Y9" s="131">
        <v>530</v>
      </c>
      <c r="Z9" s="131">
        <v>1151</v>
      </c>
      <c r="AA9" s="148" t="s">
        <v>310</v>
      </c>
      <c r="AB9" s="149">
        <v>76.05</v>
      </c>
      <c r="AC9" s="150">
        <v>87</v>
      </c>
      <c r="AD9" s="151">
        <v>4</v>
      </c>
      <c r="AE9" s="149"/>
      <c r="AF9" s="134">
        <f t="shared" si="4"/>
        <v>0</v>
      </c>
      <c r="AG9" s="152"/>
      <c r="AH9" s="129">
        <v>72.55</v>
      </c>
      <c r="AI9" s="134">
        <f t="shared" si="5"/>
        <v>732.9023133649863</v>
      </c>
      <c r="AJ9" s="153">
        <v>13.5</v>
      </c>
      <c r="AK9" s="154"/>
      <c r="AL9" s="155">
        <v>8.7100000000000009</v>
      </c>
      <c r="AM9" s="478">
        <f t="shared" si="25"/>
        <v>26.5</v>
      </c>
      <c r="AN9" s="126">
        <f t="shared" si="26"/>
        <v>0.2</v>
      </c>
      <c r="AO9" s="157" t="s">
        <v>332</v>
      </c>
      <c r="AP9" s="156">
        <v>8.18</v>
      </c>
      <c r="AQ9" s="156">
        <v>8.4700000000000006</v>
      </c>
      <c r="AR9" s="149"/>
      <c r="AS9" s="149">
        <v>8.0500000000000007</v>
      </c>
      <c r="AT9" s="149">
        <v>132.5</v>
      </c>
      <c r="AU9" s="149">
        <v>1.7</v>
      </c>
      <c r="AV9" s="149"/>
      <c r="AW9" s="149"/>
      <c r="AX9" s="158">
        <f t="shared" si="6"/>
        <v>0</v>
      </c>
      <c r="AY9" s="125">
        <f t="shared" si="7"/>
        <v>98.99</v>
      </c>
      <c r="AZ9" s="125">
        <f t="shared" si="27"/>
        <v>101.50386047131541</v>
      </c>
      <c r="BA9" s="159">
        <f t="shared" si="8"/>
        <v>4.5241566901408445</v>
      </c>
      <c r="BB9" s="160">
        <f t="shared" si="9"/>
        <v>3.9596</v>
      </c>
      <c r="BC9" s="161">
        <f t="shared" si="10"/>
        <v>0.86550867259994502</v>
      </c>
      <c r="BD9" s="160">
        <f t="shared" si="28"/>
        <v>8.4837566901408437</v>
      </c>
      <c r="BE9" s="162">
        <v>0.85699999999999998</v>
      </c>
      <c r="BF9" s="25">
        <f t="shared" si="29"/>
        <v>296.55</v>
      </c>
      <c r="BG9" s="25">
        <f t="shared" si="11"/>
        <v>108.06451612903226</v>
      </c>
      <c r="BH9" s="25">
        <f t="shared" si="30"/>
        <v>324.19354838709677</v>
      </c>
      <c r="BI9" s="26">
        <f t="shared" si="12"/>
        <v>1</v>
      </c>
      <c r="BJ9" s="37">
        <f t="shared" si="31"/>
        <v>324.19354838709677</v>
      </c>
      <c r="BK9" s="28">
        <f t="shared" si="32"/>
        <v>147.77799999999999</v>
      </c>
      <c r="BL9" s="31"/>
      <c r="BM9" s="31">
        <v>47.908000000000001</v>
      </c>
      <c r="BN9" s="31"/>
      <c r="BO9" s="40"/>
      <c r="BP9" s="40">
        <v>12.885</v>
      </c>
      <c r="BQ9" s="32">
        <v>22.135000000000002</v>
      </c>
      <c r="BR9" s="33">
        <v>0.51</v>
      </c>
      <c r="BS9" s="34"/>
      <c r="BT9" s="35">
        <v>0.18</v>
      </c>
      <c r="BU9" s="28"/>
      <c r="BV9" s="287"/>
      <c r="BW9" s="287">
        <v>1.39</v>
      </c>
      <c r="BX9" s="36"/>
      <c r="BY9" s="33">
        <v>37.47</v>
      </c>
      <c r="BZ9" s="34"/>
      <c r="CA9" s="35">
        <v>38.28</v>
      </c>
      <c r="CB9" s="35"/>
      <c r="CC9" s="235"/>
      <c r="CD9" s="235">
        <v>31.07</v>
      </c>
      <c r="CE9" s="36">
        <v>43.6</v>
      </c>
      <c r="CF9" s="28">
        <f t="shared" si="33"/>
        <v>97.159000000000006</v>
      </c>
      <c r="CG9" s="30">
        <v>43.524999999999999</v>
      </c>
      <c r="CH9" s="31"/>
      <c r="CI9" s="32"/>
      <c r="CJ9" s="33">
        <v>1.49</v>
      </c>
      <c r="CK9" s="33">
        <v>1.49</v>
      </c>
      <c r="CL9" s="35"/>
      <c r="CM9" s="36"/>
      <c r="CN9" s="286"/>
      <c r="CO9" s="249">
        <f t="shared" si="13"/>
        <v>147.02433219999998</v>
      </c>
      <c r="CP9" s="12">
        <f t="shared" si="13"/>
        <v>0</v>
      </c>
      <c r="CQ9" s="12">
        <f t="shared" si="13"/>
        <v>47.821765599999999</v>
      </c>
      <c r="CR9" s="12">
        <f t="shared" si="13"/>
        <v>0</v>
      </c>
      <c r="CS9" s="11">
        <f t="shared" si="13"/>
        <v>0</v>
      </c>
      <c r="CT9" s="11">
        <f t="shared" si="13"/>
        <v>12.7058985</v>
      </c>
      <c r="CU9" s="272">
        <f t="shared" si="13"/>
        <v>22.135000000000002</v>
      </c>
      <c r="CV9" s="249">
        <f t="shared" si="14"/>
        <v>95.711330900000021</v>
      </c>
      <c r="CW9" s="251">
        <f t="shared" si="14"/>
        <v>42.8764775</v>
      </c>
      <c r="CX9" s="249">
        <f t="shared" si="14"/>
        <v>0</v>
      </c>
      <c r="CY9" s="272">
        <f t="shared" si="14"/>
        <v>0</v>
      </c>
      <c r="CZ9" s="13"/>
      <c r="DA9" s="240">
        <f>(D9+'[2]июль 20'!D9)/(AY9+'[2]июль 20'!BA9)</f>
        <v>2.2825946757603446</v>
      </c>
      <c r="DB9" s="241">
        <f>(T9+'[2]июль 20'!R9)/(AY9+'[2]июль 20'!BA9)</f>
        <v>1.4369538225272911</v>
      </c>
      <c r="DD9" s="292">
        <f t="shared" si="15"/>
        <v>8.1340000000000003</v>
      </c>
      <c r="DE9" s="291">
        <v>0.11</v>
      </c>
      <c r="DF9" s="291">
        <v>15.51</v>
      </c>
      <c r="DG9" s="145">
        <f t="shared" si="16"/>
        <v>8.1250526000000001</v>
      </c>
      <c r="DH9" s="293">
        <f t="shared" si="34"/>
        <v>1.6570620095463513</v>
      </c>
      <c r="DJ9" s="38">
        <v>134.77799999999999</v>
      </c>
      <c r="DK9" s="460">
        <f t="shared" si="35"/>
        <v>147.77799999999999</v>
      </c>
      <c r="DM9" s="30">
        <v>87.159000000000006</v>
      </c>
      <c r="DN9" s="460">
        <f t="shared" si="36"/>
        <v>97.159000000000006</v>
      </c>
    </row>
    <row r="10" spans="1:118" s="76" customFormat="1" ht="16.5" customHeight="1" thickBot="1">
      <c r="A10" s="144">
        <v>4</v>
      </c>
      <c r="B10" s="122">
        <f t="shared" si="17"/>
        <v>240.625</v>
      </c>
      <c r="C10" s="123">
        <f t="shared" si="18"/>
        <v>0.28037922077922078</v>
      </c>
      <c r="D10" s="145">
        <f t="shared" si="19"/>
        <v>239.95033749999999</v>
      </c>
      <c r="E10" s="125">
        <f>IF(B10=0,0,(BK10*BY10+BL10*BZ10+BM10*CA10+BQ10*CE10+BN10*CB10+BO10*CC10+BP10*CD10)/B10)</f>
        <v>37.970119314285718</v>
      </c>
      <c r="F10" s="146">
        <f t="shared" si="0"/>
        <v>2.4607767152086963</v>
      </c>
      <c r="G10" s="127"/>
      <c r="H10" s="126">
        <f t="shared" si="21"/>
        <v>2.2271391395754283</v>
      </c>
      <c r="I10" s="230">
        <f>'[1]июль 20'!AI9</f>
        <v>0</v>
      </c>
      <c r="J10" s="247">
        <f>'[1]июль 20'!AA9</f>
        <v>8.9819999999999993</v>
      </c>
      <c r="K10" s="466">
        <f>'[1]сентябрь 20'!AM9</f>
        <v>0</v>
      </c>
      <c r="L10" s="247">
        <f>'[1]июль 20'!AE9</f>
        <v>22.782</v>
      </c>
      <c r="M10" s="470">
        <f t="shared" si="22"/>
        <v>0.23363757563326837</v>
      </c>
      <c r="N10" s="403">
        <f>'[1]июль 20'!W9</f>
        <v>0</v>
      </c>
      <c r="O10" s="403">
        <f>'[1]июль 20'!AU9</f>
        <v>0</v>
      </c>
      <c r="P10" s="401">
        <f t="shared" si="1"/>
        <v>147.465</v>
      </c>
      <c r="Q10" s="122">
        <f t="shared" si="23"/>
        <v>147.465</v>
      </c>
      <c r="R10" s="123">
        <f t="shared" si="24"/>
        <v>1.47</v>
      </c>
      <c r="S10" s="129">
        <v>18.04</v>
      </c>
      <c r="T10" s="125">
        <f t="shared" si="2"/>
        <v>145.29726450000001</v>
      </c>
      <c r="U10" s="147">
        <f t="shared" si="3"/>
        <v>1.4900755255871192</v>
      </c>
      <c r="V10" s="130">
        <v>96.12</v>
      </c>
      <c r="W10" s="130">
        <v>96.12</v>
      </c>
      <c r="X10" s="129">
        <v>0.63</v>
      </c>
      <c r="Y10" s="131">
        <v>552</v>
      </c>
      <c r="Z10" s="131">
        <v>1157</v>
      </c>
      <c r="AA10" s="148" t="s">
        <v>333</v>
      </c>
      <c r="AB10" s="149">
        <v>76.59</v>
      </c>
      <c r="AC10" s="150">
        <v>91</v>
      </c>
      <c r="AD10" s="151">
        <v>4</v>
      </c>
      <c r="AE10" s="149"/>
      <c r="AF10" s="134">
        <f t="shared" si="4"/>
        <v>0</v>
      </c>
      <c r="AG10" s="152"/>
      <c r="AH10" s="129">
        <v>67.25</v>
      </c>
      <c r="AI10" s="134">
        <f t="shared" si="5"/>
        <v>689.67285406624956</v>
      </c>
      <c r="AJ10" s="153">
        <v>13.73</v>
      </c>
      <c r="AK10" s="154"/>
      <c r="AL10" s="155">
        <v>3.07</v>
      </c>
      <c r="AM10" s="478">
        <f t="shared" si="25"/>
        <v>24.69</v>
      </c>
      <c r="AN10" s="126">
        <f t="shared" si="26"/>
        <v>0.2</v>
      </c>
      <c r="AO10" s="157" t="s">
        <v>164</v>
      </c>
      <c r="AP10" s="156">
        <v>8.2799999999999994</v>
      </c>
      <c r="AQ10" s="156">
        <v>7.79</v>
      </c>
      <c r="AR10" s="149"/>
      <c r="AS10" s="149">
        <v>7.76</v>
      </c>
      <c r="AT10" s="149">
        <v>123.45</v>
      </c>
      <c r="AU10" s="149">
        <v>1.82</v>
      </c>
      <c r="AV10" s="149"/>
      <c r="AW10" s="149"/>
      <c r="AX10" s="158">
        <f t="shared" si="6"/>
        <v>0</v>
      </c>
      <c r="AY10" s="125">
        <f>AT10-AL10-AM10+AV10+AW10+AU10</f>
        <v>97.51</v>
      </c>
      <c r="AZ10" s="125">
        <f t="shared" si="27"/>
        <v>105.42465982475653</v>
      </c>
      <c r="BA10" s="159">
        <f t="shared" si="8"/>
        <v>4.0425774647887325</v>
      </c>
      <c r="BB10" s="160">
        <f t="shared" si="9"/>
        <v>3.9004000000000003</v>
      </c>
      <c r="BC10" s="161">
        <f t="shared" si="10"/>
        <v>0.81970559420617184</v>
      </c>
      <c r="BD10" s="160">
        <f t="shared" si="28"/>
        <v>7.9429774647887328</v>
      </c>
      <c r="BE10" s="162">
        <v>0.84699999999999998</v>
      </c>
      <c r="BF10" s="25">
        <f t="shared" si="29"/>
        <v>394.06</v>
      </c>
      <c r="BG10" s="25">
        <f t="shared" si="11"/>
        <v>108.06451612903226</v>
      </c>
      <c r="BH10" s="25">
        <f t="shared" si="30"/>
        <v>432.25806451612902</v>
      </c>
      <c r="BI10" s="26">
        <f t="shared" si="12"/>
        <v>1</v>
      </c>
      <c r="BJ10" s="37">
        <f t="shared" si="31"/>
        <v>432.25806451612902</v>
      </c>
      <c r="BK10" s="28">
        <f t="shared" si="32"/>
        <v>153.99</v>
      </c>
      <c r="BL10" s="31"/>
      <c r="BM10" s="31">
        <v>50.064</v>
      </c>
      <c r="BN10" s="31"/>
      <c r="BO10" s="40"/>
      <c r="BP10" s="40">
        <v>13.789</v>
      </c>
      <c r="BQ10" s="32">
        <v>22.782</v>
      </c>
      <c r="BR10" s="33">
        <v>0.19</v>
      </c>
      <c r="BS10" s="34"/>
      <c r="BT10" s="35">
        <v>0.16</v>
      </c>
      <c r="BU10" s="28"/>
      <c r="BV10" s="287"/>
      <c r="BW10" s="287">
        <v>2.19</v>
      </c>
      <c r="BX10" s="36"/>
      <c r="BY10" s="33">
        <v>37.39</v>
      </c>
      <c r="BZ10" s="34"/>
      <c r="CA10" s="35">
        <v>38.270000000000003</v>
      </c>
      <c r="CB10" s="35"/>
      <c r="CC10" s="235"/>
      <c r="CD10" s="235">
        <v>33.86</v>
      </c>
      <c r="CE10" s="36">
        <v>43.72</v>
      </c>
      <c r="CF10" s="28">
        <f t="shared" si="33"/>
        <v>101.965</v>
      </c>
      <c r="CG10" s="30">
        <v>45.5</v>
      </c>
      <c r="CH10" s="31"/>
      <c r="CI10" s="32"/>
      <c r="CJ10" s="33">
        <v>1.47</v>
      </c>
      <c r="CK10" s="33">
        <v>1.47</v>
      </c>
      <c r="CL10" s="35"/>
      <c r="CM10" s="36"/>
      <c r="CN10" s="286"/>
      <c r="CO10" s="249">
        <f t="shared" si="13"/>
        <v>153.697419</v>
      </c>
      <c r="CP10" s="12">
        <f t="shared" si="13"/>
        <v>0</v>
      </c>
      <c r="CQ10" s="12">
        <f t="shared" si="13"/>
        <v>49.983897600000006</v>
      </c>
      <c r="CR10" s="14">
        <f t="shared" si="13"/>
        <v>0</v>
      </c>
      <c r="CS10" s="11">
        <f t="shared" si="13"/>
        <v>0</v>
      </c>
      <c r="CT10" s="11">
        <f t="shared" si="13"/>
        <v>13.487020899999999</v>
      </c>
      <c r="CU10" s="272">
        <f t="shared" si="13"/>
        <v>22.782</v>
      </c>
      <c r="CV10" s="249">
        <f t="shared" si="14"/>
        <v>100.4661145</v>
      </c>
      <c r="CW10" s="12">
        <f t="shared" si="14"/>
        <v>44.831150000000001</v>
      </c>
      <c r="CX10" s="249">
        <f t="shared" si="14"/>
        <v>0</v>
      </c>
      <c r="CY10" s="272">
        <f t="shared" si="14"/>
        <v>0</v>
      </c>
      <c r="CZ10" s="13"/>
      <c r="DA10" s="240">
        <f>(D10+'[2]июль 20'!D10)/(AY10+'[2]июль 20'!BA10)</f>
        <v>2.2785686294540617</v>
      </c>
      <c r="DB10" s="241">
        <f>(T10+'[2]июль 20'!R10)/(AY10+'[2]июль 20'!BA10)</f>
        <v>1.4112288622291751</v>
      </c>
      <c r="DD10" s="292">
        <f t="shared" si="15"/>
        <v>8.9819999999999993</v>
      </c>
      <c r="DE10" s="291">
        <v>0.08</v>
      </c>
      <c r="DF10" s="291">
        <v>13.44</v>
      </c>
      <c r="DG10" s="145">
        <f t="shared" si="16"/>
        <v>8.9748143999999996</v>
      </c>
      <c r="DH10" s="293">
        <f t="shared" si="34"/>
        <v>1.5748988841363101</v>
      </c>
      <c r="DJ10" s="38">
        <v>140.99</v>
      </c>
      <c r="DK10" s="460">
        <f t="shared" si="35"/>
        <v>153.99</v>
      </c>
      <c r="DM10" s="30">
        <v>91.965000000000003</v>
      </c>
      <c r="DN10" s="460">
        <f t="shared" si="36"/>
        <v>101.965</v>
      </c>
    </row>
    <row r="11" spans="1:118" s="76" customFormat="1" ht="16.5" customHeight="1" thickBot="1">
      <c r="A11" s="144">
        <v>5</v>
      </c>
      <c r="B11" s="122">
        <f t="shared" si="17"/>
        <v>213.10500000000002</v>
      </c>
      <c r="C11" s="123">
        <f t="shared" si="18"/>
        <v>0.58032059313483975</v>
      </c>
      <c r="D11" s="145">
        <f t="shared" si="19"/>
        <v>211.86830780000003</v>
      </c>
      <c r="E11" s="125">
        <f t="shared" si="20"/>
        <v>38.091070411299597</v>
      </c>
      <c r="F11" s="146">
        <f t="shared" si="0"/>
        <v>2.3377282114090256</v>
      </c>
      <c r="G11" s="127"/>
      <c r="H11" s="126">
        <f t="shared" si="21"/>
        <v>2.1076167692816949</v>
      </c>
      <c r="I11" s="230">
        <f>'[1]июль 20'!AI10</f>
        <v>0</v>
      </c>
      <c r="J11" s="247">
        <f>'[1]июль 20'!AA10</f>
        <v>8.0210000000000008</v>
      </c>
      <c r="K11" s="464">
        <f>'[1]сентябрь 20'!AM10</f>
        <v>0</v>
      </c>
      <c r="L11" s="247">
        <f>'[1]июль 20'!AE10</f>
        <v>20.855</v>
      </c>
      <c r="M11" s="468">
        <f t="shared" si="22"/>
        <v>0.2301114421273309</v>
      </c>
      <c r="N11" s="403">
        <f>'[1]июль 20'!W10</f>
        <v>0</v>
      </c>
      <c r="O11" s="403">
        <f>'[1]июль 20'!AU10</f>
        <v>0</v>
      </c>
      <c r="P11" s="401">
        <f t="shared" si="1"/>
        <v>133.333</v>
      </c>
      <c r="Q11" s="122">
        <f t="shared" si="23"/>
        <v>133.333</v>
      </c>
      <c r="R11" s="123">
        <f t="shared" si="24"/>
        <v>1.54</v>
      </c>
      <c r="S11" s="129"/>
      <c r="T11" s="125">
        <f t="shared" si="2"/>
        <v>131.27967179999999</v>
      </c>
      <c r="U11" s="147">
        <f t="shared" si="3"/>
        <v>1.4485233565044684</v>
      </c>
      <c r="V11" s="130">
        <v>89.02</v>
      </c>
      <c r="W11" s="130">
        <v>89.02</v>
      </c>
      <c r="X11" s="129">
        <v>0.39</v>
      </c>
      <c r="Y11" s="131">
        <v>520</v>
      </c>
      <c r="Z11" s="131">
        <v>1148</v>
      </c>
      <c r="AA11" s="148" t="s">
        <v>329</v>
      </c>
      <c r="AB11" s="149">
        <v>76.89</v>
      </c>
      <c r="AC11" s="150">
        <v>80</v>
      </c>
      <c r="AD11" s="151">
        <v>4</v>
      </c>
      <c r="AE11" s="149"/>
      <c r="AF11" s="134">
        <f t="shared" si="4"/>
        <v>0</v>
      </c>
      <c r="AG11" s="152"/>
      <c r="AH11" s="129">
        <v>71.900000000000006</v>
      </c>
      <c r="AI11" s="134">
        <f t="shared" si="5"/>
        <v>793.33554010813191</v>
      </c>
      <c r="AJ11" s="163">
        <v>12.46</v>
      </c>
      <c r="AK11" s="154"/>
      <c r="AL11" s="155">
        <v>3.44</v>
      </c>
      <c r="AM11" s="478">
        <f t="shared" si="25"/>
        <v>23.35</v>
      </c>
      <c r="AN11" s="126">
        <f t="shared" si="26"/>
        <v>0.2</v>
      </c>
      <c r="AO11" s="157" t="s">
        <v>334</v>
      </c>
      <c r="AP11" s="156">
        <v>7.74</v>
      </c>
      <c r="AQ11" s="156">
        <v>8.19</v>
      </c>
      <c r="AR11" s="149"/>
      <c r="AS11" s="149">
        <v>9.5</v>
      </c>
      <c r="AT11" s="149">
        <v>116.75</v>
      </c>
      <c r="AU11" s="149">
        <v>0.67</v>
      </c>
      <c r="AV11" s="149"/>
      <c r="AW11" s="149"/>
      <c r="AX11" s="158">
        <f t="shared" si="6"/>
        <v>0</v>
      </c>
      <c r="AY11" s="125">
        <f t="shared" si="7"/>
        <v>90.63000000000001</v>
      </c>
      <c r="AZ11" s="125">
        <f t="shared" si="27"/>
        <v>93.088345845499333</v>
      </c>
      <c r="BA11" s="159">
        <f t="shared" si="8"/>
        <v>5.2912323943661974</v>
      </c>
      <c r="BB11" s="160">
        <f t="shared" si="9"/>
        <v>3.6252000000000004</v>
      </c>
      <c r="BC11" s="161">
        <f t="shared" si="10"/>
        <v>0.86348076162316889</v>
      </c>
      <c r="BD11" s="160">
        <f t="shared" si="28"/>
        <v>8.9164323943661969</v>
      </c>
      <c r="BE11" s="162">
        <v>0.85</v>
      </c>
      <c r="BF11" s="25">
        <f t="shared" si="29"/>
        <v>484.69</v>
      </c>
      <c r="BG11" s="25">
        <f t="shared" si="11"/>
        <v>108.06451612903226</v>
      </c>
      <c r="BH11" s="25">
        <f t="shared" si="30"/>
        <v>540.32258064516122</v>
      </c>
      <c r="BI11" s="26">
        <f t="shared" si="12"/>
        <v>1</v>
      </c>
      <c r="BJ11" s="37">
        <f t="shared" si="31"/>
        <v>540.32258064516122</v>
      </c>
      <c r="BK11" s="28">
        <f t="shared" si="32"/>
        <v>136.17700000000002</v>
      </c>
      <c r="BL11" s="31"/>
      <c r="BM11" s="31">
        <v>44.018000000000001</v>
      </c>
      <c r="BN11" s="31"/>
      <c r="BO11" s="40"/>
      <c r="BP11" s="40">
        <v>12.055</v>
      </c>
      <c r="BQ11" s="32">
        <v>20.855</v>
      </c>
      <c r="BR11" s="33">
        <v>0.61</v>
      </c>
      <c r="BS11" s="34"/>
      <c r="BT11" s="35">
        <v>0.35</v>
      </c>
      <c r="BU11" s="28"/>
      <c r="BV11" s="287"/>
      <c r="BW11" s="287">
        <v>2.09</v>
      </c>
      <c r="BX11" s="36"/>
      <c r="BY11" s="33">
        <v>37.520000000000003</v>
      </c>
      <c r="BZ11" s="34"/>
      <c r="CA11" s="35">
        <v>38.64</v>
      </c>
      <c r="CB11" s="35"/>
      <c r="CC11" s="235"/>
      <c r="CD11" s="235">
        <v>32.99</v>
      </c>
      <c r="CE11" s="36">
        <v>43.61</v>
      </c>
      <c r="CF11" s="28">
        <f t="shared" si="33"/>
        <v>93.331999999999994</v>
      </c>
      <c r="CG11" s="30">
        <v>40.000999999999998</v>
      </c>
      <c r="CH11" s="31"/>
      <c r="CI11" s="32"/>
      <c r="CJ11" s="33">
        <v>1.54</v>
      </c>
      <c r="CK11" s="33">
        <v>1.54</v>
      </c>
      <c r="CL11" s="35"/>
      <c r="CM11" s="36"/>
      <c r="CN11" s="286"/>
      <c r="CO11" s="249">
        <f t="shared" si="13"/>
        <v>135.34632030000003</v>
      </c>
      <c r="CP11" s="12">
        <f t="shared" si="13"/>
        <v>0</v>
      </c>
      <c r="CQ11" s="15">
        <f t="shared" si="13"/>
        <v>43.863937</v>
      </c>
      <c r="CR11" s="16">
        <f t="shared" si="13"/>
        <v>0</v>
      </c>
      <c r="CS11" s="11">
        <f t="shared" si="13"/>
        <v>0</v>
      </c>
      <c r="CT11" s="11">
        <f t="shared" si="13"/>
        <v>11.803050499999999</v>
      </c>
      <c r="CU11" s="272">
        <f t="shared" si="13"/>
        <v>20.855</v>
      </c>
      <c r="CV11" s="249">
        <f t="shared" si="14"/>
        <v>91.894687199999993</v>
      </c>
      <c r="CW11" s="12">
        <f t="shared" si="14"/>
        <v>39.384984599999996</v>
      </c>
      <c r="CX11" s="249">
        <f t="shared" si="14"/>
        <v>0</v>
      </c>
      <c r="CY11" s="272">
        <f t="shared" si="14"/>
        <v>0</v>
      </c>
      <c r="CZ11" s="13"/>
      <c r="DA11" s="240">
        <f>(D11+'[2]июль 20'!D11)/(AY11+'[2]июль 20'!BA11)</f>
        <v>2.3203104269428967</v>
      </c>
      <c r="DB11" s="241">
        <f>(T11+'[2]июль 20'!R11)/(AY11+'[2]июль 20'!BA11)</f>
        <v>1.4654522126993401</v>
      </c>
      <c r="DD11" s="292">
        <f t="shared" si="15"/>
        <v>8.0210000000000008</v>
      </c>
      <c r="DE11" s="291">
        <v>0.44</v>
      </c>
      <c r="DF11" s="407">
        <v>14.05</v>
      </c>
      <c r="DG11" s="145">
        <f t="shared" si="16"/>
        <v>7.9857076000000013</v>
      </c>
      <c r="DH11" s="293">
        <f t="shared" si="34"/>
        <v>1.4592169564312658</v>
      </c>
      <c r="DJ11" s="38">
        <v>123.17700000000001</v>
      </c>
      <c r="DK11" s="460">
        <f t="shared" si="35"/>
        <v>136.17700000000002</v>
      </c>
      <c r="DM11" s="30">
        <v>83.331999999999994</v>
      </c>
      <c r="DN11" s="460">
        <f t="shared" si="36"/>
        <v>93.331999999999994</v>
      </c>
    </row>
    <row r="12" spans="1:118" s="76" customFormat="1" ht="16.5" customHeight="1" thickBot="1">
      <c r="A12" s="144">
        <v>6</v>
      </c>
      <c r="B12" s="122">
        <f t="shared" si="17"/>
        <v>230.577</v>
      </c>
      <c r="C12" s="123">
        <f t="shared" si="18"/>
        <v>0.34105027821508649</v>
      </c>
      <c r="D12" s="145">
        <f t="shared" si="19"/>
        <v>229.79061649999997</v>
      </c>
      <c r="E12" s="125">
        <f t="shared" si="20"/>
        <v>37.746454633376274</v>
      </c>
      <c r="F12" s="146">
        <f t="shared" si="0"/>
        <v>2.7352769491727171</v>
      </c>
      <c r="G12" s="127"/>
      <c r="H12" s="126">
        <f t="shared" si="21"/>
        <v>2.4236830912986544</v>
      </c>
      <c r="I12" s="230">
        <f>'[1]июль 20'!AI11</f>
        <v>0</v>
      </c>
      <c r="J12" s="247">
        <f>'[1]июль 20'!AA11</f>
        <v>8.968</v>
      </c>
      <c r="K12" s="465">
        <f>'[1]сентябрь 20'!AM11</f>
        <v>0</v>
      </c>
      <c r="L12" s="247">
        <f>'[1]июль 20'!AE11</f>
        <v>26.177</v>
      </c>
      <c r="M12" s="469">
        <f t="shared" si="22"/>
        <v>0.31159385787406257</v>
      </c>
      <c r="N12" s="403">
        <f>'[1]июль 20'!W11</f>
        <v>0</v>
      </c>
      <c r="O12" s="403">
        <f>'[1]июль 20'!AU11</f>
        <v>0</v>
      </c>
      <c r="P12" s="401">
        <f t="shared" si="1"/>
        <v>145.46800000000002</v>
      </c>
      <c r="Q12" s="122">
        <f t="shared" si="23"/>
        <v>145.46800000000002</v>
      </c>
      <c r="R12" s="123">
        <f t="shared" si="24"/>
        <v>1.63</v>
      </c>
      <c r="S12" s="129">
        <v>11.03</v>
      </c>
      <c r="T12" s="125">
        <f t="shared" si="2"/>
        <v>143.09687160000001</v>
      </c>
      <c r="U12" s="147">
        <f t="shared" si="3"/>
        <v>1.7033314081656947</v>
      </c>
      <c r="V12" s="130">
        <v>80.739999999999995</v>
      </c>
      <c r="W12" s="130">
        <v>58.26</v>
      </c>
      <c r="X12" s="129">
        <v>0.56999999999999995</v>
      </c>
      <c r="Y12" s="131">
        <v>545</v>
      </c>
      <c r="Z12" s="150">
        <v>1140</v>
      </c>
      <c r="AA12" s="148" t="s">
        <v>335</v>
      </c>
      <c r="AB12" s="149">
        <v>75.930000000000007</v>
      </c>
      <c r="AC12" s="150">
        <v>87</v>
      </c>
      <c r="AD12" s="151">
        <v>4</v>
      </c>
      <c r="AE12" s="149"/>
      <c r="AF12" s="134">
        <f t="shared" si="4"/>
        <v>0</v>
      </c>
      <c r="AG12" s="152"/>
      <c r="AH12" s="129">
        <v>58.8</v>
      </c>
      <c r="AI12" s="134">
        <f t="shared" si="5"/>
        <v>699.91667658612062</v>
      </c>
      <c r="AJ12" s="153">
        <v>14.29</v>
      </c>
      <c r="AK12" s="154"/>
      <c r="AL12" s="155">
        <v>3.83</v>
      </c>
      <c r="AM12" s="478">
        <f t="shared" si="25"/>
        <v>21.730000000000004</v>
      </c>
      <c r="AN12" s="126">
        <f t="shared" si="26"/>
        <v>0.20000000000000004</v>
      </c>
      <c r="AO12" s="157" t="s">
        <v>325</v>
      </c>
      <c r="AP12" s="156">
        <v>8.1</v>
      </c>
      <c r="AQ12" s="156">
        <v>7.5</v>
      </c>
      <c r="AR12" s="149"/>
      <c r="AS12" s="149">
        <v>9.6300000000000008</v>
      </c>
      <c r="AT12" s="149">
        <v>108.65</v>
      </c>
      <c r="AU12" s="149">
        <v>0.92</v>
      </c>
      <c r="AV12" s="164"/>
      <c r="AW12" s="164"/>
      <c r="AX12" s="158">
        <f t="shared" si="6"/>
        <v>0</v>
      </c>
      <c r="AY12" s="125">
        <f t="shared" si="7"/>
        <v>84.01</v>
      </c>
      <c r="AZ12" s="125">
        <f t="shared" si="27"/>
        <v>101.02765034704893</v>
      </c>
      <c r="BA12" s="159">
        <f t="shared" si="8"/>
        <v>4.3863971830985911</v>
      </c>
      <c r="BB12" s="160">
        <f t="shared" si="9"/>
        <v>3.3604000000000003</v>
      </c>
      <c r="BC12" s="161">
        <f t="shared" si="10"/>
        <v>0.73542083210421605</v>
      </c>
      <c r="BD12" s="160">
        <f t="shared" si="28"/>
        <v>7.7467971830985913</v>
      </c>
      <c r="BE12" s="162">
        <v>0.83099999999999996</v>
      </c>
      <c r="BF12" s="25">
        <f t="shared" si="29"/>
        <v>568.70000000000005</v>
      </c>
      <c r="BG12" s="25">
        <f t="shared" si="11"/>
        <v>108.06451612903226</v>
      </c>
      <c r="BH12" s="25">
        <f t="shared" si="30"/>
        <v>648.38709677419342</v>
      </c>
      <c r="BI12" s="26">
        <f t="shared" si="12"/>
        <v>1</v>
      </c>
      <c r="BJ12" s="37">
        <f t="shared" si="31"/>
        <v>648.38709677419342</v>
      </c>
      <c r="BK12" s="28">
        <f t="shared" si="32"/>
        <v>143.56899999999999</v>
      </c>
      <c r="BL12" s="31"/>
      <c r="BM12" s="31">
        <v>47.877000000000002</v>
      </c>
      <c r="BN12" s="31"/>
      <c r="BO12" s="40"/>
      <c r="BP12" s="40">
        <v>12.954000000000001</v>
      </c>
      <c r="BQ12" s="32">
        <v>26.177</v>
      </c>
      <c r="BR12" s="33">
        <v>0.31</v>
      </c>
      <c r="BS12" s="34"/>
      <c r="BT12" s="33">
        <v>0.28000000000000003</v>
      </c>
      <c r="BU12" s="28"/>
      <c r="BV12" s="287"/>
      <c r="BW12" s="287">
        <v>1.6</v>
      </c>
      <c r="BX12" s="36"/>
      <c r="BY12" s="33">
        <v>37.21</v>
      </c>
      <c r="BZ12" s="34"/>
      <c r="CA12" s="33">
        <v>38.200000000000003</v>
      </c>
      <c r="CB12" s="35"/>
      <c r="CC12" s="235"/>
      <c r="CD12" s="235">
        <v>29.5</v>
      </c>
      <c r="CE12" s="36">
        <v>43.94</v>
      </c>
      <c r="CF12" s="28">
        <f t="shared" si="33"/>
        <v>101.971</v>
      </c>
      <c r="CG12" s="30">
        <v>43.497</v>
      </c>
      <c r="CH12" s="31"/>
      <c r="CI12" s="32"/>
      <c r="CJ12" s="33">
        <v>1.63</v>
      </c>
      <c r="CK12" s="33">
        <v>1.63</v>
      </c>
      <c r="CL12" s="35"/>
      <c r="CM12" s="36"/>
      <c r="CN12" s="286"/>
      <c r="CO12" s="249">
        <f t="shared" si="13"/>
        <v>143.12393609999998</v>
      </c>
      <c r="CP12" s="12">
        <f t="shared" si="13"/>
        <v>0</v>
      </c>
      <c r="CQ12" s="12">
        <f t="shared" si="13"/>
        <v>47.742944399999999</v>
      </c>
      <c r="CR12" s="12">
        <f t="shared" si="13"/>
        <v>0</v>
      </c>
      <c r="CS12" s="11">
        <f t="shared" si="13"/>
        <v>0</v>
      </c>
      <c r="CT12" s="11">
        <f t="shared" si="13"/>
        <v>12.746736000000002</v>
      </c>
      <c r="CU12" s="272">
        <f t="shared" si="13"/>
        <v>26.177</v>
      </c>
      <c r="CV12" s="249">
        <f t="shared" si="14"/>
        <v>100.30887270000001</v>
      </c>
      <c r="CW12" s="12">
        <f t="shared" si="14"/>
        <v>42.787998899999998</v>
      </c>
      <c r="CX12" s="252">
        <f t="shared" si="14"/>
        <v>0</v>
      </c>
      <c r="CY12" s="272">
        <f t="shared" si="14"/>
        <v>0</v>
      </c>
      <c r="CZ12" s="13"/>
      <c r="DA12" s="240">
        <f>(D12+'[2]июль 20'!D12)/(AY12+'[2]июль 20'!BA12)</f>
        <v>2.4776987048555861</v>
      </c>
      <c r="DB12" s="241">
        <f>(T12+'[2]июль 20'!R12)/(AY12+'[2]июль 20'!BA12)</f>
        <v>1.5860663353102848</v>
      </c>
      <c r="DD12" s="292">
        <f t="shared" si="15"/>
        <v>8.968</v>
      </c>
      <c r="DE12" s="291">
        <v>0.19</v>
      </c>
      <c r="DF12" s="291">
        <v>11.04</v>
      </c>
      <c r="DG12" s="145">
        <f t="shared" si="16"/>
        <v>8.9509608000000007</v>
      </c>
      <c r="DH12" s="293">
        <f t="shared" si="34"/>
        <v>1.3014435299881471</v>
      </c>
      <c r="DJ12" s="38">
        <v>130.56899999999999</v>
      </c>
      <c r="DK12" s="460">
        <f t="shared" si="35"/>
        <v>143.56899999999999</v>
      </c>
      <c r="DM12" s="30">
        <v>91.971000000000004</v>
      </c>
      <c r="DN12" s="460">
        <f t="shared" si="36"/>
        <v>101.971</v>
      </c>
    </row>
    <row r="13" spans="1:118" s="76" customFormat="1" ht="16.5" customHeight="1" thickBot="1">
      <c r="A13" s="144">
        <v>7</v>
      </c>
      <c r="B13" s="122">
        <f t="shared" si="17"/>
        <v>240.46199999999999</v>
      </c>
      <c r="C13" s="123">
        <f t="shared" si="18"/>
        <v>0.43186436942219564</v>
      </c>
      <c r="D13" s="145">
        <f t="shared" si="19"/>
        <v>239.42353029999998</v>
      </c>
      <c r="E13" s="125">
        <f t="shared" si="20"/>
        <v>37.6999204032238</v>
      </c>
      <c r="F13" s="146">
        <f t="shared" si="0"/>
        <v>2.3806655095953064</v>
      </c>
      <c r="G13" s="127"/>
      <c r="H13" s="126">
        <f t="shared" si="21"/>
        <v>2.1092625067117425</v>
      </c>
      <c r="I13" s="230">
        <f>'[1]июль 20'!AI12</f>
        <v>0</v>
      </c>
      <c r="J13" s="247">
        <f>'[1]июль 20'!AA12</f>
        <v>8.9909999999999997</v>
      </c>
      <c r="K13" s="464">
        <f>'[1]сентябрь 20'!AM12</f>
        <v>0</v>
      </c>
      <c r="L13" s="247">
        <f>'[1]июль 20'!AE12</f>
        <v>27.295000000000002</v>
      </c>
      <c r="M13" s="468">
        <f t="shared" si="22"/>
        <v>0.27140300288356367</v>
      </c>
      <c r="N13" s="403">
        <f>'[1]июль 20'!W12</f>
        <v>0</v>
      </c>
      <c r="O13" s="403">
        <f>'[1]июль 20'!AU12</f>
        <v>0</v>
      </c>
      <c r="P13" s="401">
        <f t="shared" si="1"/>
        <v>151.24099999999999</v>
      </c>
      <c r="Q13" s="122">
        <f t="shared" si="23"/>
        <v>151.24099999999999</v>
      </c>
      <c r="R13" s="123">
        <f t="shared" si="24"/>
        <v>1.5500000000000003</v>
      </c>
      <c r="S13" s="129">
        <v>15.35</v>
      </c>
      <c r="T13" s="125">
        <f t="shared" si="2"/>
        <v>148.89676449999999</v>
      </c>
      <c r="U13" s="147">
        <f t="shared" si="3"/>
        <v>1.4805286317987469</v>
      </c>
      <c r="V13" s="130">
        <v>78.739999999999995</v>
      </c>
      <c r="W13" s="130">
        <v>77.45</v>
      </c>
      <c r="X13" s="129">
        <v>0.99</v>
      </c>
      <c r="Y13" s="165">
        <v>549</v>
      </c>
      <c r="Z13" s="166">
        <v>1150</v>
      </c>
      <c r="AA13" s="148" t="s">
        <v>336</v>
      </c>
      <c r="AB13" s="149">
        <v>75.48</v>
      </c>
      <c r="AC13" s="150">
        <v>91</v>
      </c>
      <c r="AD13" s="151">
        <v>4</v>
      </c>
      <c r="AE13" s="149"/>
      <c r="AF13" s="134">
        <f t="shared" si="4"/>
        <v>0</v>
      </c>
      <c r="AG13" s="152"/>
      <c r="AH13" s="129">
        <v>66.8</v>
      </c>
      <c r="AI13" s="134">
        <f t="shared" si="5"/>
        <v>664.2139803122202</v>
      </c>
      <c r="AJ13" s="136">
        <v>15.73</v>
      </c>
      <c r="AK13" s="154"/>
      <c r="AL13" s="155">
        <v>4.28</v>
      </c>
      <c r="AM13" s="478">
        <f t="shared" si="25"/>
        <v>26.010000000000005</v>
      </c>
      <c r="AN13" s="126">
        <f t="shared" si="26"/>
        <v>0.2</v>
      </c>
      <c r="AO13" s="157" t="s">
        <v>170</v>
      </c>
      <c r="AP13" s="156">
        <v>8.39</v>
      </c>
      <c r="AQ13" s="156">
        <v>7.69</v>
      </c>
      <c r="AR13" s="149"/>
      <c r="AS13" s="149">
        <v>9.5</v>
      </c>
      <c r="AT13" s="149">
        <v>130.05000000000001</v>
      </c>
      <c r="AU13" s="149">
        <v>0.81</v>
      </c>
      <c r="AV13" s="149"/>
      <c r="AW13" s="149"/>
      <c r="AX13" s="158">
        <f t="shared" si="6"/>
        <v>0</v>
      </c>
      <c r="AY13" s="125">
        <f t="shared" si="7"/>
        <v>100.57000000000001</v>
      </c>
      <c r="AZ13" s="125">
        <f t="shared" si="27"/>
        <v>105.91028757614995</v>
      </c>
      <c r="BA13" s="159">
        <f t="shared" si="8"/>
        <v>4.9159154929577467</v>
      </c>
      <c r="BB13" s="160">
        <f t="shared" si="9"/>
        <v>4.0228000000000002</v>
      </c>
      <c r="BC13" s="161">
        <f t="shared" si="10"/>
        <v>0.84099435009888979</v>
      </c>
      <c r="BD13" s="160">
        <f t="shared" si="28"/>
        <v>8.9387154929577477</v>
      </c>
      <c r="BE13" s="162">
        <v>0.83299999999999996</v>
      </c>
      <c r="BF13" s="25">
        <f t="shared" si="29"/>
        <v>669.2700000000001</v>
      </c>
      <c r="BG13" s="25">
        <f t="shared" si="11"/>
        <v>108.06451612903226</v>
      </c>
      <c r="BH13" s="25">
        <f t="shared" si="30"/>
        <v>756.45161290322562</v>
      </c>
      <c r="BI13" s="26">
        <f t="shared" si="12"/>
        <v>1</v>
      </c>
      <c r="BJ13" s="37">
        <f t="shared" si="31"/>
        <v>756.45161290322562</v>
      </c>
      <c r="BK13" s="28">
        <f t="shared" si="32"/>
        <v>150.465</v>
      </c>
      <c r="BL13" s="40"/>
      <c r="BM13" s="325">
        <v>50.076000000000001</v>
      </c>
      <c r="BN13" s="31"/>
      <c r="BO13" s="40"/>
      <c r="BP13" s="40">
        <v>12.625999999999999</v>
      </c>
      <c r="BQ13" s="32">
        <v>27.295000000000002</v>
      </c>
      <c r="BR13" s="33">
        <v>0.43</v>
      </c>
      <c r="BS13" s="34"/>
      <c r="BT13" s="33">
        <v>0.28000000000000003</v>
      </c>
      <c r="BU13" s="28"/>
      <c r="BV13" s="287"/>
      <c r="BW13" s="287">
        <v>1.99</v>
      </c>
      <c r="BX13" s="36"/>
      <c r="BY13" s="33">
        <v>37.42</v>
      </c>
      <c r="BZ13" s="34"/>
      <c r="CA13" s="33">
        <v>37.44</v>
      </c>
      <c r="CB13" s="35"/>
      <c r="CC13" s="235"/>
      <c r="CD13" s="235">
        <v>28.62</v>
      </c>
      <c r="CE13" s="36">
        <v>43.92</v>
      </c>
      <c r="CF13" s="28">
        <f t="shared" si="33"/>
        <v>105.732</v>
      </c>
      <c r="CG13" s="30">
        <v>45.509</v>
      </c>
      <c r="CH13" s="30"/>
      <c r="CI13" s="32"/>
      <c r="CJ13" s="33">
        <v>1.55</v>
      </c>
      <c r="CK13" s="33">
        <v>1.55</v>
      </c>
      <c r="CL13" s="33"/>
      <c r="CM13" s="36"/>
      <c r="CN13" s="286"/>
      <c r="CO13" s="249">
        <f t="shared" si="13"/>
        <v>149.81800049999998</v>
      </c>
      <c r="CP13" s="12">
        <f t="shared" si="13"/>
        <v>0</v>
      </c>
      <c r="CQ13" s="12">
        <f t="shared" si="13"/>
        <v>49.9357872</v>
      </c>
      <c r="CR13" s="12">
        <f t="shared" si="13"/>
        <v>0</v>
      </c>
      <c r="CS13" s="11">
        <f t="shared" si="13"/>
        <v>0</v>
      </c>
      <c r="CT13" s="11">
        <f t="shared" si="13"/>
        <v>12.374742600000001</v>
      </c>
      <c r="CU13" s="272">
        <f t="shared" si="13"/>
        <v>27.295000000000002</v>
      </c>
      <c r="CV13" s="249">
        <f t="shared" si="14"/>
        <v>104.093154</v>
      </c>
      <c r="CW13" s="251">
        <f t="shared" si="14"/>
        <v>44.803610500000005</v>
      </c>
      <c r="CX13" s="249">
        <f t="shared" si="14"/>
        <v>0</v>
      </c>
      <c r="CY13" s="272">
        <f t="shared" si="14"/>
        <v>0</v>
      </c>
      <c r="CZ13" s="13"/>
      <c r="DA13" s="240">
        <f>(D13+'[2]июль 20'!D13)/(AY13+'[2]июль 20'!BA13)</f>
        <v>2.2862803463421018</v>
      </c>
      <c r="DB13" s="241">
        <f>(T13+'[2]июль 20'!R13)/(AY13+'[2]июль 20'!BA13)</f>
        <v>1.4652534727997932</v>
      </c>
      <c r="DD13" s="292">
        <f t="shared" si="15"/>
        <v>8.9909999999999997</v>
      </c>
      <c r="DE13" s="291">
        <v>0.15</v>
      </c>
      <c r="DF13" s="291">
        <v>12.72</v>
      </c>
      <c r="DG13" s="145">
        <f t="shared" si="16"/>
        <v>8.9775134999999988</v>
      </c>
      <c r="DH13" s="293">
        <f t="shared" si="34"/>
        <v>1.5129037058823527</v>
      </c>
      <c r="DJ13" s="39">
        <v>137.465</v>
      </c>
      <c r="DK13" s="460">
        <f t="shared" si="35"/>
        <v>150.465</v>
      </c>
      <c r="DM13" s="30">
        <v>95.731999999999999</v>
      </c>
      <c r="DN13" s="460">
        <f t="shared" si="36"/>
        <v>105.732</v>
      </c>
    </row>
    <row r="14" spans="1:118" s="76" customFormat="1" ht="16.5" customHeight="1" thickBot="1">
      <c r="A14" s="144">
        <v>8</v>
      </c>
      <c r="B14" s="122">
        <f t="shared" si="17"/>
        <v>223.447</v>
      </c>
      <c r="C14" s="123">
        <f t="shared" si="18"/>
        <v>0.34236069403482705</v>
      </c>
      <c r="D14" s="145">
        <f t="shared" si="19"/>
        <v>222.68200530000001</v>
      </c>
      <c r="E14" s="125">
        <f t="shared" si="20"/>
        <v>38.274322233012747</v>
      </c>
      <c r="F14" s="146">
        <f t="shared" si="0"/>
        <v>2.2366613629971877</v>
      </c>
      <c r="G14" s="127"/>
      <c r="H14" s="126">
        <f t="shared" si="21"/>
        <v>2.0074930222981116</v>
      </c>
      <c r="I14" s="230">
        <f>'[1]июль 20'!AI13</f>
        <v>0</v>
      </c>
      <c r="J14" s="247">
        <f>'[1]июль 20'!AA13</f>
        <v>8.4329999999999998</v>
      </c>
      <c r="K14" s="467">
        <f>'[1]сентябрь 20'!AM13</f>
        <v>0</v>
      </c>
      <c r="L14" s="247">
        <f>'[1]июль 20'!AE13</f>
        <v>22.815999999999999</v>
      </c>
      <c r="M14" s="471">
        <f t="shared" si="22"/>
        <v>0.22916834069907591</v>
      </c>
      <c r="N14" s="403">
        <f>'[1]июль 20'!W13</f>
        <v>0</v>
      </c>
      <c r="O14" s="403">
        <f>'[1]июль 20'!AU13</f>
        <v>0</v>
      </c>
      <c r="P14" s="401">
        <f t="shared" si="1"/>
        <v>138.49799999999999</v>
      </c>
      <c r="Q14" s="122">
        <f t="shared" si="23"/>
        <v>138.49799999999999</v>
      </c>
      <c r="R14" s="123">
        <f t="shared" si="24"/>
        <v>1.49</v>
      </c>
      <c r="S14" s="129">
        <v>9.57</v>
      </c>
      <c r="T14" s="125">
        <f t="shared" si="2"/>
        <v>136.43437980000002</v>
      </c>
      <c r="U14" s="147">
        <f t="shared" si="3"/>
        <v>1.3703734411410207</v>
      </c>
      <c r="V14" s="130"/>
      <c r="W14" s="130">
        <v>48.93</v>
      </c>
      <c r="X14" s="129">
        <v>0.98</v>
      </c>
      <c r="Y14" s="131">
        <v>578</v>
      </c>
      <c r="Z14" s="150">
        <v>1152</v>
      </c>
      <c r="AA14" s="148" t="s">
        <v>337</v>
      </c>
      <c r="AB14" s="149">
        <v>73.459999999999994</v>
      </c>
      <c r="AC14" s="150">
        <v>84</v>
      </c>
      <c r="AD14" s="151">
        <v>4</v>
      </c>
      <c r="AE14" s="149"/>
      <c r="AF14" s="134">
        <f t="shared" si="4"/>
        <v>0</v>
      </c>
      <c r="AG14" s="152"/>
      <c r="AH14" s="129">
        <v>72.150000000000006</v>
      </c>
      <c r="AI14" s="134">
        <f t="shared" si="5"/>
        <v>724.68862997187637</v>
      </c>
      <c r="AJ14" s="153">
        <v>11.29</v>
      </c>
      <c r="AK14" s="154"/>
      <c r="AL14" s="155">
        <v>4.3499999999999996</v>
      </c>
      <c r="AM14" s="478">
        <f t="shared" si="25"/>
        <v>25.680000000000003</v>
      </c>
      <c r="AN14" s="126">
        <f t="shared" si="26"/>
        <v>0.2</v>
      </c>
      <c r="AO14" s="157" t="s">
        <v>338</v>
      </c>
      <c r="AP14" s="156">
        <v>8.58</v>
      </c>
      <c r="AQ14" s="156">
        <v>7.89</v>
      </c>
      <c r="AR14" s="149"/>
      <c r="AS14" s="149">
        <v>7.98</v>
      </c>
      <c r="AT14" s="149">
        <v>128.4</v>
      </c>
      <c r="AU14" s="149">
        <v>1.19</v>
      </c>
      <c r="AV14" s="149"/>
      <c r="AW14" s="149"/>
      <c r="AX14" s="158">
        <f t="shared" si="6"/>
        <v>0</v>
      </c>
      <c r="AY14" s="125">
        <f t="shared" si="7"/>
        <v>99.56</v>
      </c>
      <c r="AZ14" s="125">
        <f t="shared" si="27"/>
        <v>102.70111734440178</v>
      </c>
      <c r="BA14" s="159">
        <f t="shared" si="8"/>
        <v>4.4600894366197181</v>
      </c>
      <c r="BB14" s="160">
        <f t="shared" si="9"/>
        <v>3.9824000000000002</v>
      </c>
      <c r="BC14" s="161">
        <f t="shared" si="10"/>
        <v>0.85811042762915912</v>
      </c>
      <c r="BD14" s="159">
        <f t="shared" si="28"/>
        <v>8.4424894366197183</v>
      </c>
      <c r="BE14" s="167">
        <v>0.83599999999999997</v>
      </c>
      <c r="BF14" s="25">
        <f t="shared" si="29"/>
        <v>768.83000000000015</v>
      </c>
      <c r="BG14" s="25">
        <f t="shared" si="11"/>
        <v>108.06451612903226</v>
      </c>
      <c r="BH14" s="25">
        <f t="shared" si="30"/>
        <v>864.51612903225782</v>
      </c>
      <c r="BI14" s="26">
        <f t="shared" si="12"/>
        <v>1</v>
      </c>
      <c r="BJ14" s="37">
        <f t="shared" si="31"/>
        <v>864.51612903225782</v>
      </c>
      <c r="BK14" s="28">
        <f t="shared" si="32"/>
        <v>145.65700000000001</v>
      </c>
      <c r="BL14" s="40"/>
      <c r="BM14" s="325">
        <v>46.225000000000001</v>
      </c>
      <c r="BN14" s="31"/>
      <c r="BO14" s="40"/>
      <c r="BP14" s="40">
        <v>8.7490000000000006</v>
      </c>
      <c r="BQ14" s="32">
        <v>22.815999999999999</v>
      </c>
      <c r="BR14" s="33">
        <v>0.35</v>
      </c>
      <c r="BS14" s="34"/>
      <c r="BT14" s="33">
        <v>0.13</v>
      </c>
      <c r="BU14" s="28"/>
      <c r="BV14" s="287"/>
      <c r="BW14" s="287">
        <v>2.23</v>
      </c>
      <c r="BX14" s="36"/>
      <c r="BY14" s="33">
        <v>37.79</v>
      </c>
      <c r="BZ14" s="34"/>
      <c r="CA14" s="33">
        <v>37.840000000000003</v>
      </c>
      <c r="CB14" s="35"/>
      <c r="CC14" s="235"/>
      <c r="CD14" s="235">
        <v>34.17</v>
      </c>
      <c r="CE14" s="36">
        <v>43.82</v>
      </c>
      <c r="CF14" s="28">
        <f t="shared" si="33"/>
        <v>96.495999999999995</v>
      </c>
      <c r="CG14" s="30">
        <v>42.002000000000002</v>
      </c>
      <c r="CH14" s="30"/>
      <c r="CI14" s="32"/>
      <c r="CJ14" s="33">
        <v>1.49</v>
      </c>
      <c r="CK14" s="33">
        <v>1.49</v>
      </c>
      <c r="CL14" s="33"/>
      <c r="CM14" s="36"/>
      <c r="CN14" s="286"/>
      <c r="CO14" s="249">
        <f t="shared" si="13"/>
        <v>145.14720050000003</v>
      </c>
      <c r="CP14" s="12">
        <f t="shared" si="13"/>
        <v>0</v>
      </c>
      <c r="CQ14" s="12">
        <f t="shared" si="13"/>
        <v>46.164907500000005</v>
      </c>
      <c r="CR14" s="12">
        <f t="shared" si="13"/>
        <v>0</v>
      </c>
      <c r="CS14" s="11">
        <f t="shared" si="13"/>
        <v>0</v>
      </c>
      <c r="CT14" s="11">
        <f t="shared" si="13"/>
        <v>8.5538973000000009</v>
      </c>
      <c r="CU14" s="272">
        <f t="shared" si="13"/>
        <v>22.815999999999999</v>
      </c>
      <c r="CV14" s="249">
        <f t="shared" si="14"/>
        <v>95.058209599999998</v>
      </c>
      <c r="CW14" s="12">
        <f t="shared" si="14"/>
        <v>41.376170200000004</v>
      </c>
      <c r="CX14" s="252">
        <f t="shared" si="14"/>
        <v>0</v>
      </c>
      <c r="CY14" s="272">
        <f t="shared" si="14"/>
        <v>0</v>
      </c>
      <c r="CZ14" s="13"/>
      <c r="DA14" s="240">
        <f>(D14+'[2]июль 20'!D14)/(AY14+'[2]июль 20'!BA14)</f>
        <v>2.2181652410206287</v>
      </c>
      <c r="DB14" s="241">
        <f>(T14+'[2]июль 20'!R14)/(AY14+'[2]июль 20'!BA14)</f>
        <v>1.4101727103912878</v>
      </c>
      <c r="DD14" s="292">
        <f t="shared" si="15"/>
        <v>8.4329999999999998</v>
      </c>
      <c r="DE14" s="291">
        <v>0.05</v>
      </c>
      <c r="DF14" s="291">
        <v>12.32</v>
      </c>
      <c r="DG14" s="145">
        <f t="shared" si="16"/>
        <v>8.4287834999999998</v>
      </c>
      <c r="DH14" s="293">
        <f t="shared" si="34"/>
        <v>1.4135939656956167</v>
      </c>
      <c r="DJ14" s="39">
        <v>132.65700000000001</v>
      </c>
      <c r="DK14" s="460">
        <f t="shared" si="35"/>
        <v>145.65700000000001</v>
      </c>
      <c r="DM14" s="30">
        <v>86.495999999999995</v>
      </c>
      <c r="DN14" s="460">
        <f t="shared" si="36"/>
        <v>96.495999999999995</v>
      </c>
    </row>
    <row r="15" spans="1:118" s="76" customFormat="1" ht="16.5" customHeight="1" thickBot="1">
      <c r="A15" s="144">
        <v>9</v>
      </c>
      <c r="B15" s="122">
        <f t="shared" si="17"/>
        <v>233.28</v>
      </c>
      <c r="C15" s="123">
        <f t="shared" si="18"/>
        <v>0.35335296639231822</v>
      </c>
      <c r="D15" s="145">
        <f t="shared" si="19"/>
        <v>232.4556982</v>
      </c>
      <c r="E15" s="125">
        <f t="shared" si="20"/>
        <v>37.822493055555547</v>
      </c>
      <c r="F15" s="146">
        <f t="shared" si="0"/>
        <v>2.4611508544203282</v>
      </c>
      <c r="G15" s="127"/>
      <c r="H15" s="126">
        <f t="shared" si="21"/>
        <v>2.2402509073583903</v>
      </c>
      <c r="I15" s="230">
        <f>'[1]июль 20'!AI14</f>
        <v>0</v>
      </c>
      <c r="J15" s="247">
        <f>'[1]июль 20'!AA14</f>
        <v>8.8379999999999992</v>
      </c>
      <c r="K15" s="465">
        <f>'[1]сентябрь 20'!AM14</f>
        <v>0</v>
      </c>
      <c r="L15" s="247">
        <f>'[1]июль 20'!AE14</f>
        <v>20.864000000000001</v>
      </c>
      <c r="M15" s="469">
        <f t="shared" si="22"/>
        <v>0.22089994706193752</v>
      </c>
      <c r="N15" s="403">
        <f>'[1]июль 20'!W14</f>
        <v>0</v>
      </c>
      <c r="O15" s="403">
        <f>'[1]июль 20'!AU14</f>
        <v>0</v>
      </c>
      <c r="P15" s="401">
        <f t="shared" si="1"/>
        <v>144.661</v>
      </c>
      <c r="Q15" s="122">
        <f t="shared" si="23"/>
        <v>144.661</v>
      </c>
      <c r="R15" s="123">
        <f t="shared" si="24"/>
        <v>1.45</v>
      </c>
      <c r="S15" s="129">
        <v>9.94</v>
      </c>
      <c r="T15" s="125">
        <f t="shared" si="2"/>
        <v>142.56341549999999</v>
      </c>
      <c r="U15" s="147">
        <f t="shared" si="3"/>
        <v>1.5094061990471148</v>
      </c>
      <c r="V15" s="130">
        <v>23.12</v>
      </c>
      <c r="W15" s="130">
        <v>94.45</v>
      </c>
      <c r="X15" s="129">
        <v>0.46</v>
      </c>
      <c r="Y15" s="131">
        <v>562</v>
      </c>
      <c r="Z15" s="150">
        <v>1152</v>
      </c>
      <c r="AA15" s="148" t="s">
        <v>297</v>
      </c>
      <c r="AB15" s="149">
        <v>74.62</v>
      </c>
      <c r="AC15" s="150">
        <v>88</v>
      </c>
      <c r="AD15" s="151">
        <v>4</v>
      </c>
      <c r="AE15" s="149"/>
      <c r="AF15" s="134">
        <f t="shared" si="4"/>
        <v>0</v>
      </c>
      <c r="AG15" s="152"/>
      <c r="AH15" s="129">
        <v>60.6</v>
      </c>
      <c r="AI15" s="134">
        <f t="shared" si="5"/>
        <v>641.60931709899421</v>
      </c>
      <c r="AJ15" s="136">
        <v>15.63</v>
      </c>
      <c r="AK15" s="154"/>
      <c r="AL15" s="155">
        <v>4.8600000000000003</v>
      </c>
      <c r="AM15" s="478">
        <f t="shared" si="25"/>
        <v>24.52</v>
      </c>
      <c r="AN15" s="126">
        <f t="shared" si="26"/>
        <v>0.2</v>
      </c>
      <c r="AO15" s="157" t="s">
        <v>339</v>
      </c>
      <c r="AP15" s="156">
        <v>8.6199999999999992</v>
      </c>
      <c r="AQ15" s="156">
        <v>7.71</v>
      </c>
      <c r="AR15" s="149"/>
      <c r="AS15" s="149">
        <v>7.6</v>
      </c>
      <c r="AT15" s="149">
        <v>122.6</v>
      </c>
      <c r="AU15" s="149">
        <v>1.23</v>
      </c>
      <c r="AV15" s="149"/>
      <c r="AW15" s="149"/>
      <c r="AX15" s="158">
        <f t="shared" si="6"/>
        <v>0</v>
      </c>
      <c r="AY15" s="125">
        <f t="shared" si="7"/>
        <v>94.45</v>
      </c>
      <c r="AZ15" s="125">
        <f t="shared" si="27"/>
        <v>104.18271944047576</v>
      </c>
      <c r="BA15" s="159">
        <f t="shared" si="8"/>
        <v>3.5677183098591545</v>
      </c>
      <c r="BB15" s="160">
        <f t="shared" si="9"/>
        <v>3.778</v>
      </c>
      <c r="BC15" s="161">
        <f t="shared" si="10"/>
        <v>0.80161688898123185</v>
      </c>
      <c r="BD15" s="159">
        <f t="shared" si="28"/>
        <v>7.345718309859155</v>
      </c>
      <c r="BE15" s="167">
        <v>0.83199999999999996</v>
      </c>
      <c r="BF15" s="25">
        <f t="shared" si="29"/>
        <v>863.2800000000002</v>
      </c>
      <c r="BG15" s="25">
        <f t="shared" si="11"/>
        <v>108.06451612903226</v>
      </c>
      <c r="BH15" s="25">
        <f t="shared" si="30"/>
        <v>972.58064516129002</v>
      </c>
      <c r="BI15" s="26">
        <f t="shared" si="12"/>
        <v>1</v>
      </c>
      <c r="BJ15" s="37">
        <f t="shared" si="31"/>
        <v>972.58064516129002</v>
      </c>
      <c r="BK15" s="28">
        <f t="shared" si="32"/>
        <v>155.22399999999999</v>
      </c>
      <c r="BL15" s="42"/>
      <c r="BM15" s="31">
        <v>48.424999999999997</v>
      </c>
      <c r="BN15" s="31"/>
      <c r="BO15" s="40"/>
      <c r="BP15" s="40">
        <v>8.7669999999999995</v>
      </c>
      <c r="BQ15" s="32">
        <v>20.864000000000001</v>
      </c>
      <c r="BR15" s="33">
        <v>0.38</v>
      </c>
      <c r="BS15" s="35"/>
      <c r="BT15" s="35">
        <v>0.18</v>
      </c>
      <c r="BU15" s="28"/>
      <c r="BV15" s="287"/>
      <c r="BW15" s="287">
        <v>1.68</v>
      </c>
      <c r="BX15" s="36"/>
      <c r="BY15" s="33">
        <v>37.51</v>
      </c>
      <c r="BZ15" s="34"/>
      <c r="CA15" s="35">
        <v>37.65</v>
      </c>
      <c r="CB15" s="35"/>
      <c r="CC15" s="35"/>
      <c r="CD15" s="35">
        <v>30.63</v>
      </c>
      <c r="CE15" s="35">
        <v>43.57</v>
      </c>
      <c r="CF15" s="28">
        <f t="shared" si="33"/>
        <v>100.637</v>
      </c>
      <c r="CG15" s="30">
        <v>44.024000000000001</v>
      </c>
      <c r="CH15" s="30"/>
      <c r="CI15" s="32"/>
      <c r="CJ15" s="33">
        <v>1.45</v>
      </c>
      <c r="CK15" s="33">
        <v>1.45</v>
      </c>
      <c r="CL15" s="33"/>
      <c r="CM15" s="36"/>
      <c r="CN15" s="286"/>
      <c r="CO15" s="249">
        <f t="shared" si="13"/>
        <v>154.63414879999999</v>
      </c>
      <c r="CP15" s="12">
        <f t="shared" si="13"/>
        <v>0</v>
      </c>
      <c r="CQ15" s="12">
        <f t="shared" si="13"/>
        <v>48.337834999999998</v>
      </c>
      <c r="CR15" s="17">
        <f t="shared" si="13"/>
        <v>0</v>
      </c>
      <c r="CS15" s="11">
        <f t="shared" si="13"/>
        <v>0</v>
      </c>
      <c r="CT15" s="11">
        <f t="shared" si="13"/>
        <v>8.6197143999999994</v>
      </c>
      <c r="CU15" s="272">
        <f t="shared" si="13"/>
        <v>20.864000000000001</v>
      </c>
      <c r="CV15" s="249">
        <f t="shared" si="14"/>
        <v>99.177763499999998</v>
      </c>
      <c r="CW15" s="12">
        <f t="shared" si="14"/>
        <v>43.385652</v>
      </c>
      <c r="CX15" s="249">
        <f t="shared" si="14"/>
        <v>0</v>
      </c>
      <c r="CY15" s="274">
        <f t="shared" si="14"/>
        <v>0</v>
      </c>
      <c r="CZ15" s="13"/>
      <c r="DA15" s="240">
        <f>(D15+'[2]июль 20'!D15)/(AY15+'[2]июль 20'!BA15)</f>
        <v>2.3276611657351762</v>
      </c>
      <c r="DB15" s="241">
        <f>(T15+'[2]июль 20'!R15)/(AY15+'[2]июль 20'!BA15)</f>
        <v>1.4800521374713025</v>
      </c>
      <c r="DD15" s="292">
        <f t="shared" si="15"/>
        <v>8.8379999999999992</v>
      </c>
      <c r="DE15" s="291">
        <v>7.0000000000000007E-2</v>
      </c>
      <c r="DF15" s="291">
        <v>11.17</v>
      </c>
      <c r="DG15" s="145">
        <f t="shared" si="16"/>
        <v>8.8318133999999997</v>
      </c>
      <c r="DH15" s="293">
        <f t="shared" si="34"/>
        <v>1.322049794666309</v>
      </c>
      <c r="DJ15" s="38">
        <v>142.22399999999999</v>
      </c>
      <c r="DK15" s="460">
        <f t="shared" si="35"/>
        <v>155.22399999999999</v>
      </c>
      <c r="DM15" s="38">
        <v>90.637</v>
      </c>
      <c r="DN15" s="460">
        <f t="shared" si="36"/>
        <v>100.637</v>
      </c>
    </row>
    <row r="16" spans="1:118" s="76" customFormat="1" ht="16.5" customHeight="1" thickBot="1">
      <c r="A16" s="144">
        <v>10</v>
      </c>
      <c r="B16" s="122">
        <f t="shared" si="17"/>
        <v>235.732</v>
      </c>
      <c r="C16" s="123">
        <f t="shared" si="18"/>
        <v>0.47264677684828532</v>
      </c>
      <c r="D16" s="145">
        <f t="shared" si="19"/>
        <v>234.61782030000001</v>
      </c>
      <c r="E16" s="125">
        <f t="shared" si="20"/>
        <v>37.799038569222681</v>
      </c>
      <c r="F16" s="146">
        <f t="shared" si="0"/>
        <v>2.4683621283534984</v>
      </c>
      <c r="G16" s="127"/>
      <c r="H16" s="126">
        <f t="shared" si="21"/>
        <v>2.2804925860073646</v>
      </c>
      <c r="I16" s="230">
        <f>'[1]июль 20'!AI15</f>
        <v>0</v>
      </c>
      <c r="J16" s="247">
        <f>'[1]июль 20'!AA15</f>
        <v>8.7919999999999998</v>
      </c>
      <c r="K16" s="464">
        <f>'[1]сентябрь 20'!AM15</f>
        <v>0</v>
      </c>
      <c r="L16" s="247">
        <f>'[1]июль 20'!AE15</f>
        <v>17.856999999999999</v>
      </c>
      <c r="M16" s="468">
        <f t="shared" si="22"/>
        <v>0.18786954234613362</v>
      </c>
      <c r="N16" s="403">
        <f>'[1]июль 20'!W15</f>
        <v>0</v>
      </c>
      <c r="O16" s="403">
        <f>'[1]июль 20'!AU15</f>
        <v>0</v>
      </c>
      <c r="P16" s="401">
        <f t="shared" si="1"/>
        <v>146.70099999999999</v>
      </c>
      <c r="Q16" s="122">
        <f t="shared" si="23"/>
        <v>146.70099999999999</v>
      </c>
      <c r="R16" s="123">
        <f t="shared" si="24"/>
        <v>1.4900000000000002</v>
      </c>
      <c r="S16" s="129">
        <v>10.46</v>
      </c>
      <c r="T16" s="125">
        <f t="shared" si="2"/>
        <v>144.51515510000002</v>
      </c>
      <c r="U16" s="147">
        <f t="shared" si="3"/>
        <v>1.5204119421357183</v>
      </c>
      <c r="V16" s="130">
        <v>95.05</v>
      </c>
      <c r="W16" s="130">
        <v>95.05</v>
      </c>
      <c r="X16" s="129">
        <v>0.41</v>
      </c>
      <c r="Y16" s="131">
        <v>561</v>
      </c>
      <c r="Z16" s="150">
        <v>1152</v>
      </c>
      <c r="AA16" s="148" t="s">
        <v>329</v>
      </c>
      <c r="AB16" s="149">
        <v>76.41</v>
      </c>
      <c r="AC16" s="150">
        <v>89</v>
      </c>
      <c r="AD16" s="151">
        <v>4</v>
      </c>
      <c r="AE16" s="149">
        <v>2.4500000000000002</v>
      </c>
      <c r="AF16" s="134">
        <f t="shared" si="4"/>
        <v>25.775907417148872</v>
      </c>
      <c r="AG16" s="152"/>
      <c r="AH16" s="129">
        <v>68.95</v>
      </c>
      <c r="AI16" s="134">
        <f t="shared" si="5"/>
        <v>725.40768016833249</v>
      </c>
      <c r="AJ16" s="153">
        <v>13.28</v>
      </c>
      <c r="AK16" s="154"/>
      <c r="AL16" s="155">
        <v>4.3</v>
      </c>
      <c r="AM16" s="478">
        <f t="shared" si="25"/>
        <v>24.51</v>
      </c>
      <c r="AN16" s="126">
        <f t="shared" si="26"/>
        <v>0.2</v>
      </c>
      <c r="AO16" s="157" t="s">
        <v>320</v>
      </c>
      <c r="AP16" s="156">
        <v>7.97</v>
      </c>
      <c r="AQ16" s="156">
        <v>8.27</v>
      </c>
      <c r="AR16" s="149"/>
      <c r="AS16" s="149">
        <v>7.48</v>
      </c>
      <c r="AT16" s="149">
        <v>122.55</v>
      </c>
      <c r="AU16" s="149">
        <v>1.31</v>
      </c>
      <c r="AV16" s="149"/>
      <c r="AW16" s="149"/>
      <c r="AX16" s="158">
        <f t="shared" si="6"/>
        <v>0</v>
      </c>
      <c r="AY16" s="125">
        <f t="shared" si="7"/>
        <v>95.05</v>
      </c>
      <c r="AZ16" s="125">
        <f t="shared" si="27"/>
        <v>102.69955777373684</v>
      </c>
      <c r="BA16" s="159">
        <f t="shared" si="8"/>
        <v>3.9952154929577475</v>
      </c>
      <c r="BB16" s="160">
        <f t="shared" si="9"/>
        <v>3.802</v>
      </c>
      <c r="BC16" s="161">
        <f t="shared" si="10"/>
        <v>0.81895600483337827</v>
      </c>
      <c r="BD16" s="160">
        <f t="shared" si="28"/>
        <v>7.7972154929577471</v>
      </c>
      <c r="BE16" s="162">
        <v>0.83099999999999996</v>
      </c>
      <c r="BF16" s="25">
        <f t="shared" si="29"/>
        <v>958.33000000000015</v>
      </c>
      <c r="BG16" s="25">
        <f t="shared" si="11"/>
        <v>108.06451612903226</v>
      </c>
      <c r="BH16" s="25">
        <f t="shared" si="30"/>
        <v>1080.6451612903222</v>
      </c>
      <c r="BI16" s="26">
        <f t="shared" si="12"/>
        <v>1</v>
      </c>
      <c r="BJ16" s="37">
        <f t="shared" si="31"/>
        <v>1080.6451612903222</v>
      </c>
      <c r="BK16" s="28">
        <f t="shared" si="32"/>
        <v>159.91200000000001</v>
      </c>
      <c r="BL16" s="31"/>
      <c r="BM16" s="31">
        <v>48.968000000000004</v>
      </c>
      <c r="BN16" s="234"/>
      <c r="BO16" s="42"/>
      <c r="BP16" s="40">
        <v>8.9949999999999992</v>
      </c>
      <c r="BQ16" s="32">
        <v>17.856999999999999</v>
      </c>
      <c r="BR16" s="33">
        <v>0.59</v>
      </c>
      <c r="BS16" s="34"/>
      <c r="BT16" s="35">
        <v>0.13</v>
      </c>
      <c r="BU16" s="28"/>
      <c r="BV16" s="287"/>
      <c r="BW16" s="287">
        <v>1.19</v>
      </c>
      <c r="BX16" s="36"/>
      <c r="BY16" s="33">
        <v>37.32</v>
      </c>
      <c r="BZ16" s="34"/>
      <c r="CA16" s="35">
        <v>38.33</v>
      </c>
      <c r="CB16" s="405"/>
      <c r="CC16" s="404"/>
      <c r="CD16" s="235">
        <v>31.73</v>
      </c>
      <c r="CE16" s="36">
        <v>43.69</v>
      </c>
      <c r="CF16" s="28">
        <f t="shared" si="33"/>
        <v>102.224</v>
      </c>
      <c r="CG16" s="30">
        <v>44.476999999999997</v>
      </c>
      <c r="CH16" s="30"/>
      <c r="CI16" s="32"/>
      <c r="CJ16" s="33">
        <v>1.49</v>
      </c>
      <c r="CK16" s="33">
        <v>1.49</v>
      </c>
      <c r="CL16" s="33"/>
      <c r="CM16" s="36"/>
      <c r="CN16" s="286"/>
      <c r="CO16" s="249">
        <f t="shared" si="13"/>
        <v>158.9685192</v>
      </c>
      <c r="CP16" s="12">
        <f t="shared" si="13"/>
        <v>0</v>
      </c>
      <c r="CQ16" s="12">
        <f t="shared" si="13"/>
        <v>48.904341600000002</v>
      </c>
      <c r="CR16" s="11">
        <f t="shared" si="13"/>
        <v>0</v>
      </c>
      <c r="CS16" s="11">
        <f t="shared" si="13"/>
        <v>0</v>
      </c>
      <c r="CT16" s="11">
        <f t="shared" si="13"/>
        <v>8.8879594999999991</v>
      </c>
      <c r="CU16" s="272">
        <f t="shared" si="13"/>
        <v>17.856999999999999</v>
      </c>
      <c r="CV16" s="249">
        <f t="shared" si="14"/>
        <v>100.70086240000002</v>
      </c>
      <c r="CW16" s="12">
        <f t="shared" si="14"/>
        <v>43.814292700000003</v>
      </c>
      <c r="CX16" s="249">
        <f t="shared" si="14"/>
        <v>0</v>
      </c>
      <c r="CY16" s="272">
        <f t="shared" si="14"/>
        <v>0</v>
      </c>
      <c r="CZ16" s="13"/>
      <c r="DA16" s="240">
        <f>(D16+'[2]июль 20'!D16)/(AY16+'[2]июль 20'!BA16)</f>
        <v>2.2979985647684398</v>
      </c>
      <c r="DB16" s="241">
        <f>(T16+'[2]июль 20'!R16)/(AY16+'[2]июль 20'!BA16)</f>
        <v>1.468736325214401</v>
      </c>
      <c r="DD16" s="292">
        <f t="shared" si="15"/>
        <v>8.7919999999999998</v>
      </c>
      <c r="DE16" s="291">
        <v>0.1</v>
      </c>
      <c r="DF16" s="291">
        <v>11.98</v>
      </c>
      <c r="DG16" s="145">
        <f t="shared" si="16"/>
        <v>8.7832080000000001</v>
      </c>
      <c r="DH16" s="293">
        <f t="shared" si="34"/>
        <v>1.3770819505300353</v>
      </c>
      <c r="DJ16" s="38">
        <v>146.91200000000001</v>
      </c>
      <c r="DK16" s="460">
        <f t="shared" si="35"/>
        <v>159.91200000000001</v>
      </c>
      <c r="DM16" s="38">
        <v>92.224000000000004</v>
      </c>
      <c r="DN16" s="460">
        <f t="shared" si="36"/>
        <v>102.224</v>
      </c>
    </row>
    <row r="17" spans="1:118" s="76" customFormat="1" ht="16.5" customHeight="1" thickBot="1">
      <c r="A17" s="144">
        <v>11</v>
      </c>
      <c r="B17" s="122">
        <f t="shared" si="17"/>
        <v>237.952</v>
      </c>
      <c r="C17" s="123">
        <f t="shared" si="18"/>
        <v>0.34807284662452936</v>
      </c>
      <c r="D17" s="145">
        <f t="shared" si="19"/>
        <v>237.12375369999998</v>
      </c>
      <c r="E17" s="125">
        <f t="shared" si="20"/>
        <v>37.025968430607854</v>
      </c>
      <c r="F17" s="146">
        <f t="shared" si="0"/>
        <v>2.515101333262622</v>
      </c>
      <c r="G17" s="127"/>
      <c r="H17" s="126">
        <f t="shared" si="21"/>
        <v>2.3241806714043278</v>
      </c>
      <c r="I17" s="230">
        <f>'[1]июль 20'!AI16</f>
        <v>0</v>
      </c>
      <c r="J17" s="247">
        <f>'[1]июль 20'!AA16</f>
        <v>8.9190000000000005</v>
      </c>
      <c r="K17" s="465">
        <f>'[1]сентябрь 20'!AM16</f>
        <v>0</v>
      </c>
      <c r="L17" s="247">
        <f>'[1]июль 20'!AE16</f>
        <v>18</v>
      </c>
      <c r="M17" s="469">
        <f t="shared" si="22"/>
        <v>0.19092066185829445</v>
      </c>
      <c r="N17" s="403">
        <f>'[1]июль 20'!W16</f>
        <v>0</v>
      </c>
      <c r="O17" s="403">
        <f>'[1]июль 20'!AU16</f>
        <v>0</v>
      </c>
      <c r="P17" s="401">
        <f t="shared" si="1"/>
        <v>149.12299999999999</v>
      </c>
      <c r="Q17" s="122">
        <f t="shared" si="23"/>
        <v>149.12299999999999</v>
      </c>
      <c r="R17" s="123">
        <f t="shared" si="24"/>
        <v>1.4500000000000002</v>
      </c>
      <c r="S17" s="129">
        <v>8.19</v>
      </c>
      <c r="T17" s="125">
        <f t="shared" si="2"/>
        <v>146.96071649999999</v>
      </c>
      <c r="U17" s="147">
        <f t="shared" si="3"/>
        <v>1.5587687367416208</v>
      </c>
      <c r="V17" s="130">
        <v>94.28</v>
      </c>
      <c r="W17" s="130">
        <v>94.28</v>
      </c>
      <c r="X17" s="129">
        <v>0.39</v>
      </c>
      <c r="Y17" s="131">
        <v>559</v>
      </c>
      <c r="Z17" s="150">
        <v>1146</v>
      </c>
      <c r="AA17" s="148" t="s">
        <v>301</v>
      </c>
      <c r="AB17" s="149">
        <v>76.709999999999994</v>
      </c>
      <c r="AC17" s="150">
        <v>90</v>
      </c>
      <c r="AD17" s="151">
        <v>4</v>
      </c>
      <c r="AE17" s="149"/>
      <c r="AF17" s="134">
        <f t="shared" si="4"/>
        <v>0</v>
      </c>
      <c r="AG17" s="152"/>
      <c r="AH17" s="129">
        <v>68.2</v>
      </c>
      <c r="AI17" s="134">
        <f t="shared" si="5"/>
        <v>723.37717437420463</v>
      </c>
      <c r="AJ17" s="136">
        <v>16.649999999999999</v>
      </c>
      <c r="AK17" s="154"/>
      <c r="AL17" s="155">
        <v>4.68</v>
      </c>
      <c r="AM17" s="478">
        <f t="shared" si="25"/>
        <v>24.5</v>
      </c>
      <c r="AN17" s="126">
        <f t="shared" si="26"/>
        <v>0.2</v>
      </c>
      <c r="AO17" s="157" t="s">
        <v>320</v>
      </c>
      <c r="AP17" s="156">
        <v>7.9</v>
      </c>
      <c r="AQ17" s="156">
        <v>8.33</v>
      </c>
      <c r="AR17" s="149"/>
      <c r="AS17" s="149">
        <v>8.43</v>
      </c>
      <c r="AT17" s="149">
        <v>122.5</v>
      </c>
      <c r="AU17" s="149">
        <v>0.96</v>
      </c>
      <c r="AV17" s="149"/>
      <c r="AW17" s="149"/>
      <c r="AX17" s="158">
        <f t="shared" si="6"/>
        <v>0</v>
      </c>
      <c r="AY17" s="125">
        <f t="shared" si="7"/>
        <v>94.279999999999987</v>
      </c>
      <c r="AZ17" s="125">
        <f t="shared" si="27"/>
        <v>101.15337466629796</v>
      </c>
      <c r="BA17" s="159">
        <f t="shared" si="8"/>
        <v>4.4536521126760569</v>
      </c>
      <c r="BB17" s="160">
        <f t="shared" si="9"/>
        <v>3.7711999999999994</v>
      </c>
      <c r="BC17" s="161">
        <f t="shared" si="10"/>
        <v>0.82373983573068255</v>
      </c>
      <c r="BD17" s="160">
        <f t="shared" si="28"/>
        <v>8.2248521126760572</v>
      </c>
      <c r="BE17" s="162">
        <v>0.83</v>
      </c>
      <c r="BF17" s="25">
        <f t="shared" si="29"/>
        <v>1052.6100000000001</v>
      </c>
      <c r="BG17" s="25">
        <f t="shared" si="11"/>
        <v>108.06451612903226</v>
      </c>
      <c r="BH17" s="25">
        <f t="shared" si="30"/>
        <v>1188.7096774193544</v>
      </c>
      <c r="BI17" s="26">
        <f t="shared" si="12"/>
        <v>1</v>
      </c>
      <c r="BJ17" s="37">
        <f t="shared" si="31"/>
        <v>1188.7096774193544</v>
      </c>
      <c r="BK17" s="28">
        <f t="shared" si="32"/>
        <v>161.501</v>
      </c>
      <c r="BL17" s="31"/>
      <c r="BM17" s="31">
        <v>49.427</v>
      </c>
      <c r="BN17" s="234"/>
      <c r="BO17" s="42"/>
      <c r="BP17" s="40">
        <v>9.0239999999999991</v>
      </c>
      <c r="BQ17" s="32">
        <v>18</v>
      </c>
      <c r="BR17" s="33">
        <v>0.42</v>
      </c>
      <c r="BS17" s="34"/>
      <c r="BT17" s="35">
        <v>0.15</v>
      </c>
      <c r="BU17" s="28"/>
      <c r="BV17" s="287"/>
      <c r="BW17" s="287">
        <v>0.84</v>
      </c>
      <c r="BX17" s="36"/>
      <c r="BY17" s="33">
        <v>36.68</v>
      </c>
      <c r="BZ17" s="34"/>
      <c r="CA17" s="35">
        <v>37.119999999999997</v>
      </c>
      <c r="CB17" s="405"/>
      <c r="CC17" s="404"/>
      <c r="CD17" s="235">
        <v>29.43</v>
      </c>
      <c r="CE17" s="36">
        <v>43.68</v>
      </c>
      <c r="CF17" s="28">
        <f t="shared" si="33"/>
        <v>104.102</v>
      </c>
      <c r="CG17" s="42">
        <v>45.021000000000001</v>
      </c>
      <c r="CH17" s="234"/>
      <c r="CI17" s="233"/>
      <c r="CJ17" s="33">
        <v>1.45</v>
      </c>
      <c r="CK17" s="33">
        <v>1.45</v>
      </c>
      <c r="CL17" s="33"/>
      <c r="CM17" s="36"/>
      <c r="CN17" s="286"/>
      <c r="CO17" s="249">
        <f t="shared" si="13"/>
        <v>160.82269580000002</v>
      </c>
      <c r="CP17" s="12">
        <f t="shared" si="13"/>
        <v>0</v>
      </c>
      <c r="CQ17" s="12">
        <f t="shared" si="13"/>
        <v>49.352859499999994</v>
      </c>
      <c r="CR17" s="12">
        <f t="shared" si="13"/>
        <v>0</v>
      </c>
      <c r="CS17" s="11">
        <f t="shared" si="13"/>
        <v>0</v>
      </c>
      <c r="CT17" s="11">
        <f t="shared" si="13"/>
        <v>8.948198399999999</v>
      </c>
      <c r="CU17" s="272">
        <f t="shared" si="13"/>
        <v>18</v>
      </c>
      <c r="CV17" s="249">
        <f t="shared" si="14"/>
        <v>102.59252099999999</v>
      </c>
      <c r="CW17" s="12">
        <f t="shared" si="14"/>
        <v>44.368195499999999</v>
      </c>
      <c r="CX17" s="254">
        <f t="shared" si="14"/>
        <v>0</v>
      </c>
      <c r="CY17" s="272">
        <f t="shared" si="14"/>
        <v>0</v>
      </c>
      <c r="CZ17" s="13"/>
      <c r="DA17" s="240">
        <f>(D17+'[2]июль 20'!D17)/(AY17+'[2]июль 20'!BA17)</f>
        <v>2.3598797419354836</v>
      </c>
      <c r="DB17" s="241">
        <f>(T17+'[2]июль 20'!R17)/(AY17+'[2]июль 20'!BA17)</f>
        <v>1.5099549725073311</v>
      </c>
      <c r="DD17" s="292">
        <f t="shared" si="15"/>
        <v>8.9190000000000005</v>
      </c>
      <c r="DE17" s="291">
        <v>0.14000000000000001</v>
      </c>
      <c r="DF17" s="291">
        <v>10.64</v>
      </c>
      <c r="DG17" s="145">
        <f t="shared" si="16"/>
        <v>8.9065134000000015</v>
      </c>
      <c r="DH17" s="293">
        <f t="shared" si="34"/>
        <v>1.2353709109112245</v>
      </c>
      <c r="DJ17" s="39">
        <v>148.501</v>
      </c>
      <c r="DK17" s="460">
        <f t="shared" si="35"/>
        <v>161.501</v>
      </c>
      <c r="DM17" s="38">
        <v>94.102000000000004</v>
      </c>
      <c r="DN17" s="460">
        <f t="shared" si="36"/>
        <v>104.102</v>
      </c>
    </row>
    <row r="18" spans="1:118" s="76" customFormat="1" ht="16.5" customHeight="1" thickBot="1">
      <c r="A18" s="144">
        <v>12</v>
      </c>
      <c r="B18" s="122">
        <f t="shared" si="17"/>
        <v>233.04500000000002</v>
      </c>
      <c r="C18" s="123">
        <f t="shared" si="18"/>
        <v>0.23204402583192088</v>
      </c>
      <c r="D18" s="145">
        <f t="shared" si="19"/>
        <v>232.504233</v>
      </c>
      <c r="E18" s="125">
        <f t="shared" si="20"/>
        <v>37.891602351477182</v>
      </c>
      <c r="F18" s="146">
        <f t="shared" si="0"/>
        <v>2.4328160824526521</v>
      </c>
      <c r="G18" s="127"/>
      <c r="H18" s="126">
        <f t="shared" si="21"/>
        <v>2.2485218478602071</v>
      </c>
      <c r="I18" s="230">
        <f>'[1]июль 20'!AI17</f>
        <v>0</v>
      </c>
      <c r="J18" s="247">
        <f>'[1]июль 20'!AA17</f>
        <v>8.5830000000000002</v>
      </c>
      <c r="K18" s="464">
        <f>'[1]сентябрь 20'!AM17</f>
        <v>0</v>
      </c>
      <c r="L18" s="247">
        <f>'[1]июль 20'!AE17</f>
        <v>17.613</v>
      </c>
      <c r="M18" s="468">
        <f t="shared" si="22"/>
        <v>0.18429423459244532</v>
      </c>
      <c r="N18" s="403">
        <f>'[1]июль 20'!W17</f>
        <v>0</v>
      </c>
      <c r="O18" s="403">
        <f>'[1]июль 20'!AU17</f>
        <v>0</v>
      </c>
      <c r="P18" s="401">
        <f t="shared" si="1"/>
        <v>146.309</v>
      </c>
      <c r="Q18" s="122">
        <f t="shared" si="23"/>
        <v>146.309</v>
      </c>
      <c r="R18" s="123">
        <f t="shared" si="24"/>
        <v>1.52</v>
      </c>
      <c r="S18" s="129">
        <v>8.83</v>
      </c>
      <c r="T18" s="125">
        <f t="shared" si="2"/>
        <v>144.08510319999999</v>
      </c>
      <c r="U18" s="147">
        <f t="shared" si="3"/>
        <v>1.5076394600816154</v>
      </c>
      <c r="V18" s="130">
        <v>95.57</v>
      </c>
      <c r="W18" s="130">
        <v>71.78</v>
      </c>
      <c r="X18" s="129">
        <v>0.59</v>
      </c>
      <c r="Y18" s="131">
        <v>572</v>
      </c>
      <c r="Z18" s="150">
        <v>1145</v>
      </c>
      <c r="AA18" s="148" t="s">
        <v>345</v>
      </c>
      <c r="AB18" s="149">
        <v>76.680000000000007</v>
      </c>
      <c r="AC18" s="150">
        <v>88</v>
      </c>
      <c r="AD18" s="151">
        <v>4</v>
      </c>
      <c r="AE18" s="149"/>
      <c r="AF18" s="134">
        <f t="shared" si="4"/>
        <v>0</v>
      </c>
      <c r="AG18" s="152"/>
      <c r="AH18" s="129">
        <v>70.400000000000006</v>
      </c>
      <c r="AI18" s="134">
        <f t="shared" si="5"/>
        <v>736.63283457151829</v>
      </c>
      <c r="AJ18" s="153">
        <v>14.9</v>
      </c>
      <c r="AK18" s="154"/>
      <c r="AL18" s="155">
        <v>3.69</v>
      </c>
      <c r="AM18" s="478">
        <f t="shared" si="25"/>
        <v>24.480000000000004</v>
      </c>
      <c r="AN18" s="126">
        <f t="shared" si="26"/>
        <v>0.2</v>
      </c>
      <c r="AO18" s="157" t="s">
        <v>346</v>
      </c>
      <c r="AP18" s="156">
        <v>8.19</v>
      </c>
      <c r="AQ18" s="156">
        <v>8.31</v>
      </c>
      <c r="AR18" s="151"/>
      <c r="AS18" s="149">
        <v>8.4499999999999993</v>
      </c>
      <c r="AT18" s="149">
        <v>122.4</v>
      </c>
      <c r="AU18" s="149">
        <v>1.34</v>
      </c>
      <c r="AV18" s="149"/>
      <c r="AW18" s="149"/>
      <c r="AX18" s="158">
        <f t="shared" si="6"/>
        <v>0</v>
      </c>
      <c r="AY18" s="125">
        <f t="shared" si="7"/>
        <v>95.570000000000007</v>
      </c>
      <c r="AZ18" s="125">
        <f t="shared" si="27"/>
        <v>101.80409993425347</v>
      </c>
      <c r="BA18" s="159">
        <f t="shared" si="8"/>
        <v>4.6082253521126759</v>
      </c>
      <c r="BB18" s="160">
        <f t="shared" si="9"/>
        <v>3.8228000000000004</v>
      </c>
      <c r="BC18" s="161">
        <f t="shared" si="10"/>
        <v>0.83182095174037785</v>
      </c>
      <c r="BD18" s="160">
        <f t="shared" si="28"/>
        <v>8.4310253521126768</v>
      </c>
      <c r="BE18" s="162">
        <v>0.83</v>
      </c>
      <c r="BF18" s="25">
        <f t="shared" si="29"/>
        <v>1148.18</v>
      </c>
      <c r="BG18" s="25">
        <f t="shared" si="11"/>
        <v>108.06451612903226</v>
      </c>
      <c r="BH18" s="25">
        <f t="shared" si="30"/>
        <v>1296.7741935483866</v>
      </c>
      <c r="BI18" s="26">
        <f t="shared" si="12"/>
        <v>1</v>
      </c>
      <c r="BJ18" s="37">
        <f t="shared" si="31"/>
        <v>1296.7741935483866</v>
      </c>
      <c r="BK18" s="28">
        <f t="shared" si="32"/>
        <v>158.19200000000001</v>
      </c>
      <c r="BL18" s="31"/>
      <c r="BM18" s="31">
        <v>48.386000000000003</v>
      </c>
      <c r="BN18" s="234"/>
      <c r="BO18" s="42"/>
      <c r="BP18" s="40">
        <v>8.8539999999999992</v>
      </c>
      <c r="BQ18" s="411">
        <v>17.613</v>
      </c>
      <c r="BR18" s="41">
        <v>0.22</v>
      </c>
      <c r="BS18" s="34"/>
      <c r="BT18" s="35">
        <v>0.23</v>
      </c>
      <c r="BU18" s="28"/>
      <c r="BV18" s="287"/>
      <c r="BW18" s="287">
        <v>0.92</v>
      </c>
      <c r="BX18" s="36"/>
      <c r="BY18" s="34">
        <v>37.43</v>
      </c>
      <c r="BZ18" s="34"/>
      <c r="CA18" s="35">
        <v>38.31</v>
      </c>
      <c r="CB18" s="405"/>
      <c r="CC18" s="404"/>
      <c r="CD18" s="235">
        <v>31.92</v>
      </c>
      <c r="CE18" s="405">
        <v>43.89</v>
      </c>
      <c r="CF18" s="28">
        <f t="shared" si="33"/>
        <v>102.31</v>
      </c>
      <c r="CG18" s="42">
        <v>43.999000000000002</v>
      </c>
      <c r="CH18" s="234"/>
      <c r="CI18" s="233"/>
      <c r="CJ18" s="33">
        <v>1.52</v>
      </c>
      <c r="CK18" s="33">
        <v>1.52</v>
      </c>
      <c r="CL18" s="33"/>
      <c r="CM18" s="36"/>
      <c r="CN18" s="286"/>
      <c r="CO18" s="249">
        <f t="shared" si="13"/>
        <v>157.84397760000002</v>
      </c>
      <c r="CP18" s="12">
        <f t="shared" si="13"/>
        <v>0</v>
      </c>
      <c r="CQ18" s="12">
        <f t="shared" si="13"/>
        <v>48.274712199999996</v>
      </c>
      <c r="CR18" s="12">
        <f t="shared" si="13"/>
        <v>0</v>
      </c>
      <c r="CS18" s="11">
        <f t="shared" si="13"/>
        <v>0</v>
      </c>
      <c r="CT18" s="11">
        <f t="shared" si="13"/>
        <v>8.7725431999999994</v>
      </c>
      <c r="CU18" s="272">
        <f t="shared" si="13"/>
        <v>17.613</v>
      </c>
      <c r="CV18" s="249">
        <f t="shared" si="14"/>
        <v>100.75488800000001</v>
      </c>
      <c r="CW18" s="11">
        <f t="shared" si="14"/>
        <v>43.330215200000005</v>
      </c>
      <c r="CX18" s="249">
        <f t="shared" si="14"/>
        <v>0</v>
      </c>
      <c r="CY18" s="272">
        <f t="shared" si="14"/>
        <v>0</v>
      </c>
      <c r="CZ18" s="13"/>
      <c r="DA18" s="240">
        <f>(D18+'[2]июль 20'!D18)/(AY18+'[2]июль 20'!BA18)</f>
        <v>2.2655138166552233</v>
      </c>
      <c r="DB18" s="241">
        <f>(T18+'[2]июль 20'!R18)/(AY18+'[2]июль 20'!BA18)</f>
        <v>1.449483290422245</v>
      </c>
      <c r="DD18" s="292">
        <f t="shared" si="15"/>
        <v>8.5830000000000002</v>
      </c>
      <c r="DE18" s="291">
        <v>0.17</v>
      </c>
      <c r="DF18" s="291">
        <v>13.45</v>
      </c>
      <c r="DG18" s="145">
        <f t="shared" si="16"/>
        <v>8.5684088999999997</v>
      </c>
      <c r="DH18" s="293">
        <f t="shared" si="34"/>
        <v>1.5029355725743347</v>
      </c>
      <c r="DJ18" s="38">
        <v>145.19200000000001</v>
      </c>
      <c r="DK18" s="460">
        <f t="shared" si="35"/>
        <v>158.19200000000001</v>
      </c>
      <c r="DM18" s="38">
        <v>92.31</v>
      </c>
      <c r="DN18" s="460">
        <f t="shared" si="36"/>
        <v>102.31</v>
      </c>
    </row>
    <row r="19" spans="1:118" s="76" customFormat="1" ht="16.5" customHeight="1" thickBot="1">
      <c r="A19" s="144">
        <v>13</v>
      </c>
      <c r="B19" s="122">
        <f t="shared" si="17"/>
        <v>215.53200000000001</v>
      </c>
      <c r="C19" s="123">
        <f t="shared" si="18"/>
        <v>0.39520878570235513</v>
      </c>
      <c r="D19" s="145">
        <f t="shared" si="19"/>
        <v>214.68019860000001</v>
      </c>
      <c r="E19" s="125">
        <f t="shared" si="20"/>
        <v>38.004611612196797</v>
      </c>
      <c r="F19" s="146">
        <f t="shared" si="0"/>
        <v>2.3472578023179533</v>
      </c>
      <c r="G19" s="127">
        <v>14.76</v>
      </c>
      <c r="H19" s="126">
        <f t="shared" si="21"/>
        <v>2.1700874546249733</v>
      </c>
      <c r="I19" s="230">
        <f>'[1]июль 20'!AI18</f>
        <v>0</v>
      </c>
      <c r="J19" s="247">
        <f>'[1]июль 20'!AA18</f>
        <v>8.1920000000000002</v>
      </c>
      <c r="K19" s="465">
        <f>'[1]сентябрь 20'!AM18</f>
        <v>0</v>
      </c>
      <c r="L19" s="247">
        <f>'[1]июль 20'!AE18</f>
        <v>16.204000000000001</v>
      </c>
      <c r="M19" s="469">
        <f t="shared" si="22"/>
        <v>0.17717034769298057</v>
      </c>
      <c r="N19" s="403">
        <f>'[1]июль 20'!W18</f>
        <v>0</v>
      </c>
      <c r="O19" s="403">
        <f>'[1]июль 20'!AU18</f>
        <v>0</v>
      </c>
      <c r="P19" s="401">
        <f t="shared" si="1"/>
        <v>136.36099999999999</v>
      </c>
      <c r="Q19" s="122">
        <f t="shared" si="23"/>
        <v>136.36099999999999</v>
      </c>
      <c r="R19" s="123">
        <f t="shared" si="24"/>
        <v>1.3900000000000001</v>
      </c>
      <c r="S19" s="129">
        <v>13.24</v>
      </c>
      <c r="T19" s="125">
        <f t="shared" si="2"/>
        <v>134.46558209999998</v>
      </c>
      <c r="U19" s="147">
        <f t="shared" si="3"/>
        <v>1.4702119188716378</v>
      </c>
      <c r="V19" s="130">
        <v>91.46</v>
      </c>
      <c r="W19" s="130">
        <v>67.790000000000006</v>
      </c>
      <c r="X19" s="129">
        <v>0.87</v>
      </c>
      <c r="Y19" s="131">
        <v>570</v>
      </c>
      <c r="Z19" s="150">
        <v>1150</v>
      </c>
      <c r="AA19" s="148" t="s">
        <v>287</v>
      </c>
      <c r="AB19" s="149">
        <v>76.86</v>
      </c>
      <c r="AC19" s="150">
        <v>81</v>
      </c>
      <c r="AD19" s="151">
        <v>4</v>
      </c>
      <c r="AE19" s="149"/>
      <c r="AF19" s="134">
        <f t="shared" si="4"/>
        <v>0</v>
      </c>
      <c r="AG19" s="152"/>
      <c r="AH19" s="129">
        <v>54.35</v>
      </c>
      <c r="AI19" s="134">
        <f t="shared" si="5"/>
        <v>594.24885195713978</v>
      </c>
      <c r="AJ19" s="136">
        <v>17.489999999999998</v>
      </c>
      <c r="AK19" s="154"/>
      <c r="AL19" s="155">
        <v>5.09</v>
      </c>
      <c r="AM19" s="478">
        <f t="shared" si="25"/>
        <v>23.91</v>
      </c>
      <c r="AN19" s="126">
        <f t="shared" si="26"/>
        <v>0.2</v>
      </c>
      <c r="AO19" s="157" t="s">
        <v>347</v>
      </c>
      <c r="AP19" s="156">
        <v>9.02</v>
      </c>
      <c r="AQ19" s="156">
        <v>7.69</v>
      </c>
      <c r="AR19" s="151"/>
      <c r="AS19" s="149">
        <v>6.93</v>
      </c>
      <c r="AT19" s="149">
        <v>119.55</v>
      </c>
      <c r="AU19" s="149">
        <v>0.91</v>
      </c>
      <c r="AV19" s="164"/>
      <c r="AW19" s="149"/>
      <c r="AX19" s="158">
        <f t="shared" si="6"/>
        <v>0</v>
      </c>
      <c r="AY19" s="125">
        <f t="shared" si="7"/>
        <v>91.46</v>
      </c>
      <c r="AZ19" s="125">
        <f t="shared" si="27"/>
        <v>93.968459938579826</v>
      </c>
      <c r="BA19" s="159">
        <f t="shared" si="8"/>
        <v>2.9176764084507036</v>
      </c>
      <c r="BB19" s="160">
        <f t="shared" si="9"/>
        <v>3.6583999999999999</v>
      </c>
      <c r="BC19" s="161">
        <f t="shared" si="10"/>
        <v>0.86159523839951135</v>
      </c>
      <c r="BD19" s="160">
        <f t="shared" si="28"/>
        <v>6.5760764084507031</v>
      </c>
      <c r="BE19" s="162">
        <v>0.83199999999999996</v>
      </c>
      <c r="BF19" s="25">
        <f t="shared" si="29"/>
        <v>1239.6400000000001</v>
      </c>
      <c r="BG19" s="25">
        <f t="shared" si="11"/>
        <v>108.06451612903226</v>
      </c>
      <c r="BH19" s="25">
        <f t="shared" si="30"/>
        <v>1404.8387096774188</v>
      </c>
      <c r="BI19" s="26">
        <f t="shared" si="12"/>
        <v>1</v>
      </c>
      <c r="BJ19" s="37">
        <f t="shared" si="31"/>
        <v>1404.8387096774188</v>
      </c>
      <c r="BK19" s="28">
        <f t="shared" si="32"/>
        <v>146.62200000000001</v>
      </c>
      <c r="BL19" s="31"/>
      <c r="BM19" s="31">
        <v>44.570999999999998</v>
      </c>
      <c r="BN19" s="234"/>
      <c r="BO19" s="42"/>
      <c r="BP19" s="40">
        <v>8.1349999999999998</v>
      </c>
      <c r="BQ19" s="411">
        <v>16.204000000000001</v>
      </c>
      <c r="BR19" s="33">
        <v>0.47</v>
      </c>
      <c r="BS19" s="34"/>
      <c r="BT19" s="35">
        <v>0.25</v>
      </c>
      <c r="BU19" s="28"/>
      <c r="BV19" s="287"/>
      <c r="BW19" s="287">
        <v>0.63</v>
      </c>
      <c r="BX19" s="36"/>
      <c r="BY19" s="33">
        <v>37.65</v>
      </c>
      <c r="BZ19" s="34"/>
      <c r="CA19" s="35">
        <v>38.72</v>
      </c>
      <c r="CB19" s="405"/>
      <c r="CC19" s="404"/>
      <c r="CD19" s="235">
        <v>29.59</v>
      </c>
      <c r="CE19" s="413">
        <v>43.47</v>
      </c>
      <c r="CF19" s="28">
        <f t="shared" si="33"/>
        <v>95.866</v>
      </c>
      <c r="CG19" s="41">
        <v>40.494999999999997</v>
      </c>
      <c r="CH19" s="30"/>
      <c r="CI19" s="32"/>
      <c r="CJ19" s="33">
        <v>1.39</v>
      </c>
      <c r="CK19" s="33">
        <v>1.39</v>
      </c>
      <c r="CL19" s="33"/>
      <c r="CM19" s="36"/>
      <c r="CN19" s="286"/>
      <c r="CO19" s="249">
        <f t="shared" si="13"/>
        <v>145.93287660000001</v>
      </c>
      <c r="CP19" s="12">
        <f t="shared" si="13"/>
        <v>0</v>
      </c>
      <c r="CQ19" s="12">
        <f t="shared" si="13"/>
        <v>44.4595725</v>
      </c>
      <c r="CR19" s="12">
        <f t="shared" si="13"/>
        <v>0</v>
      </c>
      <c r="CS19" s="11">
        <f t="shared" si="13"/>
        <v>0</v>
      </c>
      <c r="CT19" s="11">
        <f t="shared" si="13"/>
        <v>8.0837494999999997</v>
      </c>
      <c r="CU19" s="272">
        <f t="shared" si="13"/>
        <v>16.204000000000001</v>
      </c>
      <c r="CV19" s="249">
        <f t="shared" si="14"/>
        <v>94.533462599999993</v>
      </c>
      <c r="CW19" s="251">
        <f t="shared" si="14"/>
        <v>39.932119499999999</v>
      </c>
      <c r="CX19" s="249">
        <f t="shared" si="14"/>
        <v>0</v>
      </c>
      <c r="CY19" s="272">
        <f t="shared" si="14"/>
        <v>0</v>
      </c>
      <c r="CZ19" s="13"/>
      <c r="DA19" s="240">
        <f>(D19+'[2]июль 20'!D19)/(AY19+'[2]июль 20'!BA19)</f>
        <v>2.1987419464642177</v>
      </c>
      <c r="DB19" s="241">
        <f>(T19+'[2]июль 20'!R19)/(AY19+'[2]июль 20'!BA19)</f>
        <v>1.4108617844438609</v>
      </c>
      <c r="DD19" s="292">
        <f t="shared" si="15"/>
        <v>8.1920000000000002</v>
      </c>
      <c r="DE19" s="291">
        <v>0.11</v>
      </c>
      <c r="DF19" s="291">
        <v>12.19</v>
      </c>
      <c r="DG19" s="145">
        <f t="shared" si="16"/>
        <v>8.1829888000000004</v>
      </c>
      <c r="DH19" s="293">
        <f t="shared" si="34"/>
        <v>1.2978224495446267</v>
      </c>
      <c r="DJ19" s="38">
        <v>133.62200000000001</v>
      </c>
      <c r="DK19" s="460">
        <f t="shared" si="35"/>
        <v>146.62200000000001</v>
      </c>
      <c r="DM19" s="41">
        <v>85.866</v>
      </c>
      <c r="DN19" s="460">
        <f t="shared" si="36"/>
        <v>95.866</v>
      </c>
    </row>
    <row r="20" spans="1:118" s="76" customFormat="1" ht="16.5" customHeight="1" thickBot="1">
      <c r="A20" s="144">
        <v>14</v>
      </c>
      <c r="B20" s="122">
        <f t="shared" si="17"/>
        <v>220.80800000000002</v>
      </c>
      <c r="C20" s="123">
        <f t="shared" si="18"/>
        <v>0.32558639179739862</v>
      </c>
      <c r="D20" s="145">
        <f t="shared" si="19"/>
        <v>220.08907920000001</v>
      </c>
      <c r="E20" s="125">
        <f t="shared" si="20"/>
        <v>37.928918155139307</v>
      </c>
      <c r="F20" s="146">
        <f t="shared" si="0"/>
        <v>2.2419178893755736</v>
      </c>
      <c r="G20" s="127"/>
      <c r="H20" s="126">
        <f t="shared" si="21"/>
        <v>2.0728030885199149</v>
      </c>
      <c r="I20" s="230">
        <f>'[1]июль 20'!AI19</f>
        <v>0</v>
      </c>
      <c r="J20" s="247">
        <f>'[1]июль 20'!AA19</f>
        <v>8.2249999999999996</v>
      </c>
      <c r="K20" s="464">
        <f>'[1]сентябрь 20'!AM19</f>
        <v>0</v>
      </c>
      <c r="L20" s="247">
        <f>'[1]июль 20'!AE19</f>
        <v>16.602</v>
      </c>
      <c r="M20" s="468">
        <f t="shared" si="22"/>
        <v>0.16911480085565858</v>
      </c>
      <c r="N20" s="403">
        <f>'[1]июль 20'!W19</f>
        <v>0</v>
      </c>
      <c r="O20" s="403">
        <f>'[1]июль 20'!AU19</f>
        <v>0</v>
      </c>
      <c r="P20" s="401">
        <f t="shared" si="1"/>
        <v>138.89500000000001</v>
      </c>
      <c r="Q20" s="122">
        <f t="shared" si="23"/>
        <v>138.89500000000001</v>
      </c>
      <c r="R20" s="123">
        <f t="shared" si="24"/>
        <v>1.41</v>
      </c>
      <c r="S20" s="129">
        <v>2.3199999999999998</v>
      </c>
      <c r="T20" s="125">
        <f t="shared" si="2"/>
        <v>136.93658050000002</v>
      </c>
      <c r="U20" s="147">
        <f t="shared" si="3"/>
        <v>1.3948923347254767</v>
      </c>
      <c r="V20" s="130">
        <v>98.17</v>
      </c>
      <c r="W20" s="130">
        <v>98.17</v>
      </c>
      <c r="X20" s="129">
        <v>0.42</v>
      </c>
      <c r="Y20" s="131">
        <v>565</v>
      </c>
      <c r="Z20" s="150">
        <v>1164</v>
      </c>
      <c r="AA20" s="168" t="s">
        <v>330</v>
      </c>
      <c r="AB20" s="149">
        <v>76.67</v>
      </c>
      <c r="AC20" s="150">
        <v>83</v>
      </c>
      <c r="AD20" s="151">
        <v>4</v>
      </c>
      <c r="AE20" s="149"/>
      <c r="AF20" s="134">
        <f t="shared" si="4"/>
        <v>0</v>
      </c>
      <c r="AG20" s="152"/>
      <c r="AH20" s="129">
        <v>71.400000000000006</v>
      </c>
      <c r="AI20" s="134">
        <f t="shared" si="5"/>
        <v>727.30976876846296</v>
      </c>
      <c r="AJ20" s="153">
        <v>16.309999999999999</v>
      </c>
      <c r="AK20" s="154"/>
      <c r="AL20" s="155">
        <v>5.18</v>
      </c>
      <c r="AM20" s="478">
        <f t="shared" si="25"/>
        <v>25.450000000000003</v>
      </c>
      <c r="AN20" s="126">
        <f t="shared" si="26"/>
        <v>0.2</v>
      </c>
      <c r="AO20" s="157" t="s">
        <v>348</v>
      </c>
      <c r="AP20" s="156">
        <v>8.09</v>
      </c>
      <c r="AQ20" s="156">
        <v>8.59</v>
      </c>
      <c r="AR20" s="149"/>
      <c r="AS20" s="149">
        <v>7.42</v>
      </c>
      <c r="AT20" s="149">
        <v>127.25</v>
      </c>
      <c r="AU20" s="149">
        <v>1.55</v>
      </c>
      <c r="AV20" s="149"/>
      <c r="AW20" s="149"/>
      <c r="AX20" s="158">
        <f t="shared" si="6"/>
        <v>0</v>
      </c>
      <c r="AY20" s="125">
        <f t="shared" si="7"/>
        <v>98.169999999999987</v>
      </c>
      <c r="AZ20" s="125">
        <f t="shared" si="27"/>
        <v>96.444446087075008</v>
      </c>
      <c r="BA20" s="159">
        <f t="shared" si="8"/>
        <v>4.1039915492957748</v>
      </c>
      <c r="BB20" s="160">
        <f t="shared" si="9"/>
        <v>3.9267999999999996</v>
      </c>
      <c r="BC20" s="161">
        <f t="shared" si="10"/>
        <v>0.90164443241645598</v>
      </c>
      <c r="BD20" s="160">
        <f t="shared" si="28"/>
        <v>8.030791549295774</v>
      </c>
      <c r="BE20" s="162">
        <v>0.83699999999999997</v>
      </c>
      <c r="BF20" s="25">
        <f t="shared" si="29"/>
        <v>1337.8100000000002</v>
      </c>
      <c r="BG20" s="25">
        <f t="shared" si="11"/>
        <v>108.06451612903226</v>
      </c>
      <c r="BH20" s="25">
        <f t="shared" si="30"/>
        <v>1512.903225806451</v>
      </c>
      <c r="BI20" s="26">
        <f t="shared" si="12"/>
        <v>1</v>
      </c>
      <c r="BJ20" s="37">
        <f t="shared" si="31"/>
        <v>1512.903225806451</v>
      </c>
      <c r="BK20" s="28">
        <f t="shared" si="32"/>
        <v>149.923</v>
      </c>
      <c r="BL20" s="31"/>
      <c r="BM20" s="31">
        <v>45.698999999999998</v>
      </c>
      <c r="BN20" s="234"/>
      <c r="BO20" s="42"/>
      <c r="BP20" s="40">
        <v>8.5839999999999996</v>
      </c>
      <c r="BQ20" s="411">
        <v>16.602</v>
      </c>
      <c r="BR20" s="33">
        <v>0.38</v>
      </c>
      <c r="BS20" s="34"/>
      <c r="BT20" s="35">
        <v>0.18</v>
      </c>
      <c r="BU20" s="28"/>
      <c r="BV20" s="287"/>
      <c r="BW20" s="287">
        <v>0.78</v>
      </c>
      <c r="BX20" s="36"/>
      <c r="BY20" s="33">
        <v>37.71</v>
      </c>
      <c r="BZ20" s="34"/>
      <c r="CA20" s="35">
        <v>37.770000000000003</v>
      </c>
      <c r="CB20" s="405"/>
      <c r="CC20" s="404"/>
      <c r="CD20" s="235">
        <v>31.05</v>
      </c>
      <c r="CE20" s="413">
        <v>43.9</v>
      </c>
      <c r="CF20" s="28">
        <f t="shared" si="33"/>
        <v>97.397000000000006</v>
      </c>
      <c r="CG20" s="30">
        <v>41.497999999999998</v>
      </c>
      <c r="CH20" s="31"/>
      <c r="CI20" s="32"/>
      <c r="CJ20" s="33">
        <v>1.41</v>
      </c>
      <c r="CK20" s="33">
        <v>1.41</v>
      </c>
      <c r="CL20" s="35"/>
      <c r="CM20" s="36"/>
      <c r="CN20" s="286"/>
      <c r="CO20" s="249">
        <f t="shared" si="13"/>
        <v>149.3532926</v>
      </c>
      <c r="CP20" s="12">
        <f t="shared" si="13"/>
        <v>0</v>
      </c>
      <c r="CQ20" s="12">
        <f t="shared" si="13"/>
        <v>45.6167418</v>
      </c>
      <c r="CR20" s="12">
        <f t="shared" si="13"/>
        <v>0</v>
      </c>
      <c r="CS20" s="11">
        <f t="shared" si="13"/>
        <v>0</v>
      </c>
      <c r="CT20" s="11">
        <f t="shared" si="13"/>
        <v>8.517044799999999</v>
      </c>
      <c r="CU20" s="272">
        <f t="shared" si="13"/>
        <v>16.602</v>
      </c>
      <c r="CV20" s="249">
        <f t="shared" si="14"/>
        <v>96.023702300000011</v>
      </c>
      <c r="CW20" s="12">
        <f t="shared" si="14"/>
        <v>40.912878199999994</v>
      </c>
      <c r="CX20" s="249">
        <f t="shared" si="14"/>
        <v>0</v>
      </c>
      <c r="CY20" s="272">
        <f t="shared" si="14"/>
        <v>0</v>
      </c>
      <c r="CZ20" s="13"/>
      <c r="DA20" s="240">
        <f>(D20+'[2]июль 20'!D20)/(AY20+'[2]июль 20'!BA20)</f>
        <v>2.1447295121519598</v>
      </c>
      <c r="DB20" s="241">
        <f>(T20+'[2]июль 20'!R20)/(AY20+'[2]июль 20'!BA20)</f>
        <v>1.3689201410121405</v>
      </c>
      <c r="DD20" s="292">
        <f t="shared" si="15"/>
        <v>8.2249999999999996</v>
      </c>
      <c r="DE20" s="291">
        <v>0.1</v>
      </c>
      <c r="DF20" s="407">
        <v>13</v>
      </c>
      <c r="DG20" s="145">
        <f t="shared" si="16"/>
        <v>8.2167750000000002</v>
      </c>
      <c r="DH20" s="293">
        <f t="shared" si="34"/>
        <v>1.3932186644058953</v>
      </c>
      <c r="DJ20" s="38">
        <v>136.923</v>
      </c>
      <c r="DK20" s="460">
        <f t="shared" si="35"/>
        <v>149.923</v>
      </c>
      <c r="DM20" s="30">
        <v>87.397000000000006</v>
      </c>
      <c r="DN20" s="460">
        <f t="shared" si="36"/>
        <v>97.397000000000006</v>
      </c>
    </row>
    <row r="21" spans="1:118" s="76" customFormat="1" ht="16.5" customHeight="1" thickBot="1">
      <c r="A21" s="144">
        <v>15</v>
      </c>
      <c r="B21" s="122">
        <f t="shared" si="17"/>
        <v>235.01299999999998</v>
      </c>
      <c r="C21" s="123">
        <f t="shared" si="18"/>
        <v>0.42421763902422421</v>
      </c>
      <c r="D21" s="145">
        <f t="shared" si="19"/>
        <v>234.0160334</v>
      </c>
      <c r="E21" s="125">
        <f t="shared" si="20"/>
        <v>37.202214558343584</v>
      </c>
      <c r="F21" s="146">
        <f t="shared" si="0"/>
        <v>2.553923752046273</v>
      </c>
      <c r="G21" s="127"/>
      <c r="H21" s="126">
        <f t="shared" si="21"/>
        <v>2.3588020670086216</v>
      </c>
      <c r="I21" s="230">
        <f>'[1]июль 20'!AI20</f>
        <v>0</v>
      </c>
      <c r="J21" s="247">
        <f>'[1]июль 20'!AA20</f>
        <v>9.0169999999999995</v>
      </c>
      <c r="K21" s="465">
        <f>'[1]сентябрь 20'!AM20</f>
        <v>0</v>
      </c>
      <c r="L21" s="247">
        <f>'[1]июль 20'!AE20</f>
        <v>17.879000000000001</v>
      </c>
      <c r="M21" s="469">
        <f t="shared" si="22"/>
        <v>0.19512168503765145</v>
      </c>
      <c r="N21" s="403">
        <f>'[1]июль 20'!W20</f>
        <v>0</v>
      </c>
      <c r="O21" s="403">
        <f>'[1]июль 20'!AU20</f>
        <v>0</v>
      </c>
      <c r="P21" s="401">
        <f t="shared" si="1"/>
        <v>148.80000000000001</v>
      </c>
      <c r="Q21" s="122">
        <f t="shared" si="23"/>
        <v>148.80000000000001</v>
      </c>
      <c r="R21" s="123">
        <f t="shared" si="24"/>
        <v>1.39</v>
      </c>
      <c r="S21" s="129">
        <v>2.15</v>
      </c>
      <c r="T21" s="125">
        <f t="shared" si="2"/>
        <v>146.73168000000001</v>
      </c>
      <c r="U21" s="147">
        <f t="shared" si="3"/>
        <v>1.6013497762741462</v>
      </c>
      <c r="V21" s="130">
        <v>91.63</v>
      </c>
      <c r="W21" s="130">
        <v>72</v>
      </c>
      <c r="X21" s="129">
        <v>0.73</v>
      </c>
      <c r="Y21" s="131">
        <v>568</v>
      </c>
      <c r="Z21" s="150">
        <v>1150</v>
      </c>
      <c r="AA21" s="168" t="s">
        <v>280</v>
      </c>
      <c r="AB21" s="149">
        <v>76.27</v>
      </c>
      <c r="AC21" s="150">
        <v>89</v>
      </c>
      <c r="AD21" s="151">
        <v>4</v>
      </c>
      <c r="AE21" s="149"/>
      <c r="AF21" s="134">
        <f t="shared" si="4"/>
        <v>0</v>
      </c>
      <c r="AG21" s="152"/>
      <c r="AH21" s="129">
        <v>55.5</v>
      </c>
      <c r="AI21" s="134">
        <f t="shared" si="5"/>
        <v>605.69682418421917</v>
      </c>
      <c r="AJ21" s="136">
        <v>15.44</v>
      </c>
      <c r="AK21" s="154"/>
      <c r="AL21" s="155">
        <v>4.8</v>
      </c>
      <c r="AM21" s="478">
        <f t="shared" si="25"/>
        <v>23.790000000000003</v>
      </c>
      <c r="AN21" s="126">
        <f t="shared" si="26"/>
        <v>0.2</v>
      </c>
      <c r="AO21" s="157" t="s">
        <v>349</v>
      </c>
      <c r="AP21" s="156">
        <v>8.35</v>
      </c>
      <c r="AQ21" s="156">
        <v>8.06</v>
      </c>
      <c r="AR21" s="149"/>
      <c r="AS21" s="149">
        <v>6.74</v>
      </c>
      <c r="AT21" s="149">
        <v>118.95</v>
      </c>
      <c r="AU21" s="149">
        <v>1.27</v>
      </c>
      <c r="AV21" s="149"/>
      <c r="AW21" s="149"/>
      <c r="AX21" s="158">
        <f t="shared" si="6"/>
        <v>0</v>
      </c>
      <c r="AY21" s="125">
        <f t="shared" si="7"/>
        <v>91.63</v>
      </c>
      <c r="AZ21" s="125">
        <f t="shared" si="27"/>
        <v>101.04262219057439</v>
      </c>
      <c r="BA21" s="159">
        <f t="shared" si="8"/>
        <v>2.8977253521126758</v>
      </c>
      <c r="BB21" s="160">
        <f t="shared" si="9"/>
        <v>3.6652</v>
      </c>
      <c r="BC21" s="161">
        <f t="shared" si="10"/>
        <v>0.80274392216715718</v>
      </c>
      <c r="BD21" s="160">
        <f t="shared" si="28"/>
        <v>6.5629253521126758</v>
      </c>
      <c r="BE21" s="162">
        <v>0.83499999999999996</v>
      </c>
      <c r="BF21" s="25">
        <f t="shared" si="29"/>
        <v>1429.44</v>
      </c>
      <c r="BG21" s="25">
        <f t="shared" si="11"/>
        <v>108.06451612903226</v>
      </c>
      <c r="BH21" s="25">
        <f t="shared" si="30"/>
        <v>1620.9677419354832</v>
      </c>
      <c r="BI21" s="26">
        <f t="shared" si="12"/>
        <v>1</v>
      </c>
      <c r="BJ21" s="37">
        <f t="shared" si="31"/>
        <v>1620.9677419354832</v>
      </c>
      <c r="BK21" s="28">
        <f t="shared" si="32"/>
        <v>159.46199999999999</v>
      </c>
      <c r="BL21" s="31"/>
      <c r="BM21" s="31">
        <v>48.963999999999999</v>
      </c>
      <c r="BN21" s="234"/>
      <c r="BO21" s="42"/>
      <c r="BP21" s="40">
        <v>8.7080000000000002</v>
      </c>
      <c r="BQ21" s="411">
        <v>17.879000000000001</v>
      </c>
      <c r="BR21" s="33">
        <v>0.53</v>
      </c>
      <c r="BS21" s="34"/>
      <c r="BT21" s="35">
        <v>0.15</v>
      </c>
      <c r="BU21" s="35"/>
      <c r="BV21" s="235"/>
      <c r="BW21" s="235">
        <v>0.9</v>
      </c>
      <c r="BX21" s="36"/>
      <c r="BY21" s="33">
        <v>37.1</v>
      </c>
      <c r="BZ21" s="34"/>
      <c r="CA21" s="35">
        <v>36.5</v>
      </c>
      <c r="CB21" s="405"/>
      <c r="CC21" s="404"/>
      <c r="CD21" s="235">
        <v>30.4</v>
      </c>
      <c r="CE21" s="413">
        <v>43.35</v>
      </c>
      <c r="CF21" s="28">
        <f t="shared" si="33"/>
        <v>104.29900000000001</v>
      </c>
      <c r="CG21" s="30">
        <v>44.500999999999998</v>
      </c>
      <c r="CH21" s="31"/>
      <c r="CI21" s="32"/>
      <c r="CJ21" s="33">
        <v>1.39</v>
      </c>
      <c r="CK21" s="33">
        <v>1.39</v>
      </c>
      <c r="CL21" s="35"/>
      <c r="CM21" s="36"/>
      <c r="CN21" s="286"/>
      <c r="CO21" s="249">
        <f t="shared" si="13"/>
        <v>158.6168514</v>
      </c>
      <c r="CP21" s="12">
        <f t="shared" si="13"/>
        <v>0</v>
      </c>
      <c r="CQ21" s="12">
        <f t="shared" si="13"/>
        <v>48.890553999999995</v>
      </c>
      <c r="CR21" s="12">
        <f t="shared" si="13"/>
        <v>0</v>
      </c>
      <c r="CS21" s="11">
        <f t="shared" si="13"/>
        <v>0</v>
      </c>
      <c r="CT21" s="11">
        <f t="shared" si="13"/>
        <v>8.6296280000000003</v>
      </c>
      <c r="CU21" s="272">
        <f t="shared" si="13"/>
        <v>17.879000000000001</v>
      </c>
      <c r="CV21" s="249">
        <f t="shared" si="14"/>
        <v>102.8492439</v>
      </c>
      <c r="CW21" s="12">
        <f t="shared" si="14"/>
        <v>43.8824361</v>
      </c>
      <c r="CX21" s="249">
        <f t="shared" si="14"/>
        <v>0</v>
      </c>
      <c r="CY21" s="272">
        <f t="shared" si="14"/>
        <v>0</v>
      </c>
      <c r="CZ21" s="13"/>
      <c r="DA21" s="240">
        <f>(D21+'[2]июль 20'!D21)/(AY21+'[2]июль 20'!BA21)</f>
        <v>2.4119936906238033</v>
      </c>
      <c r="DB21" s="241">
        <f>(T21+'[2]июль 20'!R21)/(AY21+'[2]июль 20'!BA21)</f>
        <v>1.5392041479146967</v>
      </c>
      <c r="DD21" s="292">
        <f t="shared" si="15"/>
        <v>9.0169999999999995</v>
      </c>
      <c r="DE21" s="291">
        <v>0.05</v>
      </c>
      <c r="DF21" s="291">
        <v>11.79</v>
      </c>
      <c r="DG21" s="145">
        <f t="shared" si="16"/>
        <v>9.0124914999999994</v>
      </c>
      <c r="DH21" s="293">
        <f t="shared" si="34"/>
        <v>1.3931726076438966</v>
      </c>
      <c r="DJ21" s="38">
        <v>146.46199999999999</v>
      </c>
      <c r="DK21" s="460">
        <f t="shared" si="35"/>
        <v>159.46199999999999</v>
      </c>
      <c r="DM21" s="30">
        <v>94.299000000000007</v>
      </c>
      <c r="DN21" s="460">
        <f t="shared" si="36"/>
        <v>104.29900000000001</v>
      </c>
    </row>
    <row r="22" spans="1:118" s="76" customFormat="1" ht="16.5" customHeight="1" thickBot="1">
      <c r="A22" s="144">
        <v>16</v>
      </c>
      <c r="B22" s="122">
        <f t="shared" si="17"/>
        <v>225.93100000000001</v>
      </c>
      <c r="C22" s="123">
        <f t="shared" si="18"/>
        <v>0.2168991417733733</v>
      </c>
      <c r="D22" s="145">
        <f t="shared" si="19"/>
        <v>225.44095760000005</v>
      </c>
      <c r="E22" s="125">
        <f t="shared" si="20"/>
        <v>37.955124661954322</v>
      </c>
      <c r="F22" s="146">
        <f t="shared" si="0"/>
        <v>2.3770661914803886</v>
      </c>
      <c r="G22" s="127"/>
      <c r="H22" s="126">
        <f t="shared" si="21"/>
        <v>2.1934622269084776</v>
      </c>
      <c r="I22" s="230">
        <f>'[1]июль 20'!AI21</f>
        <v>0</v>
      </c>
      <c r="J22" s="247">
        <f>'[1]июль 20'!AA21</f>
        <v>8.4280000000000008</v>
      </c>
      <c r="K22" s="464">
        <f>'[1]сентябрь 20'!AM21</f>
        <v>0</v>
      </c>
      <c r="L22" s="247">
        <f>'[1]июль 20'!AE21</f>
        <v>17.413</v>
      </c>
      <c r="M22" s="468">
        <f t="shared" si="22"/>
        <v>0.18360396457191058</v>
      </c>
      <c r="N22" s="403">
        <f>'[1]июль 20'!W21</f>
        <v>0</v>
      </c>
      <c r="O22" s="403">
        <f>'[1]июль 20'!AU21</f>
        <v>0</v>
      </c>
      <c r="P22" s="401">
        <f t="shared" si="1"/>
        <v>141.417</v>
      </c>
      <c r="Q22" s="122">
        <f t="shared" si="23"/>
        <v>141.417</v>
      </c>
      <c r="R22" s="123">
        <f t="shared" si="24"/>
        <v>1.3899999999999997</v>
      </c>
      <c r="S22" s="129">
        <v>1.65</v>
      </c>
      <c r="T22" s="125">
        <f t="shared" si="2"/>
        <v>139.45130370000001</v>
      </c>
      <c r="U22" s="147">
        <f t="shared" si="3"/>
        <v>1.47038489772248</v>
      </c>
      <c r="V22" s="130">
        <v>94.84</v>
      </c>
      <c r="W22" s="130">
        <v>70.989999999999995</v>
      </c>
      <c r="X22" s="129">
        <v>0.63</v>
      </c>
      <c r="Y22" s="131">
        <v>573</v>
      </c>
      <c r="Z22" s="150">
        <v>1157</v>
      </c>
      <c r="AA22" s="148" t="s">
        <v>330</v>
      </c>
      <c r="AB22" s="149">
        <v>76.456000000000003</v>
      </c>
      <c r="AC22" s="150">
        <v>85</v>
      </c>
      <c r="AD22" s="151">
        <v>4</v>
      </c>
      <c r="AE22" s="149"/>
      <c r="AF22" s="134">
        <f t="shared" si="4"/>
        <v>0</v>
      </c>
      <c r="AG22" s="152"/>
      <c r="AH22" s="129">
        <v>69.2</v>
      </c>
      <c r="AI22" s="134">
        <f t="shared" si="5"/>
        <v>729.64993673555466</v>
      </c>
      <c r="AJ22" s="153">
        <v>16.07</v>
      </c>
      <c r="AK22" s="154"/>
      <c r="AL22" s="155">
        <v>5.17</v>
      </c>
      <c r="AM22" s="478">
        <f t="shared" si="25"/>
        <v>24.66</v>
      </c>
      <c r="AN22" s="126">
        <f t="shared" si="26"/>
        <v>0.2</v>
      </c>
      <c r="AO22" s="157" t="s">
        <v>350</v>
      </c>
      <c r="AP22" s="156">
        <v>8.1300000000000008</v>
      </c>
      <c r="AQ22" s="156">
        <v>8.35</v>
      </c>
      <c r="AR22" s="151"/>
      <c r="AS22" s="149">
        <v>7.42</v>
      </c>
      <c r="AT22" s="149">
        <v>123.3</v>
      </c>
      <c r="AU22" s="149">
        <v>1.37</v>
      </c>
      <c r="AV22" s="149"/>
      <c r="AW22" s="149"/>
      <c r="AX22" s="158">
        <f t="shared" si="6"/>
        <v>0</v>
      </c>
      <c r="AY22" s="125">
        <f t="shared" si="7"/>
        <v>94.84</v>
      </c>
      <c r="AZ22" s="125">
        <f t="shared" si="27"/>
        <v>98.40996823026093</v>
      </c>
      <c r="BA22" s="159">
        <f t="shared" si="8"/>
        <v>3.9775380281690147</v>
      </c>
      <c r="BB22" s="160">
        <f t="shared" si="9"/>
        <v>3.7936000000000001</v>
      </c>
      <c r="BC22" s="161">
        <f t="shared" si="10"/>
        <v>0.84742227520629665</v>
      </c>
      <c r="BD22" s="160">
        <f t="shared" si="28"/>
        <v>7.7711380281690143</v>
      </c>
      <c r="BE22" s="162">
        <v>0.83599999999999997</v>
      </c>
      <c r="BF22" s="25">
        <f t="shared" si="29"/>
        <v>1524.28</v>
      </c>
      <c r="BG22" s="25">
        <f t="shared" si="11"/>
        <v>108.06451612903226</v>
      </c>
      <c r="BH22" s="25">
        <f t="shared" si="30"/>
        <v>1729.0322580645154</v>
      </c>
      <c r="BI22" s="26">
        <f t="shared" si="12"/>
        <v>1</v>
      </c>
      <c r="BJ22" s="37">
        <f t="shared" si="31"/>
        <v>1729.0322580645154</v>
      </c>
      <c r="BK22" s="28">
        <f t="shared" si="32"/>
        <v>153.24600000000001</v>
      </c>
      <c r="BL22" s="31"/>
      <c r="BM22" s="31">
        <v>46.786000000000001</v>
      </c>
      <c r="BN22" s="234"/>
      <c r="BO22" s="42"/>
      <c r="BP22" s="40">
        <v>8.4860000000000007</v>
      </c>
      <c r="BQ22" s="411">
        <v>17.413</v>
      </c>
      <c r="BR22" s="33">
        <v>0.16</v>
      </c>
      <c r="BS22" s="34"/>
      <c r="BT22" s="35">
        <v>0.4</v>
      </c>
      <c r="BU22" s="35"/>
      <c r="BV22" s="235"/>
      <c r="BW22" s="235">
        <v>0.68</v>
      </c>
      <c r="BX22" s="36"/>
      <c r="BY22" s="33">
        <v>37.43</v>
      </c>
      <c r="BZ22" s="34"/>
      <c r="CA22" s="35">
        <v>38.21</v>
      </c>
      <c r="CB22" s="405"/>
      <c r="CC22" s="404"/>
      <c r="CD22" s="235">
        <v>34.06</v>
      </c>
      <c r="CE22" s="413">
        <v>43.79</v>
      </c>
      <c r="CF22" s="28">
        <f t="shared" si="33"/>
        <v>98.918999999999997</v>
      </c>
      <c r="CG22" s="30">
        <v>42.497999999999998</v>
      </c>
      <c r="CH22" s="31"/>
      <c r="CI22" s="32"/>
      <c r="CJ22" s="33">
        <v>1.39</v>
      </c>
      <c r="CK22" s="33">
        <v>1.39</v>
      </c>
      <c r="CL22" s="35"/>
      <c r="CM22" s="36"/>
      <c r="CN22" s="286"/>
      <c r="CO22" s="249">
        <f t="shared" si="13"/>
        <v>153.00080640000002</v>
      </c>
      <c r="CP22" s="12">
        <f t="shared" si="13"/>
        <v>0</v>
      </c>
      <c r="CQ22" s="12">
        <f t="shared" si="13"/>
        <v>46.598855999999998</v>
      </c>
      <c r="CR22" s="12">
        <f t="shared" si="13"/>
        <v>0</v>
      </c>
      <c r="CS22" s="11">
        <f t="shared" si="13"/>
        <v>0</v>
      </c>
      <c r="CT22" s="11">
        <f t="shared" si="13"/>
        <v>8.4282952000000009</v>
      </c>
      <c r="CU22" s="272">
        <f t="shared" si="13"/>
        <v>17.413</v>
      </c>
      <c r="CV22" s="249">
        <f t="shared" si="14"/>
        <v>97.544025899999994</v>
      </c>
      <c r="CW22" s="12">
        <f t="shared" si="14"/>
        <v>41.907277799999996</v>
      </c>
      <c r="CX22" s="249">
        <f t="shared" si="14"/>
        <v>0</v>
      </c>
      <c r="CY22" s="272">
        <f t="shared" si="14"/>
        <v>0</v>
      </c>
      <c r="CZ22" s="13"/>
      <c r="DA22" s="240">
        <f>(D22+'[2]июль 20'!D22)/(AY22+'[2]июль 20'!BA22)</f>
        <v>2.2984765200907815</v>
      </c>
      <c r="DB22" s="241">
        <f>(T22+'[2]июль 20'!R22)/(AY22+'[2]июль 20'!BA22)</f>
        <v>1.448055356369331</v>
      </c>
      <c r="DD22" s="292">
        <f t="shared" si="15"/>
        <v>8.4280000000000008</v>
      </c>
      <c r="DE22" s="291">
        <v>0.04</v>
      </c>
      <c r="DF22" s="291">
        <v>6.42</v>
      </c>
      <c r="DG22" s="145">
        <f t="shared" si="16"/>
        <v>8.4246288000000007</v>
      </c>
      <c r="DH22" s="293">
        <f t="shared" si="34"/>
        <v>0.70741494318300724</v>
      </c>
      <c r="DJ22" s="38">
        <v>140.24600000000001</v>
      </c>
      <c r="DK22" s="460">
        <f t="shared" si="35"/>
        <v>153.24600000000001</v>
      </c>
      <c r="DM22" s="30">
        <v>88.918999999999997</v>
      </c>
      <c r="DN22" s="460">
        <f t="shared" si="36"/>
        <v>98.918999999999997</v>
      </c>
    </row>
    <row r="23" spans="1:118" s="76" customFormat="1" ht="16.5" customHeight="1" thickBot="1">
      <c r="A23" s="144">
        <v>17</v>
      </c>
      <c r="B23" s="122">
        <f t="shared" si="17"/>
        <v>208.047</v>
      </c>
      <c r="C23" s="123">
        <f t="shared" si="18"/>
        <v>0.32651122102217289</v>
      </c>
      <c r="D23" s="145">
        <f t="shared" si="19"/>
        <v>207.36770319999999</v>
      </c>
      <c r="E23" s="125">
        <f t="shared" si="20"/>
        <v>37.649634409532467</v>
      </c>
      <c r="F23" s="146">
        <f t="shared" si="0"/>
        <v>2.1511172531120328</v>
      </c>
      <c r="G23" s="127"/>
      <c r="H23" s="126">
        <f t="shared" si="21"/>
        <v>1.9888662157676347</v>
      </c>
      <c r="I23" s="230">
        <f>'[1]июль 20'!AI22</f>
        <v>0</v>
      </c>
      <c r="J23" s="247">
        <f>'[1]июль 20'!AA22</f>
        <v>8.0190000000000001</v>
      </c>
      <c r="K23" s="465">
        <f>'[1]сентябрь 20'!AM22</f>
        <v>0</v>
      </c>
      <c r="L23" s="247">
        <f>'[1]июль 20'!AE22</f>
        <v>15.641</v>
      </c>
      <c r="M23" s="469">
        <f t="shared" si="22"/>
        <v>0.16225103734439833</v>
      </c>
      <c r="N23" s="403">
        <f>'[1]июль 20'!W22</f>
        <v>0</v>
      </c>
      <c r="O23" s="403">
        <f>'[1]июль 20'!AU22</f>
        <v>0</v>
      </c>
      <c r="P23" s="401">
        <f t="shared" si="1"/>
        <v>130.92000000000002</v>
      </c>
      <c r="Q23" s="122">
        <f t="shared" si="23"/>
        <v>130.92000000000002</v>
      </c>
      <c r="R23" s="123">
        <f t="shared" si="24"/>
        <v>1.45</v>
      </c>
      <c r="S23" s="129">
        <v>16.78</v>
      </c>
      <c r="T23" s="125">
        <f t="shared" si="2"/>
        <v>129.02166</v>
      </c>
      <c r="U23" s="147">
        <f t="shared" si="3"/>
        <v>1.3383989626556017</v>
      </c>
      <c r="V23" s="130">
        <v>96.4</v>
      </c>
      <c r="W23" s="130">
        <v>96.4</v>
      </c>
      <c r="X23" s="129">
        <v>0.7</v>
      </c>
      <c r="Y23" s="131">
        <v>545</v>
      </c>
      <c r="Z23" s="150">
        <v>1150</v>
      </c>
      <c r="AA23" s="148" t="s">
        <v>280</v>
      </c>
      <c r="AB23" s="149">
        <v>76.19</v>
      </c>
      <c r="AC23" s="150">
        <v>78</v>
      </c>
      <c r="AD23" s="151">
        <v>4</v>
      </c>
      <c r="AE23" s="149"/>
      <c r="AF23" s="134">
        <f t="shared" si="4"/>
        <v>0</v>
      </c>
      <c r="AG23" s="152"/>
      <c r="AH23" s="129">
        <v>61.6</v>
      </c>
      <c r="AI23" s="134">
        <f t="shared" si="5"/>
        <v>639.00414937759331</v>
      </c>
      <c r="AJ23" s="136">
        <v>15.31</v>
      </c>
      <c r="AK23" s="154"/>
      <c r="AL23" s="155">
        <v>5.74</v>
      </c>
      <c r="AM23" s="478">
        <f t="shared" si="25"/>
        <v>25.230000000000004</v>
      </c>
      <c r="AN23" s="126">
        <f t="shared" si="26"/>
        <v>0.2</v>
      </c>
      <c r="AO23" s="157" t="s">
        <v>351</v>
      </c>
      <c r="AP23" s="156">
        <v>8.31</v>
      </c>
      <c r="AQ23" s="156">
        <v>8.24</v>
      </c>
      <c r="AR23" s="151"/>
      <c r="AS23" s="149">
        <v>6.64</v>
      </c>
      <c r="AT23" s="149">
        <v>126.15</v>
      </c>
      <c r="AU23" s="149">
        <v>1.22</v>
      </c>
      <c r="AV23" s="149"/>
      <c r="AW23" s="149"/>
      <c r="AX23" s="158">
        <f t="shared" si="6"/>
        <v>0</v>
      </c>
      <c r="AY23" s="125">
        <f t="shared" si="7"/>
        <v>96.4</v>
      </c>
      <c r="AZ23" s="125">
        <f t="shared" si="27"/>
        <v>90.381605179455732</v>
      </c>
      <c r="BA23" s="159">
        <f t="shared" si="8"/>
        <v>3.1684957746478868</v>
      </c>
      <c r="BB23" s="160">
        <f t="shared" si="9"/>
        <v>3.8560000000000003</v>
      </c>
      <c r="BC23" s="161">
        <f t="shared" si="10"/>
        <v>0.94074761638313853</v>
      </c>
      <c r="BD23" s="160">
        <f t="shared" si="28"/>
        <v>7.0244957746478871</v>
      </c>
      <c r="BE23" s="162">
        <v>0.84099999999999997</v>
      </c>
      <c r="BF23" s="25">
        <f t="shared" si="29"/>
        <v>1620.68</v>
      </c>
      <c r="BG23" s="25">
        <f t="shared" si="11"/>
        <v>108.06451612903226</v>
      </c>
      <c r="BH23" s="25">
        <f t="shared" si="30"/>
        <v>1837.0967741935476</v>
      </c>
      <c r="BI23" s="26">
        <f t="shared" si="12"/>
        <v>1</v>
      </c>
      <c r="BJ23" s="37">
        <f t="shared" si="31"/>
        <v>1837.0967741935476</v>
      </c>
      <c r="BK23" s="28">
        <f t="shared" si="32"/>
        <v>141.59700000000001</v>
      </c>
      <c r="BL23" s="31"/>
      <c r="BM23" s="31">
        <v>42.984000000000002</v>
      </c>
      <c r="BN23" s="234"/>
      <c r="BO23" s="42"/>
      <c r="BP23" s="40">
        <v>7.8250000000000002</v>
      </c>
      <c r="BQ23" s="411">
        <v>15.641</v>
      </c>
      <c r="BR23" s="33">
        <v>0.3</v>
      </c>
      <c r="BS23" s="34"/>
      <c r="BT23" s="35">
        <v>0.37</v>
      </c>
      <c r="BU23" s="35"/>
      <c r="BV23" s="235"/>
      <c r="BW23" s="235">
        <v>1.22</v>
      </c>
      <c r="BX23" s="36"/>
      <c r="BY23" s="33">
        <v>37.49</v>
      </c>
      <c r="BZ23" s="34"/>
      <c r="CA23" s="35">
        <v>37.369999999999997</v>
      </c>
      <c r="CB23" s="405"/>
      <c r="CC23" s="404"/>
      <c r="CD23" s="235">
        <v>31.02</v>
      </c>
      <c r="CE23" s="413">
        <v>43.18</v>
      </c>
      <c r="CF23" s="28">
        <f t="shared" si="33"/>
        <v>91.912000000000006</v>
      </c>
      <c r="CG23" s="30">
        <v>39.008000000000003</v>
      </c>
      <c r="CH23" s="31"/>
      <c r="CI23" s="32"/>
      <c r="CJ23" s="33">
        <v>1.45</v>
      </c>
      <c r="CK23" s="33">
        <v>1.45</v>
      </c>
      <c r="CL23" s="35"/>
      <c r="CM23" s="36"/>
      <c r="CN23" s="286"/>
      <c r="CO23" s="249">
        <f t="shared" ref="CO23:CU37" si="37">BK23*((100-BR23)/100)</f>
        <v>141.17220900000001</v>
      </c>
      <c r="CP23" s="12">
        <f t="shared" si="37"/>
        <v>0</v>
      </c>
      <c r="CQ23" s="12">
        <f t="shared" si="37"/>
        <v>42.824959200000002</v>
      </c>
      <c r="CR23" s="12">
        <f t="shared" si="37"/>
        <v>0</v>
      </c>
      <c r="CS23" s="11">
        <f t="shared" si="37"/>
        <v>0</v>
      </c>
      <c r="CT23" s="11">
        <f t="shared" si="37"/>
        <v>7.7295350000000003</v>
      </c>
      <c r="CU23" s="272">
        <f t="shared" si="37"/>
        <v>15.641</v>
      </c>
      <c r="CV23" s="249">
        <f t="shared" si="14"/>
        <v>90.579275999999993</v>
      </c>
      <c r="CW23" s="11">
        <f t="shared" si="14"/>
        <v>38.442383999999997</v>
      </c>
      <c r="CX23" s="249">
        <f t="shared" si="14"/>
        <v>0</v>
      </c>
      <c r="CY23" s="272">
        <f t="shared" si="14"/>
        <v>0</v>
      </c>
      <c r="CZ23" s="13"/>
      <c r="DA23" s="240">
        <f>(D23+'[2]июль 20'!D23)/(AY23+'[2]июль 20'!BA23)</f>
        <v>2.1511613960341496</v>
      </c>
      <c r="DB23" s="241">
        <f>(T23+'[2]июль 20'!R23)/(AY23+'[2]июль 20'!BA23)</f>
        <v>1.3559688230765226</v>
      </c>
      <c r="DD23" s="292">
        <f t="shared" si="15"/>
        <v>8.0190000000000001</v>
      </c>
      <c r="DE23" s="291">
        <v>0.03</v>
      </c>
      <c r="DF23" s="291">
        <v>8.7799999999999994</v>
      </c>
      <c r="DG23" s="145">
        <f t="shared" si="16"/>
        <v>8.0165942999999995</v>
      </c>
      <c r="DH23" s="293">
        <f t="shared" si="34"/>
        <v>0.92381805950912166</v>
      </c>
      <c r="DJ23" s="38">
        <v>128.59700000000001</v>
      </c>
      <c r="DK23" s="460">
        <f t="shared" si="35"/>
        <v>141.59700000000001</v>
      </c>
      <c r="DM23" s="30">
        <v>81.912000000000006</v>
      </c>
      <c r="DN23" s="460">
        <f t="shared" si="36"/>
        <v>91.912000000000006</v>
      </c>
    </row>
    <row r="24" spans="1:118" s="76" customFormat="1" ht="16.5" customHeight="1" thickBot="1">
      <c r="A24" s="144">
        <v>18</v>
      </c>
      <c r="B24" s="122">
        <f t="shared" si="17"/>
        <v>240.7</v>
      </c>
      <c r="C24" s="123">
        <f t="shared" si="18"/>
        <v>0.37038396343996677</v>
      </c>
      <c r="D24" s="145">
        <f t="shared" si="19"/>
        <v>239.8084858</v>
      </c>
      <c r="E24" s="125">
        <f t="shared" si="20"/>
        <v>37.707999916909017</v>
      </c>
      <c r="F24" s="146">
        <f t="shared" si="0"/>
        <v>2.4909991253765451</v>
      </c>
      <c r="G24" s="127"/>
      <c r="H24" s="126">
        <f t="shared" si="21"/>
        <v>2.3000881458398257</v>
      </c>
      <c r="I24" s="230">
        <f>'[1]июль 20'!AI23</f>
        <v>0</v>
      </c>
      <c r="J24" s="247">
        <f>'[1]июль 20'!AA23</f>
        <v>8.9920000000000009</v>
      </c>
      <c r="K24" s="464">
        <f>'[1]сентябрь 20'!AM23</f>
        <v>0</v>
      </c>
      <c r="L24" s="247">
        <f>'[1]июль 20'!AE23</f>
        <v>18.379000000000001</v>
      </c>
      <c r="M24" s="468">
        <f t="shared" si="22"/>
        <v>0.19091097953671968</v>
      </c>
      <c r="N24" s="403">
        <f>'[1]июль 20'!W23</f>
        <v>0</v>
      </c>
      <c r="O24" s="403">
        <f>'[1]июль 20'!AU23</f>
        <v>0</v>
      </c>
      <c r="P24" s="401">
        <f t="shared" si="1"/>
        <v>151.13200000000001</v>
      </c>
      <c r="Q24" s="122">
        <f t="shared" si="23"/>
        <v>151.13200000000001</v>
      </c>
      <c r="R24" s="123">
        <f t="shared" si="24"/>
        <v>1.49</v>
      </c>
      <c r="S24" s="129">
        <v>19.72</v>
      </c>
      <c r="T24" s="125">
        <f t="shared" si="2"/>
        <v>148.88013320000002</v>
      </c>
      <c r="U24" s="147">
        <f t="shared" si="3"/>
        <v>1.5464852311208064</v>
      </c>
      <c r="V24" s="130">
        <v>96.27</v>
      </c>
      <c r="W24" s="130">
        <v>96.27</v>
      </c>
      <c r="X24" s="129">
        <v>0.55000000000000004</v>
      </c>
      <c r="Y24" s="150">
        <v>547</v>
      </c>
      <c r="Z24" s="150">
        <v>1150</v>
      </c>
      <c r="AA24" s="148" t="s">
        <v>352</v>
      </c>
      <c r="AB24" s="149">
        <v>76.22</v>
      </c>
      <c r="AC24" s="150">
        <v>91</v>
      </c>
      <c r="AD24" s="151">
        <v>4</v>
      </c>
      <c r="AE24" s="149"/>
      <c r="AF24" s="134">
        <f t="shared" si="4"/>
        <v>0</v>
      </c>
      <c r="AG24" s="152"/>
      <c r="AH24" s="129">
        <v>68.5</v>
      </c>
      <c r="AI24" s="134">
        <f t="shared" si="5"/>
        <v>711.54045912537651</v>
      </c>
      <c r="AJ24" s="153">
        <v>15.63</v>
      </c>
      <c r="AK24" s="154"/>
      <c r="AL24" s="155">
        <v>4.83</v>
      </c>
      <c r="AM24" s="478">
        <f t="shared" si="25"/>
        <v>24.880000000000003</v>
      </c>
      <c r="AN24" s="126">
        <f t="shared" si="26"/>
        <v>0.2</v>
      </c>
      <c r="AO24" s="157" t="s">
        <v>353</v>
      </c>
      <c r="AP24" s="156">
        <v>8.31</v>
      </c>
      <c r="AQ24" s="156">
        <v>8.83</v>
      </c>
      <c r="AR24" s="151"/>
      <c r="AS24" s="149">
        <v>6.96</v>
      </c>
      <c r="AT24" s="149">
        <v>124.4</v>
      </c>
      <c r="AU24" s="149">
        <v>1.58</v>
      </c>
      <c r="AV24" s="164"/>
      <c r="AW24" s="149"/>
      <c r="AX24" s="158">
        <f t="shared" si="6"/>
        <v>0</v>
      </c>
      <c r="AY24" s="125">
        <f t="shared" si="7"/>
        <v>96.27</v>
      </c>
      <c r="AZ24" s="125">
        <f t="shared" si="27"/>
        <v>104.73665428506527</v>
      </c>
      <c r="BA24" s="159">
        <f t="shared" si="8"/>
        <v>3.6932112676056335</v>
      </c>
      <c r="BB24" s="160">
        <f t="shared" si="9"/>
        <v>3.8508</v>
      </c>
      <c r="BC24" s="161">
        <f t="shared" si="10"/>
        <v>0.81145020056531147</v>
      </c>
      <c r="BD24" s="160">
        <f t="shared" si="28"/>
        <v>7.544011267605633</v>
      </c>
      <c r="BE24" s="162">
        <v>0.84</v>
      </c>
      <c r="BF24" s="25">
        <f t="shared" si="29"/>
        <v>1716.95</v>
      </c>
      <c r="BG24" s="25">
        <f t="shared" si="11"/>
        <v>108.06451612903226</v>
      </c>
      <c r="BH24" s="25">
        <f t="shared" si="30"/>
        <v>1945.1612903225798</v>
      </c>
      <c r="BI24" s="26">
        <f t="shared" si="12"/>
        <v>1</v>
      </c>
      <c r="BJ24" s="37">
        <f t="shared" si="31"/>
        <v>1945.1612903225798</v>
      </c>
      <c r="BK24" s="28">
        <f t="shared" si="32"/>
        <v>163.179</v>
      </c>
      <c r="BL24" s="31"/>
      <c r="BM24" s="31">
        <v>50.040999999999997</v>
      </c>
      <c r="BN24" s="234"/>
      <c r="BO24" s="42"/>
      <c r="BP24" s="40">
        <v>9.1010000000000009</v>
      </c>
      <c r="BQ24" s="411">
        <v>18.379000000000001</v>
      </c>
      <c r="BR24" s="33">
        <v>0.41</v>
      </c>
      <c r="BS24" s="34"/>
      <c r="BT24" s="35">
        <v>0.27</v>
      </c>
      <c r="BU24" s="35"/>
      <c r="BV24" s="235"/>
      <c r="BW24" s="235">
        <v>0.96</v>
      </c>
      <c r="BX24" s="36"/>
      <c r="BY24" s="33">
        <v>37.159999999999997</v>
      </c>
      <c r="BZ24" s="34"/>
      <c r="CA24" s="35">
        <v>38.17</v>
      </c>
      <c r="CB24" s="405"/>
      <c r="CC24" s="404"/>
      <c r="CD24" s="235">
        <v>32.61</v>
      </c>
      <c r="CE24" s="413">
        <v>43.84</v>
      </c>
      <c r="CF24" s="28">
        <f t="shared" si="33"/>
        <v>105.625</v>
      </c>
      <c r="CG24" s="30">
        <v>45.506999999999998</v>
      </c>
      <c r="CH24" s="31"/>
      <c r="CI24" s="32"/>
      <c r="CJ24" s="33">
        <v>1.49</v>
      </c>
      <c r="CK24" s="33">
        <v>1.49</v>
      </c>
      <c r="CL24" s="35"/>
      <c r="CM24" s="36"/>
      <c r="CN24" s="286"/>
      <c r="CO24" s="249">
        <f t="shared" si="37"/>
        <v>162.50996610000001</v>
      </c>
      <c r="CP24" s="12">
        <f t="shared" si="37"/>
        <v>0</v>
      </c>
      <c r="CQ24" s="12">
        <f t="shared" si="37"/>
        <v>49.905889299999998</v>
      </c>
      <c r="CR24" s="12">
        <f t="shared" si="37"/>
        <v>0</v>
      </c>
      <c r="CS24" s="11">
        <f t="shared" si="37"/>
        <v>0</v>
      </c>
      <c r="CT24" s="11">
        <f t="shared" si="37"/>
        <v>9.013630400000002</v>
      </c>
      <c r="CU24" s="272">
        <f t="shared" si="37"/>
        <v>18.379000000000001</v>
      </c>
      <c r="CV24" s="249">
        <f t="shared" si="14"/>
        <v>104.05118750000001</v>
      </c>
      <c r="CW24" s="12">
        <f t="shared" si="14"/>
        <v>44.828945699999998</v>
      </c>
      <c r="CX24" s="249">
        <f t="shared" si="14"/>
        <v>0</v>
      </c>
      <c r="CY24" s="272">
        <f t="shared" si="14"/>
        <v>0</v>
      </c>
      <c r="CZ24" s="13"/>
      <c r="DA24" s="240">
        <f>(D24+'[2]июль 20'!D24)/(AY24+'[2]июль 20'!BA24)</f>
        <v>2.2325957915094441</v>
      </c>
      <c r="DB24" s="241">
        <f>(T24+'[2]июль 20'!R24)/(AY24+'[2]июль 20'!BA24)</f>
        <v>1.406145031059165</v>
      </c>
      <c r="DD24" s="292">
        <f t="shared" si="15"/>
        <v>8.9920000000000009</v>
      </c>
      <c r="DE24" s="291">
        <v>0.1</v>
      </c>
      <c r="DF24" s="291">
        <v>9.8800000000000008</v>
      </c>
      <c r="DG24" s="145">
        <f t="shared" si="16"/>
        <v>8.9830080000000017</v>
      </c>
      <c r="DH24" s="293">
        <f t="shared" si="34"/>
        <v>1.1644203495145635</v>
      </c>
      <c r="DJ24" s="38">
        <v>150.179</v>
      </c>
      <c r="DK24" s="460">
        <f t="shared" si="35"/>
        <v>163.179</v>
      </c>
      <c r="DM24" s="30">
        <v>95.625</v>
      </c>
      <c r="DN24" s="460">
        <f t="shared" si="36"/>
        <v>105.625</v>
      </c>
    </row>
    <row r="25" spans="1:118" s="76" customFormat="1" ht="16.5" customHeight="1" thickBot="1">
      <c r="A25" s="144">
        <v>19</v>
      </c>
      <c r="B25" s="122">
        <f t="shared" si="17"/>
        <v>166.10599999999999</v>
      </c>
      <c r="C25" s="123">
        <f t="shared" si="18"/>
        <v>0.27181197548553332</v>
      </c>
      <c r="D25" s="145">
        <f t="shared" si="19"/>
        <v>165.654504</v>
      </c>
      <c r="E25" s="125">
        <f t="shared" si="20"/>
        <v>37.740180186146198</v>
      </c>
      <c r="F25" s="146">
        <f t="shared" si="0"/>
        <v>2.3966218749999997</v>
      </c>
      <c r="G25" s="127"/>
      <c r="H25" s="126">
        <f t="shared" si="21"/>
        <v>2.2160518518518519</v>
      </c>
      <c r="I25" s="230">
        <f>'[1]июль 20'!AI24</f>
        <v>0</v>
      </c>
      <c r="J25" s="247">
        <f>'[1]июль 20'!AA24</f>
        <v>6.2140000000000004</v>
      </c>
      <c r="K25" s="465">
        <f>'[1]сентябрь 20'!AM24</f>
        <v>0</v>
      </c>
      <c r="L25" s="247">
        <f>'[1]июль 20'!AE24</f>
        <v>12.481</v>
      </c>
      <c r="M25" s="469">
        <f t="shared" si="22"/>
        <v>0.18057002314814813</v>
      </c>
      <c r="N25" s="403">
        <f>'[1]июль 20'!W24</f>
        <v>0</v>
      </c>
      <c r="O25" s="403">
        <f>'[1]июль 20'!AU24</f>
        <v>0</v>
      </c>
      <c r="P25" s="401">
        <f t="shared" si="1"/>
        <v>106.51400000000001</v>
      </c>
      <c r="Q25" s="122">
        <f t="shared" si="23"/>
        <v>106.51400000000001</v>
      </c>
      <c r="R25" s="123">
        <f>IF(Q25=0,0,(CI25*CM25+CG25*CK25+CH25*CL25+CF25*CJ25)/Q25)</f>
        <v>1.36</v>
      </c>
      <c r="S25" s="129">
        <v>11.97</v>
      </c>
      <c r="T25" s="125">
        <f t="shared" si="2"/>
        <v>105.06540960000001</v>
      </c>
      <c r="U25" s="147">
        <f t="shared" si="3"/>
        <v>1.5200435416666667</v>
      </c>
      <c r="V25" s="130">
        <v>69.12</v>
      </c>
      <c r="W25" s="130">
        <v>69.12</v>
      </c>
      <c r="X25" s="129">
        <v>0.47</v>
      </c>
      <c r="Y25" s="150">
        <v>531</v>
      </c>
      <c r="Z25" s="150">
        <v>1082</v>
      </c>
      <c r="AA25" s="148" t="s">
        <v>273</v>
      </c>
      <c r="AB25" s="149">
        <v>75.37</v>
      </c>
      <c r="AC25" s="150">
        <v>59</v>
      </c>
      <c r="AD25" s="151">
        <v>4</v>
      </c>
      <c r="AE25" s="149"/>
      <c r="AF25" s="134">
        <f t="shared" si="4"/>
        <v>0</v>
      </c>
      <c r="AG25" s="152"/>
      <c r="AH25" s="129">
        <v>46.45</v>
      </c>
      <c r="AI25" s="134">
        <f t="shared" si="5"/>
        <v>672.01967592592598</v>
      </c>
      <c r="AJ25" s="136">
        <v>17.98</v>
      </c>
      <c r="AK25" s="154"/>
      <c r="AL25" s="155">
        <v>3.85</v>
      </c>
      <c r="AM25" s="478">
        <f t="shared" si="25"/>
        <v>17.98</v>
      </c>
      <c r="AN25" s="126">
        <f t="shared" si="26"/>
        <v>0.19999999999999998</v>
      </c>
      <c r="AO25" s="157" t="s">
        <v>354</v>
      </c>
      <c r="AP25" s="156">
        <v>8.09</v>
      </c>
      <c r="AQ25" s="156">
        <v>8.19</v>
      </c>
      <c r="AR25" s="152"/>
      <c r="AS25" s="149">
        <v>6.62</v>
      </c>
      <c r="AT25" s="149">
        <v>89.9</v>
      </c>
      <c r="AU25" s="149">
        <v>1.05</v>
      </c>
      <c r="AV25" s="164"/>
      <c r="AW25" s="149"/>
      <c r="AX25" s="158">
        <f t="shared" si="6"/>
        <v>0</v>
      </c>
      <c r="AY25" s="125">
        <f t="shared" si="7"/>
        <v>69.12</v>
      </c>
      <c r="AZ25" s="125">
        <f t="shared" si="27"/>
        <v>73.117905483330603</v>
      </c>
      <c r="BA25" s="159">
        <f t="shared" si="8"/>
        <v>2.3820345070422535</v>
      </c>
      <c r="BB25" s="160">
        <f t="shared" si="9"/>
        <v>2.7648000000000001</v>
      </c>
      <c r="BC25" s="161">
        <f t="shared" si="10"/>
        <v>0.83328780672201141</v>
      </c>
      <c r="BD25" s="160">
        <f t="shared" si="28"/>
        <v>5.1468345070422536</v>
      </c>
      <c r="BE25" s="162">
        <v>0.83899999999999997</v>
      </c>
      <c r="BF25" s="25">
        <f t="shared" si="29"/>
        <v>1786.0700000000002</v>
      </c>
      <c r="BG25" s="25">
        <f t="shared" si="11"/>
        <v>108.06451612903226</v>
      </c>
      <c r="BH25" s="25">
        <f t="shared" si="30"/>
        <v>2053.2258064516122</v>
      </c>
      <c r="BI25" s="26">
        <f t="shared" si="12"/>
        <v>1</v>
      </c>
      <c r="BJ25" s="37">
        <f t="shared" si="31"/>
        <v>2053.2258064516122</v>
      </c>
      <c r="BK25" s="28">
        <f t="shared" si="32"/>
        <v>113.676</v>
      </c>
      <c r="BL25" s="31"/>
      <c r="BM25" s="31">
        <v>33.582999999999998</v>
      </c>
      <c r="BN25" s="234"/>
      <c r="BO25" s="42"/>
      <c r="BP25" s="40">
        <v>6.3659999999999997</v>
      </c>
      <c r="BQ25" s="411">
        <v>12.481</v>
      </c>
      <c r="BR25" s="33">
        <v>0.25</v>
      </c>
      <c r="BS25" s="34"/>
      <c r="BT25" s="35">
        <v>0.32</v>
      </c>
      <c r="BU25" s="35"/>
      <c r="BV25" s="235"/>
      <c r="BW25" s="235">
        <v>0.94</v>
      </c>
      <c r="BX25" s="36"/>
      <c r="BY25" s="33">
        <v>37.299999999999997</v>
      </c>
      <c r="BZ25" s="34"/>
      <c r="CA25" s="35">
        <v>37.520000000000003</v>
      </c>
      <c r="CB25" s="405"/>
      <c r="CC25" s="404"/>
      <c r="CD25" s="235">
        <v>34.94</v>
      </c>
      <c r="CE25" s="413">
        <v>43.77</v>
      </c>
      <c r="CF25" s="28">
        <f t="shared" si="33"/>
        <v>75.974000000000004</v>
      </c>
      <c r="CG25" s="30">
        <v>30.54</v>
      </c>
      <c r="CH25" s="31"/>
      <c r="CI25" s="32"/>
      <c r="CJ25" s="33">
        <v>1.36</v>
      </c>
      <c r="CK25" s="33">
        <v>1.36</v>
      </c>
      <c r="CL25" s="35"/>
      <c r="CM25" s="36"/>
      <c r="CN25" s="286"/>
      <c r="CO25" s="249">
        <f t="shared" si="37"/>
        <v>113.39181000000001</v>
      </c>
      <c r="CP25" s="12">
        <f t="shared" si="37"/>
        <v>0</v>
      </c>
      <c r="CQ25" s="12">
        <f t="shared" si="37"/>
        <v>33.475534400000001</v>
      </c>
      <c r="CR25" s="12">
        <f t="shared" si="37"/>
        <v>0</v>
      </c>
      <c r="CS25" s="11">
        <f t="shared" si="37"/>
        <v>0</v>
      </c>
      <c r="CT25" s="11">
        <f t="shared" si="37"/>
        <v>6.3061596</v>
      </c>
      <c r="CU25" s="272">
        <f t="shared" si="37"/>
        <v>12.481</v>
      </c>
      <c r="CV25" s="249">
        <f t="shared" si="14"/>
        <v>74.940753600000008</v>
      </c>
      <c r="CW25" s="251">
        <f t="shared" si="14"/>
        <v>30.124656000000002</v>
      </c>
      <c r="CX25" s="249">
        <f t="shared" si="14"/>
        <v>0</v>
      </c>
      <c r="CY25" s="272">
        <f t="shared" si="14"/>
        <v>0</v>
      </c>
      <c r="CZ25" s="13"/>
      <c r="DA25" s="240">
        <f>(D25+'[2]июль 20'!D25)/(AY25+'[2]июль 20'!BA25)</f>
        <v>2.2377515805363508</v>
      </c>
      <c r="DB25" s="241">
        <f>(T25+'[2]июль 20'!R25)/(AY25+'[2]июль 20'!BA25)</f>
        <v>1.418154126512938</v>
      </c>
      <c r="DD25" s="292">
        <f t="shared" si="15"/>
        <v>6.2140000000000004</v>
      </c>
      <c r="DE25" s="291">
        <v>0.27</v>
      </c>
      <c r="DF25" s="291">
        <v>8.56</v>
      </c>
      <c r="DG25" s="145">
        <f t="shared" si="16"/>
        <v>6.1972222000000006</v>
      </c>
      <c r="DH25" s="293">
        <f t="shared" si="34"/>
        <v>0.70383736277033315</v>
      </c>
      <c r="DJ25" s="38">
        <v>100.676</v>
      </c>
      <c r="DK25" s="460">
        <f t="shared" si="35"/>
        <v>113.676</v>
      </c>
      <c r="DM25" s="30">
        <v>65.974000000000004</v>
      </c>
      <c r="DN25" s="460">
        <f t="shared" si="36"/>
        <v>75.974000000000004</v>
      </c>
    </row>
    <row r="26" spans="1:118" s="76" customFormat="1" ht="16.5" customHeight="1" thickBot="1">
      <c r="A26" s="144">
        <v>20</v>
      </c>
      <c r="B26" s="122">
        <f t="shared" si="17"/>
        <v>233.232</v>
      </c>
      <c r="C26" s="123">
        <f t="shared" si="18"/>
        <v>1.0893169033408794</v>
      </c>
      <c r="D26" s="145">
        <f t="shared" si="19"/>
        <v>230.6913644</v>
      </c>
      <c r="E26" s="125">
        <f t="shared" si="20"/>
        <v>37.671352987583177</v>
      </c>
      <c r="F26" s="146">
        <f t="shared" si="0"/>
        <v>2.7730660463998076</v>
      </c>
      <c r="G26" s="127"/>
      <c r="H26" s="126">
        <f t="shared" si="21"/>
        <v>2.5580402019473496</v>
      </c>
      <c r="I26" s="230">
        <f>'[1]июль 20'!AI25</f>
        <v>0</v>
      </c>
      <c r="J26" s="247">
        <f>'[1]июль 20'!AA25</f>
        <v>8.7110000000000003</v>
      </c>
      <c r="K26" s="464">
        <f>'[1]сентябрь 20'!AM25</f>
        <v>0</v>
      </c>
      <c r="L26" s="247">
        <f>'[1]июль 20'!AE25</f>
        <v>17.888000000000002</v>
      </c>
      <c r="M26" s="468">
        <f t="shared" si="22"/>
        <v>0.21502584445245826</v>
      </c>
      <c r="N26" s="403">
        <f>'[1]июль 20'!W25</f>
        <v>0</v>
      </c>
      <c r="O26" s="403">
        <f>'[1]июль 20'!AU25</f>
        <v>0</v>
      </c>
      <c r="P26" s="401">
        <f t="shared" si="1"/>
        <v>149.00399999999999</v>
      </c>
      <c r="Q26" s="122">
        <f t="shared" si="23"/>
        <v>149.00399999999999</v>
      </c>
      <c r="R26" s="123">
        <f t="shared" si="24"/>
        <v>1.18</v>
      </c>
      <c r="S26" s="129"/>
      <c r="T26" s="125">
        <f t="shared" si="2"/>
        <v>147.24575279999999</v>
      </c>
      <c r="U26" s="147">
        <f t="shared" si="3"/>
        <v>1.7699934222863325</v>
      </c>
      <c r="V26" s="169">
        <v>83.19</v>
      </c>
      <c r="W26" s="169">
        <v>83.19</v>
      </c>
      <c r="X26" s="170">
        <v>0.47</v>
      </c>
      <c r="Y26" s="166">
        <v>530</v>
      </c>
      <c r="Z26" s="166">
        <v>1138</v>
      </c>
      <c r="AA26" s="148" t="s">
        <v>310</v>
      </c>
      <c r="AB26" s="164">
        <v>76.36</v>
      </c>
      <c r="AC26" s="166">
        <v>88</v>
      </c>
      <c r="AD26" s="171">
        <v>4</v>
      </c>
      <c r="AE26" s="164">
        <v>2.4</v>
      </c>
      <c r="AF26" s="172">
        <f t="shared" si="4"/>
        <v>28.849621348719797</v>
      </c>
      <c r="AG26" s="173"/>
      <c r="AH26" s="170">
        <v>64.75</v>
      </c>
      <c r="AI26" s="134">
        <f t="shared" si="5"/>
        <v>778.33874263733628</v>
      </c>
      <c r="AJ26" s="174">
        <v>14.59</v>
      </c>
      <c r="AK26" s="175"/>
      <c r="AL26" s="176">
        <v>2.73</v>
      </c>
      <c r="AM26" s="478">
        <f t="shared" si="25"/>
        <v>21.16</v>
      </c>
      <c r="AN26" s="126">
        <f t="shared" si="26"/>
        <v>0.2</v>
      </c>
      <c r="AO26" s="178" t="s">
        <v>353</v>
      </c>
      <c r="AP26" s="177">
        <v>7.86</v>
      </c>
      <c r="AQ26" s="177">
        <v>8.2100000000000009</v>
      </c>
      <c r="AR26" s="171"/>
      <c r="AS26" s="164">
        <v>8.42</v>
      </c>
      <c r="AT26" s="149">
        <v>105.8</v>
      </c>
      <c r="AU26" s="164">
        <v>1.28</v>
      </c>
      <c r="AV26" s="164"/>
      <c r="AW26" s="164"/>
      <c r="AX26" s="179">
        <f t="shared" si="6"/>
        <v>0</v>
      </c>
      <c r="AY26" s="125">
        <f t="shared" si="7"/>
        <v>83.19</v>
      </c>
      <c r="AZ26" s="125">
        <f t="shared" si="27"/>
        <v>100.18361972018249</v>
      </c>
      <c r="BA26" s="159">
        <f t="shared" si="8"/>
        <v>4.2233415492957747</v>
      </c>
      <c r="BB26" s="159">
        <f t="shared" si="9"/>
        <v>3.3275999999999999</v>
      </c>
      <c r="BC26" s="180">
        <f t="shared" si="10"/>
        <v>0.73096147451167737</v>
      </c>
      <c r="BD26" s="159">
        <f t="shared" si="28"/>
        <v>7.550941549295775</v>
      </c>
      <c r="BE26" s="167">
        <v>0.83399999999999996</v>
      </c>
      <c r="BF26" s="25">
        <f t="shared" si="29"/>
        <v>1869.2600000000002</v>
      </c>
      <c r="BG26" s="25">
        <f t="shared" si="11"/>
        <v>108.06451612903226</v>
      </c>
      <c r="BH26" s="25">
        <f t="shared" si="30"/>
        <v>2161.2903225806444</v>
      </c>
      <c r="BI26" s="26">
        <f t="shared" si="12"/>
        <v>1</v>
      </c>
      <c r="BJ26" s="37">
        <f t="shared" si="31"/>
        <v>2161.2903225806444</v>
      </c>
      <c r="BK26" s="28">
        <f t="shared" si="32"/>
        <v>158.142</v>
      </c>
      <c r="BL26" s="43"/>
      <c r="BM26" s="31">
        <v>48.427999999999997</v>
      </c>
      <c r="BN26" s="406"/>
      <c r="BO26" s="42"/>
      <c r="BP26" s="40">
        <v>8.7739999999999991</v>
      </c>
      <c r="BQ26" s="412">
        <v>17.888000000000002</v>
      </c>
      <c r="BR26" s="33">
        <v>1.19</v>
      </c>
      <c r="BS26" s="34"/>
      <c r="BT26" s="35">
        <v>0.92</v>
      </c>
      <c r="BU26" s="35"/>
      <c r="BV26" s="235"/>
      <c r="BW26" s="235">
        <v>2.4300000000000002</v>
      </c>
      <c r="BX26" s="36"/>
      <c r="BY26" s="33">
        <v>37.19</v>
      </c>
      <c r="BZ26" s="34"/>
      <c r="CA26" s="35">
        <v>38.26</v>
      </c>
      <c r="CB26" s="405"/>
      <c r="CC26" s="404"/>
      <c r="CD26" s="235">
        <v>30.95</v>
      </c>
      <c r="CE26" s="413">
        <v>43.63</v>
      </c>
      <c r="CF26" s="28">
        <f t="shared" si="33"/>
        <v>149.00399999999999</v>
      </c>
      <c r="CG26" s="30"/>
      <c r="CH26" s="43"/>
      <c r="CI26" s="32"/>
      <c r="CJ26" s="33">
        <v>1.18</v>
      </c>
      <c r="CK26" s="33"/>
      <c r="CL26" s="35"/>
      <c r="CM26" s="36"/>
      <c r="CN26" s="286"/>
      <c r="CO26" s="249">
        <f t="shared" si="37"/>
        <v>156.26011019999999</v>
      </c>
      <c r="CP26" s="12">
        <f t="shared" si="37"/>
        <v>0</v>
      </c>
      <c r="CQ26" s="12">
        <f t="shared" si="37"/>
        <v>47.982462399999996</v>
      </c>
      <c r="CR26" s="12">
        <f t="shared" si="37"/>
        <v>0</v>
      </c>
      <c r="CS26" s="11">
        <f t="shared" si="37"/>
        <v>0</v>
      </c>
      <c r="CT26" s="11">
        <f t="shared" si="37"/>
        <v>8.5607917999999987</v>
      </c>
      <c r="CU26" s="272">
        <f t="shared" si="37"/>
        <v>17.888000000000002</v>
      </c>
      <c r="CV26" s="249">
        <f t="shared" si="14"/>
        <v>147.24575279999999</v>
      </c>
      <c r="CW26" s="12">
        <f t="shared" si="14"/>
        <v>0</v>
      </c>
      <c r="CX26" s="249">
        <f t="shared" si="14"/>
        <v>0</v>
      </c>
      <c r="CY26" s="274">
        <f t="shared" si="14"/>
        <v>0</v>
      </c>
      <c r="CZ26" s="13"/>
      <c r="DA26" s="240">
        <f>(D26+'[2]июль 20'!D26)/(AY26+'[2]июль 20'!BA26)</f>
        <v>2.31073413823019</v>
      </c>
      <c r="DB26" s="241">
        <f>(T26+'[2]июль 20'!R26)/(AY26+'[2]июль 20'!BA26)</f>
        <v>1.4689964338613888</v>
      </c>
      <c r="DD26" s="292">
        <f t="shared" si="15"/>
        <v>8.7110000000000003</v>
      </c>
      <c r="DE26" s="291">
        <v>0.53</v>
      </c>
      <c r="DF26" s="291">
        <v>7.3</v>
      </c>
      <c r="DG26" s="145">
        <f t="shared" si="16"/>
        <v>8.6648317000000006</v>
      </c>
      <c r="DH26" s="293">
        <f t="shared" si="34"/>
        <v>0.8283560949449974</v>
      </c>
      <c r="DJ26" s="38">
        <v>145.142</v>
      </c>
      <c r="DK26" s="460">
        <f t="shared" si="35"/>
        <v>158.142</v>
      </c>
      <c r="DM26" s="30">
        <v>139.00399999999999</v>
      </c>
      <c r="DN26" s="460">
        <f t="shared" si="36"/>
        <v>149.00399999999999</v>
      </c>
    </row>
    <row r="27" spans="1:118" s="76" customFormat="1" ht="16.5" customHeight="1" thickBot="1">
      <c r="A27" s="144">
        <v>21</v>
      </c>
      <c r="B27" s="122">
        <f t="shared" si="17"/>
        <v>210.74199999999996</v>
      </c>
      <c r="C27" s="123">
        <f t="shared" si="18"/>
        <v>1.1726911579087227</v>
      </c>
      <c r="D27" s="145">
        <f t="shared" si="19"/>
        <v>208.27064719999998</v>
      </c>
      <c r="E27" s="125">
        <f t="shared" si="20"/>
        <v>37.37497598959866</v>
      </c>
      <c r="F27" s="146">
        <f t="shared" si="0"/>
        <v>2.1589162143671605</v>
      </c>
      <c r="G27" s="127"/>
      <c r="H27" s="126">
        <f t="shared" si="21"/>
        <v>1.9921493438374627</v>
      </c>
      <c r="I27" s="230">
        <f>'[1]июль 20'!AI26</f>
        <v>0</v>
      </c>
      <c r="J27" s="247">
        <f>'[1]июль 20'!AA26</f>
        <v>7.8360000000000003</v>
      </c>
      <c r="K27" s="465">
        <f>'[1]сентябрь 20'!AM26</f>
        <v>0</v>
      </c>
      <c r="L27" s="247">
        <f>'[1]июль 20'!AE26</f>
        <v>16.088000000000001</v>
      </c>
      <c r="M27" s="469">
        <f t="shared" si="22"/>
        <v>0.16676687052969835</v>
      </c>
      <c r="N27" s="403">
        <f>'[1]июль 20'!W26</f>
        <v>0</v>
      </c>
      <c r="O27" s="403">
        <f>'[1]июль 20'!AU26</f>
        <v>0</v>
      </c>
      <c r="P27" s="401">
        <f t="shared" si="1"/>
        <v>135.65100000000001</v>
      </c>
      <c r="Q27" s="122">
        <f t="shared" si="23"/>
        <v>135.65100000000001</v>
      </c>
      <c r="R27" s="123">
        <f t="shared" si="24"/>
        <v>1.52</v>
      </c>
      <c r="S27" s="129">
        <v>13.18</v>
      </c>
      <c r="T27" s="125">
        <f t="shared" si="2"/>
        <v>133.5891048</v>
      </c>
      <c r="U27" s="147">
        <f t="shared" si="3"/>
        <v>1.3847735544728932</v>
      </c>
      <c r="V27" s="130">
        <v>96.47</v>
      </c>
      <c r="W27" s="130">
        <v>72.06</v>
      </c>
      <c r="X27" s="129">
        <v>0.71</v>
      </c>
      <c r="Y27" s="150">
        <v>572</v>
      </c>
      <c r="Z27" s="150">
        <v>1144</v>
      </c>
      <c r="AA27" s="148" t="s">
        <v>301</v>
      </c>
      <c r="AB27" s="149">
        <v>76.25</v>
      </c>
      <c r="AC27" s="150">
        <v>78</v>
      </c>
      <c r="AD27" s="151">
        <v>4</v>
      </c>
      <c r="AE27" s="149">
        <v>0.25</v>
      </c>
      <c r="AF27" s="134">
        <f t="shared" si="4"/>
        <v>2.5914792163366851</v>
      </c>
      <c r="AG27" s="152"/>
      <c r="AH27" s="129">
        <v>67.400000000000006</v>
      </c>
      <c r="AI27" s="134">
        <f t="shared" si="5"/>
        <v>698.66279672437042</v>
      </c>
      <c r="AJ27" s="136">
        <v>15.62</v>
      </c>
      <c r="AK27" s="154"/>
      <c r="AL27" s="155">
        <v>5.73</v>
      </c>
      <c r="AM27" s="478">
        <f t="shared" si="25"/>
        <v>25.200000000000003</v>
      </c>
      <c r="AN27" s="126">
        <f t="shared" si="26"/>
        <v>0.2</v>
      </c>
      <c r="AO27" s="157" t="s">
        <v>355</v>
      </c>
      <c r="AP27" s="156">
        <v>8.59</v>
      </c>
      <c r="AQ27" s="156">
        <v>8.3800000000000008</v>
      </c>
      <c r="AR27" s="151"/>
      <c r="AS27" s="149">
        <v>6.82</v>
      </c>
      <c r="AT27" s="149">
        <v>126</v>
      </c>
      <c r="AU27" s="149">
        <v>1.4</v>
      </c>
      <c r="AV27" s="164"/>
      <c r="AW27" s="149"/>
      <c r="AX27" s="158">
        <f t="shared" si="6"/>
        <v>0</v>
      </c>
      <c r="AY27" s="125">
        <f t="shared" si="7"/>
        <v>96.47</v>
      </c>
      <c r="AZ27" s="125">
        <f t="shared" si="27"/>
        <v>89.949163338079018</v>
      </c>
      <c r="BA27" s="159">
        <f t="shared" si="8"/>
        <v>3.5608084507042261</v>
      </c>
      <c r="BB27" s="160">
        <f t="shared" si="9"/>
        <v>3.8588</v>
      </c>
      <c r="BC27" s="161">
        <f t="shared" si="10"/>
        <v>0.94498113280570273</v>
      </c>
      <c r="BD27" s="160">
        <f t="shared" si="28"/>
        <v>7.4196084507042261</v>
      </c>
      <c r="BE27" s="162">
        <v>0.83899999999999997</v>
      </c>
      <c r="BF27" s="25">
        <f t="shared" si="29"/>
        <v>1965.7300000000002</v>
      </c>
      <c r="BG27" s="25">
        <f t="shared" si="11"/>
        <v>108.06451612903226</v>
      </c>
      <c r="BH27" s="25">
        <f t="shared" si="30"/>
        <v>2269.3548387096766</v>
      </c>
      <c r="BI27" s="26">
        <f t="shared" si="12"/>
        <v>1</v>
      </c>
      <c r="BJ27" s="37">
        <f t="shared" si="31"/>
        <v>2269.3548387096766</v>
      </c>
      <c r="BK27" s="28">
        <f t="shared" si="32"/>
        <v>143.36799999999999</v>
      </c>
      <c r="BL27" s="31"/>
      <c r="BM27" s="31">
        <v>43.478999999999999</v>
      </c>
      <c r="BN27" s="234"/>
      <c r="BO27" s="42"/>
      <c r="BP27" s="40">
        <v>7.8070000000000004</v>
      </c>
      <c r="BQ27" s="411">
        <v>16.088000000000001</v>
      </c>
      <c r="BR27" s="33">
        <v>1.32</v>
      </c>
      <c r="BS27" s="34"/>
      <c r="BT27" s="35">
        <v>0.94</v>
      </c>
      <c r="BU27" s="35"/>
      <c r="BV27" s="235"/>
      <c r="BW27" s="235">
        <v>2.1800000000000002</v>
      </c>
      <c r="BX27" s="36"/>
      <c r="BY27" s="33">
        <v>37</v>
      </c>
      <c r="BZ27" s="34"/>
      <c r="CA27" s="35">
        <v>37.299999999999997</v>
      </c>
      <c r="CB27" s="405"/>
      <c r="CC27" s="404"/>
      <c r="CD27" s="235">
        <v>31.83</v>
      </c>
      <c r="CE27" s="413">
        <v>43.61</v>
      </c>
      <c r="CF27" s="28">
        <f t="shared" si="33"/>
        <v>135.65100000000001</v>
      </c>
      <c r="CG27" s="30"/>
      <c r="CH27" s="31"/>
      <c r="CI27" s="32"/>
      <c r="CJ27" s="33">
        <v>1.52</v>
      </c>
      <c r="CK27" s="33"/>
      <c r="CL27" s="35"/>
      <c r="CM27" s="36"/>
      <c r="CN27" s="286"/>
      <c r="CO27" s="249">
        <f t="shared" si="37"/>
        <v>141.47554240000002</v>
      </c>
      <c r="CP27" s="12">
        <f t="shared" si="37"/>
        <v>0</v>
      </c>
      <c r="CQ27" s="12">
        <f t="shared" si="37"/>
        <v>43.070297400000001</v>
      </c>
      <c r="CR27" s="12">
        <f t="shared" si="37"/>
        <v>0</v>
      </c>
      <c r="CS27" s="11">
        <f t="shared" si="37"/>
        <v>0</v>
      </c>
      <c r="CT27" s="11">
        <f t="shared" si="37"/>
        <v>7.6368074000000004</v>
      </c>
      <c r="CU27" s="272">
        <f t="shared" si="37"/>
        <v>16.088000000000001</v>
      </c>
      <c r="CV27" s="249">
        <f t="shared" si="14"/>
        <v>133.5891048</v>
      </c>
      <c r="CW27" s="11">
        <f t="shared" si="14"/>
        <v>0</v>
      </c>
      <c r="CX27" s="249">
        <f t="shared" si="14"/>
        <v>0</v>
      </c>
      <c r="CY27" s="272">
        <f t="shared" si="14"/>
        <v>0</v>
      </c>
      <c r="CZ27" s="13"/>
      <c r="DA27" s="240">
        <f>(D27+'[2]июль 20'!D27)/(AY27+'[2]июль 20'!BA27)</f>
        <v>2.1701164165760756</v>
      </c>
      <c r="DB27" s="241">
        <f>(T27+'[2]июль 20'!R27)/(AY27+'[2]июль 20'!BA27)</f>
        <v>1.3753171450189157</v>
      </c>
      <c r="DD27" s="292">
        <f t="shared" si="15"/>
        <v>7.8360000000000003</v>
      </c>
      <c r="DE27" s="291">
        <v>0.47</v>
      </c>
      <c r="DF27" s="291">
        <v>8.09</v>
      </c>
      <c r="DG27" s="145">
        <f t="shared" si="16"/>
        <v>7.7991707999999997</v>
      </c>
      <c r="DH27" s="293">
        <f t="shared" si="34"/>
        <v>0.82747923635409837</v>
      </c>
      <c r="DJ27" s="38">
        <v>130.36799999999999</v>
      </c>
      <c r="DK27" s="460">
        <f t="shared" si="35"/>
        <v>143.36799999999999</v>
      </c>
      <c r="DM27" s="30">
        <v>125.651</v>
      </c>
      <c r="DN27" s="460">
        <f t="shared" si="36"/>
        <v>135.65100000000001</v>
      </c>
    </row>
    <row r="28" spans="1:118" s="76" customFormat="1" ht="16.5" customHeight="1" thickBot="1">
      <c r="A28" s="144">
        <v>22</v>
      </c>
      <c r="B28" s="122">
        <f t="shared" si="17"/>
        <v>218.09200000000001</v>
      </c>
      <c r="C28" s="123">
        <f t="shared" si="18"/>
        <v>0.6320558296498725</v>
      </c>
      <c r="D28" s="145">
        <f t="shared" si="19"/>
        <v>216.71353680000001</v>
      </c>
      <c r="E28" s="125">
        <f t="shared" si="20"/>
        <v>37.184569401903779</v>
      </c>
      <c r="F28" s="146">
        <f t="shared" si="0"/>
        <v>2.4106066384872085</v>
      </c>
      <c r="G28" s="127"/>
      <c r="H28" s="126">
        <f t="shared" si="21"/>
        <v>2.2272028565072302</v>
      </c>
      <c r="I28" s="230">
        <f>'[1]июль 20'!AI27</f>
        <v>0</v>
      </c>
      <c r="J28" s="247">
        <f>'[1]июль 20'!AA27</f>
        <v>8.2119999999999997</v>
      </c>
      <c r="K28" s="464">
        <f>'[1]сентябрь 20'!AM27</f>
        <v>0</v>
      </c>
      <c r="L28" s="247">
        <f>'[1]июль 20'!AE27</f>
        <v>16.488</v>
      </c>
      <c r="M28" s="468">
        <f t="shared" si="22"/>
        <v>0.18340378197997775</v>
      </c>
      <c r="N28" s="403">
        <f>'[1]июль 20'!W27</f>
        <v>0</v>
      </c>
      <c r="O28" s="403">
        <f>'[1]июль 20'!AU27</f>
        <v>0</v>
      </c>
      <c r="P28" s="401">
        <f t="shared" si="1"/>
        <v>140.11000000000001</v>
      </c>
      <c r="Q28" s="122">
        <f t="shared" si="23"/>
        <v>140.11000000000001</v>
      </c>
      <c r="R28" s="123">
        <f t="shared" si="24"/>
        <v>1.25</v>
      </c>
      <c r="S28" s="129"/>
      <c r="T28" s="125">
        <f t="shared" si="2"/>
        <v>138.35862500000002</v>
      </c>
      <c r="U28" s="147">
        <f t="shared" si="3"/>
        <v>1.5390280867630703</v>
      </c>
      <c r="V28" s="130">
        <v>23.08</v>
      </c>
      <c r="W28" s="130">
        <v>21.79</v>
      </c>
      <c r="X28" s="129">
        <v>1.24</v>
      </c>
      <c r="Y28" s="150">
        <v>580</v>
      </c>
      <c r="Z28" s="150">
        <v>1155</v>
      </c>
      <c r="AA28" s="148" t="s">
        <v>333</v>
      </c>
      <c r="AB28" s="149">
        <v>74.72</v>
      </c>
      <c r="AC28" s="150">
        <v>82</v>
      </c>
      <c r="AD28" s="151">
        <v>4</v>
      </c>
      <c r="AE28" s="149"/>
      <c r="AF28" s="134">
        <f t="shared" si="4"/>
        <v>0</v>
      </c>
      <c r="AG28" s="152"/>
      <c r="AH28" s="129">
        <v>51.15</v>
      </c>
      <c r="AI28" s="134">
        <f t="shared" si="5"/>
        <v>568.9655172413793</v>
      </c>
      <c r="AJ28" s="153">
        <v>14.3</v>
      </c>
      <c r="AK28" s="154"/>
      <c r="AL28" s="155">
        <v>5.4</v>
      </c>
      <c r="AM28" s="478">
        <f t="shared" si="25"/>
        <v>23.52</v>
      </c>
      <c r="AN28" s="126">
        <f t="shared" si="26"/>
        <v>0.2</v>
      </c>
      <c r="AO28" s="157" t="s">
        <v>356</v>
      </c>
      <c r="AP28" s="156">
        <v>9.7100000000000009</v>
      </c>
      <c r="AQ28" s="156">
        <v>8.3699999999999992</v>
      </c>
      <c r="AR28" s="151"/>
      <c r="AS28" s="149">
        <v>6.04</v>
      </c>
      <c r="AT28" s="149">
        <v>117.6</v>
      </c>
      <c r="AU28" s="149">
        <v>1.22</v>
      </c>
      <c r="AV28" s="164"/>
      <c r="AW28" s="149"/>
      <c r="AX28" s="158">
        <f t="shared" si="6"/>
        <v>0</v>
      </c>
      <c r="AY28" s="125">
        <f t="shared" si="7"/>
        <v>89.899999999999991</v>
      </c>
      <c r="AZ28" s="125">
        <f t="shared" si="27"/>
        <v>95.289943844924139</v>
      </c>
      <c r="BA28" s="159">
        <f t="shared" si="8"/>
        <v>2.3932436619718307</v>
      </c>
      <c r="BB28" s="160">
        <f t="shared" si="9"/>
        <v>3.5959999999999996</v>
      </c>
      <c r="BC28" s="161">
        <f t="shared" si="10"/>
        <v>0.83358090632778803</v>
      </c>
      <c r="BD28" s="160">
        <f t="shared" si="28"/>
        <v>5.9892436619718303</v>
      </c>
      <c r="BE28" s="162">
        <v>0.83799999999999997</v>
      </c>
      <c r="BF28" s="25">
        <f t="shared" si="29"/>
        <v>2055.63</v>
      </c>
      <c r="BG28" s="25">
        <f t="shared" si="11"/>
        <v>108.06451612903226</v>
      </c>
      <c r="BH28" s="25">
        <f t="shared" si="30"/>
        <v>2377.4193548387088</v>
      </c>
      <c r="BI28" s="26">
        <f t="shared" si="12"/>
        <v>1</v>
      </c>
      <c r="BJ28" s="37">
        <f t="shared" si="31"/>
        <v>2377.4193548387088</v>
      </c>
      <c r="BK28" s="28">
        <f t="shared" si="32"/>
        <v>148.30500000000001</v>
      </c>
      <c r="BL28" s="31"/>
      <c r="BM28" s="31">
        <v>45.125999999999998</v>
      </c>
      <c r="BN28" s="234"/>
      <c r="BO28" s="42"/>
      <c r="BP28" s="40">
        <v>8.173</v>
      </c>
      <c r="BQ28" s="411">
        <v>16.488</v>
      </c>
      <c r="BR28" s="33">
        <v>0.61</v>
      </c>
      <c r="BS28" s="34"/>
      <c r="BT28" s="35">
        <v>0.56999999999999995</v>
      </c>
      <c r="BU28" s="35"/>
      <c r="BV28" s="235"/>
      <c r="BW28" s="235">
        <v>2.65</v>
      </c>
      <c r="BX28" s="36"/>
      <c r="BY28" s="33">
        <v>37.15</v>
      </c>
      <c r="BZ28" s="34"/>
      <c r="CA28" s="35">
        <v>36.11</v>
      </c>
      <c r="CB28" s="405"/>
      <c r="CC28" s="404"/>
      <c r="CD28" s="235">
        <v>30.5</v>
      </c>
      <c r="CE28" s="36">
        <v>43.75</v>
      </c>
      <c r="CF28" s="28">
        <f t="shared" si="33"/>
        <v>140.11000000000001</v>
      </c>
      <c r="CG28" s="30"/>
      <c r="CH28" s="31"/>
      <c r="CI28" s="32"/>
      <c r="CJ28" s="33">
        <v>1.25</v>
      </c>
      <c r="CK28" s="33"/>
      <c r="CL28" s="35"/>
      <c r="CM28" s="36"/>
      <c r="CN28" s="286"/>
      <c r="CO28" s="249">
        <f t="shared" si="37"/>
        <v>147.4003395</v>
      </c>
      <c r="CP28" s="12">
        <f t="shared" si="37"/>
        <v>0</v>
      </c>
      <c r="CQ28" s="12">
        <f t="shared" si="37"/>
        <v>44.868781800000001</v>
      </c>
      <c r="CR28" s="12">
        <f t="shared" si="37"/>
        <v>0</v>
      </c>
      <c r="CS28" s="11">
        <f t="shared" si="37"/>
        <v>0</v>
      </c>
      <c r="CT28" s="11">
        <f t="shared" si="37"/>
        <v>7.9564154999999994</v>
      </c>
      <c r="CU28" s="272">
        <f t="shared" si="37"/>
        <v>16.488</v>
      </c>
      <c r="CV28" s="249">
        <f t="shared" si="14"/>
        <v>138.35862500000002</v>
      </c>
      <c r="CW28" s="12">
        <f t="shared" si="14"/>
        <v>0</v>
      </c>
      <c r="CX28" s="249">
        <f t="shared" si="14"/>
        <v>0</v>
      </c>
      <c r="CY28" s="272">
        <f t="shared" si="14"/>
        <v>0</v>
      </c>
      <c r="CZ28" s="13"/>
      <c r="DA28" s="240">
        <f>(D28+'[2]июль 20'!D28)/(AY28+'[2]июль 20'!BA28)</f>
        <v>2.2644428394165117</v>
      </c>
      <c r="DB28" s="241">
        <f>(T28+'[2]июль 20'!R28)/(AY28+'[2]июль 20'!BA28)</f>
        <v>1.4285752736243966</v>
      </c>
      <c r="DD28" s="292">
        <f t="shared" si="15"/>
        <v>8.2119999999999997</v>
      </c>
      <c r="DE28" s="305">
        <v>0.09</v>
      </c>
      <c r="DF28" s="291">
        <v>10.37</v>
      </c>
      <c r="DG28" s="145">
        <f t="shared" si="16"/>
        <v>8.2046092000000002</v>
      </c>
      <c r="DH28" s="293">
        <f t="shared" si="34"/>
        <v>1.1386750187901498</v>
      </c>
      <c r="DJ28" s="38">
        <v>135.30500000000001</v>
      </c>
      <c r="DK28" s="460">
        <f t="shared" si="35"/>
        <v>148.30500000000001</v>
      </c>
      <c r="DM28" s="30">
        <v>130.11000000000001</v>
      </c>
      <c r="DN28" s="460">
        <f t="shared" si="36"/>
        <v>140.11000000000001</v>
      </c>
    </row>
    <row r="29" spans="1:118" s="76" customFormat="1" ht="16.5" customHeight="1" thickBot="1">
      <c r="A29" s="144">
        <v>23</v>
      </c>
      <c r="B29" s="122">
        <f t="shared" si="17"/>
        <v>211.30900000000003</v>
      </c>
      <c r="C29" s="123">
        <f t="shared" si="18"/>
        <v>0.73651567136279095</v>
      </c>
      <c r="D29" s="145">
        <f t="shared" si="19"/>
        <v>209.75267610000003</v>
      </c>
      <c r="E29" s="125">
        <f t="shared" si="20"/>
        <v>37.397331254229591</v>
      </c>
      <c r="F29" s="146">
        <f t="shared" si="0"/>
        <v>2.2722638511537214</v>
      </c>
      <c r="G29" s="127"/>
      <c r="H29" s="126">
        <f t="shared" si="21"/>
        <v>2.0942766341674792</v>
      </c>
      <c r="I29" s="230">
        <f>'[1]июль 20'!AI28</f>
        <v>0</v>
      </c>
      <c r="J29" s="247">
        <f>'[1]июль 20'!AA28</f>
        <v>8.0530000000000008</v>
      </c>
      <c r="K29" s="465">
        <f>'[1]сентябрь 20'!AM28</f>
        <v>0</v>
      </c>
      <c r="L29" s="247">
        <f>'[1]июль 20'!AE28</f>
        <v>16.43</v>
      </c>
      <c r="M29" s="469">
        <f t="shared" si="22"/>
        <v>0.17798721698624201</v>
      </c>
      <c r="N29" s="403">
        <f>'[1]июль 20'!W28</f>
        <v>0</v>
      </c>
      <c r="O29" s="403">
        <f>'[1]июль 20'!AU28</f>
        <v>0</v>
      </c>
      <c r="P29" s="401">
        <f t="shared" si="1"/>
        <v>133.96699999999998</v>
      </c>
      <c r="Q29" s="122">
        <f t="shared" si="23"/>
        <v>133.96699999999998</v>
      </c>
      <c r="R29" s="123">
        <f t="shared" si="24"/>
        <v>1.58</v>
      </c>
      <c r="S29" s="129"/>
      <c r="T29" s="125">
        <f t="shared" si="2"/>
        <v>131.85032139999998</v>
      </c>
      <c r="U29" s="147">
        <f t="shared" si="3"/>
        <v>1.4283427732640015</v>
      </c>
      <c r="V29" s="130">
        <v>92.31</v>
      </c>
      <c r="W29" s="130">
        <v>92.31</v>
      </c>
      <c r="X29" s="129">
        <v>0.78</v>
      </c>
      <c r="Y29" s="150">
        <v>562</v>
      </c>
      <c r="Z29" s="150">
        <v>1147</v>
      </c>
      <c r="AA29" s="148" t="s">
        <v>276</v>
      </c>
      <c r="AB29" s="149">
        <v>75.89</v>
      </c>
      <c r="AC29" s="150">
        <v>79</v>
      </c>
      <c r="AD29" s="151">
        <v>4</v>
      </c>
      <c r="AE29" s="149"/>
      <c r="AF29" s="134">
        <f t="shared" si="4"/>
        <v>0</v>
      </c>
      <c r="AG29" s="152"/>
      <c r="AH29" s="129">
        <v>61.05</v>
      </c>
      <c r="AI29" s="134">
        <f t="shared" si="5"/>
        <v>661.35846603834898</v>
      </c>
      <c r="AJ29" s="136">
        <v>16.579999999999998</v>
      </c>
      <c r="AK29" s="154"/>
      <c r="AL29" s="155">
        <v>4.1100000000000003</v>
      </c>
      <c r="AM29" s="478">
        <f t="shared" si="25"/>
        <v>23.78</v>
      </c>
      <c r="AN29" s="126">
        <f t="shared" si="26"/>
        <v>0.2</v>
      </c>
      <c r="AO29" s="157" t="s">
        <v>357</v>
      </c>
      <c r="AP29" s="156">
        <v>8.39</v>
      </c>
      <c r="AQ29" s="156">
        <v>9.2799999999999994</v>
      </c>
      <c r="AR29" s="149"/>
      <c r="AS29" s="149">
        <v>7.87</v>
      </c>
      <c r="AT29" s="149">
        <v>118.9</v>
      </c>
      <c r="AU29" s="149">
        <v>1.3</v>
      </c>
      <c r="AV29" s="164"/>
      <c r="AW29" s="149"/>
      <c r="AX29" s="158">
        <f t="shared" si="6"/>
        <v>0</v>
      </c>
      <c r="AY29" s="125">
        <f t="shared" si="7"/>
        <v>92.31</v>
      </c>
      <c r="AZ29" s="125">
        <f t="shared" si="27"/>
        <v>91.22496387383157</v>
      </c>
      <c r="BA29" s="159">
        <f t="shared" si="8"/>
        <v>3.7219003521126761</v>
      </c>
      <c r="BB29" s="160">
        <f t="shared" si="9"/>
        <v>3.6924000000000001</v>
      </c>
      <c r="BC29" s="161">
        <f t="shared" si="10"/>
        <v>0.8930693447672734</v>
      </c>
      <c r="BD29" s="160">
        <f t="shared" si="28"/>
        <v>7.4143003521126758</v>
      </c>
      <c r="BE29" s="162">
        <v>0.84099999999999997</v>
      </c>
      <c r="BF29" s="25">
        <f t="shared" si="29"/>
        <v>2147.94</v>
      </c>
      <c r="BG29" s="25">
        <f t="shared" si="11"/>
        <v>108.06451612903226</v>
      </c>
      <c r="BH29" s="25">
        <f t="shared" si="30"/>
        <v>2485.483870967741</v>
      </c>
      <c r="BI29" s="26">
        <f t="shared" si="12"/>
        <v>1</v>
      </c>
      <c r="BJ29" s="37">
        <f t="shared" si="31"/>
        <v>2485.483870967741</v>
      </c>
      <c r="BK29" s="28">
        <f t="shared" si="32"/>
        <v>143.36500000000001</v>
      </c>
      <c r="BL29" s="31"/>
      <c r="BM29" s="31">
        <v>43.49</v>
      </c>
      <c r="BN29" s="31"/>
      <c r="BO29" s="40"/>
      <c r="BP29" s="40">
        <v>8.0239999999999991</v>
      </c>
      <c r="BQ29" s="32">
        <v>16.43</v>
      </c>
      <c r="BR29" s="33">
        <v>0.75</v>
      </c>
      <c r="BS29" s="34"/>
      <c r="BT29" s="35">
        <v>0.68</v>
      </c>
      <c r="BU29" s="35"/>
      <c r="BV29" s="235"/>
      <c r="BW29" s="235">
        <v>2.31</v>
      </c>
      <c r="BX29" s="36"/>
      <c r="BY29" s="33">
        <v>37.21</v>
      </c>
      <c r="BZ29" s="34"/>
      <c r="CA29" s="35">
        <v>37.15</v>
      </c>
      <c r="CB29" s="35"/>
      <c r="CC29" s="235"/>
      <c r="CD29" s="235">
        <v>29.63</v>
      </c>
      <c r="CE29" s="36">
        <v>43.48</v>
      </c>
      <c r="CF29" s="28">
        <f t="shared" si="33"/>
        <v>133.96699999999998</v>
      </c>
      <c r="CG29" s="30"/>
      <c r="CH29" s="31"/>
      <c r="CI29" s="32"/>
      <c r="CJ29" s="33">
        <v>1.58</v>
      </c>
      <c r="CK29" s="33"/>
      <c r="CL29" s="35"/>
      <c r="CM29" s="36"/>
      <c r="CN29" s="286"/>
      <c r="CO29" s="249">
        <f t="shared" si="37"/>
        <v>142.28976250000002</v>
      </c>
      <c r="CP29" s="12">
        <f t="shared" si="37"/>
        <v>0</v>
      </c>
      <c r="CQ29" s="12">
        <f t="shared" si="37"/>
        <v>43.194268000000001</v>
      </c>
      <c r="CR29" s="12">
        <f t="shared" si="37"/>
        <v>0</v>
      </c>
      <c r="CS29" s="11">
        <f t="shared" si="37"/>
        <v>0</v>
      </c>
      <c r="CT29" s="11">
        <f t="shared" si="37"/>
        <v>7.8386455999999987</v>
      </c>
      <c r="CU29" s="272">
        <f t="shared" si="37"/>
        <v>16.43</v>
      </c>
      <c r="CV29" s="249">
        <f t="shared" si="14"/>
        <v>131.85032139999998</v>
      </c>
      <c r="CW29" s="12">
        <f t="shared" si="14"/>
        <v>0</v>
      </c>
      <c r="CX29" s="249">
        <f t="shared" si="14"/>
        <v>0</v>
      </c>
      <c r="CY29" s="272">
        <f t="shared" si="14"/>
        <v>0</v>
      </c>
      <c r="CZ29" s="13"/>
      <c r="DA29" s="240">
        <f>(D29+'[2]июль 20'!D29)/(AY29+'[2]июль 20'!BA29)</f>
        <v>2.1968009876103909</v>
      </c>
      <c r="DB29" s="241">
        <f>(T29+'[2]июль 20'!R29)/(AY29+'[2]июль 20'!BA29)</f>
        <v>1.3728737557626591</v>
      </c>
      <c r="DD29" s="292">
        <f t="shared" si="15"/>
        <v>8.0530000000000008</v>
      </c>
      <c r="DE29" s="291">
        <v>1.44</v>
      </c>
      <c r="DF29" s="291">
        <v>9.4600000000000009</v>
      </c>
      <c r="DG29" s="145">
        <f t="shared" si="16"/>
        <v>7.9370368000000013</v>
      </c>
      <c r="DH29" s="293">
        <f t="shared" si="34"/>
        <v>0.98938421568059043</v>
      </c>
      <c r="DJ29" s="328">
        <v>130.36500000000001</v>
      </c>
      <c r="DK29" s="460">
        <f t="shared" si="35"/>
        <v>143.36500000000001</v>
      </c>
      <c r="DM29" s="30">
        <v>123.967</v>
      </c>
      <c r="DN29" s="460">
        <f t="shared" si="36"/>
        <v>133.96699999999998</v>
      </c>
    </row>
    <row r="30" spans="1:118" s="76" customFormat="1" ht="16.5" customHeight="1" thickBot="1">
      <c r="A30" s="144">
        <v>24</v>
      </c>
      <c r="B30" s="122">
        <f t="shared" si="17"/>
        <v>220.40799999999999</v>
      </c>
      <c r="C30" s="123">
        <f t="shared" si="18"/>
        <v>2.226376674167907</v>
      </c>
      <c r="D30" s="145">
        <f t="shared" si="19"/>
        <v>215.50088769999999</v>
      </c>
      <c r="E30" s="125">
        <f t="shared" si="20"/>
        <v>37.888364986751846</v>
      </c>
      <c r="F30" s="146">
        <f t="shared" si="0"/>
        <v>2.2650923659869666</v>
      </c>
      <c r="G30" s="127"/>
      <c r="H30" s="126">
        <f t="shared" si="21"/>
        <v>2.0906231627075886</v>
      </c>
      <c r="I30" s="230">
        <f>'[1]июль 20'!AI29</f>
        <v>0</v>
      </c>
      <c r="J30" s="247">
        <f>'[1]июль 20'!AA29</f>
        <v>8.1929999999999996</v>
      </c>
      <c r="K30" s="464">
        <f>'[1]сентябрь 20'!AM29</f>
        <v>0</v>
      </c>
      <c r="L30" s="247">
        <f>'[1]июль 20'!AE29</f>
        <v>16.599</v>
      </c>
      <c r="M30" s="468">
        <f t="shared" si="22"/>
        <v>0.17446920327937779</v>
      </c>
      <c r="N30" s="403">
        <f>'[1]июль 20'!W29</f>
        <v>0</v>
      </c>
      <c r="O30" s="403">
        <f>'[1]июль 20'!AU29</f>
        <v>0</v>
      </c>
      <c r="P30" s="401">
        <f t="shared" si="1"/>
        <v>140.316</v>
      </c>
      <c r="Q30" s="122">
        <f t="shared" si="23"/>
        <v>140.316</v>
      </c>
      <c r="R30" s="123">
        <f t="shared" si="24"/>
        <v>1.19</v>
      </c>
      <c r="S30" s="170">
        <v>19.760000000000002</v>
      </c>
      <c r="T30" s="125">
        <f t="shared" si="2"/>
        <v>138.6462396</v>
      </c>
      <c r="U30" s="147">
        <f t="shared" si="3"/>
        <v>1.4572865209165442</v>
      </c>
      <c r="V30" s="169">
        <v>95.14</v>
      </c>
      <c r="W30" s="169">
        <v>95.14</v>
      </c>
      <c r="X30" s="170">
        <v>0.56999999999999995</v>
      </c>
      <c r="Y30" s="166">
        <v>557</v>
      </c>
      <c r="Z30" s="166">
        <v>1149</v>
      </c>
      <c r="AA30" s="148" t="s">
        <v>330</v>
      </c>
      <c r="AB30" s="164">
        <v>75.930000000000007</v>
      </c>
      <c r="AC30" s="166">
        <v>83</v>
      </c>
      <c r="AD30" s="171">
        <v>4</v>
      </c>
      <c r="AE30" s="164"/>
      <c r="AF30" s="172">
        <f t="shared" si="4"/>
        <v>0</v>
      </c>
      <c r="AG30" s="173"/>
      <c r="AH30" s="170">
        <v>66.25</v>
      </c>
      <c r="AI30" s="134">
        <f t="shared" si="5"/>
        <v>696.34223249947456</v>
      </c>
      <c r="AJ30" s="174">
        <v>14.67</v>
      </c>
      <c r="AK30" s="175"/>
      <c r="AL30" s="176">
        <v>4.1500000000000004</v>
      </c>
      <c r="AM30" s="478">
        <f t="shared" si="25"/>
        <v>24.540000000000003</v>
      </c>
      <c r="AN30" s="126">
        <f t="shared" si="26"/>
        <v>0.2</v>
      </c>
      <c r="AO30" s="178" t="s">
        <v>358</v>
      </c>
      <c r="AP30" s="177">
        <v>7.99</v>
      </c>
      <c r="AQ30" s="177">
        <v>9.3699999999999992</v>
      </c>
      <c r="AR30" s="171"/>
      <c r="AS30" s="164">
        <v>7.51</v>
      </c>
      <c r="AT30" s="149">
        <v>122.7</v>
      </c>
      <c r="AU30" s="164">
        <v>1.1299999999999999</v>
      </c>
      <c r="AV30" s="164"/>
      <c r="AW30" s="164"/>
      <c r="AX30" s="179">
        <f t="shared" si="6"/>
        <v>0</v>
      </c>
      <c r="AY30" s="125">
        <f t="shared" si="7"/>
        <v>95.139999999999986</v>
      </c>
      <c r="AZ30" s="125">
        <f t="shared" si="27"/>
        <v>95.866031108758051</v>
      </c>
      <c r="BA30" s="159">
        <f t="shared" si="8"/>
        <v>3.8541637323943658</v>
      </c>
      <c r="BB30" s="159">
        <f t="shared" si="9"/>
        <v>3.8055999999999996</v>
      </c>
      <c r="BC30" s="180">
        <f t="shared" si="10"/>
        <v>0.88475213461272406</v>
      </c>
      <c r="BD30" s="159">
        <f t="shared" si="28"/>
        <v>7.6597637323943655</v>
      </c>
      <c r="BE30" s="167">
        <v>0.84199999999999997</v>
      </c>
      <c r="BF30" s="25">
        <f t="shared" si="29"/>
        <v>2243.08</v>
      </c>
      <c r="BG30" s="25">
        <f t="shared" si="11"/>
        <v>108.06451612903226</v>
      </c>
      <c r="BH30" s="25">
        <f t="shared" si="30"/>
        <v>2593.5483870967732</v>
      </c>
      <c r="BI30" s="26">
        <f t="shared" si="12"/>
        <v>1</v>
      </c>
      <c r="BJ30" s="37">
        <f t="shared" si="31"/>
        <v>2593.5483870967732</v>
      </c>
      <c r="BK30" s="28">
        <f t="shared" si="32"/>
        <v>149.934</v>
      </c>
      <c r="BL30" s="31"/>
      <c r="BM30" s="31">
        <v>45.664999999999999</v>
      </c>
      <c r="BN30" s="31"/>
      <c r="BO30" s="40"/>
      <c r="BP30" s="40">
        <v>8.2100000000000009</v>
      </c>
      <c r="BQ30" s="44">
        <v>16.599</v>
      </c>
      <c r="BR30" s="45">
        <v>2.72</v>
      </c>
      <c r="BS30" s="46"/>
      <c r="BT30" s="47">
        <v>1.47</v>
      </c>
      <c r="BU30" s="47"/>
      <c r="BV30" s="283"/>
      <c r="BW30" s="283">
        <v>1.92</v>
      </c>
      <c r="BX30" s="48"/>
      <c r="BY30" s="45">
        <v>37.39</v>
      </c>
      <c r="BZ30" s="46"/>
      <c r="CA30" s="47">
        <v>38.11</v>
      </c>
      <c r="CB30" s="47"/>
      <c r="CC30" s="283"/>
      <c r="CD30" s="283">
        <v>34.29</v>
      </c>
      <c r="CE30" s="48">
        <v>43.56</v>
      </c>
      <c r="CF30" s="28">
        <f t="shared" si="33"/>
        <v>140.316</v>
      </c>
      <c r="CG30" s="49"/>
      <c r="CH30" s="43"/>
      <c r="CI30" s="32"/>
      <c r="CJ30" s="33">
        <v>1.19</v>
      </c>
      <c r="CK30" s="33"/>
      <c r="CL30" s="35"/>
      <c r="CM30" s="36"/>
      <c r="CN30" s="286"/>
      <c r="CO30" s="249">
        <f t="shared" si="37"/>
        <v>145.85579519999999</v>
      </c>
      <c r="CP30" s="12">
        <f t="shared" si="37"/>
        <v>0</v>
      </c>
      <c r="CQ30" s="12">
        <f t="shared" si="37"/>
        <v>44.993724499999999</v>
      </c>
      <c r="CR30" s="12">
        <f t="shared" si="37"/>
        <v>0</v>
      </c>
      <c r="CS30" s="11">
        <f t="shared" si="37"/>
        <v>0</v>
      </c>
      <c r="CT30" s="11">
        <f t="shared" si="37"/>
        <v>8.0523680000000013</v>
      </c>
      <c r="CU30" s="272">
        <f t="shared" si="37"/>
        <v>16.599</v>
      </c>
      <c r="CV30" s="249">
        <f t="shared" si="14"/>
        <v>138.6462396</v>
      </c>
      <c r="CW30" s="11">
        <f t="shared" si="14"/>
        <v>0</v>
      </c>
      <c r="CX30" s="252">
        <f t="shared" si="14"/>
        <v>0</v>
      </c>
      <c r="CY30" s="272">
        <f t="shared" si="14"/>
        <v>0</v>
      </c>
      <c r="CZ30" s="13"/>
      <c r="DA30" s="240">
        <f>(D30+'[2]июль 20'!D30)/(AY30+'[2]июль 20'!BA30)</f>
        <v>2.1233164689843695</v>
      </c>
      <c r="DB30" s="241">
        <f>(T30+'[2]июль 20'!R30)/(AY30+'[2]июль 20'!BA30)</f>
        <v>1.3452890539079096</v>
      </c>
      <c r="DD30" s="292">
        <f t="shared" si="15"/>
        <v>8.1929999999999996</v>
      </c>
      <c r="DE30" s="291">
        <v>1.07</v>
      </c>
      <c r="DF30" s="291">
        <v>18.64</v>
      </c>
      <c r="DG30" s="145">
        <f t="shared" si="16"/>
        <v>8.1053349000000008</v>
      </c>
      <c r="DH30" s="293">
        <f t="shared" si="34"/>
        <v>1.9897727187672856</v>
      </c>
      <c r="DJ30" s="38">
        <v>136.934</v>
      </c>
      <c r="DK30" s="460">
        <f t="shared" si="35"/>
        <v>149.934</v>
      </c>
      <c r="DM30" s="49">
        <v>130.316</v>
      </c>
      <c r="DN30" s="460">
        <f t="shared" si="36"/>
        <v>140.316</v>
      </c>
    </row>
    <row r="31" spans="1:118" s="76" customFormat="1" ht="16.5" customHeight="1" thickBot="1">
      <c r="A31" s="144">
        <v>25</v>
      </c>
      <c r="B31" s="122">
        <f t="shared" si="17"/>
        <v>204.203</v>
      </c>
      <c r="C31" s="123">
        <f t="shared" si="18"/>
        <v>0.96236441188425248</v>
      </c>
      <c r="D31" s="145">
        <f t="shared" si="19"/>
        <v>202.23782299999999</v>
      </c>
      <c r="E31" s="125">
        <f t="shared" si="20"/>
        <v>37.651595618085921</v>
      </c>
      <c r="F31" s="146">
        <f t="shared" si="0"/>
        <v>2.2652085909498205</v>
      </c>
      <c r="G31" s="127"/>
      <c r="H31" s="126">
        <f t="shared" si="21"/>
        <v>2.0947448812724012</v>
      </c>
      <c r="I31" s="230">
        <f>'[1]июль 20'!AI30</f>
        <v>0</v>
      </c>
      <c r="J31" s="247">
        <f>'[1]июль 20'!AA30</f>
        <v>7.7619999999999996</v>
      </c>
      <c r="K31" s="465">
        <f>'[1]сентябрь 20'!AM30</f>
        <v>0</v>
      </c>
      <c r="L31" s="247">
        <f>'[1]июль 20'!AE30</f>
        <v>15.218999999999999</v>
      </c>
      <c r="M31" s="469">
        <f t="shared" si="22"/>
        <v>0.17046370967741933</v>
      </c>
      <c r="N31" s="403">
        <f>'[1]июль 20'!W30</f>
        <v>0</v>
      </c>
      <c r="O31" s="403">
        <f>'[1]июль 20'!AU30</f>
        <v>0</v>
      </c>
      <c r="P31" s="401">
        <f t="shared" si="1"/>
        <v>130.57499999999999</v>
      </c>
      <c r="Q31" s="122">
        <f t="shared" si="23"/>
        <v>130.57499999999999</v>
      </c>
      <c r="R31" s="123">
        <f t="shared" si="24"/>
        <v>1.61</v>
      </c>
      <c r="S31" s="129"/>
      <c r="T31" s="125">
        <f t="shared" si="2"/>
        <v>128.47274249999998</v>
      </c>
      <c r="U31" s="147">
        <f t="shared" si="3"/>
        <v>1.4389868111559136</v>
      </c>
      <c r="V31" s="130">
        <v>89.28</v>
      </c>
      <c r="W31" s="130">
        <v>89.28</v>
      </c>
      <c r="X31" s="129">
        <v>0.77</v>
      </c>
      <c r="Y31" s="150">
        <v>563</v>
      </c>
      <c r="Z31" s="150">
        <v>1144</v>
      </c>
      <c r="AA31" s="148" t="s">
        <v>297</v>
      </c>
      <c r="AB31" s="149">
        <v>75.83</v>
      </c>
      <c r="AC31" s="150">
        <v>77</v>
      </c>
      <c r="AD31" s="151">
        <v>4</v>
      </c>
      <c r="AE31" s="149"/>
      <c r="AF31" s="134">
        <f t="shared" si="4"/>
        <v>0</v>
      </c>
      <c r="AG31" s="152"/>
      <c r="AH31" s="129">
        <v>58.4</v>
      </c>
      <c r="AI31" s="134">
        <f t="shared" si="5"/>
        <v>654.12186379928312</v>
      </c>
      <c r="AJ31" s="136">
        <v>14.93</v>
      </c>
      <c r="AK31" s="154"/>
      <c r="AL31" s="155">
        <v>6.4</v>
      </c>
      <c r="AM31" s="478">
        <f t="shared" si="25"/>
        <v>23.69</v>
      </c>
      <c r="AN31" s="126">
        <f t="shared" si="26"/>
        <v>0.2</v>
      </c>
      <c r="AO31" s="157" t="s">
        <v>359</v>
      </c>
      <c r="AP31" s="156">
        <v>8.7100000000000009</v>
      </c>
      <c r="AQ31" s="156">
        <v>9.14</v>
      </c>
      <c r="AR31" s="151"/>
      <c r="AS31" s="149">
        <v>7.54</v>
      </c>
      <c r="AT31" s="149">
        <v>118.45</v>
      </c>
      <c r="AU31" s="149">
        <v>0.92</v>
      </c>
      <c r="AV31" s="164"/>
      <c r="AW31" s="149"/>
      <c r="AX31" s="158">
        <f t="shared" si="6"/>
        <v>0</v>
      </c>
      <c r="AY31" s="125">
        <f t="shared" si="7"/>
        <v>89.28</v>
      </c>
      <c r="AZ31" s="125">
        <f t="shared" si="27"/>
        <v>89.049351085094614</v>
      </c>
      <c r="BA31" s="159">
        <f t="shared" si="8"/>
        <v>3.4110535211267607</v>
      </c>
      <c r="BB31" s="160">
        <f t="shared" si="9"/>
        <v>3.5712000000000002</v>
      </c>
      <c r="BC31" s="161">
        <f t="shared" si="10"/>
        <v>0.88909766620117814</v>
      </c>
      <c r="BD31" s="160">
        <f t="shared" si="28"/>
        <v>6.9822535211267613</v>
      </c>
      <c r="BE31" s="162">
        <v>0.84399999999999997</v>
      </c>
      <c r="BF31" s="25">
        <f t="shared" si="29"/>
        <v>2332.36</v>
      </c>
      <c r="BG31" s="25">
        <f t="shared" si="11"/>
        <v>108.06451612903226</v>
      </c>
      <c r="BH31" s="25">
        <f t="shared" si="30"/>
        <v>2701.6129032258054</v>
      </c>
      <c r="BI31" s="26">
        <f t="shared" si="12"/>
        <v>1</v>
      </c>
      <c r="BJ31" s="37">
        <f t="shared" si="31"/>
        <v>2701.6129032258054</v>
      </c>
      <c r="BK31" s="28">
        <f t="shared" si="32"/>
        <v>138.93700000000001</v>
      </c>
      <c r="BL31" s="31"/>
      <c r="BM31" s="31">
        <v>42.429000000000002</v>
      </c>
      <c r="BN31" s="31"/>
      <c r="BO31" s="40"/>
      <c r="BP31" s="40">
        <v>7.6180000000000003</v>
      </c>
      <c r="BQ31" s="32">
        <v>15.218999999999999</v>
      </c>
      <c r="BR31" s="33">
        <v>1.02</v>
      </c>
      <c r="BS31" s="34"/>
      <c r="BT31" s="35">
        <v>1.06</v>
      </c>
      <c r="BU31" s="35"/>
      <c r="BV31" s="235"/>
      <c r="BW31" s="235">
        <v>1.29</v>
      </c>
      <c r="BX31" s="36"/>
      <c r="BY31" s="33">
        <v>37.369999999999997</v>
      </c>
      <c r="BZ31" s="34"/>
      <c r="CA31" s="35">
        <v>37.549999999999997</v>
      </c>
      <c r="CB31" s="35"/>
      <c r="CC31" s="235"/>
      <c r="CD31" s="235">
        <v>31.15</v>
      </c>
      <c r="CE31" s="36">
        <v>43.76</v>
      </c>
      <c r="CF31" s="28">
        <f t="shared" si="33"/>
        <v>130.57499999999999</v>
      </c>
      <c r="CG31" s="30"/>
      <c r="CH31" s="31"/>
      <c r="CI31" s="32"/>
      <c r="CJ31" s="33">
        <v>1.61</v>
      </c>
      <c r="CK31" s="33"/>
      <c r="CL31" s="35"/>
      <c r="CM31" s="36"/>
      <c r="CN31" s="286"/>
      <c r="CO31" s="249">
        <f t="shared" si="37"/>
        <v>137.5198426</v>
      </c>
      <c r="CP31" s="12">
        <f t="shared" si="37"/>
        <v>0</v>
      </c>
      <c r="CQ31" s="12">
        <f t="shared" si="37"/>
        <v>41.979252600000002</v>
      </c>
      <c r="CR31" s="12">
        <f t="shared" si="37"/>
        <v>0</v>
      </c>
      <c r="CS31" s="11">
        <f t="shared" si="37"/>
        <v>0</v>
      </c>
      <c r="CT31" s="11">
        <f t="shared" si="37"/>
        <v>7.5197278000000001</v>
      </c>
      <c r="CU31" s="272">
        <f t="shared" si="37"/>
        <v>15.218999999999999</v>
      </c>
      <c r="CV31" s="249">
        <f t="shared" si="14"/>
        <v>128.47274249999998</v>
      </c>
      <c r="CW31" s="12">
        <f t="shared" si="14"/>
        <v>0</v>
      </c>
      <c r="CX31" s="249">
        <f t="shared" si="14"/>
        <v>0</v>
      </c>
      <c r="CY31" s="272">
        <f t="shared" si="14"/>
        <v>0</v>
      </c>
      <c r="CZ31" s="13"/>
      <c r="DA31" s="240">
        <f>(D31+'[2]июль 20'!D31)/(AY31+'[2]июль 20'!BA31)</f>
        <v>2.3010812234708466</v>
      </c>
      <c r="DB31" s="241">
        <f>(T31+'[2]июль 20'!R31)/(AY31+'[2]июль 20'!BA31)</f>
        <v>1.4472444589719466</v>
      </c>
      <c r="DD31" s="292">
        <f t="shared" si="15"/>
        <v>7.7619999999999996</v>
      </c>
      <c r="DE31" s="291">
        <v>1.25</v>
      </c>
      <c r="DF31" s="291">
        <v>13.71</v>
      </c>
      <c r="DG31" s="145">
        <f t="shared" si="16"/>
        <v>7.6649750000000001</v>
      </c>
      <c r="DH31" s="293">
        <f t="shared" si="34"/>
        <v>1.3858210108136622</v>
      </c>
      <c r="DJ31" s="38">
        <v>125.937</v>
      </c>
      <c r="DK31" s="460">
        <f t="shared" si="35"/>
        <v>138.93700000000001</v>
      </c>
      <c r="DM31" s="30">
        <v>120.575</v>
      </c>
      <c r="DN31" s="460">
        <f t="shared" si="36"/>
        <v>130.57499999999999</v>
      </c>
    </row>
    <row r="32" spans="1:118" s="76" customFormat="1" ht="16.5" customHeight="1" thickBot="1">
      <c r="A32" s="144">
        <v>26</v>
      </c>
      <c r="B32" s="122">
        <f t="shared" si="17"/>
        <v>230.48700000000002</v>
      </c>
      <c r="C32" s="123">
        <f t="shared" si="18"/>
        <v>2.7474547371435265</v>
      </c>
      <c r="D32" s="145">
        <f t="shared" si="19"/>
        <v>224.15447400000002</v>
      </c>
      <c r="E32" s="125">
        <f t="shared" si="20"/>
        <v>37.65486174925266</v>
      </c>
      <c r="F32" s="146">
        <f t="shared" si="0"/>
        <v>2.2840276543713065</v>
      </c>
      <c r="G32" s="127"/>
      <c r="H32" s="126">
        <f t="shared" si="21"/>
        <v>2.1068318116975746</v>
      </c>
      <c r="I32" s="230">
        <f>'[1]июль 20'!AI31</f>
        <v>0</v>
      </c>
      <c r="J32" s="247">
        <f>'[1]июль 20'!AA31</f>
        <v>8.6020000000000003</v>
      </c>
      <c r="K32" s="464">
        <f>'[1]сентябрь 20'!AM31</f>
        <v>0</v>
      </c>
      <c r="L32" s="247">
        <f>'[1]июль 20'!AE31</f>
        <v>17.39</v>
      </c>
      <c r="M32" s="468">
        <f t="shared" si="22"/>
        <v>0.1771958426737314</v>
      </c>
      <c r="N32" s="403">
        <f>'[1]июль 20'!W31</f>
        <v>0</v>
      </c>
      <c r="O32" s="403">
        <f>'[1]июль 20'!AU31</f>
        <v>0</v>
      </c>
      <c r="P32" s="401">
        <f t="shared" si="1"/>
        <v>146.46</v>
      </c>
      <c r="Q32" s="122">
        <f t="shared" si="23"/>
        <v>146.46</v>
      </c>
      <c r="R32" s="123">
        <f t="shared" si="24"/>
        <v>1.9500000000000002</v>
      </c>
      <c r="S32" s="129"/>
      <c r="T32" s="125">
        <f t="shared" si="2"/>
        <v>143.60402999999999</v>
      </c>
      <c r="U32" s="147">
        <f t="shared" si="3"/>
        <v>1.4632568779294883</v>
      </c>
      <c r="V32" s="130">
        <v>98.14</v>
      </c>
      <c r="W32" s="130">
        <v>98.14</v>
      </c>
      <c r="X32" s="129">
        <v>0.51</v>
      </c>
      <c r="Y32" s="150">
        <v>537</v>
      </c>
      <c r="Z32" s="150">
        <v>1144</v>
      </c>
      <c r="AA32" s="148" t="s">
        <v>360</v>
      </c>
      <c r="AB32" s="149">
        <v>75.849999999999994</v>
      </c>
      <c r="AC32" s="150">
        <v>87</v>
      </c>
      <c r="AD32" s="151">
        <v>4</v>
      </c>
      <c r="AE32" s="149"/>
      <c r="AF32" s="134">
        <f t="shared" si="4"/>
        <v>0</v>
      </c>
      <c r="AG32" s="152"/>
      <c r="AH32" s="129">
        <v>59.4</v>
      </c>
      <c r="AI32" s="134">
        <f t="shared" si="5"/>
        <v>605.25779498675354</v>
      </c>
      <c r="AJ32" s="153">
        <v>15.66</v>
      </c>
      <c r="AK32" s="154"/>
      <c r="AL32" s="155">
        <v>4.4400000000000004</v>
      </c>
      <c r="AM32" s="478">
        <f t="shared" si="25"/>
        <v>25.11</v>
      </c>
      <c r="AN32" s="126">
        <f t="shared" si="26"/>
        <v>0.2</v>
      </c>
      <c r="AO32" s="157" t="s">
        <v>359</v>
      </c>
      <c r="AP32" s="156">
        <v>8.7200000000000006</v>
      </c>
      <c r="AQ32" s="156">
        <v>9.06</v>
      </c>
      <c r="AR32" s="151"/>
      <c r="AS32" s="149">
        <v>7.01</v>
      </c>
      <c r="AT32" s="149">
        <v>125.55</v>
      </c>
      <c r="AU32" s="149">
        <v>2.14</v>
      </c>
      <c r="AV32" s="149"/>
      <c r="AW32" s="149"/>
      <c r="AX32" s="158">
        <f t="shared" si="6"/>
        <v>0</v>
      </c>
      <c r="AY32" s="125">
        <f t="shared" si="7"/>
        <v>98.14</v>
      </c>
      <c r="AZ32" s="125">
        <f t="shared" si="27"/>
        <v>98.520282509456194</v>
      </c>
      <c r="BA32" s="159">
        <f t="shared" si="8"/>
        <v>3.2255873239436621</v>
      </c>
      <c r="BB32" s="160">
        <f t="shared" si="9"/>
        <v>3.9256000000000002</v>
      </c>
      <c r="BC32" s="161">
        <f t="shared" si="10"/>
        <v>0.88192807860686728</v>
      </c>
      <c r="BD32" s="160">
        <f t="shared" si="28"/>
        <v>7.1511873239436623</v>
      </c>
      <c r="BE32" s="162">
        <v>0.84599999999999997</v>
      </c>
      <c r="BF32" s="25">
        <f t="shared" si="29"/>
        <v>2430.5</v>
      </c>
      <c r="BG32" s="25">
        <f t="shared" si="11"/>
        <v>108.06451612903226</v>
      </c>
      <c r="BH32" s="25">
        <f t="shared" si="30"/>
        <v>2809.6774193548376</v>
      </c>
      <c r="BI32" s="26">
        <f t="shared" si="12"/>
        <v>1</v>
      </c>
      <c r="BJ32" s="37">
        <f t="shared" si="31"/>
        <v>2809.6774193548376</v>
      </c>
      <c r="BK32" s="28">
        <f t="shared" si="32"/>
        <v>156.523</v>
      </c>
      <c r="BL32" s="31"/>
      <c r="BM32" s="31">
        <v>47.869</v>
      </c>
      <c r="BN32" s="31"/>
      <c r="BO32" s="40"/>
      <c r="BP32" s="40">
        <v>8.7050000000000001</v>
      </c>
      <c r="BQ32" s="32">
        <v>17.39</v>
      </c>
      <c r="BR32" s="33">
        <v>3.23</v>
      </c>
      <c r="BS32" s="34"/>
      <c r="BT32" s="35">
        <v>2.2400000000000002</v>
      </c>
      <c r="BU32" s="35"/>
      <c r="BV32" s="235"/>
      <c r="BW32" s="235">
        <v>2.35</v>
      </c>
      <c r="BX32" s="36"/>
      <c r="BY32" s="33">
        <v>37.24</v>
      </c>
      <c r="BZ32" s="34"/>
      <c r="CA32" s="35">
        <v>37.4</v>
      </c>
      <c r="CB32" s="35"/>
      <c r="CC32" s="235"/>
      <c r="CD32" s="235">
        <v>34.020000000000003</v>
      </c>
      <c r="CE32" s="36">
        <v>43.91</v>
      </c>
      <c r="CF32" s="28">
        <f t="shared" si="33"/>
        <v>146.46</v>
      </c>
      <c r="CG32" s="30"/>
      <c r="CH32" s="31"/>
      <c r="CI32" s="50"/>
      <c r="CJ32" s="33">
        <v>1.95</v>
      </c>
      <c r="CK32" s="33"/>
      <c r="CL32" s="35"/>
      <c r="CM32" s="36"/>
      <c r="CN32" s="286"/>
      <c r="CO32" s="249">
        <f t="shared" si="37"/>
        <v>151.4673071</v>
      </c>
      <c r="CP32" s="12">
        <f t="shared" si="37"/>
        <v>0</v>
      </c>
      <c r="CQ32" s="12">
        <f t="shared" si="37"/>
        <v>46.796734399999998</v>
      </c>
      <c r="CR32" s="12">
        <f t="shared" si="37"/>
        <v>0</v>
      </c>
      <c r="CS32" s="11">
        <f t="shared" si="37"/>
        <v>0</v>
      </c>
      <c r="CT32" s="11">
        <f t="shared" si="37"/>
        <v>8.5004325000000005</v>
      </c>
      <c r="CU32" s="272">
        <f t="shared" si="37"/>
        <v>17.39</v>
      </c>
      <c r="CV32" s="249">
        <f t="shared" si="14"/>
        <v>143.60402999999999</v>
      </c>
      <c r="CW32" s="11">
        <f t="shared" si="14"/>
        <v>0</v>
      </c>
      <c r="CX32" s="249">
        <f t="shared" si="14"/>
        <v>0</v>
      </c>
      <c r="CY32" s="272">
        <f t="shared" si="14"/>
        <v>0</v>
      </c>
      <c r="CZ32" s="13"/>
      <c r="DA32" s="240">
        <f>(D32+'[2]июль 20'!D32)/(AY32+'[2]июль 20'!BA32)</f>
        <v>2.2091232114895667</v>
      </c>
      <c r="DB32" s="241">
        <f>(T32+'[2]июль 20'!R32)/(AY32+'[2]июль 20'!BA32)</f>
        <v>1.417913275600486</v>
      </c>
      <c r="DD32" s="292">
        <f t="shared" si="15"/>
        <v>8.6020000000000003</v>
      </c>
      <c r="DE32" s="291">
        <v>0.87</v>
      </c>
      <c r="DF32" s="291">
        <v>12.22</v>
      </c>
      <c r="DG32" s="145">
        <f t="shared" si="16"/>
        <v>8.5271626000000005</v>
      </c>
      <c r="DH32" s="293">
        <f t="shared" si="34"/>
        <v>1.3737894129466055</v>
      </c>
      <c r="DJ32" s="38">
        <v>143.523</v>
      </c>
      <c r="DK32" s="460">
        <f t="shared" si="35"/>
        <v>156.523</v>
      </c>
      <c r="DM32" s="30">
        <v>136.46</v>
      </c>
      <c r="DN32" s="460">
        <f t="shared" si="36"/>
        <v>146.46</v>
      </c>
    </row>
    <row r="33" spans="1:118" s="76" customFormat="1" ht="16.5" customHeight="1" thickBot="1">
      <c r="A33" s="144">
        <v>27</v>
      </c>
      <c r="B33" s="122">
        <f t="shared" si="17"/>
        <v>230.703</v>
      </c>
      <c r="C33" s="123">
        <f t="shared" si="18"/>
        <v>1.3342839494935048</v>
      </c>
      <c r="D33" s="145">
        <f t="shared" si="19"/>
        <v>227.6247669</v>
      </c>
      <c r="E33" s="125">
        <f t="shared" si="20"/>
        <v>37.883017819447517</v>
      </c>
      <c r="F33" s="146">
        <f t="shared" si="0"/>
        <v>2.3985749936775553</v>
      </c>
      <c r="G33" s="127"/>
      <c r="H33" s="126">
        <f t="shared" si="21"/>
        <v>2.2135591875658589</v>
      </c>
      <c r="I33" s="230">
        <f>'[1]июль 20'!AI32</f>
        <v>0</v>
      </c>
      <c r="J33" s="247">
        <f>'[1]июль 20'!AA32</f>
        <v>8.8119999999999994</v>
      </c>
      <c r="K33" s="465">
        <f>'[1]сентябрь 20'!AM32</f>
        <v>0</v>
      </c>
      <c r="L33" s="247">
        <f>'[1]июль 20'!AE32</f>
        <v>17.558</v>
      </c>
      <c r="M33" s="469">
        <f t="shared" si="22"/>
        <v>0.18501580611169655</v>
      </c>
      <c r="N33" s="403">
        <f>'[1]июль 20'!W32</f>
        <v>0</v>
      </c>
      <c r="O33" s="403">
        <f>'[1]июль 20'!AU32</f>
        <v>0</v>
      </c>
      <c r="P33" s="401">
        <f t="shared" si="1"/>
        <v>146.57900000000001</v>
      </c>
      <c r="Q33" s="122">
        <f t="shared" si="23"/>
        <v>146.57900000000001</v>
      </c>
      <c r="R33" s="123">
        <f t="shared" si="24"/>
        <v>1.72</v>
      </c>
      <c r="S33" s="129">
        <v>6.83</v>
      </c>
      <c r="T33" s="125">
        <f t="shared" si="2"/>
        <v>144.05784120000001</v>
      </c>
      <c r="U33" s="147">
        <f t="shared" si="3"/>
        <v>1.5179962191780825</v>
      </c>
      <c r="V33" s="130">
        <v>94.9</v>
      </c>
      <c r="W33" s="130">
        <v>94.9</v>
      </c>
      <c r="X33" s="129">
        <v>0.7</v>
      </c>
      <c r="Y33" s="150">
        <v>547</v>
      </c>
      <c r="Z33" s="150">
        <v>1152</v>
      </c>
      <c r="AA33" s="148" t="s">
        <v>303</v>
      </c>
      <c r="AB33" s="149">
        <v>76.42</v>
      </c>
      <c r="AC33" s="150">
        <v>87</v>
      </c>
      <c r="AD33" s="151">
        <v>4</v>
      </c>
      <c r="AE33" s="149"/>
      <c r="AF33" s="134">
        <f t="shared" si="4"/>
        <v>0</v>
      </c>
      <c r="AG33" s="152"/>
      <c r="AH33" s="129">
        <v>59.1</v>
      </c>
      <c r="AI33" s="134">
        <f t="shared" si="5"/>
        <v>622.76080084299269</v>
      </c>
      <c r="AJ33" s="136">
        <v>14.51</v>
      </c>
      <c r="AK33" s="154"/>
      <c r="AL33" s="155">
        <v>5.5</v>
      </c>
      <c r="AM33" s="478">
        <f t="shared" si="25"/>
        <v>24.810000000000002</v>
      </c>
      <c r="AN33" s="126">
        <f t="shared" si="26"/>
        <v>0.2</v>
      </c>
      <c r="AO33" s="157" t="s">
        <v>361</v>
      </c>
      <c r="AP33" s="156">
        <v>8.99</v>
      </c>
      <c r="AQ33" s="156">
        <v>8.84</v>
      </c>
      <c r="AR33" s="151"/>
      <c r="AS33" s="149">
        <v>7.8</v>
      </c>
      <c r="AT33" s="149">
        <v>124.05</v>
      </c>
      <c r="AU33" s="149">
        <v>1.1599999999999999</v>
      </c>
      <c r="AV33" s="149"/>
      <c r="AW33" s="149"/>
      <c r="AX33" s="158">
        <f t="shared" si="6"/>
        <v>0</v>
      </c>
      <c r="AY33" s="125">
        <f t="shared" si="7"/>
        <v>94.899999999999991</v>
      </c>
      <c r="AZ33" s="125">
        <f t="shared" si="27"/>
        <v>99.649998858643173</v>
      </c>
      <c r="BA33" s="159">
        <f t="shared" si="8"/>
        <v>3.5709718309859153</v>
      </c>
      <c r="BB33" s="160">
        <f t="shared" si="9"/>
        <v>3.7959999999999998</v>
      </c>
      <c r="BC33" s="161">
        <f t="shared" si="10"/>
        <v>0.84102549918756409</v>
      </c>
      <c r="BD33" s="160">
        <f t="shared" si="28"/>
        <v>7.3669718309859151</v>
      </c>
      <c r="BE33" s="162">
        <v>0.84499999999999997</v>
      </c>
      <c r="BF33" s="25">
        <f t="shared" si="29"/>
        <v>2525.4</v>
      </c>
      <c r="BG33" s="25">
        <f t="shared" si="11"/>
        <v>108.06451612903226</v>
      </c>
      <c r="BH33" s="25">
        <f t="shared" si="30"/>
        <v>2917.7419354838698</v>
      </c>
      <c r="BI33" s="26">
        <f t="shared" si="12"/>
        <v>1</v>
      </c>
      <c r="BJ33" s="37">
        <f t="shared" si="31"/>
        <v>2917.7419354838698</v>
      </c>
      <c r="BK33" s="28">
        <f t="shared" si="32"/>
        <v>156.64500000000001</v>
      </c>
      <c r="BL33" s="31"/>
      <c r="BM33" s="31">
        <v>47.796999999999997</v>
      </c>
      <c r="BN33" s="31"/>
      <c r="BO33" s="40"/>
      <c r="BP33" s="40">
        <v>8.7029999999999994</v>
      </c>
      <c r="BQ33" s="32">
        <v>17.558</v>
      </c>
      <c r="BR33" s="33">
        <v>1.53</v>
      </c>
      <c r="BS33" s="34"/>
      <c r="BT33" s="35">
        <v>1.08</v>
      </c>
      <c r="BU33" s="35"/>
      <c r="BV33" s="235"/>
      <c r="BW33" s="235">
        <v>1.9</v>
      </c>
      <c r="BX33" s="36"/>
      <c r="BY33" s="33">
        <v>37.4</v>
      </c>
      <c r="BZ33" s="34"/>
      <c r="CA33" s="35">
        <v>38.28</v>
      </c>
      <c r="CB33" s="35"/>
      <c r="CC33" s="235"/>
      <c r="CD33" s="235">
        <v>32.54</v>
      </c>
      <c r="CE33" s="36">
        <v>43.76</v>
      </c>
      <c r="CF33" s="28">
        <f t="shared" si="33"/>
        <v>146.57900000000001</v>
      </c>
      <c r="CG33" s="30"/>
      <c r="CH33" s="31"/>
      <c r="CI33" s="32"/>
      <c r="CJ33" s="33">
        <v>1.72</v>
      </c>
      <c r="CK33" s="33"/>
      <c r="CL33" s="35"/>
      <c r="CM33" s="36"/>
      <c r="CN33" s="270"/>
      <c r="CO33" s="249">
        <f t="shared" si="37"/>
        <v>154.24833150000001</v>
      </c>
      <c r="CP33" s="12">
        <f t="shared" si="37"/>
        <v>0</v>
      </c>
      <c r="CQ33" s="12">
        <f t="shared" si="37"/>
        <v>47.280792399999996</v>
      </c>
      <c r="CR33" s="12">
        <f t="shared" si="37"/>
        <v>0</v>
      </c>
      <c r="CS33" s="11">
        <f t="shared" si="37"/>
        <v>0</v>
      </c>
      <c r="CT33" s="11">
        <f t="shared" si="37"/>
        <v>8.5376429999999992</v>
      </c>
      <c r="CU33" s="272">
        <f t="shared" si="37"/>
        <v>17.558</v>
      </c>
      <c r="CV33" s="249">
        <f t="shared" si="14"/>
        <v>144.05784120000001</v>
      </c>
      <c r="CW33" s="12">
        <f t="shared" si="14"/>
        <v>0</v>
      </c>
      <c r="CX33" s="254">
        <f t="shared" si="14"/>
        <v>0</v>
      </c>
      <c r="CY33" s="275">
        <f t="shared" si="14"/>
        <v>0</v>
      </c>
      <c r="CZ33" s="13"/>
      <c r="DA33" s="240">
        <f>(D33+'[2]июль 20'!D33)/(AY33+'[2]июль 20'!BA33)</f>
        <v>2.2241392856086457</v>
      </c>
      <c r="DB33" s="241">
        <f>(T33+'[2]июль 20'!R33)/(AY33+'[2]июль 20'!BA33)</f>
        <v>1.3968435142250148</v>
      </c>
      <c r="DD33" s="292">
        <f t="shared" si="15"/>
        <v>8.8119999999999994</v>
      </c>
      <c r="DE33" s="291">
        <v>3.28</v>
      </c>
      <c r="DF33" s="291">
        <v>10.24</v>
      </c>
      <c r="DG33" s="145">
        <f t="shared" si="16"/>
        <v>8.5229663999999996</v>
      </c>
      <c r="DH33" s="293">
        <f t="shared" si="34"/>
        <v>1.1420462697723111</v>
      </c>
      <c r="DJ33" s="38">
        <v>143.64500000000001</v>
      </c>
      <c r="DK33" s="460">
        <f t="shared" si="35"/>
        <v>156.64500000000001</v>
      </c>
      <c r="DM33" s="30">
        <v>136.57900000000001</v>
      </c>
      <c r="DN33" s="460">
        <f t="shared" si="36"/>
        <v>146.57900000000001</v>
      </c>
    </row>
    <row r="34" spans="1:118" s="76" customFormat="1" ht="16.5" customHeight="1" thickBot="1">
      <c r="A34" s="144">
        <v>28</v>
      </c>
      <c r="B34" s="122">
        <f t="shared" si="17"/>
        <v>230.51700000000002</v>
      </c>
      <c r="C34" s="123">
        <f t="shared" si="18"/>
        <v>0.37333350685632727</v>
      </c>
      <c r="D34" s="145">
        <f t="shared" si="19"/>
        <v>229.65640280000002</v>
      </c>
      <c r="E34" s="125">
        <f t="shared" si="20"/>
        <v>37.612264041263764</v>
      </c>
      <c r="F34" s="146">
        <f t="shared" si="0"/>
        <v>2.4504524413145541</v>
      </c>
      <c r="G34" s="127">
        <v>12.59</v>
      </c>
      <c r="H34" s="126">
        <f t="shared" si="21"/>
        <v>2.2649317413572341</v>
      </c>
      <c r="I34" s="230">
        <f>'[1]июль 20'!AI33</f>
        <v>0</v>
      </c>
      <c r="J34" s="247">
        <f>'[1]июль 20'!AA33</f>
        <v>8.6310000000000002</v>
      </c>
      <c r="K34" s="464">
        <f>'[1]сентябрь 20'!AM33</f>
        <v>0</v>
      </c>
      <c r="L34" s="247">
        <f>'[1]июль 20'!AE33</f>
        <v>17.387</v>
      </c>
      <c r="M34" s="468">
        <f t="shared" si="22"/>
        <v>0.18552069995731968</v>
      </c>
      <c r="N34" s="403">
        <f>'[1]июль 20'!W33</f>
        <v>0</v>
      </c>
      <c r="O34" s="403">
        <f>'[1]июль 20'!AU33</f>
        <v>0</v>
      </c>
      <c r="P34" s="401">
        <f t="shared" si="1"/>
        <v>145.77799999999999</v>
      </c>
      <c r="Q34" s="122">
        <f t="shared" si="23"/>
        <v>145.77799999999999</v>
      </c>
      <c r="R34" s="123">
        <f t="shared" si="24"/>
        <v>1.73</v>
      </c>
      <c r="S34" s="170">
        <v>0.71</v>
      </c>
      <c r="T34" s="125">
        <f t="shared" si="2"/>
        <v>143.25604059999998</v>
      </c>
      <c r="U34" s="147">
        <f t="shared" si="3"/>
        <v>1.5285535702091333</v>
      </c>
      <c r="V34" s="169">
        <v>93.72</v>
      </c>
      <c r="W34" s="169">
        <v>70.27</v>
      </c>
      <c r="X34" s="170">
        <v>0.78</v>
      </c>
      <c r="Y34" s="166">
        <v>578</v>
      </c>
      <c r="Z34" s="166">
        <v>1152</v>
      </c>
      <c r="AA34" s="148" t="s">
        <v>337</v>
      </c>
      <c r="AB34" s="164">
        <v>76.349999999999994</v>
      </c>
      <c r="AC34" s="166">
        <v>87</v>
      </c>
      <c r="AD34" s="171">
        <v>4</v>
      </c>
      <c r="AE34" s="164"/>
      <c r="AF34" s="172">
        <f t="shared" si="4"/>
        <v>0</v>
      </c>
      <c r="AG34" s="173"/>
      <c r="AH34" s="170">
        <v>62.55</v>
      </c>
      <c r="AI34" s="134">
        <f t="shared" si="5"/>
        <v>667.41357234314978</v>
      </c>
      <c r="AJ34" s="174">
        <v>13.25</v>
      </c>
      <c r="AK34" s="175"/>
      <c r="AL34" s="176">
        <v>6.09</v>
      </c>
      <c r="AM34" s="478">
        <f t="shared" si="25"/>
        <v>24.57</v>
      </c>
      <c r="AN34" s="126">
        <f t="shared" si="26"/>
        <v>0.2</v>
      </c>
      <c r="AO34" s="178" t="s">
        <v>362</v>
      </c>
      <c r="AP34" s="177">
        <v>8.73</v>
      </c>
      <c r="AQ34" s="177">
        <v>9.09</v>
      </c>
      <c r="AR34" s="171"/>
      <c r="AS34" s="164">
        <v>8.27</v>
      </c>
      <c r="AT34" s="149">
        <v>122.85</v>
      </c>
      <c r="AU34" s="164">
        <v>1.53</v>
      </c>
      <c r="AV34" s="164"/>
      <c r="AW34" s="164"/>
      <c r="AX34" s="179">
        <f t="shared" si="6"/>
        <v>0</v>
      </c>
      <c r="AY34" s="125">
        <f t="shared" si="7"/>
        <v>93.72</v>
      </c>
      <c r="AZ34" s="125">
        <f t="shared" si="27"/>
        <v>100.80297685548938</v>
      </c>
      <c r="BA34" s="159">
        <f t="shared" si="8"/>
        <v>4.0071644366197177</v>
      </c>
      <c r="BB34" s="159">
        <f t="shared" si="9"/>
        <v>3.7488000000000001</v>
      </c>
      <c r="BC34" s="180">
        <f t="shared" si="10"/>
        <v>0.82838702335649972</v>
      </c>
      <c r="BD34" s="159">
        <f t="shared" si="28"/>
        <v>7.7559644366197178</v>
      </c>
      <c r="BE34" s="167">
        <v>0.84499999999999997</v>
      </c>
      <c r="BF34" s="25">
        <f t="shared" si="29"/>
        <v>2619.12</v>
      </c>
      <c r="BG34" s="25">
        <f t="shared" si="11"/>
        <v>108.06451612903226</v>
      </c>
      <c r="BH34" s="25">
        <f t="shared" si="30"/>
        <v>3025.806451612902</v>
      </c>
      <c r="BI34" s="26">
        <f t="shared" si="12"/>
        <v>1</v>
      </c>
      <c r="BJ34" s="37">
        <f t="shared" si="31"/>
        <v>3025.806451612902</v>
      </c>
      <c r="BK34" s="28">
        <f t="shared" si="32"/>
        <v>156.547</v>
      </c>
      <c r="BL34" s="30"/>
      <c r="BM34" s="43">
        <v>47.902000000000001</v>
      </c>
      <c r="BN34" s="43"/>
      <c r="BO34" s="281"/>
      <c r="BP34" s="281">
        <v>8.6809999999999992</v>
      </c>
      <c r="BQ34" s="44">
        <v>17.387</v>
      </c>
      <c r="BR34" s="45">
        <v>0.39</v>
      </c>
      <c r="BS34" s="46"/>
      <c r="BT34" s="47">
        <v>0.31</v>
      </c>
      <c r="BU34" s="47"/>
      <c r="BV34" s="283"/>
      <c r="BW34" s="283">
        <v>1.17</v>
      </c>
      <c r="BX34" s="48"/>
      <c r="BY34" s="45">
        <v>37.17</v>
      </c>
      <c r="BZ34" s="46"/>
      <c r="CA34" s="47">
        <v>37.409999999999997</v>
      </c>
      <c r="CB34" s="47"/>
      <c r="CC34" s="283"/>
      <c r="CD34" s="283">
        <v>33.93</v>
      </c>
      <c r="CE34" s="48">
        <v>43.99</v>
      </c>
      <c r="CF34" s="28">
        <f t="shared" si="33"/>
        <v>145.77799999999999</v>
      </c>
      <c r="CG34" s="49"/>
      <c r="CH34" s="43"/>
      <c r="CI34" s="32"/>
      <c r="CJ34" s="33">
        <v>1.73</v>
      </c>
      <c r="CK34" s="33"/>
      <c r="CL34" s="35"/>
      <c r="CM34" s="36"/>
      <c r="CN34" s="270"/>
      <c r="CO34" s="249">
        <f t="shared" si="37"/>
        <v>155.93646669999998</v>
      </c>
      <c r="CP34" s="12">
        <f t="shared" si="37"/>
        <v>0</v>
      </c>
      <c r="CQ34" s="12">
        <f t="shared" si="37"/>
        <v>47.753503800000004</v>
      </c>
      <c r="CR34" s="12">
        <f t="shared" si="37"/>
        <v>0</v>
      </c>
      <c r="CS34" s="11">
        <f t="shared" si="37"/>
        <v>0</v>
      </c>
      <c r="CT34" s="11">
        <f t="shared" si="37"/>
        <v>8.5794322999999988</v>
      </c>
      <c r="CU34" s="272">
        <f t="shared" si="37"/>
        <v>17.387</v>
      </c>
      <c r="CV34" s="249">
        <f t="shared" si="14"/>
        <v>143.25604059999998</v>
      </c>
      <c r="CW34" s="12">
        <f t="shared" si="14"/>
        <v>0</v>
      </c>
      <c r="CX34" s="249">
        <f t="shared" si="14"/>
        <v>0</v>
      </c>
      <c r="CY34" s="272">
        <f t="shared" si="14"/>
        <v>0</v>
      </c>
      <c r="CZ34" s="13"/>
      <c r="DA34" s="240">
        <f>(D34+'[2]июль 20'!D34)/(AY34+'[2]июль 20'!BA34)</f>
        <v>2.420272822250459</v>
      </c>
      <c r="DB34" s="241">
        <f>(T34+'[2]июль 20'!R34)/(AY34+'[2]июль 20'!BA34)</f>
        <v>1.4969005377793181</v>
      </c>
      <c r="DD34" s="292">
        <f t="shared" si="15"/>
        <v>8.6310000000000002</v>
      </c>
      <c r="DE34" s="291">
        <v>0.18</v>
      </c>
      <c r="DF34" s="291">
        <v>18.04</v>
      </c>
      <c r="DG34" s="145">
        <f t="shared" si="16"/>
        <v>8.6154641999999999</v>
      </c>
      <c r="DH34" s="293">
        <f t="shared" si="34"/>
        <v>2.0356643636935168</v>
      </c>
      <c r="DJ34" s="38">
        <v>143.547</v>
      </c>
      <c r="DK34" s="460">
        <f t="shared" si="35"/>
        <v>156.547</v>
      </c>
      <c r="DM34" s="49">
        <v>135.77799999999999</v>
      </c>
      <c r="DN34" s="460">
        <f t="shared" si="36"/>
        <v>145.77799999999999</v>
      </c>
    </row>
    <row r="35" spans="1:118" s="76" customFormat="1" ht="16.5" customHeight="1" thickBot="1">
      <c r="A35" s="144">
        <v>29</v>
      </c>
      <c r="B35" s="122">
        <f t="shared" si="17"/>
        <v>200.45100000000002</v>
      </c>
      <c r="C35" s="123">
        <f t="shared" si="18"/>
        <v>0.70449336745638569</v>
      </c>
      <c r="D35" s="145">
        <f t="shared" si="19"/>
        <v>199.03883600000003</v>
      </c>
      <c r="E35" s="125">
        <f t="shared" si="20"/>
        <v>37.791639053933388</v>
      </c>
      <c r="F35" s="146">
        <f t="shared" si="0"/>
        <v>1.9927796956347621</v>
      </c>
      <c r="G35" s="127"/>
      <c r="H35" s="126">
        <f t="shared" si="21"/>
        <v>1.8423992390869044</v>
      </c>
      <c r="I35" s="230">
        <f>'[1]июль 20'!AI34</f>
        <v>0</v>
      </c>
      <c r="J35" s="247">
        <f>'[1]июль 20'!AA34</f>
        <v>7.6059999999999999</v>
      </c>
      <c r="K35" s="465">
        <f>'[1]сентябрь 20'!AM34</f>
        <v>0</v>
      </c>
      <c r="L35" s="247">
        <f>'[1]июль 20'!AE34</f>
        <v>15.02</v>
      </c>
      <c r="M35" s="469">
        <f t="shared" si="22"/>
        <v>0.15038045654785742</v>
      </c>
      <c r="N35" s="403">
        <f>'[1]июль 20'!W34</f>
        <v>0</v>
      </c>
      <c r="O35" s="403">
        <f>'[1]июль 20'!AU34</f>
        <v>0</v>
      </c>
      <c r="P35" s="401">
        <f t="shared" si="1"/>
        <v>126.355</v>
      </c>
      <c r="Q35" s="122">
        <f t="shared" si="23"/>
        <v>126.355</v>
      </c>
      <c r="R35" s="123">
        <f t="shared" si="24"/>
        <v>1.63</v>
      </c>
      <c r="S35" s="129"/>
      <c r="T35" s="125">
        <f t="shared" si="2"/>
        <v>124.29541350000001</v>
      </c>
      <c r="U35" s="147">
        <f t="shared" si="3"/>
        <v>1.2444474719663599</v>
      </c>
      <c r="V35" s="130">
        <v>39.4</v>
      </c>
      <c r="W35" s="130">
        <v>63.62</v>
      </c>
      <c r="X35" s="129">
        <v>1.03</v>
      </c>
      <c r="Y35" s="150">
        <v>612</v>
      </c>
      <c r="Z35" s="150">
        <v>1147</v>
      </c>
      <c r="AA35" s="148" t="s">
        <v>310</v>
      </c>
      <c r="AB35" s="149">
        <v>74.83</v>
      </c>
      <c r="AC35" s="150">
        <v>75</v>
      </c>
      <c r="AD35" s="151">
        <v>5</v>
      </c>
      <c r="AE35" s="181"/>
      <c r="AF35" s="134">
        <f t="shared" si="4"/>
        <v>0</v>
      </c>
      <c r="AG35" s="182"/>
      <c r="AH35" s="129">
        <v>65.8</v>
      </c>
      <c r="AI35" s="134">
        <f t="shared" si="5"/>
        <v>658.79054865839009</v>
      </c>
      <c r="AJ35" s="136">
        <v>17.21</v>
      </c>
      <c r="AK35" s="154"/>
      <c r="AL35" s="155">
        <v>7.56</v>
      </c>
      <c r="AM35" s="478">
        <f t="shared" si="25"/>
        <v>26.430000000000003</v>
      </c>
      <c r="AN35" s="126">
        <f t="shared" si="26"/>
        <v>0.2</v>
      </c>
      <c r="AO35" s="184" t="s">
        <v>363</v>
      </c>
      <c r="AP35" s="183">
        <v>9.08</v>
      </c>
      <c r="AQ35" s="183">
        <v>8.9499999999999993</v>
      </c>
      <c r="AR35" s="185"/>
      <c r="AS35" s="181">
        <v>7.82</v>
      </c>
      <c r="AT35" s="149">
        <v>132.15</v>
      </c>
      <c r="AU35" s="181">
        <v>1.72</v>
      </c>
      <c r="AV35" s="149"/>
      <c r="AW35" s="149"/>
      <c r="AX35" s="158">
        <f t="shared" si="6"/>
        <v>0</v>
      </c>
      <c r="AY35" s="125">
        <f t="shared" si="7"/>
        <v>99.88</v>
      </c>
      <c r="AZ35" s="125">
        <f t="shared" si="27"/>
        <v>89.27617227019924</v>
      </c>
      <c r="BA35" s="159">
        <f t="shared" si="8"/>
        <v>3.9859971830985916</v>
      </c>
      <c r="BB35" s="160">
        <f t="shared" si="9"/>
        <v>3.9952000000000001</v>
      </c>
      <c r="BC35" s="161">
        <f t="shared" si="10"/>
        <v>0.99362092219071307</v>
      </c>
      <c r="BD35" s="160">
        <f t="shared" si="28"/>
        <v>7.9811971830985922</v>
      </c>
      <c r="BE35" s="162">
        <v>0.84899999999999998</v>
      </c>
      <c r="BF35" s="25">
        <f t="shared" si="29"/>
        <v>2719</v>
      </c>
      <c r="BG35" s="25">
        <f t="shared" si="11"/>
        <v>108.06451612903226</v>
      </c>
      <c r="BH35" s="25">
        <f t="shared" si="30"/>
        <v>3133.8709677419342</v>
      </c>
      <c r="BI35" s="26">
        <f t="shared" si="12"/>
        <v>1</v>
      </c>
      <c r="BJ35" s="37">
        <f t="shared" si="31"/>
        <v>3133.8709677419342</v>
      </c>
      <c r="BK35" s="28">
        <f t="shared" si="32"/>
        <v>159.584</v>
      </c>
      <c r="BL35" s="31"/>
      <c r="BM35" s="31">
        <v>18.471</v>
      </c>
      <c r="BN35" s="31"/>
      <c r="BO35" s="40"/>
      <c r="BP35" s="40">
        <v>7.3760000000000003</v>
      </c>
      <c r="BQ35" s="32">
        <v>15.02</v>
      </c>
      <c r="BR35" s="33">
        <v>0.76</v>
      </c>
      <c r="BS35" s="34"/>
      <c r="BT35" s="35">
        <v>0.56000000000000005</v>
      </c>
      <c r="BU35" s="35"/>
      <c r="BV35" s="235"/>
      <c r="BW35" s="235">
        <v>1.3</v>
      </c>
      <c r="BX35" s="36"/>
      <c r="BY35" s="33">
        <v>37.450000000000003</v>
      </c>
      <c r="BZ35" s="34"/>
      <c r="CA35" s="35">
        <v>37.4</v>
      </c>
      <c r="CB35" s="35"/>
      <c r="CC35" s="235"/>
      <c r="CD35" s="235">
        <v>33.99</v>
      </c>
      <c r="CE35" s="36">
        <v>43.77</v>
      </c>
      <c r="CF35" s="28">
        <f t="shared" si="33"/>
        <v>126.355</v>
      </c>
      <c r="CG35" s="30"/>
      <c r="CH35" s="31"/>
      <c r="CI35" s="50"/>
      <c r="CJ35" s="33">
        <v>1.63</v>
      </c>
      <c r="CK35" s="33"/>
      <c r="CL35" s="35"/>
      <c r="CM35" s="36"/>
      <c r="CN35" s="270"/>
      <c r="CO35" s="249">
        <f t="shared" si="37"/>
        <v>158.37116159999999</v>
      </c>
      <c r="CP35" s="12">
        <f t="shared" si="37"/>
        <v>0</v>
      </c>
      <c r="CQ35" s="12">
        <f t="shared" si="37"/>
        <v>18.367562400000001</v>
      </c>
      <c r="CR35" s="12">
        <f t="shared" si="37"/>
        <v>0</v>
      </c>
      <c r="CS35" s="11">
        <f t="shared" si="37"/>
        <v>0</v>
      </c>
      <c r="CT35" s="11">
        <f t="shared" si="37"/>
        <v>7.2801119999999999</v>
      </c>
      <c r="CU35" s="272">
        <f t="shared" si="37"/>
        <v>15.02</v>
      </c>
      <c r="CV35" s="249">
        <f t="shared" si="14"/>
        <v>124.29541350000001</v>
      </c>
      <c r="CW35" s="12">
        <f t="shared" si="14"/>
        <v>0</v>
      </c>
      <c r="CX35" s="249">
        <f t="shared" si="14"/>
        <v>0</v>
      </c>
      <c r="CY35" s="272">
        <f t="shared" si="14"/>
        <v>0</v>
      </c>
      <c r="CZ35" s="13"/>
      <c r="DA35" s="240">
        <f>(D35+'[2]июль 20'!D35)/(AY35+'[2]июль 20'!BA35)</f>
        <v>2.1099123275092651</v>
      </c>
      <c r="DB35" s="241">
        <f>(T35+'[2]июль 20'!R35)/(AY35+'[2]июль 20'!BA35)</f>
        <v>1.3156545134999138</v>
      </c>
      <c r="DD35" s="292">
        <f t="shared" si="15"/>
        <v>7.6059999999999999</v>
      </c>
      <c r="DE35" s="291">
        <v>0.43</v>
      </c>
      <c r="DF35" s="291">
        <v>15.03</v>
      </c>
      <c r="DG35" s="145">
        <f t="shared" si="16"/>
        <v>7.5732941999999994</v>
      </c>
      <c r="DH35" s="293">
        <f t="shared" si="34"/>
        <v>1.5211360660964852</v>
      </c>
      <c r="DJ35" s="38">
        <v>146.584</v>
      </c>
      <c r="DK35" s="460">
        <f t="shared" si="35"/>
        <v>159.584</v>
      </c>
      <c r="DM35" s="30">
        <v>116.355</v>
      </c>
      <c r="DN35" s="460">
        <f t="shared" si="36"/>
        <v>126.355</v>
      </c>
    </row>
    <row r="36" spans="1:118" s="76" customFormat="1" ht="16.5" customHeight="1" thickBot="1">
      <c r="A36" s="144">
        <v>30</v>
      </c>
      <c r="B36" s="122">
        <f t="shared" si="17"/>
        <v>227.64000000000001</v>
      </c>
      <c r="C36" s="123">
        <f t="shared" si="18"/>
        <v>0.73010516605166054</v>
      </c>
      <c r="D36" s="145">
        <f t="shared" si="19"/>
        <v>225.97798860000003</v>
      </c>
      <c r="E36" s="125">
        <f t="shared" si="20"/>
        <v>37.766182393252507</v>
      </c>
      <c r="F36" s="146">
        <f t="shared" si="0"/>
        <v>2.7846948687615529</v>
      </c>
      <c r="G36" s="127"/>
      <c r="H36" s="126">
        <f t="shared" si="21"/>
        <v>2.4092420036968574</v>
      </c>
      <c r="I36" s="230">
        <f>'[1]июль 20'!AI35</f>
        <v>0</v>
      </c>
      <c r="J36" s="247">
        <f>'[1]июль 20'!AA35</f>
        <v>8.5009999999999994</v>
      </c>
      <c r="K36" s="464">
        <f>'[1]сентябрь 20'!AM35</f>
        <v>0</v>
      </c>
      <c r="L36" s="247">
        <f>'[1]июль 20'!AE35</f>
        <v>30.468</v>
      </c>
      <c r="M36" s="468">
        <f t="shared" si="22"/>
        <v>0.37545286506469505</v>
      </c>
      <c r="N36" s="403">
        <f>'[1]июль 20'!W35</f>
        <v>0</v>
      </c>
      <c r="O36" s="403">
        <f>'[1]июль 20'!AU35</f>
        <v>0</v>
      </c>
      <c r="P36" s="401">
        <f t="shared" si="1"/>
        <v>143.93199999999999</v>
      </c>
      <c r="Q36" s="122">
        <f t="shared" si="23"/>
        <v>143.93199999999999</v>
      </c>
      <c r="R36" s="123">
        <f t="shared" si="24"/>
        <v>1.67</v>
      </c>
      <c r="S36" s="129">
        <v>20.93</v>
      </c>
      <c r="T36" s="125">
        <f t="shared" si="2"/>
        <v>141.52833559999999</v>
      </c>
      <c r="U36" s="147">
        <f t="shared" si="3"/>
        <v>1.7440337104128156</v>
      </c>
      <c r="V36" s="130">
        <v>46.3</v>
      </c>
      <c r="W36" s="130">
        <v>81.150000000000006</v>
      </c>
      <c r="X36" s="129">
        <v>0.59</v>
      </c>
      <c r="Y36" s="150">
        <v>619</v>
      </c>
      <c r="Z36" s="150">
        <v>1154</v>
      </c>
      <c r="AA36" s="148" t="s">
        <v>337</v>
      </c>
      <c r="AB36" s="149">
        <v>75.31</v>
      </c>
      <c r="AC36" s="150">
        <v>86</v>
      </c>
      <c r="AD36" s="151">
        <v>4</v>
      </c>
      <c r="AE36" s="149"/>
      <c r="AF36" s="134">
        <f t="shared" si="4"/>
        <v>0</v>
      </c>
      <c r="AG36" s="152"/>
      <c r="AH36" s="129">
        <v>51.8</v>
      </c>
      <c r="AI36" s="134">
        <f t="shared" si="5"/>
        <v>638.32409118915575</v>
      </c>
      <c r="AJ36" s="153">
        <v>16.11</v>
      </c>
      <c r="AK36" s="154"/>
      <c r="AL36" s="155">
        <v>5.57</v>
      </c>
      <c r="AM36" s="478">
        <f t="shared" si="25"/>
        <v>21.680000000000003</v>
      </c>
      <c r="AN36" s="126">
        <f t="shared" si="26"/>
        <v>0.2</v>
      </c>
      <c r="AO36" s="157" t="s">
        <v>370</v>
      </c>
      <c r="AP36" s="156">
        <v>8.76</v>
      </c>
      <c r="AQ36" s="156">
        <v>7.88</v>
      </c>
      <c r="AR36" s="151"/>
      <c r="AS36" s="149">
        <v>9.4</v>
      </c>
      <c r="AT36" s="149">
        <v>108.4</v>
      </c>
      <c r="AU36" s="149"/>
      <c r="AV36" s="149"/>
      <c r="AW36" s="149"/>
      <c r="AX36" s="158">
        <f t="shared" si="6"/>
        <v>0</v>
      </c>
      <c r="AY36" s="125">
        <f t="shared" si="7"/>
        <v>81.150000000000006</v>
      </c>
      <c r="AZ36" s="125">
        <f t="shared" si="27"/>
        <v>100.8185179430924</v>
      </c>
      <c r="BA36" s="159">
        <f t="shared" si="8"/>
        <v>3.7719154929577465</v>
      </c>
      <c r="BB36" s="160">
        <f t="shared" si="9"/>
        <v>3.2460000000000004</v>
      </c>
      <c r="BC36" s="161">
        <f t="shared" si="10"/>
        <v>0.71609715249072725</v>
      </c>
      <c r="BD36" s="160">
        <f t="shared" si="28"/>
        <v>7.017915492957747</v>
      </c>
      <c r="BE36" s="162">
        <v>0.84499999999999997</v>
      </c>
      <c r="BF36" s="25">
        <f t="shared" si="29"/>
        <v>2800.15</v>
      </c>
      <c r="BG36" s="25">
        <f t="shared" si="11"/>
        <v>108.06451612903226</v>
      </c>
      <c r="BH36" s="25">
        <f t="shared" si="30"/>
        <v>3241.9354838709664</v>
      </c>
      <c r="BI36" s="26">
        <f t="shared" si="12"/>
        <v>1</v>
      </c>
      <c r="BJ36" s="37">
        <f t="shared" si="31"/>
        <v>3241.9354838709664</v>
      </c>
      <c r="BK36" s="28">
        <f t="shared" si="32"/>
        <v>22.605</v>
      </c>
      <c r="BL36" s="31">
        <v>56.112000000000002</v>
      </c>
      <c r="BM36" s="31"/>
      <c r="BN36" s="31">
        <v>16.094000000000001</v>
      </c>
      <c r="BO36" s="40">
        <v>107.697</v>
      </c>
      <c r="BP36" s="40">
        <v>10.757999999999999</v>
      </c>
      <c r="BQ36" s="32">
        <v>14.374000000000001</v>
      </c>
      <c r="BR36" s="33">
        <v>0.79</v>
      </c>
      <c r="BS36" s="34">
        <v>0.79</v>
      </c>
      <c r="BT36" s="35"/>
      <c r="BU36" s="35"/>
      <c r="BV36" s="235">
        <v>0.79</v>
      </c>
      <c r="BW36" s="235">
        <v>1.76</v>
      </c>
      <c r="BX36" s="36"/>
      <c r="BY36" s="33">
        <v>37.49</v>
      </c>
      <c r="BZ36" s="34">
        <v>37.49</v>
      </c>
      <c r="CA36" s="35"/>
      <c r="CB36" s="35">
        <v>41.62</v>
      </c>
      <c r="CC36" s="235">
        <v>37.49</v>
      </c>
      <c r="CD36" s="235">
        <v>28.11</v>
      </c>
      <c r="CE36" s="36">
        <v>44.26</v>
      </c>
      <c r="CF36" s="28">
        <f t="shared" si="33"/>
        <v>143.93199999999999</v>
      </c>
      <c r="CG36" s="30"/>
      <c r="CH36" s="34"/>
      <c r="CI36" s="50"/>
      <c r="CJ36" s="33">
        <v>1.67</v>
      </c>
      <c r="CK36" s="33"/>
      <c r="CL36" s="35"/>
      <c r="CM36" s="36"/>
      <c r="CN36" s="270"/>
      <c r="CO36" s="249">
        <f t="shared" si="37"/>
        <v>22.426420499999999</v>
      </c>
      <c r="CP36" s="12">
        <f t="shared" si="37"/>
        <v>55.668715200000001</v>
      </c>
      <c r="CQ36" s="12">
        <f t="shared" si="37"/>
        <v>0</v>
      </c>
      <c r="CR36" s="12">
        <f t="shared" si="37"/>
        <v>16.094000000000001</v>
      </c>
      <c r="CS36" s="11">
        <f t="shared" si="37"/>
        <v>106.8461937</v>
      </c>
      <c r="CT36" s="11">
        <f t="shared" si="37"/>
        <v>10.568659199999999</v>
      </c>
      <c r="CU36" s="272">
        <f t="shared" si="37"/>
        <v>14.374000000000001</v>
      </c>
      <c r="CV36" s="249">
        <f t="shared" si="14"/>
        <v>141.52833559999999</v>
      </c>
      <c r="CW36" s="12">
        <f t="shared" si="14"/>
        <v>0</v>
      </c>
      <c r="CX36" s="249">
        <f t="shared" si="14"/>
        <v>0</v>
      </c>
      <c r="CY36" s="274">
        <f t="shared" si="14"/>
        <v>0</v>
      </c>
      <c r="CZ36" s="13"/>
      <c r="DA36" s="240">
        <f>(D36+'[2]июль 20'!D36)/(AY36+'[2]июль 20'!BA36)</f>
        <v>2.5304223215660291</v>
      </c>
      <c r="DB36" s="241">
        <f>(T36+'[2]июль 20'!R36)/(AY36+'[2]июль 20'!BA36)</f>
        <v>1.5811801171208917</v>
      </c>
      <c r="DD36" s="292">
        <f t="shared" si="15"/>
        <v>8.5009999999999994</v>
      </c>
      <c r="DE36" s="291">
        <v>0.33</v>
      </c>
      <c r="DF36" s="291">
        <v>16.78</v>
      </c>
      <c r="DG36" s="145">
        <f t="shared" si="16"/>
        <v>8.4729466999999996</v>
      </c>
      <c r="DH36" s="293">
        <f t="shared" si="34"/>
        <v>1.8878773818350816</v>
      </c>
      <c r="DJ36" s="38">
        <v>9.8960000000000008</v>
      </c>
      <c r="DK36" s="460">
        <f>DJ36+12.709</f>
        <v>22.605</v>
      </c>
      <c r="DM36" s="30">
        <v>133.93199999999999</v>
      </c>
      <c r="DN36" s="460">
        <f t="shared" si="36"/>
        <v>143.93199999999999</v>
      </c>
    </row>
    <row r="37" spans="1:118" s="76" customFormat="1" ht="16.5" customHeight="1" thickBot="1">
      <c r="A37" s="186">
        <v>31</v>
      </c>
      <c r="B37" s="122">
        <f t="shared" si="17"/>
        <v>224.49700000000001</v>
      </c>
      <c r="C37" s="123">
        <f t="shared" si="18"/>
        <v>0.55745154723671131</v>
      </c>
      <c r="D37" s="187">
        <f t="shared" si="19"/>
        <v>223.24553800000001</v>
      </c>
      <c r="E37" s="285">
        <f t="shared" si="20"/>
        <v>34.907997523352201</v>
      </c>
      <c r="F37" s="189">
        <f t="shared" si="0"/>
        <v>3.4430218692165329</v>
      </c>
      <c r="G37" s="127">
        <v>1.74</v>
      </c>
      <c r="H37" s="126">
        <f t="shared" si="21"/>
        <v>1.9707979333744605</v>
      </c>
      <c r="I37" s="230">
        <f>'[1]июль 20'!AI36</f>
        <v>0</v>
      </c>
      <c r="J37" s="277">
        <f>'[1]июль 20'!AA36</f>
        <v>8.1639999999999997</v>
      </c>
      <c r="K37" s="276">
        <f>'[1]сентябрь 20'!AM36</f>
        <v>0</v>
      </c>
      <c r="L37" s="438">
        <f>'[1]июль 20'!AE36</f>
        <v>95.459000000000003</v>
      </c>
      <c r="M37" s="128">
        <f t="shared" si="22"/>
        <v>1.4722239358420728</v>
      </c>
      <c r="N37" s="399">
        <f>'[1]июль 20'!W36</f>
        <v>0</v>
      </c>
      <c r="O37" s="399">
        <f>'[1]июль 20'!AU36</f>
        <v>0</v>
      </c>
      <c r="P37" s="125">
        <f t="shared" si="1"/>
        <v>128.667</v>
      </c>
      <c r="Q37" s="122">
        <f t="shared" si="23"/>
        <v>128.667</v>
      </c>
      <c r="R37" s="123">
        <f t="shared" si="24"/>
        <v>1.79</v>
      </c>
      <c r="S37" s="190">
        <v>1.59</v>
      </c>
      <c r="T37" s="125">
        <f t="shared" si="2"/>
        <v>126.3638607</v>
      </c>
      <c r="U37" s="191">
        <f t="shared" si="3"/>
        <v>1.9488565808143121</v>
      </c>
      <c r="V37" s="192">
        <v>64.84</v>
      </c>
      <c r="W37" s="192">
        <v>64.84</v>
      </c>
      <c r="X37" s="190">
        <v>0.41</v>
      </c>
      <c r="Y37" s="193">
        <v>613</v>
      </c>
      <c r="Z37" s="194">
        <v>1152</v>
      </c>
      <c r="AA37" s="195" t="s">
        <v>352</v>
      </c>
      <c r="AB37" s="196">
        <v>75.760000000000005</v>
      </c>
      <c r="AC37" s="194">
        <v>83</v>
      </c>
      <c r="AD37" s="193">
        <v>4</v>
      </c>
      <c r="AE37" s="196"/>
      <c r="AF37" s="134">
        <f t="shared" si="4"/>
        <v>0</v>
      </c>
      <c r="AG37" s="197"/>
      <c r="AH37" s="190">
        <v>78.150000000000006</v>
      </c>
      <c r="AI37" s="134">
        <f t="shared" si="5"/>
        <v>1205.2745219000617</v>
      </c>
      <c r="AJ37" s="196">
        <v>16.71</v>
      </c>
      <c r="AK37" s="198"/>
      <c r="AL37" s="199">
        <v>5.77</v>
      </c>
      <c r="AM37" s="478">
        <v>52.09</v>
      </c>
      <c r="AN37" s="126">
        <f t="shared" si="26"/>
        <v>0.4245313773431133</v>
      </c>
      <c r="AO37" s="201" t="s">
        <v>372</v>
      </c>
      <c r="AP37" s="200">
        <v>8.61</v>
      </c>
      <c r="AQ37" s="200">
        <v>8.09</v>
      </c>
      <c r="AR37" s="193"/>
      <c r="AS37" s="196">
        <v>7.96</v>
      </c>
      <c r="AT37" s="242">
        <v>122.7</v>
      </c>
      <c r="AU37" s="196"/>
      <c r="AV37" s="196"/>
      <c r="AW37" s="196"/>
      <c r="AX37" s="202">
        <f t="shared" si="6"/>
        <v>0</v>
      </c>
      <c r="AY37" s="188">
        <f t="shared" si="7"/>
        <v>64.84</v>
      </c>
      <c r="AZ37" s="125">
        <f t="shared" si="27"/>
        <v>91.315386889833604</v>
      </c>
      <c r="BA37" s="203">
        <f t="shared" si="8"/>
        <v>4.8188830985915496</v>
      </c>
      <c r="BB37" s="204">
        <f t="shared" si="9"/>
        <v>2.5936000000000003</v>
      </c>
      <c r="BC37" s="205">
        <f t="shared" si="10"/>
        <v>0.63034055282764301</v>
      </c>
      <c r="BD37" s="206">
        <f t="shared" si="28"/>
        <v>7.41248309859155</v>
      </c>
      <c r="BE37" s="207">
        <v>0.83799999999999997</v>
      </c>
      <c r="BF37" s="25">
        <f t="shared" si="29"/>
        <v>2864.9900000000002</v>
      </c>
      <c r="BG37" s="25">
        <f t="shared" si="11"/>
        <v>108.06451612903226</v>
      </c>
      <c r="BH37" s="25">
        <f t="shared" si="30"/>
        <v>3349.9999999999986</v>
      </c>
      <c r="BI37" s="26">
        <f t="shared" si="12"/>
        <v>1</v>
      </c>
      <c r="BJ37" s="37">
        <f t="shared" si="31"/>
        <v>3349.9999999999986</v>
      </c>
      <c r="BK37" s="28">
        <f t="shared" si="32"/>
        <v>17</v>
      </c>
      <c r="BL37" s="53"/>
      <c r="BM37" s="53"/>
      <c r="BN37" s="53">
        <v>95.459000000000003</v>
      </c>
      <c r="BO37" s="282">
        <v>91.316000000000003</v>
      </c>
      <c r="BP37" s="282">
        <v>20.722000000000001</v>
      </c>
      <c r="BQ37" s="54"/>
      <c r="BR37" s="55"/>
      <c r="BS37" s="52"/>
      <c r="BT37" s="56"/>
      <c r="BU37" s="56"/>
      <c r="BV37" s="284">
        <v>0.49</v>
      </c>
      <c r="BW37" s="284">
        <v>3.88</v>
      </c>
      <c r="BX37" s="57"/>
      <c r="BY37" s="55"/>
      <c r="BZ37" s="52"/>
      <c r="CA37" s="56"/>
      <c r="CB37" s="56">
        <v>41.8</v>
      </c>
      <c r="CC37" s="284">
        <v>35.520000000000003</v>
      </c>
      <c r="CD37" s="284">
        <v>29.1</v>
      </c>
      <c r="CE37" s="57"/>
      <c r="CF37" s="28">
        <f t="shared" si="33"/>
        <v>128.667</v>
      </c>
      <c r="CG37" s="58"/>
      <c r="CH37" s="52"/>
      <c r="CI37" s="54"/>
      <c r="CJ37" s="33">
        <v>1.79</v>
      </c>
      <c r="CK37" s="265"/>
      <c r="CL37" s="59"/>
      <c r="CM37" s="60"/>
      <c r="CN37" s="270"/>
      <c r="CO37" s="269">
        <f t="shared" si="37"/>
        <v>17</v>
      </c>
      <c r="CP37" s="18">
        <f t="shared" si="37"/>
        <v>0</v>
      </c>
      <c r="CQ37" s="18">
        <f t="shared" si="37"/>
        <v>0</v>
      </c>
      <c r="CR37" s="18">
        <f t="shared" si="37"/>
        <v>95.459000000000003</v>
      </c>
      <c r="CS37" s="251">
        <f t="shared" si="37"/>
        <v>90.868551600000018</v>
      </c>
      <c r="CT37" s="11">
        <f t="shared" si="37"/>
        <v>19.917986400000004</v>
      </c>
      <c r="CU37" s="273">
        <f t="shared" si="37"/>
        <v>0</v>
      </c>
      <c r="CV37" s="269">
        <f t="shared" si="14"/>
        <v>126.3638607</v>
      </c>
      <c r="CW37" s="18">
        <f t="shared" si="14"/>
        <v>0</v>
      </c>
      <c r="CX37" s="261">
        <f t="shared" si="14"/>
        <v>0</v>
      </c>
      <c r="CY37" s="273">
        <f t="shared" si="14"/>
        <v>0</v>
      </c>
      <c r="CZ37" s="13"/>
      <c r="DA37" s="240">
        <f>(D37+'[2]июль 20'!D37)/(AY37+'[2]июль 20'!BA37)</f>
        <v>2.3405449325712575</v>
      </c>
      <c r="DB37" s="241">
        <f>(T37+'[2]июль 20'!R37)/(AY37+'[2]июль 20'!BA37)</f>
        <v>1.4187749288355933</v>
      </c>
      <c r="DD37" s="292">
        <f t="shared" si="15"/>
        <v>8.1639999999999997</v>
      </c>
      <c r="DE37" s="294">
        <v>0.06</v>
      </c>
      <c r="DF37" s="294">
        <v>14.06</v>
      </c>
      <c r="DG37" s="323">
        <f t="shared" si="16"/>
        <v>8.1591015999999996</v>
      </c>
      <c r="DH37" s="293">
        <f t="shared" si="34"/>
        <v>1.5142155292502637</v>
      </c>
      <c r="DJ37" s="51"/>
      <c r="DK37" s="460">
        <f>DJ37+17</f>
        <v>17</v>
      </c>
      <c r="DM37" s="58">
        <v>129.68</v>
      </c>
      <c r="DN37" s="460">
        <v>128.667</v>
      </c>
    </row>
    <row r="38" spans="1:118" s="214" customFormat="1" ht="16.5" customHeight="1" thickBot="1">
      <c r="A38" s="91" t="s">
        <v>56</v>
      </c>
      <c r="B38" s="92">
        <f>SUM(B7:B37)</f>
        <v>6937.0690030000014</v>
      </c>
      <c r="C38" s="330"/>
      <c r="D38" s="331">
        <f>SUM(D7:D37)</f>
        <v>6890.30031847995</v>
      </c>
      <c r="E38" s="332"/>
      <c r="F38" s="331"/>
      <c r="G38" s="333">
        <f>SUM(G7:G37)</f>
        <v>29.09</v>
      </c>
      <c r="H38" s="329"/>
      <c r="I38" s="334">
        <f>SUM(I7:I37)</f>
        <v>0</v>
      </c>
      <c r="J38" s="329">
        <f>SUM(J7:J37)</f>
        <v>260.226</v>
      </c>
      <c r="K38" s="329">
        <f>SUM(K7:K37)</f>
        <v>0</v>
      </c>
      <c r="L38" s="396">
        <f>SUM(L7:L37)</f>
        <v>666.7679999999998</v>
      </c>
      <c r="M38" s="335"/>
      <c r="N38" s="329">
        <f>SUM(N7:N37)</f>
        <v>0</v>
      </c>
      <c r="O38" s="396">
        <f>SUM(O7:O37)</f>
        <v>0</v>
      </c>
      <c r="P38" s="330">
        <f>SUM(P7:P37)</f>
        <v>4348.7540020000006</v>
      </c>
      <c r="Q38" s="396">
        <f>SUM(Q7:Q37)</f>
        <v>4348.7540000000008</v>
      </c>
      <c r="R38" s="336">
        <f>IF(Q38=0,0,(CA38*CH38+CE38*CI38+CF38*CJ38)/Q38)</f>
        <v>0</v>
      </c>
      <c r="S38" s="398">
        <f>SUM(S7:S37)</f>
        <v>257.06</v>
      </c>
      <c r="T38" s="331">
        <f>SUM(T7:T37)</f>
        <v>4283.1604578999995</v>
      </c>
      <c r="U38" s="337"/>
      <c r="V38" s="229">
        <f>SUM(V7:V37)</f>
        <v>2455.6400000000003</v>
      </c>
      <c r="W38" s="229">
        <f>SUM(W7:W37)</f>
        <v>2471.11</v>
      </c>
      <c r="X38" s="338"/>
      <c r="Y38" s="337"/>
      <c r="Z38" s="339"/>
      <c r="AA38" s="340"/>
      <c r="AB38" s="338"/>
      <c r="AC38" s="339"/>
      <c r="AD38" s="339">
        <f>SUM(AD7:AD37)</f>
        <v>125</v>
      </c>
      <c r="AE38" s="90">
        <f>SUM(AE7:AE37)</f>
        <v>5.0999999999999996</v>
      </c>
      <c r="AF38" s="341"/>
      <c r="AG38" s="342">
        <f>SUM(AG7:AG37)</f>
        <v>0</v>
      </c>
      <c r="AH38" s="90">
        <f>SUM(AH7:AH37)</f>
        <v>1970.9000000000003</v>
      </c>
      <c r="AI38" s="341"/>
      <c r="AJ38" s="332">
        <f>SUM(AJ7:AJ37)</f>
        <v>467.55</v>
      </c>
      <c r="AK38" s="343"/>
      <c r="AL38" s="397">
        <f>SUM(AL7:AL37)</f>
        <v>154.80000000000001</v>
      </c>
      <c r="AM38" s="344">
        <f>SUM(AM7:AM37)</f>
        <v>779.47</v>
      </c>
      <c r="AN38" s="345"/>
      <c r="AO38" s="342"/>
      <c r="AP38" s="332"/>
      <c r="AQ38" s="342"/>
      <c r="AR38" s="342"/>
      <c r="AS38" s="346"/>
      <c r="AT38" s="332">
        <f>SUM(AT7:AT37)</f>
        <v>3759.6000000000004</v>
      </c>
      <c r="AU38" s="332">
        <f>SUM(AU7:AU37)</f>
        <v>39.660000000000004</v>
      </c>
      <c r="AV38" s="347">
        <f>SUM(AV7:AV37)</f>
        <v>0</v>
      </c>
      <c r="AW38" s="332">
        <f>SUM(AW7:AW37)</f>
        <v>0</v>
      </c>
      <c r="AX38" s="331"/>
      <c r="AY38" s="90">
        <f>SUM(AY7:AY37)</f>
        <v>2864.9900000000002</v>
      </c>
      <c r="AZ38" s="330">
        <f>SUM(AZ7:AZ37)</f>
        <v>3025.3104645890498</v>
      </c>
      <c r="BA38" s="342">
        <f>SUM(BA7:BA37)</f>
        <v>119.08594964788729</v>
      </c>
      <c r="BB38" s="342">
        <f>SUM(BB7:BB37)</f>
        <v>114.59960000000001</v>
      </c>
      <c r="BC38" s="332"/>
      <c r="BD38" s="89">
        <f>SUM(BD7:BD37)</f>
        <v>233.68554964788734</v>
      </c>
      <c r="BE38" s="348"/>
      <c r="BF38" s="19"/>
      <c r="BG38" s="19">
        <f t="shared" si="11"/>
        <v>0</v>
      </c>
      <c r="BH38" s="19"/>
      <c r="BI38" s="208">
        <f>SUM(BI7:BI37)</f>
        <v>31</v>
      </c>
      <c r="BJ38" s="209"/>
      <c r="BK38" s="278">
        <f t="shared" ref="BK38:BQ38" si="38">SUM(BK7:BK37)</f>
        <v>4388.3719999999994</v>
      </c>
      <c r="BL38" s="61">
        <f>SUM(BL7:BL37)</f>
        <v>56.112000999999999</v>
      </c>
      <c r="BM38" s="61">
        <f t="shared" si="38"/>
        <v>1320.8980000000001</v>
      </c>
      <c r="BN38" s="61">
        <f t="shared" si="38"/>
        <v>111.55300100000001</v>
      </c>
      <c r="BO38" s="61">
        <f t="shared" si="38"/>
        <v>199.013001</v>
      </c>
      <c r="BP38" s="61">
        <f t="shared" si="38"/>
        <v>305.90599999999989</v>
      </c>
      <c r="BQ38" s="64">
        <f t="shared" si="38"/>
        <v>555.21499999999992</v>
      </c>
      <c r="BR38" s="63"/>
      <c r="BS38" s="24"/>
      <c r="BT38" s="24"/>
      <c r="BU38" s="24"/>
      <c r="BV38" s="62"/>
      <c r="BW38" s="62"/>
      <c r="BX38" s="65"/>
      <c r="BY38" s="63"/>
      <c r="BZ38" s="24"/>
      <c r="CA38" s="24"/>
      <c r="CB38" s="24"/>
      <c r="CC38" s="62"/>
      <c r="CD38" s="62"/>
      <c r="CE38" s="62"/>
      <c r="CF38" s="66">
        <f>SUM(CF7:CF37)</f>
        <v>3539.6789999999992</v>
      </c>
      <c r="CG38" s="66">
        <f>SUM(CG7:CG37)</f>
        <v>809.07500000000005</v>
      </c>
      <c r="CH38" s="61">
        <f>SUM(CH7:CH37)</f>
        <v>9.9999999999999995E-7</v>
      </c>
      <c r="CI38" s="67">
        <f>SUM(CI7:CI37)</f>
        <v>9.9999999999999995E-7</v>
      </c>
      <c r="CJ38" s="210"/>
      <c r="CK38" s="266"/>
      <c r="CL38" s="211"/>
      <c r="CM38" s="212"/>
      <c r="CN38" s="213"/>
      <c r="CO38" s="68">
        <f t="shared" ref="CO38:CY38" si="39">SUM(CO7:CO37)</f>
        <v>4355.9385252000002</v>
      </c>
      <c r="CP38" s="69">
        <f t="shared" si="39"/>
        <v>55.668716199999992</v>
      </c>
      <c r="CQ38" s="70">
        <f t="shared" si="39"/>
        <v>1313.7945465</v>
      </c>
      <c r="CR38" s="69">
        <f t="shared" si="39"/>
        <v>111.55300099999999</v>
      </c>
      <c r="CS38" s="72">
        <f t="shared" si="39"/>
        <v>197.7147463</v>
      </c>
      <c r="CT38" s="72">
        <f t="shared" si="39"/>
        <v>300.41578350000003</v>
      </c>
      <c r="CU38" s="71">
        <f t="shared" si="39"/>
        <v>555.21499977994995</v>
      </c>
      <c r="CV38" s="72">
        <f t="shared" si="39"/>
        <v>3485.9970563999991</v>
      </c>
      <c r="CW38" s="72">
        <f t="shared" si="39"/>
        <v>797.16340149999985</v>
      </c>
      <c r="CX38" s="72">
        <f t="shared" si="39"/>
        <v>9.9999998999999992E-7</v>
      </c>
      <c r="CY38" s="72">
        <f t="shared" si="39"/>
        <v>9.9999998999999992E-7</v>
      </c>
      <c r="CZ38" s="70"/>
      <c r="DA38" s="240">
        <f>(D38+'[2]июль 20'!D38)/(AY38+'[2]июль 20'!BA38)</f>
        <v>2.2751706178172353</v>
      </c>
      <c r="DB38" s="241">
        <f>(T38+'[2]июль 20'!R38)/(AY38+'[2]июль 20'!BA38)</f>
        <v>1.4363905378171871</v>
      </c>
      <c r="DD38" s="295">
        <f>SUM(DD7:DD37)</f>
        <v>260.226</v>
      </c>
      <c r="DE38" s="296">
        <f>(SUMPRODUCT(DD7:DD37,DE7:DE37))/DD38</f>
        <v>0.4037763713080168</v>
      </c>
      <c r="DF38" s="296">
        <f>(SUMPRODUCT(DD7:DD37,DF7:DF37))/DD38</f>
        <v>12.310436812616725</v>
      </c>
      <c r="DG38" s="296">
        <f>(SUMPRODUCT(DE7:DE37,DG7:DG37))/DE38</f>
        <v>256.49431111954652</v>
      </c>
      <c r="DH38" s="324">
        <f>IF(J38=0,0,(DG38*DF38%)/(AB39/100))</f>
        <v>41.591627238311418</v>
      </c>
    </row>
    <row r="39" spans="1:118" s="214" customFormat="1" ht="16.5" customHeight="1" thickBot="1">
      <c r="A39" s="93" t="s">
        <v>57</v>
      </c>
      <c r="B39" s="349">
        <f>B38/AU2</f>
        <v>223.77641945161295</v>
      </c>
      <c r="C39" s="349">
        <f>(BK38*BR39+BM38*BT39+BQ38*BX39+BL38*BS39+BN38*BU39+BO38*BV39+BP38*BW39)/B38</f>
        <v>0.67418508450506209</v>
      </c>
      <c r="D39" s="350">
        <f>D38/AU2</f>
        <v>222.26775220903065</v>
      </c>
      <c r="E39" s="349">
        <f>(BK38*BY39+BM38*CA39+BQ38*CE39+BL38*BZ39+BN38*CB39+BO38*CC39+BP38*CD39)/B38</f>
        <v>37.651958356914726</v>
      </c>
      <c r="F39" s="351">
        <f>IF($AY$38=0,0,$D$38/$AY$38)</f>
        <v>2.4049997795733842</v>
      </c>
      <c r="G39" s="352">
        <f>G38/AU2</f>
        <v>0.93838709677419352</v>
      </c>
      <c r="H39" s="353">
        <f>IF($AY$38=0,0,(CP38+CO38+CS38+CQ38+CT38)/AY38)</f>
        <v>2.172270171169882</v>
      </c>
      <c r="I39" s="349">
        <f>I38/AU2</f>
        <v>0</v>
      </c>
      <c r="J39" s="349">
        <f>J38/AU2</f>
        <v>8.394387096774194</v>
      </c>
      <c r="K39" s="349">
        <f>K38/AU2</f>
        <v>0</v>
      </c>
      <c r="L39" s="349">
        <f>L38/AU2</f>
        <v>21.508645161290318</v>
      </c>
      <c r="M39" s="354">
        <f>IF($AY$38=0,0,(CR38+CU38)/$AY$38)</f>
        <v>0.23272960840350224</v>
      </c>
      <c r="N39" s="349">
        <f>N38/AU2</f>
        <v>0</v>
      </c>
      <c r="O39" s="349">
        <f>O38/AU2</f>
        <v>0</v>
      </c>
      <c r="P39" s="349">
        <f>P38/AU2</f>
        <v>140.28238716129033</v>
      </c>
      <c r="Q39" s="349">
        <f>Q38/AU2</f>
        <v>140.28238709677422</v>
      </c>
      <c r="R39" s="349">
        <f>(SUMPRODUCT(R7:R37,Q7:Q37))/Q38</f>
        <v>1.508329560605175</v>
      </c>
      <c r="S39" s="355">
        <f>S38/AU2</f>
        <v>8.2922580645161297</v>
      </c>
      <c r="T39" s="356"/>
      <c r="U39" s="354">
        <f>IF($AY$38=0,0,$T$38/$AY$38)</f>
        <v>1.4950001423739696</v>
      </c>
      <c r="V39" s="349">
        <f>V38/AU2</f>
        <v>79.214193548387101</v>
      </c>
      <c r="W39" s="349">
        <f>W38/AU2</f>
        <v>79.713225806451618</v>
      </c>
      <c r="X39" s="349">
        <f>(SUMPRODUCT(X7:X37,AY7:AY37))/AY38</f>
        <v>0.66357976816673003</v>
      </c>
      <c r="Y39" s="357">
        <f>AVERAGE(Y7:Y37)</f>
        <v>561.61290322580646</v>
      </c>
      <c r="Z39" s="357">
        <f>AVERAGE(Z7:Z37)</f>
        <v>1147.9677419354839</v>
      </c>
      <c r="AA39" s="357"/>
      <c r="AB39" s="349">
        <f>(SUMPRODUCT(AB7:AB37,AY7:AY37))/AY38</f>
        <v>75.918092642557227</v>
      </c>
      <c r="AC39" s="358">
        <f>AVERAGE(AC7:AC37)</f>
        <v>84.129032258064512</v>
      </c>
      <c r="AD39" s="358">
        <f>AVERAGE(AD7:AD37)</f>
        <v>4.032258064516129</v>
      </c>
      <c r="AE39" s="349">
        <f>AE38/AU2</f>
        <v>0.16451612903225804</v>
      </c>
      <c r="AF39" s="355">
        <f>IF(AY38=0,0,AE38/AY38*1000)</f>
        <v>1.7801109253435436</v>
      </c>
      <c r="AG39" s="356" t="e">
        <f>AG38/$AW$2</f>
        <v>#DIV/0!</v>
      </c>
      <c r="AH39" s="349">
        <f>AH38/AU2</f>
        <v>63.577419354838717</v>
      </c>
      <c r="AI39" s="355">
        <f>IF(AY38=0,0,AH38/AY38*1000)</f>
        <v>687.92561230580213</v>
      </c>
      <c r="AJ39" s="349">
        <f>AJ38/AU2</f>
        <v>15.082258064516129</v>
      </c>
      <c r="AK39" s="359"/>
      <c r="AL39" s="349">
        <f>AL38/AU2</f>
        <v>4.9935483870967747</v>
      </c>
      <c r="AM39" s="349">
        <f>AM38/AU2</f>
        <v>25.144193548387097</v>
      </c>
      <c r="AN39" s="360">
        <f>IF(AM39=0,0,AM39/AT39)</f>
        <v>0.20732790722417277</v>
      </c>
      <c r="AO39" s="356"/>
      <c r="AP39" s="349">
        <f>AVERAGE(AP7:AP37)</f>
        <v>8.4422580645161318</v>
      </c>
      <c r="AQ39" s="349">
        <f>AVERAGE(AQ7:AQ37)</f>
        <v>8.3448387096774201</v>
      </c>
      <c r="AR39" s="356"/>
      <c r="AS39" s="349">
        <f>AVERAGE(AS7:AS37)</f>
        <v>7.7706451612903216</v>
      </c>
      <c r="AT39" s="349">
        <f>AT38/AU2</f>
        <v>121.27741935483873</v>
      </c>
      <c r="AU39" s="349">
        <f>AU38/AU2</f>
        <v>1.2793548387096776</v>
      </c>
      <c r="AV39" s="349" t="e">
        <f>AV38/$AW$2</f>
        <v>#DIV/0!</v>
      </c>
      <c r="AW39" s="349" t="e">
        <f>AW38/$AW$2</f>
        <v>#DIV/0!</v>
      </c>
      <c r="AX39" s="349" t="e">
        <f>IF(AY39=0,0,AW39/AY39*100)</f>
        <v>#DIV/0!</v>
      </c>
      <c r="AY39" s="349">
        <f>AY38/AU2</f>
        <v>92.419032258064519</v>
      </c>
      <c r="AZ39" s="349">
        <f>AZ38/AU2</f>
        <v>97.590660148033862</v>
      </c>
      <c r="BA39" s="356"/>
      <c r="BB39" s="356"/>
      <c r="BC39" s="351">
        <f>(AY38*AB39)/(D38*E39)</f>
        <v>0.83838341372640834</v>
      </c>
      <c r="BD39" s="349">
        <f>BD38/AU2</f>
        <v>7.5382435370286238</v>
      </c>
      <c r="BE39" s="361"/>
      <c r="BF39" s="19"/>
      <c r="BG39" s="19"/>
      <c r="BH39" s="19"/>
      <c r="BI39" s="19"/>
      <c r="BJ39" s="215"/>
      <c r="BK39" s="73"/>
      <c r="BL39" s="216"/>
      <c r="BM39" s="216"/>
      <c r="BN39" s="216"/>
      <c r="BO39" s="219"/>
      <c r="BP39" s="219"/>
      <c r="BQ39" s="217"/>
      <c r="BR39" s="73">
        <f t="shared" ref="BR39:BX39" si="40">(SUMPRODUCT(BK7:BK37,BR7:BR37))/BK38</f>
        <v>0.73907760782358489</v>
      </c>
      <c r="BS39" s="29">
        <f>(SUMPRODUCT(BL7:BL37,BS7:BS37))/BL38</f>
        <v>0.78999998592103338</v>
      </c>
      <c r="BT39" s="29">
        <f t="shared" si="40"/>
        <v>0.53777456699911708</v>
      </c>
      <c r="BU39" s="29">
        <f t="shared" si="40"/>
        <v>8.9643487045229735E-15</v>
      </c>
      <c r="BV39" s="29">
        <f t="shared" si="40"/>
        <v>0.65234667759218901</v>
      </c>
      <c r="BW39" s="29">
        <f t="shared" si="40"/>
        <v>1.794739723967494</v>
      </c>
      <c r="BX39" s="74">
        <f t="shared" si="40"/>
        <v>3.9633295209963711E-8</v>
      </c>
      <c r="BY39" s="73">
        <f t="shared" ref="BY39:CE39" si="41">(SUMPRODUCT(BK7:BK37,BY7:BY37))/BK38</f>
        <v>37.187546463699981</v>
      </c>
      <c r="BZ39" s="29">
        <f t="shared" si="41"/>
        <v>37.489999331871999</v>
      </c>
      <c r="CA39" s="29">
        <f t="shared" si="41"/>
        <v>37.846792644095153</v>
      </c>
      <c r="CB39" s="29">
        <f t="shared" si="41"/>
        <v>41.774030624241121</v>
      </c>
      <c r="CC39" s="29">
        <f t="shared" si="41"/>
        <v>36.586076353876003</v>
      </c>
      <c r="CD39" s="29">
        <f t="shared" si="41"/>
        <v>31.684051767536449</v>
      </c>
      <c r="CE39" s="74">
        <f t="shared" si="41"/>
        <v>43.717459200489898</v>
      </c>
      <c r="CF39" s="218"/>
      <c r="CG39" s="218"/>
      <c r="CH39" s="216"/>
      <c r="CI39" s="219"/>
      <c r="CJ39" s="75">
        <f>(SUMPRODUCT(CF7:CF37,CJ7:CJ37))/CF38</f>
        <v>1.5165766048277258</v>
      </c>
      <c r="CK39" s="75">
        <f>(SUMPRODUCT(CG7:CG37,CK7:CK37))/CG38</f>
        <v>1.4722489880418996</v>
      </c>
      <c r="CL39" s="29">
        <f>(SUMPRODUCT(CH7:CH37,CL7:CL37))/CH38</f>
        <v>9.9999999999999995E-7</v>
      </c>
      <c r="CM39" s="74">
        <f>(SUMPRODUCT(CI7:CI37,CM7:CM37))/CI38</f>
        <v>9.9999999999999995E-7</v>
      </c>
      <c r="CN39" s="19"/>
      <c r="CO39" s="596">
        <f>CO38+CP38</f>
        <v>4411.6072414</v>
      </c>
      <c r="CP39" s="596"/>
      <c r="CQ39" s="597">
        <f>CQ38+CR38+CU38+CS38+CT38</f>
        <v>2478.6930770799499</v>
      </c>
      <c r="CR39" s="597"/>
      <c r="CS39" s="597"/>
      <c r="CT39" s="597"/>
      <c r="CU39" s="597"/>
      <c r="CV39" s="597">
        <f>CV38+CX38+CY38+CW38</f>
        <v>4283.1604598999984</v>
      </c>
      <c r="CW39" s="597"/>
      <c r="CX39" s="597"/>
      <c r="CY39" s="597"/>
      <c r="DA39" s="236"/>
      <c r="DB39" s="238"/>
      <c r="DD39" s="297"/>
      <c r="DE39" s="298"/>
      <c r="DF39" s="298"/>
      <c r="DG39" s="299"/>
      <c r="DH39" s="300"/>
    </row>
    <row r="40" spans="1:118" s="214" customFormat="1" ht="16.5" customHeight="1" thickBot="1">
      <c r="A40" s="94" t="s">
        <v>58</v>
      </c>
      <c r="B40" s="362"/>
      <c r="C40" s="362"/>
      <c r="D40" s="363"/>
      <c r="E40" s="364">
        <v>38</v>
      </c>
      <c r="F40" s="363">
        <v>2.2200000000000002</v>
      </c>
      <c r="G40" s="365"/>
      <c r="H40" s="410">
        <v>1.9314</v>
      </c>
      <c r="I40" s="363"/>
      <c r="J40" s="363">
        <v>4.3226000000000004</v>
      </c>
      <c r="K40" s="363"/>
      <c r="L40" s="363"/>
      <c r="M40" s="410">
        <v>0.28860000000000002</v>
      </c>
      <c r="N40" s="363">
        <v>20.532350000000001</v>
      </c>
      <c r="O40" s="363"/>
      <c r="P40" s="366"/>
      <c r="Q40" s="362"/>
      <c r="R40" s="367"/>
      <c r="S40" s="368">
        <v>12.859735000000001</v>
      </c>
      <c r="T40" s="362"/>
      <c r="U40" s="369">
        <v>1.32</v>
      </c>
      <c r="V40" s="370">
        <v>3350</v>
      </c>
      <c r="W40" s="370">
        <v>3350</v>
      </c>
      <c r="X40" s="371"/>
      <c r="Y40" s="371"/>
      <c r="Z40" s="372">
        <v>1190</v>
      </c>
      <c r="AA40" s="372"/>
      <c r="AB40" s="362">
        <v>76</v>
      </c>
      <c r="AC40" s="362"/>
      <c r="AD40" s="362"/>
      <c r="AE40" s="362"/>
      <c r="AF40" s="362"/>
      <c r="AG40" s="362"/>
      <c r="AH40" s="362"/>
      <c r="AI40" s="362">
        <v>685</v>
      </c>
      <c r="AJ40" s="373"/>
      <c r="AK40" s="374"/>
      <c r="AL40" s="375"/>
      <c r="AM40" s="362"/>
      <c r="AN40" s="362"/>
      <c r="AO40" s="362"/>
      <c r="AP40" s="362"/>
      <c r="AQ40" s="362"/>
      <c r="AR40" s="362"/>
      <c r="AS40" s="362"/>
      <c r="AT40" s="376">
        <v>3350</v>
      </c>
      <c r="AU40" s="377">
        <v>23.5</v>
      </c>
      <c r="AV40" s="377"/>
      <c r="AW40" s="378"/>
      <c r="AX40" s="362"/>
      <c r="AY40" s="379">
        <v>108.06</v>
      </c>
      <c r="AZ40" s="362"/>
      <c r="BA40" s="362"/>
      <c r="BB40" s="362"/>
      <c r="BC40" s="363">
        <v>0.9</v>
      </c>
      <c r="BD40" s="362"/>
      <c r="BE40" s="380"/>
      <c r="BF40" s="19"/>
      <c r="BG40" s="19"/>
      <c r="BH40" s="19"/>
      <c r="BI40" s="19"/>
      <c r="BJ40" s="215"/>
      <c r="BK40" s="220"/>
      <c r="BL40" s="221"/>
      <c r="BM40" s="216"/>
      <c r="BN40" s="216"/>
      <c r="BO40" s="219"/>
      <c r="BP40" s="219"/>
      <c r="BQ40" s="217"/>
      <c r="BR40" s="218"/>
      <c r="BS40" s="216"/>
      <c r="BT40" s="216"/>
      <c r="BU40" s="216"/>
      <c r="BV40" s="219"/>
      <c r="BW40" s="219"/>
      <c r="BX40" s="217"/>
      <c r="BY40" s="218"/>
      <c r="BZ40" s="216"/>
      <c r="CA40" s="216"/>
      <c r="CB40" s="216"/>
      <c r="CC40" s="219"/>
      <c r="CD40" s="219"/>
      <c r="CE40" s="217"/>
      <c r="CF40" s="218"/>
      <c r="CG40" s="218"/>
      <c r="CH40" s="216"/>
      <c r="CI40" s="219"/>
      <c r="CJ40" s="220"/>
      <c r="CK40" s="218"/>
      <c r="CL40" s="216"/>
      <c r="CM40" s="217"/>
      <c r="CN40" s="213"/>
      <c r="CO40" s="604">
        <f>CO39+CQ39</f>
        <v>6890.30031847995</v>
      </c>
      <c r="CP40" s="604"/>
      <c r="CQ40" s="604"/>
      <c r="CR40" s="604"/>
      <c r="CS40" s="604"/>
      <c r="CT40" s="604"/>
      <c r="CU40" s="604"/>
      <c r="DA40" s="237"/>
      <c r="DB40" s="239"/>
      <c r="DD40" s="301"/>
      <c r="DE40" s="302"/>
      <c r="DF40" s="302"/>
      <c r="DG40" s="303"/>
      <c r="DH40" s="304"/>
    </row>
    <row r="41" spans="1:118" s="214" customFormat="1" ht="16.5" customHeight="1" thickBot="1">
      <c r="A41" s="95" t="s">
        <v>59</v>
      </c>
      <c r="B41" s="381"/>
      <c r="C41" s="381"/>
      <c r="D41" s="382"/>
      <c r="E41" s="381"/>
      <c r="F41" s="383">
        <f>F39-F40</f>
        <v>0.18499977957338398</v>
      </c>
      <c r="G41" s="384">
        <f>G39-G40</f>
        <v>0.93838709677419352</v>
      </c>
      <c r="H41" s="383"/>
      <c r="I41" s="385">
        <f>I39-I40</f>
        <v>0</v>
      </c>
      <c r="J41" s="385"/>
      <c r="K41" s="385"/>
      <c r="L41" s="385"/>
      <c r="M41" s="385"/>
      <c r="N41" s="385"/>
      <c r="O41" s="385"/>
      <c r="P41" s="383"/>
      <c r="Q41" s="386"/>
      <c r="R41" s="385">
        <f>R39-R40</f>
        <v>1.508329560605175</v>
      </c>
      <c r="S41" s="386"/>
      <c r="T41" s="386"/>
      <c r="U41" s="383">
        <f>U39-U40</f>
        <v>0.17500014237396955</v>
      </c>
      <c r="V41" s="383"/>
      <c r="W41" s="383"/>
      <c r="X41" s="383"/>
      <c r="Y41" s="383"/>
      <c r="Z41" s="387">
        <f>Z39-Z40</f>
        <v>-42.0322580645161</v>
      </c>
      <c r="AA41" s="388"/>
      <c r="AB41" s="381"/>
      <c r="AC41" s="381"/>
      <c r="AD41" s="381"/>
      <c r="AE41" s="381"/>
      <c r="AF41" s="381"/>
      <c r="AG41" s="381"/>
      <c r="AH41" s="381"/>
      <c r="AI41" s="381"/>
      <c r="AJ41" s="381"/>
      <c r="AK41" s="389"/>
      <c r="AL41" s="390"/>
      <c r="AM41" s="381"/>
      <c r="AN41" s="381"/>
      <c r="AO41" s="381"/>
      <c r="AP41" s="381"/>
      <c r="AQ41" s="381"/>
      <c r="AR41" s="381"/>
      <c r="AS41" s="381"/>
      <c r="AT41" s="391">
        <f>AT38+AV38-AT40</f>
        <v>409.60000000000036</v>
      </c>
      <c r="AU41" s="392"/>
      <c r="AV41" s="393"/>
      <c r="AW41" s="390"/>
      <c r="AX41" s="381"/>
      <c r="AY41" s="385"/>
      <c r="AZ41" s="381"/>
      <c r="BA41" s="381"/>
      <c r="BB41" s="381"/>
      <c r="BC41" s="394"/>
      <c r="BD41" s="381"/>
      <c r="BE41" s="395"/>
      <c r="BF41" s="222"/>
      <c r="BG41" s="222"/>
      <c r="BH41" s="222"/>
      <c r="BI41" s="222"/>
      <c r="BJ41" s="222"/>
      <c r="BK41" s="223"/>
      <c r="BL41" s="224"/>
      <c r="BM41" s="225"/>
      <c r="BN41" s="225"/>
      <c r="BO41" s="224"/>
      <c r="BP41" s="224"/>
      <c r="BQ41" s="226"/>
      <c r="BR41" s="227"/>
      <c r="BS41" s="225"/>
      <c r="BT41" s="225"/>
      <c r="BU41" s="225"/>
      <c r="BV41" s="224"/>
      <c r="BW41" s="224"/>
      <c r="BX41" s="224"/>
      <c r="BY41" s="228"/>
      <c r="BZ41" s="225"/>
      <c r="CA41" s="225"/>
      <c r="CB41" s="225"/>
      <c r="CC41" s="224"/>
      <c r="CD41" s="224"/>
      <c r="CE41" s="226"/>
      <c r="CF41" s="227"/>
      <c r="CG41" s="227"/>
      <c r="CH41" s="225"/>
      <c r="CI41" s="224"/>
      <c r="CJ41" s="228"/>
      <c r="CK41" s="227"/>
      <c r="CL41" s="225"/>
      <c r="CM41" s="226"/>
      <c r="CN41" s="213"/>
      <c r="CO41" s="213"/>
      <c r="CP41" s="213"/>
      <c r="CQ41" s="213"/>
      <c r="DA41" s="21"/>
      <c r="DH41" s="309"/>
    </row>
    <row r="42" spans="1:118" ht="15" hidden="1" customHeight="1">
      <c r="A42" s="96"/>
      <c r="B42" s="96"/>
      <c r="C42" s="96"/>
      <c r="D42" s="97"/>
      <c r="E42" s="96"/>
      <c r="F42" s="98"/>
      <c r="G42" s="99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1"/>
      <c r="AF42" s="101"/>
      <c r="AG42" s="100"/>
      <c r="AH42" s="100"/>
      <c r="AI42" s="100"/>
      <c r="AJ42" s="100"/>
      <c r="AK42" s="100"/>
      <c r="AL42" s="100"/>
      <c r="AM42" s="100"/>
      <c r="AN42" s="100"/>
      <c r="AO42" s="100"/>
      <c r="AP42" s="100"/>
      <c r="AQ42" s="100"/>
      <c r="AR42" s="100"/>
      <c r="AS42" s="96"/>
      <c r="AT42" s="612"/>
      <c r="AU42" s="612"/>
      <c r="AV42" s="612"/>
      <c r="AW42" s="96"/>
      <c r="AX42" s="96"/>
      <c r="AY42" s="100"/>
      <c r="AZ42" s="100"/>
      <c r="BA42" s="100"/>
      <c r="BB42" s="100"/>
      <c r="BC42" s="100"/>
      <c r="BD42" s="100"/>
      <c r="BE42" s="100"/>
      <c r="BK42" s="20"/>
      <c r="BL42" s="20"/>
      <c r="BM42" s="20"/>
    </row>
    <row r="43" spans="1:118" ht="13.5" thickBot="1">
      <c r="A43" s="100"/>
      <c r="B43" s="100"/>
      <c r="C43" s="100"/>
      <c r="D43" s="102"/>
      <c r="E43" s="100"/>
      <c r="F43" s="100"/>
      <c r="G43" s="96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1"/>
      <c r="AF43" s="101"/>
      <c r="AG43" s="100"/>
      <c r="AH43" s="100"/>
      <c r="AI43" s="100"/>
      <c r="AJ43" s="100"/>
      <c r="AK43" s="100"/>
      <c r="AL43" s="100"/>
      <c r="AM43" s="100"/>
      <c r="AN43" s="100"/>
      <c r="AO43" s="100"/>
      <c r="AP43" s="100"/>
      <c r="AQ43" s="100"/>
      <c r="AR43" s="100"/>
      <c r="AS43" s="96" t="s">
        <v>60</v>
      </c>
      <c r="AT43" s="103">
        <f>AT40/BE43</f>
        <v>108.06451612903226</v>
      </c>
      <c r="AU43" s="104"/>
      <c r="AV43" s="96"/>
      <c r="AW43" s="96" t="s">
        <v>61</v>
      </c>
      <c r="AX43" s="96"/>
      <c r="AY43" s="100"/>
      <c r="AZ43" s="100"/>
      <c r="BA43" s="100"/>
      <c r="BB43" s="100"/>
      <c r="BC43" s="100"/>
      <c r="BD43" s="105" t="s">
        <v>62</v>
      </c>
      <c r="BE43" s="100">
        <v>31</v>
      </c>
    </row>
    <row r="44" spans="1:118" ht="16.5" customHeight="1" thickBot="1">
      <c r="A44" s="100"/>
      <c r="B44" s="100"/>
      <c r="C44" s="100"/>
      <c r="D44" s="102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489" t="s">
        <v>343</v>
      </c>
      <c r="AG44" s="488"/>
      <c r="AH44" s="488"/>
      <c r="AI44" s="488"/>
      <c r="AJ44" s="488"/>
      <c r="AK44" s="488"/>
      <c r="AL44" s="488"/>
      <c r="AM44" s="490">
        <f>AM38/AT38</f>
        <v>0.20732790722417277</v>
      </c>
      <c r="AN44" s="479"/>
      <c r="AO44" s="480" t="s">
        <v>88</v>
      </c>
      <c r="AP44" s="100"/>
      <c r="AQ44" s="100"/>
      <c r="AR44" s="100"/>
      <c r="AS44" s="100"/>
      <c r="AT44" s="100"/>
      <c r="AU44" s="100"/>
      <c r="AV44" s="100"/>
      <c r="AW44" s="100"/>
      <c r="AX44" s="100"/>
      <c r="AY44" s="100"/>
      <c r="AZ44" s="100"/>
      <c r="BA44" s="100"/>
      <c r="BB44" s="100"/>
      <c r="BC44" s="100"/>
      <c r="BD44" s="96"/>
      <c r="BE44" s="96"/>
      <c r="CP44" s="1">
        <f>CO38+CP38+CQ38+CS38</f>
        <v>5923.1165342000004</v>
      </c>
      <c r="CR44" s="1">
        <f>CR38+CU38</f>
        <v>666.76800077994994</v>
      </c>
    </row>
    <row r="45" spans="1:118" ht="13.5" thickBot="1">
      <c r="A45" s="100"/>
      <c r="B45" s="100"/>
      <c r="C45" s="100"/>
      <c r="D45" s="102"/>
      <c r="E45" s="100"/>
      <c r="F45" s="100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101"/>
      <c r="AE45" s="101"/>
      <c r="AF45" s="101"/>
      <c r="AG45" s="100"/>
      <c r="AH45" s="100"/>
      <c r="AI45" s="100"/>
      <c r="AJ45" s="100"/>
      <c r="AK45" s="100"/>
      <c r="AL45" s="100"/>
      <c r="AM45" s="106" t="s">
        <v>63</v>
      </c>
      <c r="AN45" s="106"/>
      <c r="AO45" s="106"/>
      <c r="AP45" s="106"/>
      <c r="AQ45" s="106"/>
      <c r="AR45" s="106"/>
      <c r="AS45" s="107" t="s">
        <v>64</v>
      </c>
      <c r="AT45" s="108">
        <v>30</v>
      </c>
      <c r="AU45" s="108"/>
      <c r="AV45" s="100"/>
      <c r="AW45" s="100"/>
      <c r="AX45" s="100"/>
      <c r="AY45" s="100"/>
      <c r="AZ45" s="100"/>
      <c r="BA45" s="100"/>
      <c r="BB45" s="100"/>
      <c r="BC45" s="100"/>
      <c r="BD45" s="96"/>
      <c r="BE45" s="96"/>
      <c r="BM45" s="1"/>
      <c r="BS45" s="1"/>
    </row>
    <row r="46" spans="1:118" ht="12.75" customHeight="1" thickBot="1">
      <c r="A46" s="100"/>
      <c r="B46" s="100"/>
      <c r="C46" s="109" t="s">
        <v>65</v>
      </c>
      <c r="D46" s="102"/>
      <c r="E46" s="100"/>
      <c r="F46" s="100"/>
      <c r="G46" s="100"/>
      <c r="H46" s="100"/>
      <c r="I46" s="100"/>
      <c r="J46" s="100"/>
      <c r="K46" s="100"/>
      <c r="L46" s="110">
        <f>AT38/AD38</f>
        <v>30.076800000000002</v>
      </c>
      <c r="M46" s="109" t="s">
        <v>88</v>
      </c>
      <c r="N46" s="606"/>
      <c r="O46" s="606"/>
      <c r="P46" s="111"/>
      <c r="Q46" s="100"/>
      <c r="R46" s="100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101"/>
      <c r="AE46" s="101"/>
      <c r="AF46" s="101"/>
      <c r="AG46" s="100"/>
      <c r="AH46" s="100"/>
      <c r="AI46" s="100"/>
      <c r="AJ46" s="100"/>
      <c r="AK46" s="100"/>
      <c r="AL46" s="100"/>
      <c r="AM46" s="100"/>
      <c r="AN46" s="100"/>
      <c r="AO46" s="106"/>
      <c r="AP46" s="106"/>
      <c r="AQ46" s="106"/>
      <c r="AR46" s="106"/>
      <c r="AS46" s="107" t="s">
        <v>66</v>
      </c>
      <c r="AT46" s="112">
        <f>AT40/AT45</f>
        <v>111.66666666666667</v>
      </c>
      <c r="AU46" s="112"/>
      <c r="AV46" s="100"/>
      <c r="AW46" s="100"/>
      <c r="AX46" s="100">
        <v>0</v>
      </c>
      <c r="AY46" s="100"/>
      <c r="AZ46" s="607" t="s">
        <v>67</v>
      </c>
      <c r="BA46" s="607"/>
      <c r="BB46" s="607"/>
      <c r="BC46" s="607"/>
      <c r="BD46" s="607"/>
      <c r="BE46" s="607"/>
    </row>
    <row r="47" spans="1:118">
      <c r="A47" s="100"/>
      <c r="B47" s="100"/>
      <c r="C47" s="100"/>
      <c r="D47" s="102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100"/>
      <c r="AI47" s="100"/>
      <c r="AJ47" s="100"/>
      <c r="AK47" s="100"/>
      <c r="AL47" s="100"/>
      <c r="AM47" s="100"/>
      <c r="AN47" s="100"/>
      <c r="AO47" s="100"/>
      <c r="AP47" s="100"/>
      <c r="AQ47" s="100"/>
      <c r="AR47" s="100"/>
      <c r="AS47" s="100"/>
      <c r="AT47" s="100"/>
      <c r="AU47" s="100"/>
      <c r="AV47" s="100"/>
      <c r="AW47" s="100"/>
      <c r="AX47" s="100"/>
      <c r="AY47" s="100"/>
      <c r="AZ47" s="607"/>
      <c r="BA47" s="607"/>
      <c r="BB47" s="607"/>
      <c r="BC47" s="607"/>
      <c r="BD47" s="607"/>
      <c r="BE47" s="607"/>
    </row>
    <row r="48" spans="1:118">
      <c r="A48" s="100"/>
      <c r="B48" s="100"/>
      <c r="C48" s="100"/>
      <c r="D48" s="102"/>
      <c r="E48" s="100"/>
      <c r="F48" s="100"/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13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  <c r="AE48" s="100"/>
      <c r="AF48" s="100"/>
      <c r="AG48" s="100"/>
      <c r="AH48" s="100"/>
      <c r="AI48" s="100"/>
      <c r="AJ48" s="100"/>
      <c r="AK48" s="100"/>
      <c r="AL48" s="100"/>
      <c r="AM48" s="100"/>
      <c r="AN48" s="100"/>
      <c r="AO48" s="100"/>
      <c r="AP48" s="100"/>
      <c r="AQ48" s="100"/>
      <c r="AR48" s="100"/>
      <c r="AS48" s="100"/>
      <c r="AT48" s="100"/>
      <c r="AU48" s="100"/>
      <c r="AV48" s="100"/>
      <c r="AW48" s="100"/>
      <c r="AX48" s="100"/>
      <c r="AY48" s="100"/>
      <c r="AZ48" s="608">
        <f>BF37-BJ37</f>
        <v>-485.0099999999984</v>
      </c>
      <c r="BA48" s="608"/>
      <c r="BB48" s="608"/>
      <c r="BC48" s="608"/>
      <c r="BD48" s="609" t="s">
        <v>68</v>
      </c>
      <c r="BE48" s="114"/>
    </row>
    <row r="49" spans="1:57" ht="12" customHeight="1">
      <c r="A49" s="100"/>
      <c r="B49" s="100"/>
      <c r="C49" s="100"/>
      <c r="D49" s="102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15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100"/>
      <c r="AI49" s="100"/>
      <c r="AJ49" s="100"/>
      <c r="AK49" s="100"/>
      <c r="AL49" s="100"/>
      <c r="AM49" s="100"/>
      <c r="AN49" s="100"/>
      <c r="AO49" s="100"/>
      <c r="AP49" s="100"/>
      <c r="AQ49" s="100"/>
      <c r="AR49" s="100"/>
      <c r="AS49" s="100"/>
      <c r="AT49" s="100"/>
      <c r="AU49" s="100"/>
      <c r="AV49" s="100"/>
      <c r="AW49" s="100"/>
      <c r="AX49" s="100"/>
      <c r="AY49" s="100"/>
      <c r="AZ49" s="608"/>
      <c r="BA49" s="608"/>
      <c r="BB49" s="608"/>
      <c r="BC49" s="608"/>
      <c r="BD49" s="609"/>
      <c r="BE49" s="114"/>
    </row>
    <row r="50" spans="1:57" ht="13.5" customHeight="1">
      <c r="A50" s="100"/>
      <c r="B50" s="100"/>
      <c r="C50" s="100"/>
      <c r="D50" s="102"/>
      <c r="E50" s="100"/>
      <c r="F50" s="100"/>
      <c r="G50" s="100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100"/>
      <c r="AC50" s="100"/>
      <c r="AD50" s="100"/>
      <c r="AE50" s="100"/>
      <c r="AF50" s="100"/>
      <c r="AG50" s="100"/>
      <c r="AH50" s="100"/>
      <c r="AI50" s="100"/>
      <c r="AJ50" s="100"/>
      <c r="AK50" s="100"/>
      <c r="AL50" s="100"/>
      <c r="AM50" s="100"/>
      <c r="AN50" s="100"/>
      <c r="AO50" s="100"/>
      <c r="AP50" s="100"/>
      <c r="AQ50" s="100"/>
      <c r="AR50" s="100"/>
      <c r="AS50" s="100"/>
      <c r="AT50" s="100"/>
      <c r="AU50" s="100"/>
      <c r="AV50" s="100"/>
      <c r="AW50" s="100"/>
      <c r="AX50" s="100"/>
      <c r="AY50" s="100"/>
      <c r="AZ50" s="116"/>
      <c r="BA50" s="96"/>
      <c r="BB50" s="96"/>
      <c r="BC50" s="96"/>
      <c r="BD50" s="96"/>
      <c r="BE50" s="114"/>
    </row>
    <row r="51" spans="1:57" ht="13.5" customHeight="1" thickBot="1">
      <c r="A51" s="100"/>
      <c r="B51" s="100"/>
      <c r="C51" s="100"/>
      <c r="D51" s="102"/>
      <c r="E51" s="100"/>
      <c r="F51" s="100"/>
      <c r="G51" s="100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0"/>
      <c r="AC51" s="100"/>
      <c r="AD51" s="100"/>
      <c r="AE51" s="100"/>
      <c r="AF51" s="100"/>
      <c r="AG51" s="100"/>
      <c r="AH51" s="100"/>
      <c r="AI51" s="100"/>
      <c r="AJ51" s="100"/>
      <c r="AK51" s="100"/>
      <c r="AL51" s="100"/>
      <c r="AM51" s="100"/>
      <c r="AN51" s="100"/>
      <c r="AO51" s="100"/>
      <c r="AP51" s="100"/>
      <c r="AQ51" s="100"/>
      <c r="AR51" s="100"/>
      <c r="AS51" s="100"/>
      <c r="AT51" s="100"/>
      <c r="AU51" s="100"/>
      <c r="AV51" s="100"/>
      <c r="AW51" s="100"/>
      <c r="AX51" s="100"/>
      <c r="AY51" s="100"/>
      <c r="AZ51" s="610">
        <f>AZ48/AT40*100</f>
        <v>-14.477910447761147</v>
      </c>
      <c r="BA51" s="610"/>
      <c r="BB51" s="610"/>
      <c r="BC51" s="610"/>
      <c r="BD51" s="611" t="s">
        <v>69</v>
      </c>
      <c r="BE51" s="114"/>
    </row>
    <row r="52" spans="1:57" ht="13.5" thickBot="1">
      <c r="A52" s="100"/>
      <c r="B52" s="100"/>
      <c r="C52" s="100"/>
      <c r="D52" s="102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  <c r="AF52" s="100"/>
      <c r="AG52" s="100"/>
      <c r="AH52" s="100"/>
      <c r="AI52" s="100"/>
      <c r="AJ52" s="100"/>
      <c r="AK52" s="100"/>
      <c r="AL52" s="100"/>
      <c r="AM52" s="100"/>
      <c r="AN52" s="100"/>
      <c r="AO52" s="100"/>
      <c r="AP52" s="100"/>
      <c r="AQ52" s="100"/>
      <c r="AR52" s="100"/>
      <c r="AS52" s="100"/>
      <c r="AT52" s="100"/>
      <c r="AU52" s="100"/>
      <c r="AV52" s="100"/>
      <c r="AW52" s="100"/>
      <c r="AX52" s="100"/>
      <c r="AY52" s="100"/>
      <c r="AZ52" s="610"/>
      <c r="BA52" s="610"/>
      <c r="BB52" s="610"/>
      <c r="BC52" s="610"/>
      <c r="BD52" s="611"/>
      <c r="BE52" s="117"/>
    </row>
    <row r="53" spans="1:57">
      <c r="A53" s="100"/>
      <c r="B53" s="100"/>
      <c r="C53" s="100"/>
      <c r="D53" s="102"/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100"/>
      <c r="AI53" s="100"/>
      <c r="AJ53" s="100"/>
      <c r="AK53" s="100"/>
      <c r="AL53" s="100"/>
      <c r="AM53" s="100"/>
      <c r="AN53" s="100"/>
      <c r="AO53" s="100"/>
      <c r="AP53" s="100"/>
      <c r="AQ53" s="100"/>
      <c r="AR53" s="100"/>
      <c r="AS53" s="100"/>
      <c r="AT53" s="100"/>
      <c r="AU53" s="100"/>
      <c r="AV53" s="100"/>
      <c r="AW53" s="100"/>
      <c r="AX53" s="100"/>
      <c r="AY53" s="100"/>
      <c r="AZ53" s="100"/>
      <c r="BA53" s="100"/>
      <c r="BB53" s="100"/>
      <c r="BC53" s="100"/>
      <c r="BD53" s="100"/>
      <c r="BE53" s="100"/>
    </row>
    <row r="54" spans="1:57">
      <c r="A54" s="100"/>
      <c r="B54" s="100"/>
      <c r="C54" s="100"/>
      <c r="D54" s="102"/>
      <c r="E54" s="100"/>
      <c r="F54" s="100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100"/>
      <c r="AI54" s="100"/>
      <c r="AJ54" s="100"/>
      <c r="AK54" s="100"/>
      <c r="AL54" s="100"/>
      <c r="AM54" s="100"/>
      <c r="AN54" s="100"/>
      <c r="AO54" s="100"/>
      <c r="AP54" s="100"/>
      <c r="AQ54" s="100"/>
      <c r="AR54" s="100"/>
      <c r="AS54" s="100"/>
      <c r="AT54" s="100"/>
      <c r="AU54" s="100"/>
      <c r="AV54" s="100"/>
      <c r="AW54" s="100"/>
      <c r="AX54" s="100"/>
      <c r="AY54" s="100"/>
      <c r="AZ54" s="100"/>
      <c r="BA54" s="100"/>
      <c r="BB54" s="100"/>
      <c r="BC54" s="100"/>
      <c r="BD54" s="100"/>
      <c r="BE54" s="100"/>
    </row>
    <row r="55" spans="1:57">
      <c r="A55" s="100"/>
      <c r="B55" s="100"/>
      <c r="C55" s="100"/>
      <c r="D55" s="102"/>
      <c r="E55" s="100"/>
      <c r="F55" s="100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  <c r="AH55" s="100"/>
      <c r="AI55" s="100"/>
      <c r="AJ55" s="100"/>
      <c r="AK55" s="100"/>
      <c r="AL55" s="100"/>
      <c r="AM55" s="100"/>
      <c r="AN55" s="100"/>
      <c r="AO55" s="100"/>
      <c r="AP55" s="100"/>
      <c r="AQ55" s="100"/>
      <c r="AR55" s="100"/>
      <c r="AS55" s="100"/>
      <c r="AT55" s="100"/>
      <c r="AU55" s="100"/>
      <c r="AV55" s="100"/>
      <c r="AW55" s="100"/>
      <c r="AX55" s="100"/>
      <c r="AY55" s="100"/>
      <c r="AZ55" s="100"/>
      <c r="BA55" s="100"/>
      <c r="BB55" s="100"/>
      <c r="BC55" s="100"/>
      <c r="BD55" s="100"/>
      <c r="BE55" s="100"/>
    </row>
    <row r="56" spans="1:57" ht="13.5" thickBot="1">
      <c r="A56" s="100"/>
      <c r="B56" s="100"/>
      <c r="C56" s="100"/>
      <c r="D56" s="102"/>
      <c r="E56" s="100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/>
      <c r="AE56" s="100"/>
      <c r="AF56" s="100"/>
      <c r="AG56" s="100"/>
      <c r="AH56" s="100"/>
      <c r="AI56" s="100"/>
      <c r="AJ56" s="100"/>
      <c r="AK56" s="100"/>
      <c r="AL56" s="100"/>
      <c r="AM56" s="100"/>
      <c r="AN56" s="100"/>
      <c r="AO56" s="100"/>
      <c r="AP56" s="100"/>
      <c r="AQ56" s="100"/>
      <c r="AR56" s="100"/>
      <c r="AS56" s="100"/>
      <c r="AT56" s="100"/>
      <c r="AU56" s="100"/>
      <c r="AV56" s="100"/>
      <c r="AW56" s="100"/>
      <c r="AX56" s="100"/>
      <c r="AY56" s="100"/>
      <c r="AZ56" s="100"/>
      <c r="BA56" s="100"/>
      <c r="BB56" s="100"/>
      <c r="BC56" s="100"/>
      <c r="BD56" s="100"/>
      <c r="BE56" s="100"/>
    </row>
    <row r="57" spans="1:57" ht="15.75">
      <c r="A57" s="100"/>
      <c r="B57" s="100"/>
      <c r="C57" s="100"/>
      <c r="D57" s="102"/>
      <c r="E57" s="100"/>
      <c r="F57" s="100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100"/>
      <c r="AI57" s="100"/>
      <c r="AJ57" s="100"/>
      <c r="AK57" s="100"/>
      <c r="AL57" s="100"/>
      <c r="AM57" s="100"/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X57" s="100"/>
      <c r="AY57" s="100"/>
      <c r="AZ57" s="481" t="s">
        <v>344</v>
      </c>
      <c r="BA57" s="482"/>
      <c r="BB57" s="482"/>
      <c r="BC57" s="482"/>
      <c r="BD57" s="482"/>
      <c r="BE57" s="483"/>
    </row>
    <row r="58" spans="1:57" ht="15.75">
      <c r="A58" s="100"/>
      <c r="B58" s="100"/>
      <c r="C58" s="100"/>
      <c r="D58" s="102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  <c r="AA58" s="100"/>
      <c r="AB58" s="100"/>
      <c r="AC58" s="100"/>
      <c r="AD58" s="100"/>
      <c r="AE58" s="100"/>
      <c r="AF58" s="100"/>
      <c r="AG58" s="100"/>
      <c r="AH58" s="100"/>
      <c r="AI58" s="100"/>
      <c r="AJ58" s="100"/>
      <c r="AK58" s="100"/>
      <c r="AL58" s="100"/>
      <c r="AM58" s="100"/>
      <c r="AN58" s="100"/>
      <c r="AO58" s="100"/>
      <c r="AP58" s="100"/>
      <c r="AQ58" s="100"/>
      <c r="AR58" s="100"/>
      <c r="AS58" s="100"/>
      <c r="AT58" s="100"/>
      <c r="AU58" s="100"/>
      <c r="AV58" s="100"/>
      <c r="AW58" s="100"/>
      <c r="AX58" s="100"/>
      <c r="AY58" s="100"/>
      <c r="AZ58" s="484" t="s">
        <v>340</v>
      </c>
      <c r="BA58" s="485"/>
      <c r="BB58" s="485"/>
      <c r="BC58" s="485"/>
      <c r="BD58" s="617">
        <f>'[5]июль 20 '!$F$38</f>
        <v>779.47</v>
      </c>
      <c r="BE58" s="618"/>
    </row>
    <row r="59" spans="1:57" ht="16.5" thickBot="1">
      <c r="A59" s="100"/>
      <c r="B59" s="100"/>
      <c r="C59" s="100"/>
      <c r="D59" s="102"/>
      <c r="E59" s="100"/>
      <c r="F59" s="100"/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  <c r="AE59" s="100"/>
      <c r="AF59" s="100"/>
      <c r="AG59" s="100"/>
      <c r="AH59" s="100"/>
      <c r="AI59" s="100"/>
      <c r="AJ59" s="100"/>
      <c r="AK59" s="100"/>
      <c r="AL59" s="100"/>
      <c r="AM59" s="100"/>
      <c r="AN59" s="100"/>
      <c r="AO59" s="100"/>
      <c r="AP59" s="100"/>
      <c r="AQ59" s="100"/>
      <c r="AR59" s="100"/>
      <c r="AS59" s="100"/>
      <c r="AT59" s="100"/>
      <c r="AU59" s="100"/>
      <c r="AV59" s="100"/>
      <c r="AW59" s="100"/>
      <c r="AX59" s="100"/>
      <c r="AY59" s="100"/>
      <c r="AZ59" s="484" t="s">
        <v>341</v>
      </c>
      <c r="BA59" s="485"/>
      <c r="BB59" s="485"/>
      <c r="BC59" s="485"/>
      <c r="BD59" s="619">
        <f>'[5]июль 20 '!$B$38</f>
        <v>779.46999999999991</v>
      </c>
      <c r="BE59" s="620"/>
    </row>
    <row r="60" spans="1:57" ht="16.5" thickBot="1">
      <c r="A60" s="100"/>
      <c r="B60" s="100"/>
      <c r="C60" s="100"/>
      <c r="D60" s="102"/>
      <c r="E60" s="100"/>
      <c r="F60" s="100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  <c r="AE60" s="100"/>
      <c r="AF60" s="100"/>
      <c r="AG60" s="100"/>
      <c r="AH60" s="100"/>
      <c r="AI60" s="100"/>
      <c r="AJ60" s="100"/>
      <c r="AK60" s="100"/>
      <c r="AL60" s="100"/>
      <c r="AM60" s="100"/>
      <c r="AN60" s="100"/>
      <c r="AO60" s="100"/>
      <c r="AP60" s="100"/>
      <c r="AQ60" s="100"/>
      <c r="AR60" s="100"/>
      <c r="AS60" s="100"/>
      <c r="AT60" s="100"/>
      <c r="AU60" s="100"/>
      <c r="AV60" s="100"/>
      <c r="AW60" s="100"/>
      <c r="AX60" s="100"/>
      <c r="AY60" s="100"/>
      <c r="AZ60" s="486" t="s">
        <v>342</v>
      </c>
      <c r="BA60" s="487"/>
      <c r="BB60" s="487"/>
      <c r="BC60" s="487"/>
      <c r="BD60" s="621">
        <f>BD59-BD58</f>
        <v>0</v>
      </c>
      <c r="BE60" s="622"/>
    </row>
    <row r="61" spans="1:57">
      <c r="A61" s="100"/>
      <c r="B61" s="100"/>
      <c r="C61" s="100"/>
      <c r="D61" s="102"/>
      <c r="E61" s="100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/>
      <c r="AE61" s="100"/>
      <c r="AF61" s="100"/>
      <c r="AG61" s="100"/>
      <c r="AH61" s="100"/>
      <c r="AI61" s="100"/>
      <c r="AJ61" s="100"/>
      <c r="AK61" s="100"/>
      <c r="AL61" s="100"/>
      <c r="AM61" s="100"/>
      <c r="AN61" s="100"/>
      <c r="AO61" s="100"/>
      <c r="AP61" s="100"/>
      <c r="AQ61" s="100"/>
      <c r="AR61" s="100"/>
      <c r="AS61" s="100"/>
      <c r="AT61" s="100"/>
      <c r="AU61" s="100"/>
      <c r="AV61" s="100"/>
      <c r="AW61" s="100"/>
      <c r="AX61" s="100"/>
      <c r="AY61" s="100"/>
      <c r="AZ61" s="100"/>
      <c r="BA61" s="100"/>
      <c r="BB61" s="100"/>
      <c r="BC61" s="100"/>
      <c r="BD61" s="100"/>
      <c r="BE61" s="100"/>
    </row>
    <row r="62" spans="1:57">
      <c r="A62" s="100"/>
      <c r="B62" s="100"/>
      <c r="C62" s="100"/>
      <c r="D62" s="102"/>
      <c r="E62" s="100"/>
      <c r="F62" s="100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100"/>
      <c r="AC62" s="100"/>
      <c r="AD62" s="100"/>
      <c r="AE62" s="100"/>
      <c r="AF62" s="100"/>
      <c r="AG62" s="100"/>
      <c r="AH62" s="100"/>
      <c r="AI62" s="100"/>
      <c r="AJ62" s="100"/>
      <c r="AK62" s="100"/>
      <c r="AL62" s="100"/>
      <c r="AM62" s="100"/>
      <c r="AN62" s="100"/>
      <c r="AO62" s="100"/>
      <c r="AP62" s="100"/>
      <c r="AQ62" s="100"/>
      <c r="AR62" s="100"/>
      <c r="AS62" s="100"/>
      <c r="AT62" s="100"/>
      <c r="AU62" s="100"/>
      <c r="AV62" s="100"/>
      <c r="AW62" s="100"/>
      <c r="AX62" s="100"/>
      <c r="AY62" s="100"/>
      <c r="AZ62" s="100"/>
      <c r="BA62" s="100"/>
      <c r="BB62" s="100"/>
      <c r="BC62" s="100"/>
      <c r="BD62" s="100"/>
      <c r="BE62" s="100"/>
    </row>
    <row r="63" spans="1:57">
      <c r="A63" s="100"/>
      <c r="B63" s="100"/>
      <c r="C63" s="100"/>
      <c r="D63" s="102"/>
      <c r="E63" s="100"/>
      <c r="F63" s="100"/>
      <c r="G63" s="100"/>
      <c r="H63" s="100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  <c r="AA63" s="100"/>
      <c r="AB63" s="100"/>
      <c r="AC63" s="100"/>
      <c r="AD63" s="100"/>
      <c r="AE63" s="100"/>
      <c r="AF63" s="100"/>
      <c r="AG63" s="100"/>
      <c r="AH63" s="100"/>
      <c r="AI63" s="100"/>
      <c r="AJ63" s="100"/>
      <c r="AK63" s="100"/>
      <c r="AL63" s="100"/>
      <c r="AM63" s="100"/>
      <c r="AN63" s="100"/>
      <c r="AO63" s="100"/>
      <c r="AP63" s="100"/>
      <c r="AQ63" s="100"/>
      <c r="AR63" s="100"/>
      <c r="AS63" s="100"/>
      <c r="AT63" s="100"/>
      <c r="AU63" s="100"/>
      <c r="AV63" s="100"/>
      <c r="AW63" s="100"/>
      <c r="AX63" s="100"/>
      <c r="AY63" s="100"/>
      <c r="AZ63" s="100"/>
      <c r="BA63" s="100"/>
      <c r="BB63" s="100"/>
      <c r="BC63" s="100"/>
      <c r="BD63" s="100"/>
      <c r="BE63" s="100"/>
    </row>
    <row r="64" spans="1:57">
      <c r="A64" s="100"/>
      <c r="B64" s="100"/>
      <c r="C64" s="100"/>
      <c r="D64" s="102"/>
      <c r="E64" s="100"/>
      <c r="F64" s="100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  <c r="AE64" s="100"/>
      <c r="AF64" s="100"/>
      <c r="AG64" s="100"/>
      <c r="AH64" s="100"/>
      <c r="AI64" s="100"/>
      <c r="AJ64" s="100"/>
      <c r="AK64" s="100"/>
      <c r="AL64" s="100"/>
      <c r="AM64" s="100"/>
      <c r="AN64" s="100"/>
      <c r="AO64" s="100"/>
      <c r="AP64" s="100"/>
      <c r="AQ64" s="100"/>
      <c r="AR64" s="100"/>
      <c r="AS64" s="100"/>
      <c r="AT64" s="100"/>
      <c r="AU64" s="100"/>
      <c r="AV64" s="100"/>
      <c r="AW64" s="100"/>
      <c r="AX64" s="100"/>
      <c r="AY64" s="100"/>
      <c r="AZ64" s="100"/>
      <c r="BA64" s="100"/>
      <c r="BB64" s="100"/>
      <c r="BC64" s="100"/>
      <c r="BD64" s="100"/>
      <c r="BE64" s="100"/>
    </row>
    <row r="65" spans="1:57">
      <c r="A65" s="100"/>
      <c r="B65" s="100"/>
      <c r="C65" s="100"/>
      <c r="D65" s="102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/>
      <c r="AE65" s="100"/>
      <c r="AF65" s="100"/>
      <c r="AG65" s="100"/>
      <c r="AH65" s="100"/>
      <c r="AI65" s="100"/>
      <c r="AJ65" s="100"/>
      <c r="AK65" s="100"/>
      <c r="AL65" s="100"/>
      <c r="AM65" s="100"/>
      <c r="AN65" s="100"/>
      <c r="AO65" s="100"/>
      <c r="AP65" s="100"/>
      <c r="AQ65" s="100"/>
      <c r="AR65" s="100"/>
      <c r="AS65" s="100"/>
      <c r="AT65" s="100"/>
      <c r="AU65" s="100"/>
      <c r="AV65" s="100"/>
      <c r="AW65" s="100"/>
      <c r="AX65" s="100"/>
      <c r="AY65" s="100"/>
      <c r="AZ65" s="100"/>
      <c r="BA65" s="100"/>
      <c r="BB65" s="100"/>
      <c r="BC65" s="100"/>
      <c r="BD65" s="100"/>
      <c r="BE65" s="100"/>
    </row>
    <row r="66" spans="1:57">
      <c r="A66" s="100"/>
      <c r="B66" s="100"/>
      <c r="C66" s="100"/>
      <c r="D66" s="102"/>
      <c r="E66" s="100"/>
      <c r="F66" s="100"/>
      <c r="G66" s="100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/>
      <c r="AE66" s="100"/>
      <c r="AF66" s="100"/>
      <c r="AG66" s="100"/>
      <c r="AH66" s="100"/>
      <c r="AI66" s="100"/>
      <c r="AJ66" s="100"/>
      <c r="AK66" s="100"/>
      <c r="AL66" s="100"/>
      <c r="AM66" s="100"/>
      <c r="AN66" s="100"/>
      <c r="AO66" s="100"/>
      <c r="AP66" s="100"/>
      <c r="AQ66" s="100"/>
      <c r="AR66" s="100"/>
      <c r="AS66" s="100"/>
      <c r="AT66" s="100"/>
      <c r="AU66" s="100"/>
      <c r="AV66" s="100"/>
      <c r="AW66" s="100"/>
      <c r="AX66" s="100"/>
      <c r="AY66" s="100"/>
      <c r="AZ66" s="100"/>
      <c r="BA66" s="100"/>
      <c r="BB66" s="100"/>
      <c r="BC66" s="100"/>
      <c r="BD66" s="100"/>
      <c r="BE66" s="100"/>
    </row>
    <row r="67" spans="1:57">
      <c r="A67" s="100"/>
      <c r="B67" s="100"/>
      <c r="C67" s="100"/>
      <c r="D67" s="102"/>
      <c r="E67" s="100"/>
      <c r="F67" s="100"/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  <c r="AD67" s="100"/>
      <c r="AE67" s="100"/>
      <c r="AF67" s="100"/>
      <c r="AG67" s="100"/>
      <c r="AH67" s="100"/>
      <c r="AI67" s="100"/>
      <c r="AJ67" s="100"/>
      <c r="AK67" s="100"/>
      <c r="AL67" s="100"/>
      <c r="AM67" s="100"/>
      <c r="AN67" s="100"/>
      <c r="AO67" s="100"/>
      <c r="AP67" s="100"/>
      <c r="AQ67" s="100"/>
      <c r="AR67" s="100"/>
      <c r="AS67" s="100"/>
      <c r="AT67" s="100"/>
      <c r="AU67" s="100"/>
      <c r="AV67" s="100"/>
      <c r="AW67" s="100"/>
      <c r="AX67" s="100"/>
      <c r="AY67" s="100"/>
      <c r="AZ67" s="100"/>
      <c r="BA67" s="100"/>
      <c r="BB67" s="100"/>
      <c r="BC67" s="100"/>
      <c r="BD67" s="100"/>
      <c r="BE67" s="100"/>
    </row>
    <row r="68" spans="1:57">
      <c r="A68" s="100"/>
      <c r="B68" s="100"/>
      <c r="C68" s="100"/>
      <c r="D68" s="102"/>
      <c r="E68" s="100"/>
      <c r="F68" s="100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  <c r="AI68" s="100"/>
      <c r="AJ68" s="100"/>
      <c r="AK68" s="100"/>
      <c r="AL68" s="100"/>
      <c r="AM68" s="100"/>
      <c r="AN68" s="100"/>
      <c r="AO68" s="100"/>
      <c r="AP68" s="100"/>
      <c r="AQ68" s="100"/>
      <c r="AR68" s="100"/>
      <c r="AS68" s="100"/>
      <c r="AT68" s="100"/>
      <c r="AU68" s="100"/>
      <c r="AV68" s="100"/>
      <c r="AW68" s="100"/>
      <c r="AX68" s="100"/>
      <c r="AY68" s="100"/>
      <c r="AZ68" s="100"/>
      <c r="BA68" s="100"/>
      <c r="BB68" s="100"/>
      <c r="BC68" s="100"/>
      <c r="BD68" s="100"/>
      <c r="BE68" s="100"/>
    </row>
    <row r="69" spans="1:57">
      <c r="A69" s="100"/>
      <c r="B69" s="100"/>
      <c r="C69" s="100"/>
      <c r="D69" s="102"/>
      <c r="E69" s="100"/>
      <c r="F69" s="100"/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100"/>
      <c r="AC69" s="100"/>
      <c r="AD69" s="100"/>
      <c r="AE69" s="100"/>
      <c r="AF69" s="100"/>
      <c r="AG69" s="100"/>
      <c r="AH69" s="100"/>
      <c r="AI69" s="100"/>
      <c r="AJ69" s="100"/>
      <c r="AK69" s="100"/>
      <c r="AL69" s="100"/>
      <c r="AM69" s="100"/>
      <c r="AN69" s="100"/>
      <c r="AO69" s="100"/>
      <c r="AP69" s="100"/>
      <c r="AQ69" s="100"/>
      <c r="AR69" s="100"/>
      <c r="AS69" s="100"/>
      <c r="AT69" s="100"/>
      <c r="AU69" s="100"/>
      <c r="AV69" s="100"/>
      <c r="AW69" s="100"/>
      <c r="AX69" s="100"/>
      <c r="AY69" s="100"/>
      <c r="AZ69" s="100"/>
      <c r="BA69" s="100"/>
      <c r="BB69" s="100"/>
      <c r="BC69" s="100"/>
      <c r="BD69" s="100"/>
      <c r="BE69" s="100"/>
    </row>
    <row r="70" spans="1:57">
      <c r="A70" s="100"/>
      <c r="B70" s="100"/>
      <c r="C70" s="100"/>
      <c r="D70" s="102"/>
      <c r="E70" s="100"/>
      <c r="F70" s="100"/>
      <c r="G70" s="100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  <c r="AE70" s="100"/>
      <c r="AF70" s="100"/>
      <c r="AG70" s="100"/>
      <c r="AH70" s="100"/>
      <c r="AI70" s="100"/>
      <c r="AJ70" s="100"/>
      <c r="AK70" s="100"/>
      <c r="AL70" s="100"/>
      <c r="AM70" s="100"/>
      <c r="AN70" s="100"/>
      <c r="AO70" s="100"/>
      <c r="AP70" s="100"/>
      <c r="AQ70" s="100"/>
      <c r="AR70" s="100"/>
      <c r="AS70" s="100"/>
      <c r="AT70" s="100"/>
      <c r="AU70" s="100"/>
      <c r="AV70" s="100"/>
      <c r="AW70" s="100"/>
      <c r="AX70" s="100"/>
      <c r="AY70" s="100"/>
      <c r="AZ70" s="100"/>
      <c r="BA70" s="100"/>
      <c r="BB70" s="100"/>
      <c r="BC70" s="100"/>
      <c r="BD70" s="100"/>
      <c r="BE70" s="100"/>
    </row>
    <row r="71" spans="1:57" ht="18" customHeight="1">
      <c r="A71" s="318" t="s">
        <v>70</v>
      </c>
      <c r="B71" s="319"/>
      <c r="C71" s="318"/>
      <c r="D71" s="318"/>
      <c r="E71" s="318"/>
      <c r="F71" s="318"/>
      <c r="G71" s="318"/>
      <c r="H71" s="318"/>
      <c r="I71" s="318"/>
      <c r="J71" s="320"/>
      <c r="K71" s="320"/>
      <c r="L71" s="605" t="s">
        <v>371</v>
      </c>
      <c r="M71" s="605"/>
      <c r="N71" s="605"/>
      <c r="O71" s="605"/>
      <c r="P71" s="605"/>
      <c r="Q71" s="605"/>
      <c r="R71" s="109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/>
      <c r="AE71" s="100"/>
      <c r="AF71" s="100"/>
      <c r="AG71" s="100"/>
      <c r="AH71" s="100"/>
      <c r="AI71" s="100"/>
      <c r="AJ71" s="100"/>
      <c r="AK71" s="100"/>
      <c r="AL71" s="100"/>
      <c r="AM71" s="100"/>
      <c r="AN71" s="100"/>
      <c r="AO71" s="100"/>
      <c r="AP71" s="100"/>
      <c r="AQ71" s="100"/>
      <c r="AR71" s="100"/>
      <c r="AS71" s="100"/>
      <c r="AT71" s="100"/>
      <c r="AU71" s="100"/>
      <c r="AV71" s="100"/>
      <c r="AW71" s="100"/>
      <c r="AX71" s="100"/>
      <c r="AY71" s="100"/>
      <c r="AZ71" s="100"/>
      <c r="BA71" s="100"/>
      <c r="BB71" s="100"/>
      <c r="BC71" s="100"/>
      <c r="BD71" s="100"/>
      <c r="BE71" s="100"/>
    </row>
    <row r="72" spans="1:57" ht="15">
      <c r="A72" s="118"/>
      <c r="B72" s="118"/>
      <c r="C72" s="119"/>
      <c r="D72" s="120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  <c r="AE72" s="100"/>
      <c r="AF72" s="100"/>
      <c r="AG72" s="100"/>
      <c r="AH72" s="100"/>
      <c r="AI72" s="100"/>
      <c r="AJ72" s="100"/>
      <c r="AK72" s="100"/>
      <c r="AL72" s="100"/>
      <c r="AM72" s="100"/>
      <c r="AN72" s="100"/>
      <c r="AO72" s="100"/>
      <c r="AP72" s="100"/>
      <c r="AQ72" s="100"/>
      <c r="AR72" s="100"/>
      <c r="AS72" s="100"/>
      <c r="AT72" s="100"/>
      <c r="AU72" s="100"/>
      <c r="AV72" s="100"/>
      <c r="AW72" s="100"/>
      <c r="AX72" s="100"/>
      <c r="AY72" s="100"/>
      <c r="AZ72" s="100"/>
      <c r="BA72" s="100"/>
      <c r="BB72" s="100"/>
      <c r="BC72" s="100"/>
      <c r="BD72" s="100"/>
      <c r="BE72" s="100"/>
    </row>
    <row r="73" spans="1:57" ht="15.75">
      <c r="A73" s="100"/>
      <c r="B73" s="100"/>
      <c r="C73" s="100"/>
      <c r="D73" s="102"/>
      <c r="E73" s="100"/>
      <c r="F73" s="100"/>
      <c r="G73" s="100"/>
      <c r="H73" s="100"/>
      <c r="I73" s="100"/>
      <c r="J73" s="100"/>
      <c r="K73" s="100"/>
      <c r="L73" s="111"/>
      <c r="M73" s="111"/>
      <c r="N73" s="111"/>
      <c r="O73" s="111"/>
      <c r="P73" s="111"/>
      <c r="Q73" s="111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00"/>
      <c r="AK73" s="100"/>
      <c r="AL73" s="100"/>
      <c r="AM73" s="100"/>
      <c r="AN73" s="100"/>
      <c r="AO73" s="100"/>
      <c r="AP73" s="100"/>
      <c r="AQ73" s="100"/>
      <c r="AR73" s="100"/>
      <c r="AS73" s="100"/>
      <c r="AT73" s="100"/>
      <c r="AU73" s="100"/>
      <c r="AV73" s="100"/>
      <c r="AW73" s="100"/>
      <c r="AX73" s="100"/>
      <c r="AY73" s="100"/>
      <c r="AZ73" s="100"/>
      <c r="BA73" s="100"/>
      <c r="BB73" s="100"/>
      <c r="BC73" s="100"/>
      <c r="BD73" s="100"/>
      <c r="BE73" s="100"/>
    </row>
    <row r="74" spans="1:57">
      <c r="A74" s="100"/>
      <c r="B74" s="100"/>
      <c r="C74" s="100"/>
      <c r="D74" s="102"/>
      <c r="E74" s="100"/>
      <c r="F74" s="100"/>
      <c r="G74" s="100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00"/>
      <c r="AK74" s="100"/>
      <c r="AL74" s="100"/>
      <c r="AM74" s="100"/>
      <c r="AN74" s="100"/>
      <c r="AO74" s="100"/>
      <c r="AP74" s="100"/>
      <c r="AQ74" s="100"/>
      <c r="AR74" s="100"/>
      <c r="AS74" s="100"/>
      <c r="AT74" s="100"/>
      <c r="AU74" s="100"/>
      <c r="AV74" s="100"/>
      <c r="AW74" s="100"/>
      <c r="AX74" s="100"/>
      <c r="AY74" s="100"/>
      <c r="AZ74" s="100"/>
      <c r="BA74" s="100"/>
      <c r="BB74" s="100"/>
      <c r="BC74" s="100"/>
      <c r="BD74" s="100"/>
      <c r="BE74" s="100"/>
    </row>
    <row r="75" spans="1:57">
      <c r="A75" s="100"/>
      <c r="B75" s="100"/>
      <c r="C75" s="100"/>
      <c r="D75" s="102"/>
      <c r="E75" s="100"/>
      <c r="F75" s="100"/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  <c r="AD75" s="100"/>
      <c r="AE75" s="100"/>
      <c r="AF75" s="100"/>
      <c r="AG75" s="100"/>
      <c r="AH75" s="100"/>
      <c r="AI75" s="100"/>
      <c r="AJ75" s="100"/>
      <c r="AK75" s="100"/>
      <c r="AL75" s="100"/>
      <c r="AM75" s="100"/>
      <c r="AN75" s="100"/>
      <c r="AO75" s="100"/>
      <c r="AP75" s="100"/>
      <c r="AQ75" s="100"/>
      <c r="AR75" s="100"/>
      <c r="AS75" s="100"/>
      <c r="AT75" s="100"/>
      <c r="AU75" s="100"/>
      <c r="AV75" s="100"/>
      <c r="AW75" s="100"/>
      <c r="AX75" s="100"/>
      <c r="AY75" s="100"/>
      <c r="AZ75" s="100"/>
      <c r="BA75" s="100"/>
      <c r="BB75" s="100"/>
      <c r="BC75" s="100"/>
      <c r="BD75" s="100"/>
      <c r="BE75" s="100"/>
    </row>
    <row r="77" spans="1:57">
      <c r="AY77" t="s">
        <v>302</v>
      </c>
    </row>
  </sheetData>
  <sheetProtection selectLockedCells="1" selectUnlockedCells="1"/>
  <mergeCells count="81">
    <mergeCell ref="CO40:CU40"/>
    <mergeCell ref="BD58:BE58"/>
    <mergeCell ref="BD59:BE59"/>
    <mergeCell ref="BD60:BE60"/>
    <mergeCell ref="L71:Q71"/>
    <mergeCell ref="N46:O46"/>
    <mergeCell ref="AZ46:BE47"/>
    <mergeCell ref="AZ48:BC49"/>
    <mergeCell ref="BD48:BD49"/>
    <mergeCell ref="AZ51:BC52"/>
    <mergeCell ref="BD51:BD52"/>
    <mergeCell ref="AT42:AV42"/>
    <mergeCell ref="AC3:AC6"/>
    <mergeCell ref="AD3:AD6"/>
    <mergeCell ref="DA5:DB5"/>
    <mergeCell ref="CO39:CP39"/>
    <mergeCell ref="CQ39:CU39"/>
    <mergeCell ref="CV39:CY39"/>
    <mergeCell ref="AX5:AX6"/>
    <mergeCell ref="AY5:AY6"/>
    <mergeCell ref="AJ3:AK6"/>
    <mergeCell ref="AL3:AL6"/>
    <mergeCell ref="AM3:AM6"/>
    <mergeCell ref="AN3:AN6"/>
    <mergeCell ref="AO3:AO6"/>
    <mergeCell ref="AP3:AP6"/>
    <mergeCell ref="AT5:AT6"/>
    <mergeCell ref="AW5:AW6"/>
    <mergeCell ref="Q4:Q6"/>
    <mergeCell ref="R4:R6"/>
    <mergeCell ref="S4:S6"/>
    <mergeCell ref="T4:T6"/>
    <mergeCell ref="U4:U6"/>
    <mergeCell ref="AA3:AA6"/>
    <mergeCell ref="AB3:AB6"/>
    <mergeCell ref="N4:N6"/>
    <mergeCell ref="O4:O6"/>
    <mergeCell ref="DD4:DH4"/>
    <mergeCell ref="AE5:AE6"/>
    <mergeCell ref="AF5:AF6"/>
    <mergeCell ref="AG5:AG6"/>
    <mergeCell ref="AH5:AH6"/>
    <mergeCell ref="CF3:CI5"/>
    <mergeCell ref="AQ3:AQ6"/>
    <mergeCell ref="AS3:AS6"/>
    <mergeCell ref="AT3:AY4"/>
    <mergeCell ref="AZ3:AZ6"/>
    <mergeCell ref="BA3:BB4"/>
    <mergeCell ref="BC3:BC6"/>
    <mergeCell ref="CJ3:CM5"/>
    <mergeCell ref="B4:B6"/>
    <mergeCell ref="C4:C6"/>
    <mergeCell ref="D4:D6"/>
    <mergeCell ref="E4:E6"/>
    <mergeCell ref="F4:F6"/>
    <mergeCell ref="G4:G6"/>
    <mergeCell ref="H4:H6"/>
    <mergeCell ref="I4:I6"/>
    <mergeCell ref="J4:J6"/>
    <mergeCell ref="BD3:BD6"/>
    <mergeCell ref="BE3:BE6"/>
    <mergeCell ref="BK3:BQ5"/>
    <mergeCell ref="BR3:BX5"/>
    <mergeCell ref="BY3:CE5"/>
    <mergeCell ref="K4:K6"/>
    <mergeCell ref="AE3:AF4"/>
    <mergeCell ref="AG3:AI4"/>
    <mergeCell ref="AI5:AI6"/>
    <mergeCell ref="AY2:BC2"/>
    <mergeCell ref="A3:A6"/>
    <mergeCell ref="B3:G3"/>
    <mergeCell ref="H3:P3"/>
    <mergeCell ref="Q3:U3"/>
    <mergeCell ref="V3:V6"/>
    <mergeCell ref="W3:W6"/>
    <mergeCell ref="X3:X6"/>
    <mergeCell ref="Y3:Y6"/>
    <mergeCell ref="Z3:Z6"/>
    <mergeCell ref="P4:P6"/>
    <mergeCell ref="L4:L6"/>
    <mergeCell ref="M4:M6"/>
  </mergeCells>
  <printOptions horizontalCentered="1" verticalCentered="1"/>
  <pageMargins left="0" right="0" top="0" bottom="0" header="0" footer="0"/>
  <pageSetup paperSize="9" scale="46" firstPageNumber="0" orientation="landscape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>
  <dimension ref="A1:DJ77"/>
  <sheetViews>
    <sheetView showZeros="0" zoomScale="90" zoomScaleNormal="90" workbookViewId="0">
      <pane xSplit="1" ySplit="6" topLeftCell="AB31" activePane="bottomRight" state="frozen"/>
      <selection pane="topRight" activeCell="B1" sqref="B1"/>
      <selection pane="bottomLeft" activeCell="A7" sqref="A7"/>
      <selection pane="bottomRight" activeCell="BH55" sqref="BH55"/>
    </sheetView>
  </sheetViews>
  <sheetFormatPr defaultColWidth="8.7109375" defaultRowHeight="12.75"/>
  <cols>
    <col min="1" max="1" width="3.5703125" customWidth="1"/>
    <col min="2" max="2" width="9.7109375" customWidth="1"/>
    <col min="3" max="3" width="6" customWidth="1"/>
    <col min="4" max="4" width="12" style="1" hidden="1" customWidth="1"/>
    <col min="5" max="5" width="7.140625" customWidth="1"/>
    <col min="6" max="6" width="7.5703125" customWidth="1"/>
    <col min="7" max="7" width="8" customWidth="1"/>
    <col min="8" max="8" width="7.28515625" customWidth="1"/>
    <col min="9" max="9" width="7.42578125" hidden="1" customWidth="1"/>
    <col min="10" max="10" width="9.140625" customWidth="1"/>
    <col min="11" max="11" width="5.5703125" hidden="1" customWidth="1"/>
    <col min="12" max="12" width="8.42578125" customWidth="1"/>
    <col min="13" max="13" width="7.42578125" customWidth="1"/>
    <col min="14" max="14" width="6.5703125" customWidth="1"/>
    <col min="15" max="15" width="7.28515625" customWidth="1"/>
    <col min="16" max="16" width="9.85546875" hidden="1" customWidth="1"/>
    <col min="17" max="17" width="9.28515625" customWidth="1"/>
    <col min="18" max="18" width="6" customWidth="1"/>
    <col min="19" max="19" width="7.5703125" customWidth="1"/>
    <col min="20" max="20" width="9.140625" hidden="1" customWidth="1"/>
    <col min="21" max="21" width="7.140625" customWidth="1"/>
    <col min="22" max="22" width="7.85546875" customWidth="1"/>
    <col min="23" max="23" width="8.28515625" customWidth="1"/>
    <col min="24" max="24" width="6" customWidth="1"/>
    <col min="25" max="25" width="5.42578125" customWidth="1"/>
    <col min="26" max="26" width="6.85546875" customWidth="1"/>
    <col min="27" max="27" width="6.5703125" customWidth="1"/>
    <col min="28" max="28" width="7.5703125" customWidth="1"/>
    <col min="29" max="29" width="6.5703125" customWidth="1"/>
    <col min="30" max="30" width="4.28515625" customWidth="1"/>
    <col min="31" max="32" width="6.85546875" customWidth="1"/>
    <col min="33" max="33" width="0" hidden="1" customWidth="1"/>
    <col min="34" max="34" width="8.42578125" customWidth="1"/>
    <col min="35" max="35" width="7" customWidth="1"/>
    <col min="36" max="36" width="7.85546875" customWidth="1"/>
    <col min="37" max="37" width="0" hidden="1" customWidth="1"/>
    <col min="38" max="38" width="6.7109375" customWidth="1"/>
    <col min="39" max="39" width="7.7109375" customWidth="1"/>
    <col min="40" max="40" width="7" hidden="1" customWidth="1"/>
    <col min="41" max="41" width="9.42578125" customWidth="1"/>
    <col min="42" max="42" width="6.28515625" customWidth="1"/>
    <col min="43" max="43" width="6.85546875" customWidth="1"/>
    <col min="44" max="44" width="0" hidden="1" customWidth="1"/>
    <col min="45" max="45" width="6.7109375" customWidth="1"/>
    <col min="46" max="46" width="9.7109375" customWidth="1"/>
    <col min="47" max="47" width="7" customWidth="1"/>
    <col min="48" max="48" width="0" hidden="1" customWidth="1"/>
    <col min="49" max="49" width="6.140625" hidden="1" customWidth="1"/>
    <col min="50" max="50" width="5.140625" hidden="1" customWidth="1"/>
    <col min="51" max="51" width="8.42578125" customWidth="1"/>
    <col min="52" max="52" width="10" customWidth="1"/>
    <col min="53" max="53" width="8.7109375" hidden="1" customWidth="1"/>
    <col min="54" max="54" width="3.85546875" hidden="1" customWidth="1"/>
    <col min="55" max="55" width="6.5703125" customWidth="1"/>
    <col min="56" max="56" width="6.140625" customWidth="1"/>
    <col min="57" max="57" width="6.7109375" customWidth="1"/>
    <col min="58" max="58" width="8.85546875" customWidth="1"/>
    <col min="59" max="59" width="7.85546875" customWidth="1"/>
    <col min="60" max="60" width="9.85546875" customWidth="1"/>
    <col min="61" max="62" width="8.7109375" customWidth="1"/>
    <col min="63" max="63" width="10.28515625" customWidth="1"/>
    <col min="64" max="64" width="10.85546875" customWidth="1"/>
    <col min="65" max="65" width="10.7109375" customWidth="1"/>
    <col min="66" max="66" width="11.28515625" customWidth="1"/>
    <col min="67" max="68" width="8.85546875" customWidth="1"/>
    <col min="69" max="69" width="11.28515625" customWidth="1"/>
    <col min="70" max="70" width="7.7109375" customWidth="1"/>
    <col min="71" max="71" width="10" customWidth="1"/>
    <col min="72" max="72" width="8.85546875" customWidth="1"/>
    <col min="73" max="73" width="10.140625" customWidth="1"/>
    <col min="74" max="75" width="8.85546875" customWidth="1"/>
    <col min="76" max="76" width="10.85546875" customWidth="1"/>
    <col min="77" max="78" width="8.7109375" customWidth="1"/>
    <col min="79" max="79" width="10" customWidth="1"/>
    <col min="80" max="80" width="10.42578125" customWidth="1"/>
    <col min="81" max="82" width="8.42578125" customWidth="1"/>
    <col min="83" max="83" width="9.85546875" customWidth="1"/>
    <col min="84" max="85" width="11.42578125" customWidth="1"/>
    <col min="86" max="86" width="11.140625" customWidth="1"/>
    <col min="87" max="87" width="11.28515625" customWidth="1"/>
    <col min="88" max="89" width="10" customWidth="1"/>
    <col min="90" max="90" width="8.7109375" customWidth="1"/>
    <col min="91" max="91" width="11.85546875" customWidth="1"/>
    <col min="92" max="92" width="8.7109375" customWidth="1"/>
    <col min="93" max="93" width="12.140625" customWidth="1"/>
    <col min="94" max="94" width="12.5703125" customWidth="1"/>
    <col min="95" max="95" width="11.7109375" customWidth="1"/>
    <col min="96" max="98" width="12.28515625" customWidth="1"/>
    <col min="99" max="99" width="13.28515625" customWidth="1"/>
    <col min="100" max="100" width="12.85546875" customWidth="1"/>
    <col min="101" max="101" width="13.42578125" customWidth="1"/>
    <col min="102" max="103" width="12.5703125" customWidth="1"/>
    <col min="104" max="104" width="9.5703125" customWidth="1"/>
    <col min="105" max="105" width="19.140625" customWidth="1"/>
    <col min="106" max="106" width="19.42578125" customWidth="1"/>
    <col min="111" max="111" width="8.7109375" hidden="1" customWidth="1"/>
    <col min="112" max="112" width="9" bestFit="1" customWidth="1"/>
    <col min="114" max="114" width="9.5703125" bestFit="1" customWidth="1"/>
  </cols>
  <sheetData>
    <row r="1" spans="1:114" ht="17.25" customHeight="1">
      <c r="A1" s="310" t="s">
        <v>0</v>
      </c>
      <c r="B1" s="310"/>
      <c r="C1" s="310"/>
      <c r="D1" s="311"/>
      <c r="E1" s="310"/>
      <c r="F1" s="310"/>
      <c r="G1" s="310"/>
      <c r="H1" s="310"/>
      <c r="I1" s="310"/>
      <c r="J1" s="310"/>
      <c r="K1" s="310"/>
      <c r="L1" s="310"/>
      <c r="M1" s="310"/>
      <c r="N1" s="310"/>
      <c r="O1" s="310"/>
      <c r="P1" s="77"/>
      <c r="Q1" s="77"/>
      <c r="R1" s="77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</row>
    <row r="2" spans="1:114" ht="19.5" customHeight="1" thickBot="1">
      <c r="A2" s="22"/>
      <c r="B2" s="78"/>
      <c r="C2" s="78"/>
      <c r="D2" s="79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80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80"/>
      <c r="AT2" s="312" t="s">
        <v>1</v>
      </c>
      <c r="AU2" s="313">
        <v>31</v>
      </c>
      <c r="AV2" s="314"/>
      <c r="AW2" s="314"/>
      <c r="AX2" s="315" t="s">
        <v>81</v>
      </c>
      <c r="AY2" s="556" t="s">
        <v>81</v>
      </c>
      <c r="AZ2" s="556"/>
      <c r="BA2" s="556"/>
      <c r="BB2" s="556"/>
      <c r="BC2" s="556"/>
      <c r="BD2" s="316" t="s">
        <v>107</v>
      </c>
      <c r="BE2" s="317"/>
    </row>
    <row r="3" spans="1:114" ht="39.75" customHeight="1" thickBot="1">
      <c r="A3" s="557" t="s">
        <v>3</v>
      </c>
      <c r="B3" s="558" t="s">
        <v>71</v>
      </c>
      <c r="C3" s="558"/>
      <c r="D3" s="558"/>
      <c r="E3" s="558"/>
      <c r="F3" s="558"/>
      <c r="G3" s="558"/>
      <c r="H3" s="554" t="s">
        <v>4</v>
      </c>
      <c r="I3" s="554"/>
      <c r="J3" s="554"/>
      <c r="K3" s="554"/>
      <c r="L3" s="554"/>
      <c r="M3" s="554"/>
      <c r="N3" s="554"/>
      <c r="O3" s="554"/>
      <c r="P3" s="559"/>
      <c r="Q3" s="560" t="s">
        <v>5</v>
      </c>
      <c r="R3" s="561"/>
      <c r="S3" s="561"/>
      <c r="T3" s="561"/>
      <c r="U3" s="562"/>
      <c r="V3" s="563" t="s">
        <v>6</v>
      </c>
      <c r="W3" s="563" t="s">
        <v>7</v>
      </c>
      <c r="X3" s="564" t="s">
        <v>8</v>
      </c>
      <c r="Y3" s="564" t="s">
        <v>9</v>
      </c>
      <c r="Z3" s="564" t="s">
        <v>10</v>
      </c>
      <c r="AA3" s="564" t="s">
        <v>11</v>
      </c>
      <c r="AB3" s="564" t="s">
        <v>12</v>
      </c>
      <c r="AC3" s="564" t="s">
        <v>13</v>
      </c>
      <c r="AD3" s="564" t="s">
        <v>14</v>
      </c>
      <c r="AE3" s="554" t="s">
        <v>15</v>
      </c>
      <c r="AF3" s="554"/>
      <c r="AG3" s="554" t="s">
        <v>16</v>
      </c>
      <c r="AH3" s="554"/>
      <c r="AI3" s="554"/>
      <c r="AJ3" s="593" t="s">
        <v>17</v>
      </c>
      <c r="AK3" s="593"/>
      <c r="AL3" s="564" t="s">
        <v>18</v>
      </c>
      <c r="AM3" s="599" t="s">
        <v>19</v>
      </c>
      <c r="AN3" s="600" t="s">
        <v>95</v>
      </c>
      <c r="AO3" s="603" t="s">
        <v>20</v>
      </c>
      <c r="AP3" s="564" t="s">
        <v>105</v>
      </c>
      <c r="AQ3" s="564" t="s">
        <v>21</v>
      </c>
      <c r="AR3" s="81"/>
      <c r="AS3" s="593" t="s">
        <v>22</v>
      </c>
      <c r="AT3" s="554" t="s">
        <v>23</v>
      </c>
      <c r="AU3" s="554"/>
      <c r="AV3" s="554"/>
      <c r="AW3" s="554"/>
      <c r="AX3" s="554"/>
      <c r="AY3" s="554"/>
      <c r="AZ3" s="564" t="s">
        <v>24</v>
      </c>
      <c r="BA3" s="594" t="s">
        <v>25</v>
      </c>
      <c r="BB3" s="594"/>
      <c r="BC3" s="564" t="s">
        <v>26</v>
      </c>
      <c r="BD3" s="564" t="s">
        <v>27</v>
      </c>
      <c r="BE3" s="572" t="s">
        <v>28</v>
      </c>
      <c r="BF3" s="3"/>
      <c r="BG3" s="3"/>
      <c r="BH3" s="3"/>
      <c r="BI3" s="3"/>
      <c r="BJ3" s="3"/>
      <c r="BK3" s="573" t="s">
        <v>29</v>
      </c>
      <c r="BL3" s="574"/>
      <c r="BM3" s="574"/>
      <c r="BN3" s="574"/>
      <c r="BO3" s="575"/>
      <c r="BP3" s="575"/>
      <c r="BQ3" s="576"/>
      <c r="BR3" s="573" t="s">
        <v>30</v>
      </c>
      <c r="BS3" s="585"/>
      <c r="BT3" s="585"/>
      <c r="BU3" s="585"/>
      <c r="BV3" s="585"/>
      <c r="BW3" s="585"/>
      <c r="BX3" s="586"/>
      <c r="BY3" s="566" t="s">
        <v>31</v>
      </c>
      <c r="BZ3" s="566"/>
      <c r="CA3" s="566"/>
      <c r="CB3" s="566"/>
      <c r="CC3" s="566"/>
      <c r="CD3" s="566"/>
      <c r="CE3" s="566"/>
      <c r="CF3" s="566" t="s">
        <v>87</v>
      </c>
      <c r="CG3" s="566"/>
      <c r="CH3" s="566"/>
      <c r="CI3" s="566"/>
      <c r="CJ3" s="566" t="s">
        <v>32</v>
      </c>
      <c r="CK3" s="566"/>
      <c r="CL3" s="566"/>
      <c r="CM3" s="566"/>
      <c r="CN3" s="4"/>
      <c r="CO3" s="5"/>
      <c r="CP3" s="6"/>
      <c r="CQ3" s="6"/>
    </row>
    <row r="4" spans="1:114" s="7" customFormat="1" ht="30.75" customHeight="1" thickBot="1">
      <c r="A4" s="557"/>
      <c r="B4" s="565" t="s">
        <v>72</v>
      </c>
      <c r="C4" s="613" t="s">
        <v>73</v>
      </c>
      <c r="D4" s="615" t="s">
        <v>33</v>
      </c>
      <c r="E4" s="613" t="s">
        <v>74</v>
      </c>
      <c r="F4" s="569" t="s">
        <v>75</v>
      </c>
      <c r="G4" s="569" t="s">
        <v>34</v>
      </c>
      <c r="H4" s="555" t="s">
        <v>76</v>
      </c>
      <c r="I4" s="570" t="s">
        <v>101</v>
      </c>
      <c r="J4" s="555" t="s">
        <v>89</v>
      </c>
      <c r="K4" s="565" t="s">
        <v>35</v>
      </c>
      <c r="L4" s="565" t="s">
        <v>77</v>
      </c>
      <c r="M4" s="565" t="s">
        <v>78</v>
      </c>
      <c r="N4" s="565" t="s">
        <v>101</v>
      </c>
      <c r="O4" s="565" t="s">
        <v>96</v>
      </c>
      <c r="P4" s="555" t="s">
        <v>79</v>
      </c>
      <c r="Q4" s="555" t="s">
        <v>36</v>
      </c>
      <c r="R4" s="555" t="s">
        <v>32</v>
      </c>
      <c r="S4" s="555" t="s">
        <v>37</v>
      </c>
      <c r="T4" s="555" t="s">
        <v>38</v>
      </c>
      <c r="U4" s="555" t="s">
        <v>39</v>
      </c>
      <c r="V4" s="563"/>
      <c r="W4" s="563"/>
      <c r="X4" s="564"/>
      <c r="Y4" s="564"/>
      <c r="Z4" s="564"/>
      <c r="AA4" s="564"/>
      <c r="AB4" s="564"/>
      <c r="AC4" s="564"/>
      <c r="AD4" s="564"/>
      <c r="AE4" s="554"/>
      <c r="AF4" s="554"/>
      <c r="AG4" s="554"/>
      <c r="AH4" s="554"/>
      <c r="AI4" s="554"/>
      <c r="AJ4" s="593"/>
      <c r="AK4" s="593"/>
      <c r="AL4" s="564"/>
      <c r="AM4" s="599"/>
      <c r="AN4" s="601"/>
      <c r="AO4" s="603"/>
      <c r="AP4" s="564"/>
      <c r="AQ4" s="564"/>
      <c r="AR4" s="82"/>
      <c r="AS4" s="593"/>
      <c r="AT4" s="554"/>
      <c r="AU4" s="554"/>
      <c r="AV4" s="554"/>
      <c r="AW4" s="554"/>
      <c r="AX4" s="554"/>
      <c r="AY4" s="554"/>
      <c r="AZ4" s="564"/>
      <c r="BA4" s="594"/>
      <c r="BB4" s="594"/>
      <c r="BC4" s="564"/>
      <c r="BD4" s="564"/>
      <c r="BE4" s="572"/>
      <c r="BF4" s="3"/>
      <c r="BG4" s="3"/>
      <c r="BH4" s="3"/>
      <c r="BI4" s="3"/>
      <c r="BJ4" s="3"/>
      <c r="BK4" s="577"/>
      <c r="BL4" s="578"/>
      <c r="BM4" s="578"/>
      <c r="BN4" s="578"/>
      <c r="BO4" s="579"/>
      <c r="BP4" s="579"/>
      <c r="BQ4" s="580"/>
      <c r="BR4" s="577"/>
      <c r="BS4" s="566"/>
      <c r="BT4" s="566"/>
      <c r="BU4" s="566"/>
      <c r="BV4" s="566"/>
      <c r="BW4" s="566"/>
      <c r="BX4" s="587"/>
      <c r="BY4" s="566"/>
      <c r="BZ4" s="566"/>
      <c r="CA4" s="566"/>
      <c r="CB4" s="566"/>
      <c r="CC4" s="566"/>
      <c r="CD4" s="566"/>
      <c r="CE4" s="566"/>
      <c r="CF4" s="566"/>
      <c r="CG4" s="566"/>
      <c r="CH4" s="566"/>
      <c r="CI4" s="566"/>
      <c r="CJ4" s="566"/>
      <c r="CK4" s="566"/>
      <c r="CL4" s="566"/>
      <c r="CM4" s="566"/>
      <c r="CN4" s="4"/>
      <c r="CO4" s="6"/>
      <c r="CP4" s="6"/>
      <c r="CQ4" s="262"/>
      <c r="CR4" s="231"/>
      <c r="CS4" s="231"/>
      <c r="CT4" s="231"/>
      <c r="CU4" s="231"/>
      <c r="CV4" s="231"/>
      <c r="CW4" s="231"/>
      <c r="CX4" s="231"/>
      <c r="CY4" s="231"/>
      <c r="DD4" s="590" t="s">
        <v>90</v>
      </c>
      <c r="DE4" s="591"/>
      <c r="DF4" s="591"/>
      <c r="DG4" s="591"/>
      <c r="DH4" s="592"/>
    </row>
    <row r="5" spans="1:114" s="7" customFormat="1" ht="8.25" hidden="1" customHeight="1">
      <c r="A5" s="557"/>
      <c r="B5" s="565"/>
      <c r="C5" s="614"/>
      <c r="D5" s="616"/>
      <c r="E5" s="614"/>
      <c r="F5" s="569"/>
      <c r="G5" s="569"/>
      <c r="H5" s="555"/>
      <c r="I5" s="570"/>
      <c r="J5" s="565"/>
      <c r="K5" s="565"/>
      <c r="L5" s="565"/>
      <c r="M5" s="565"/>
      <c r="N5" s="565"/>
      <c r="O5" s="565"/>
      <c r="P5" s="555"/>
      <c r="Q5" s="555"/>
      <c r="R5" s="555"/>
      <c r="S5" s="555"/>
      <c r="T5" s="555"/>
      <c r="U5" s="555"/>
      <c r="V5" s="563"/>
      <c r="W5" s="563"/>
      <c r="X5" s="564"/>
      <c r="Y5" s="564"/>
      <c r="Z5" s="564"/>
      <c r="AA5" s="564"/>
      <c r="AB5" s="564"/>
      <c r="AC5" s="564"/>
      <c r="AD5" s="564"/>
      <c r="AE5" s="555" t="s">
        <v>40</v>
      </c>
      <c r="AF5" s="555" t="s">
        <v>41</v>
      </c>
      <c r="AG5" s="555" t="s">
        <v>42</v>
      </c>
      <c r="AH5" s="555" t="s">
        <v>40</v>
      </c>
      <c r="AI5" s="555" t="s">
        <v>41</v>
      </c>
      <c r="AJ5" s="593"/>
      <c r="AK5" s="593"/>
      <c r="AL5" s="564"/>
      <c r="AM5" s="599"/>
      <c r="AN5" s="601"/>
      <c r="AO5" s="603"/>
      <c r="AP5" s="564"/>
      <c r="AQ5" s="564"/>
      <c r="AR5" s="83"/>
      <c r="AS5" s="593"/>
      <c r="AT5" s="555" t="s">
        <v>43</v>
      </c>
      <c r="AU5" s="84"/>
      <c r="AV5" s="85"/>
      <c r="AW5" s="598" t="s">
        <v>44</v>
      </c>
      <c r="AX5" s="598" t="s">
        <v>45</v>
      </c>
      <c r="AY5" s="555" t="s">
        <v>46</v>
      </c>
      <c r="AZ5" s="564"/>
      <c r="BA5" s="86" t="s">
        <v>47</v>
      </c>
      <c r="BB5" s="86" t="s">
        <v>48</v>
      </c>
      <c r="BC5" s="564"/>
      <c r="BD5" s="564"/>
      <c r="BE5" s="572"/>
      <c r="BF5" s="3"/>
      <c r="BG5" s="3"/>
      <c r="BH5" s="3"/>
      <c r="BI5" s="3"/>
      <c r="BJ5" s="3"/>
      <c r="BK5" s="581"/>
      <c r="BL5" s="582"/>
      <c r="BM5" s="582"/>
      <c r="BN5" s="582"/>
      <c r="BO5" s="583"/>
      <c r="BP5" s="583"/>
      <c r="BQ5" s="584"/>
      <c r="BR5" s="581"/>
      <c r="BS5" s="588"/>
      <c r="BT5" s="588"/>
      <c r="BU5" s="588"/>
      <c r="BV5" s="588"/>
      <c r="BW5" s="588"/>
      <c r="BX5" s="589"/>
      <c r="BY5" s="567"/>
      <c r="BZ5" s="566"/>
      <c r="CA5" s="566"/>
      <c r="CB5" s="566"/>
      <c r="CC5" s="566"/>
      <c r="CD5" s="566"/>
      <c r="CE5" s="566"/>
      <c r="CF5" s="567"/>
      <c r="CG5" s="567"/>
      <c r="CH5" s="567"/>
      <c r="CI5" s="567"/>
      <c r="CJ5" s="567"/>
      <c r="CK5" s="567"/>
      <c r="CL5" s="567"/>
      <c r="CM5" s="567"/>
      <c r="CN5" s="4"/>
      <c r="CO5"/>
      <c r="CP5"/>
      <c r="CQ5" s="255"/>
      <c r="CR5" s="256"/>
      <c r="CS5" s="256"/>
      <c r="CT5" s="256"/>
      <c r="CU5" s="256"/>
      <c r="CV5" s="257"/>
      <c r="CW5" s="257"/>
      <c r="CX5" s="257"/>
      <c r="CY5" s="258"/>
      <c r="DA5" s="595" t="s">
        <v>49</v>
      </c>
      <c r="DB5" s="595"/>
    </row>
    <row r="6" spans="1:114" s="7" customFormat="1" ht="106.5" customHeight="1" thickBot="1">
      <c r="A6" s="557"/>
      <c r="B6" s="565"/>
      <c r="C6" s="565"/>
      <c r="D6" s="568"/>
      <c r="E6" s="565"/>
      <c r="F6" s="569"/>
      <c r="G6" s="569"/>
      <c r="H6" s="555"/>
      <c r="I6" s="570"/>
      <c r="J6" s="571"/>
      <c r="K6" s="565"/>
      <c r="L6" s="565"/>
      <c r="M6" s="565"/>
      <c r="N6" s="565"/>
      <c r="O6" s="565"/>
      <c r="P6" s="565"/>
      <c r="Q6" s="565"/>
      <c r="R6" s="565"/>
      <c r="S6" s="565"/>
      <c r="T6" s="555"/>
      <c r="U6" s="555"/>
      <c r="V6" s="563"/>
      <c r="W6" s="563"/>
      <c r="X6" s="564"/>
      <c r="Y6" s="564"/>
      <c r="Z6" s="564"/>
      <c r="AA6" s="564"/>
      <c r="AB6" s="564"/>
      <c r="AC6" s="564"/>
      <c r="AD6" s="564"/>
      <c r="AE6" s="555"/>
      <c r="AF6" s="555"/>
      <c r="AG6" s="555"/>
      <c r="AH6" s="555"/>
      <c r="AI6" s="555"/>
      <c r="AJ6" s="593"/>
      <c r="AK6" s="593"/>
      <c r="AL6" s="564"/>
      <c r="AM6" s="599"/>
      <c r="AN6" s="602"/>
      <c r="AO6" s="603"/>
      <c r="AP6" s="564"/>
      <c r="AQ6" s="564"/>
      <c r="AR6" s="500"/>
      <c r="AS6" s="593"/>
      <c r="AT6" s="555"/>
      <c r="AU6" s="499" t="s">
        <v>50</v>
      </c>
      <c r="AV6" s="499" t="s">
        <v>51</v>
      </c>
      <c r="AW6" s="598"/>
      <c r="AX6" s="598"/>
      <c r="AY6" s="555"/>
      <c r="AZ6" s="555"/>
      <c r="BA6" s="87"/>
      <c r="BB6" s="88">
        <v>0.04</v>
      </c>
      <c r="BC6" s="564"/>
      <c r="BD6" s="564"/>
      <c r="BE6" s="572"/>
      <c r="BF6" s="8" t="s">
        <v>52</v>
      </c>
      <c r="BG6" s="8" t="s">
        <v>53</v>
      </c>
      <c r="BH6" s="8" t="s">
        <v>54</v>
      </c>
      <c r="BI6" s="3"/>
      <c r="BJ6" s="3"/>
      <c r="BK6" s="308" t="s">
        <v>364</v>
      </c>
      <c r="BL6" s="280" t="s">
        <v>82</v>
      </c>
      <c r="BM6" s="279" t="s">
        <v>262</v>
      </c>
      <c r="BN6" s="307" t="s">
        <v>365</v>
      </c>
      <c r="BO6" s="308" t="s">
        <v>97</v>
      </c>
      <c r="BP6" s="326" t="s">
        <v>99</v>
      </c>
      <c r="BQ6" s="495" t="s">
        <v>366</v>
      </c>
      <c r="BR6" s="308" t="s">
        <v>364</v>
      </c>
      <c r="BS6" s="280" t="s">
        <v>82</v>
      </c>
      <c r="BT6" s="279" t="s">
        <v>262</v>
      </c>
      <c r="BU6" s="327"/>
      <c r="BV6" s="308" t="s">
        <v>97</v>
      </c>
      <c r="BW6" s="326" t="s">
        <v>99</v>
      </c>
      <c r="BX6" s="306"/>
      <c r="BY6" s="308" t="s">
        <v>364</v>
      </c>
      <c r="BZ6" s="280" t="s">
        <v>82</v>
      </c>
      <c r="CA6" s="279" t="s">
        <v>262</v>
      </c>
      <c r="CB6" s="307" t="s">
        <v>365</v>
      </c>
      <c r="CC6" s="308" t="s">
        <v>97</v>
      </c>
      <c r="CD6" s="326" t="s">
        <v>99</v>
      </c>
      <c r="CE6" s="495" t="s">
        <v>366</v>
      </c>
      <c r="CF6" s="267" t="s">
        <v>106</v>
      </c>
      <c r="CG6" s="268" t="s">
        <v>85</v>
      </c>
      <c r="CH6" s="244" t="s">
        <v>109</v>
      </c>
      <c r="CI6" s="245" t="s">
        <v>103</v>
      </c>
      <c r="CJ6" s="267" t="s">
        <v>106</v>
      </c>
      <c r="CK6" s="268" t="s">
        <v>85</v>
      </c>
      <c r="CL6" s="244" t="s">
        <v>109</v>
      </c>
      <c r="CM6" s="245" t="s">
        <v>103</v>
      </c>
      <c r="CN6" s="243"/>
      <c r="CO6" s="248" t="s">
        <v>364</v>
      </c>
      <c r="CP6" s="10" t="s">
        <v>82</v>
      </c>
      <c r="CQ6" s="264" t="s">
        <v>263</v>
      </c>
      <c r="CR6" s="23" t="s">
        <v>367</v>
      </c>
      <c r="CS6" s="248" t="s">
        <v>98</v>
      </c>
      <c r="CT6" s="248" t="s">
        <v>99</v>
      </c>
      <c r="CU6" s="496" t="s">
        <v>369</v>
      </c>
      <c r="CV6" s="259" t="s">
        <v>106</v>
      </c>
      <c r="CW6" s="248" t="s">
        <v>84</v>
      </c>
      <c r="CX6" s="232" t="s">
        <v>108</v>
      </c>
      <c r="CY6" s="263" t="s">
        <v>103</v>
      </c>
      <c r="CZ6" s="253"/>
      <c r="DA6" s="321" t="s">
        <v>80</v>
      </c>
      <c r="DB6" s="321" t="s">
        <v>55</v>
      </c>
      <c r="DD6" s="288" t="s">
        <v>91</v>
      </c>
      <c r="DE6" s="289" t="s">
        <v>92</v>
      </c>
      <c r="DF6" s="290" t="s">
        <v>93</v>
      </c>
      <c r="DG6" s="290"/>
      <c r="DH6" s="289" t="s">
        <v>94</v>
      </c>
    </row>
    <row r="7" spans="1:114" s="76" customFormat="1" ht="16.5" customHeight="1" thickBot="1">
      <c r="A7" s="121">
        <v>1</v>
      </c>
      <c r="B7" s="122">
        <f>'[1]август 20'!K6</f>
        <v>222.863</v>
      </c>
      <c r="C7" s="123">
        <f>IF(B7=0,0,(BK7*BR7+BL7*BS7+BM7*BT7+BN7*BU7+BQ7*BX7+BO7*BV7+BP7*BW7)/B7)</f>
        <v>0.32499048500201022</v>
      </c>
      <c r="D7" s="124">
        <f>B7*((100-C7)/100)</f>
        <v>222.13871645540996</v>
      </c>
      <c r="E7" s="125">
        <f>IF(B7=0,0,(BK7*BY7+BL7*BZ7+BM7*CA7+BQ7*CE7+BN7*CB7+BO7*CC7+BP7*CD7)/B7)</f>
        <v>38.100512557041782</v>
      </c>
      <c r="F7" s="126">
        <f t="shared" ref="F7:F37" si="0">IF(AY7=0,0,D7/AY7)</f>
        <v>2.2191679965575424</v>
      </c>
      <c r="G7" s="127"/>
      <c r="H7" s="126">
        <f>IF(AY7=0,0,(CP7+CO7+CS7+CQ7+CT7)/AY7)</f>
        <v>1.0757214845154841</v>
      </c>
      <c r="I7" s="230">
        <f>'[1]июль 20'!AI6</f>
        <v>0</v>
      </c>
      <c r="J7" s="246">
        <f>'[1]август 20'!AA6</f>
        <v>9.1289999999999996</v>
      </c>
      <c r="K7" s="437">
        <f>'[1]сентябрь 20'!AM6</f>
        <v>0</v>
      </c>
      <c r="L7" s="438">
        <f>'[1]август 20'!AE6</f>
        <v>114.459</v>
      </c>
      <c r="M7" s="399">
        <f>IF(AY7=0,0,(CR7+CU7)/AY7)</f>
        <v>1.1434465420120881</v>
      </c>
      <c r="N7" s="399">
        <f>'[1]август 20'!W6</f>
        <v>0</v>
      </c>
      <c r="O7" s="402">
        <f>'[1]август 20'!AU6</f>
        <v>0</v>
      </c>
      <c r="P7" s="125">
        <f t="shared" ref="P7:P37" si="1">CF7+CH7+CI7+CG7</f>
        <v>142.305003</v>
      </c>
      <c r="Q7" s="122">
        <f>'[1]август 20'!S6</f>
        <v>142.30500000000001</v>
      </c>
      <c r="R7" s="123">
        <f>IF(Q7=0,0,(CI7*CM7+CG7*CK7+CH7*CL7+CF7*CJ7)/Q7)</f>
        <v>1.5500000000000211</v>
      </c>
      <c r="S7" s="129">
        <v>12.34</v>
      </c>
      <c r="T7" s="125">
        <f t="shared" ref="T7:T37" si="2">Q7*((100-R7)/100)</f>
        <v>140.09927249999996</v>
      </c>
      <c r="U7" s="128">
        <f t="shared" ref="U7:U37" si="3">IF(AY7=0,0,T7/AY7)</f>
        <v>1.3995931318681314</v>
      </c>
      <c r="V7" s="130">
        <v>100.1</v>
      </c>
      <c r="W7" s="130">
        <v>100.1</v>
      </c>
      <c r="X7" s="129">
        <v>0.54</v>
      </c>
      <c r="Y7" s="131">
        <v>633</v>
      </c>
      <c r="Z7" s="131">
        <v>1152</v>
      </c>
      <c r="AA7" s="132" t="s">
        <v>314</v>
      </c>
      <c r="AB7" s="129">
        <v>75.900000000000006</v>
      </c>
      <c r="AC7" s="131">
        <v>89</v>
      </c>
      <c r="AD7" s="133">
        <v>4</v>
      </c>
      <c r="AE7" s="129"/>
      <c r="AF7" s="134">
        <f t="shared" ref="AF7:AF37" si="4">IF(AY7=0,0,AE7/AY7*1000)</f>
        <v>0</v>
      </c>
      <c r="AG7" s="135"/>
      <c r="AH7" s="129">
        <v>72.5</v>
      </c>
      <c r="AI7" s="134">
        <f t="shared" ref="AI7:AI37" si="5">IF(AY7=0,0,AH7/AY7*1000)</f>
        <v>724.27572427572431</v>
      </c>
      <c r="AJ7" s="136">
        <v>13.86</v>
      </c>
      <c r="AK7" s="127"/>
      <c r="AL7" s="137">
        <v>5.42</v>
      </c>
      <c r="AM7" s="478">
        <v>21.97</v>
      </c>
      <c r="AN7" s="126">
        <f>IF(AM7=0,0,AM7/AT7)</f>
        <v>0.17993447993447995</v>
      </c>
      <c r="AO7" s="139" t="s">
        <v>117</v>
      </c>
      <c r="AP7" s="138">
        <v>9</v>
      </c>
      <c r="AQ7" s="138">
        <v>6.89</v>
      </c>
      <c r="AR7" s="129"/>
      <c r="AS7" s="129">
        <v>8.07</v>
      </c>
      <c r="AT7" s="129">
        <v>122.1</v>
      </c>
      <c r="AU7" s="129">
        <v>5.39</v>
      </c>
      <c r="AV7" s="129"/>
      <c r="AW7" s="129"/>
      <c r="AX7" s="140">
        <f t="shared" ref="AX7:AX37" si="6">IF(AY7=0,0,AW7/AY7*100)</f>
        <v>0</v>
      </c>
      <c r="AY7" s="125">
        <f t="shared" ref="AY7:AY37" si="7">AT7-AL7-AM7+AV7+AW7+AU7</f>
        <v>100.1</v>
      </c>
      <c r="AZ7" s="125">
        <f>IF(AB7=0,0,((D7*0.97)*(E7/100)*0.9)/(AB7/100))+DH7</f>
        <v>99.412025973395927</v>
      </c>
      <c r="BA7" s="141">
        <f t="shared" ref="BA7:BA37" si="8">(AH7*AS7)/100*(55/71)</f>
        <v>4.5322711267605635</v>
      </c>
      <c r="BB7" s="142">
        <f t="shared" ref="BB7:BB37" si="9">AY7*$BB$6</f>
        <v>4.0039999999999996</v>
      </c>
      <c r="BC7" s="122">
        <f t="shared" ref="BC7:BC37" si="10">IF((D7*E7)=0,0,(AY7*AB7)/(D7*E7))</f>
        <v>0.89767840368549423</v>
      </c>
      <c r="BD7" s="142">
        <f>BA7+BB7</f>
        <v>8.536271126760564</v>
      </c>
      <c r="BE7" s="143">
        <v>0.89800000000000002</v>
      </c>
      <c r="BF7" s="25">
        <f>AY7</f>
        <v>100.1</v>
      </c>
      <c r="BG7" s="25">
        <f t="shared" ref="BG7:BG38" si="11">IF(A7&lt;=$BE$43,$AT$43,0)</f>
        <v>107.74193548387096</v>
      </c>
      <c r="BH7" s="25">
        <f>BG7</f>
        <v>107.74193548387096</v>
      </c>
      <c r="BI7" s="26">
        <f t="shared" ref="BI7:BI37" si="12">IF(AY7&lt;&gt;0,1,0)</f>
        <v>1</v>
      </c>
      <c r="BJ7" s="27">
        <f>BG7*BI7</f>
        <v>107.74193548387096</v>
      </c>
      <c r="BK7" s="28">
        <v>86.100999999999999</v>
      </c>
      <c r="BL7" s="28">
        <v>9.9999999999999995E-7</v>
      </c>
      <c r="BM7" s="28">
        <v>9.9999999999999995E-7</v>
      </c>
      <c r="BN7" s="28">
        <v>105.33499999999999</v>
      </c>
      <c r="BO7" s="28">
        <v>9.9999999999999995E-7</v>
      </c>
      <c r="BP7" s="28">
        <v>22.303000000000001</v>
      </c>
      <c r="BQ7" s="28">
        <v>9.1240000000000006</v>
      </c>
      <c r="BR7" s="28">
        <v>0.52</v>
      </c>
      <c r="BS7" s="28">
        <v>9.9999999999999995E-7</v>
      </c>
      <c r="BT7" s="28">
        <v>9.9999999999999995E-7</v>
      </c>
      <c r="BU7" s="28">
        <v>9.9999999999999995E-7</v>
      </c>
      <c r="BV7" s="28">
        <v>9.9999999999999995E-7</v>
      </c>
      <c r="BW7" s="28">
        <v>1.24</v>
      </c>
      <c r="BX7" s="28">
        <v>9.9999999999999995E-7</v>
      </c>
      <c r="BY7" s="28">
        <v>35.36</v>
      </c>
      <c r="BZ7" s="28">
        <v>9.9999999999999995E-7</v>
      </c>
      <c r="CA7" s="28">
        <v>9.9999999999999995E-7</v>
      </c>
      <c r="CB7" s="28">
        <v>41.91</v>
      </c>
      <c r="CC7" s="28">
        <v>9.9999999999999995E-7</v>
      </c>
      <c r="CD7" s="28">
        <v>28.32</v>
      </c>
      <c r="CE7" s="28">
        <v>43.89</v>
      </c>
      <c r="CF7" s="28">
        <v>142.30500000000001</v>
      </c>
      <c r="CG7" s="28">
        <v>9.9999999999999995E-7</v>
      </c>
      <c r="CH7" s="28">
        <v>9.9999999999999995E-7</v>
      </c>
      <c r="CI7" s="28">
        <v>9.9999999999999995E-7</v>
      </c>
      <c r="CJ7" s="28">
        <v>1.55</v>
      </c>
      <c r="CK7" s="28">
        <v>9.9999999999999995E-7</v>
      </c>
      <c r="CL7" s="28">
        <v>9.9999999999999995E-7</v>
      </c>
      <c r="CM7" s="28">
        <v>9.9999999999999995E-7</v>
      </c>
      <c r="CN7" s="286"/>
      <c r="CO7" s="252">
        <f t="shared" ref="CO7:CU22" si="13">BK7*((100-BR7)/100)</f>
        <v>85.653274800000005</v>
      </c>
      <c r="CP7" s="11">
        <f t="shared" si="13"/>
        <v>9.9999998999999992E-7</v>
      </c>
      <c r="CQ7" s="11">
        <f t="shared" si="13"/>
        <v>9.9999998999999992E-7</v>
      </c>
      <c r="CR7" s="11">
        <f t="shared" si="13"/>
        <v>105.33499894665</v>
      </c>
      <c r="CS7" s="11">
        <f t="shared" si="13"/>
        <v>9.9999998999999992E-7</v>
      </c>
      <c r="CT7" s="11">
        <f t="shared" si="13"/>
        <v>22.026442800000002</v>
      </c>
      <c r="CU7" s="271">
        <f t="shared" si="13"/>
        <v>9.1239999087600019</v>
      </c>
      <c r="CV7" s="260">
        <f t="shared" ref="CV7:CY37" si="14">CF7*((100-CJ7)/100)</f>
        <v>140.09927250000001</v>
      </c>
      <c r="CW7" s="250">
        <f t="shared" si="14"/>
        <v>9.9999998999999992E-7</v>
      </c>
      <c r="CX7" s="260">
        <f t="shared" si="14"/>
        <v>9.9999998999999992E-7</v>
      </c>
      <c r="CY7" s="271">
        <f t="shared" si="14"/>
        <v>9.9999998999999992E-7</v>
      </c>
      <c r="CZ7" s="13"/>
      <c r="DA7" s="240">
        <f>(D7+'[2]август 20 '!D7)/(AY7+'[2]август 20 '!BA7)</f>
        <v>2.0418355545841096</v>
      </c>
      <c r="DB7" s="241">
        <f>(T7+'[2]август 20 '!T7)/(AY7+'[2]август 20 '!BA7)</f>
        <v>1.2847305755514136</v>
      </c>
      <c r="DD7" s="292">
        <f t="shared" ref="DD7:DD37" si="15">J7</f>
        <v>9.1289999999999996</v>
      </c>
      <c r="DE7" s="291">
        <v>0.06</v>
      </c>
      <c r="DF7" s="291">
        <v>17.170000000000002</v>
      </c>
      <c r="DG7" s="145">
        <f t="shared" ref="DG7:DG37" si="16">DD7*((100-DE7)/100)</f>
        <v>9.1235225999999994</v>
      </c>
      <c r="DH7" s="293">
        <f>IF(AB7=0,0,(DG7*DF7%)/(AB7/100))</f>
        <v>2.0639115025296442</v>
      </c>
      <c r="DJ7" s="322"/>
    </row>
    <row r="8" spans="1:114" s="76" customFormat="1" ht="16.5" customHeight="1" thickBot="1">
      <c r="A8" s="144">
        <v>2</v>
      </c>
      <c r="B8" s="122">
        <f>'[1]август 20'!K7</f>
        <v>182.32499999999999</v>
      </c>
      <c r="C8" s="123">
        <f t="shared" ref="C8:C37" si="17">IF(B8=0,0,(BK8*BR8+BL8*BS8+BM8*BT8+BN8*BU8+BQ8*BX8+BO8*BV8+BP8*BW8)/B8)</f>
        <v>0.56010042506513102</v>
      </c>
      <c r="D8" s="145">
        <f t="shared" ref="D8:D37" si="18">B8*((100-C8)/100)</f>
        <v>181.30379689999998</v>
      </c>
      <c r="E8" s="125">
        <f t="shared" ref="E8:E37" si="19">IF(B8=0,0,(BK8*BY8+BL8*BZ8+BM8*CA8+BQ8*CE8+BN8*CB8+BO8*CC8+BP8*CD8)/B8)</f>
        <v>39.427613053613058</v>
      </c>
      <c r="F8" s="146">
        <f t="shared" si="0"/>
        <v>1.9424019380758515</v>
      </c>
      <c r="G8" s="127"/>
      <c r="H8" s="126">
        <f t="shared" ref="H8:H37" si="20">IF(AY8=0,0,(CP8+CO8+CS8+CQ8+CT8)/AY8)</f>
        <v>0.69236979751446315</v>
      </c>
      <c r="I8" s="230">
        <f>'[1]июль 20'!AI7</f>
        <v>0</v>
      </c>
      <c r="J8" s="247">
        <f>'[1]август 20'!AA7</f>
        <v>7.2910000000000004</v>
      </c>
      <c r="K8" s="464">
        <f>'[1]сентябрь 20'!AM7</f>
        <v>0</v>
      </c>
      <c r="L8" s="247">
        <f>'[1]август 20'!AE7</f>
        <v>116.678</v>
      </c>
      <c r="M8" s="468">
        <f t="shared" ref="M8:M37" si="21">IF(AY8=0,0,(CR8+CU8)/AY8)</f>
        <v>1.2500321405613883</v>
      </c>
      <c r="N8" s="403">
        <f>'[1]август 20'!W7</f>
        <v>0</v>
      </c>
      <c r="O8" s="403">
        <f>'[1]август 20'!AU7</f>
        <v>0</v>
      </c>
      <c r="P8" s="401">
        <f t="shared" si="1"/>
        <v>117.52800000000001</v>
      </c>
      <c r="Q8" s="122">
        <f>'[1]август 20'!S7</f>
        <v>117.52800000000001</v>
      </c>
      <c r="R8" s="123">
        <f t="shared" ref="R8:R24" si="22">IF(Q8=0,0,(CI8*CM8+CG8*CK8+CH8*CL8+CF8*CJ8)/Q8)</f>
        <v>1.59</v>
      </c>
      <c r="S8" s="129">
        <v>3</v>
      </c>
      <c r="T8" s="125">
        <f t="shared" si="2"/>
        <v>115.6593048</v>
      </c>
      <c r="U8" s="147">
        <f t="shared" si="3"/>
        <v>1.2391183286908078</v>
      </c>
      <c r="V8" s="130">
        <v>20.72</v>
      </c>
      <c r="W8" s="130">
        <v>44.28</v>
      </c>
      <c r="X8" s="129">
        <v>0.96</v>
      </c>
      <c r="Y8" s="131">
        <v>617</v>
      </c>
      <c r="Z8" s="131">
        <v>1155</v>
      </c>
      <c r="AA8" s="148" t="s">
        <v>287</v>
      </c>
      <c r="AB8" s="149">
        <v>74.42</v>
      </c>
      <c r="AC8" s="150">
        <v>73</v>
      </c>
      <c r="AD8" s="151">
        <v>4</v>
      </c>
      <c r="AE8" s="149"/>
      <c r="AF8" s="134">
        <f t="shared" si="4"/>
        <v>0</v>
      </c>
      <c r="AG8" s="152"/>
      <c r="AH8" s="129">
        <v>57.35</v>
      </c>
      <c r="AI8" s="134">
        <f t="shared" si="5"/>
        <v>614.42039854296115</v>
      </c>
      <c r="AJ8" s="153">
        <v>14</v>
      </c>
      <c r="AK8" s="154"/>
      <c r="AL8" s="155">
        <v>6.74</v>
      </c>
      <c r="AM8" s="478">
        <v>23.66</v>
      </c>
      <c r="AN8" s="126">
        <f t="shared" ref="AN8:AN37" si="23">IF(AM8=0,0,AM8/AT8)</f>
        <v>0.19345870809484875</v>
      </c>
      <c r="AO8" s="157" t="s">
        <v>193</v>
      </c>
      <c r="AP8" s="156">
        <v>10.15</v>
      </c>
      <c r="AQ8" s="156">
        <v>6.67</v>
      </c>
      <c r="AR8" s="149"/>
      <c r="AS8" s="149">
        <v>6.22</v>
      </c>
      <c r="AT8" s="149">
        <v>122.3</v>
      </c>
      <c r="AU8" s="149">
        <v>1.44</v>
      </c>
      <c r="AV8" s="149"/>
      <c r="AW8" s="149"/>
      <c r="AX8" s="158">
        <f t="shared" si="6"/>
        <v>0</v>
      </c>
      <c r="AY8" s="125">
        <f t="shared" si="7"/>
        <v>93.34</v>
      </c>
      <c r="AZ8" s="125">
        <f t="shared" ref="AZ8:AZ37" si="24">IF(AB8=0,0,((D8*0.97)*(E8/100)*0.9)/(AB8/100))+DH8</f>
        <v>85.331356364578014</v>
      </c>
      <c r="BA8" s="159">
        <f t="shared" si="8"/>
        <v>2.7633007042253519</v>
      </c>
      <c r="BB8" s="160">
        <f t="shared" si="9"/>
        <v>3.7336</v>
      </c>
      <c r="BC8" s="161">
        <f t="shared" si="10"/>
        <v>0.97173999370540221</v>
      </c>
      <c r="BD8" s="160">
        <f t="shared" ref="BD8:BD37" si="25">BA8+BB8</f>
        <v>6.4969007042253519</v>
      </c>
      <c r="BE8" s="162">
        <v>0.93200000000000005</v>
      </c>
      <c r="BF8" s="25">
        <f t="shared" ref="BF8:BF37" si="26">BF7+AY8</f>
        <v>193.44</v>
      </c>
      <c r="BG8" s="25">
        <f t="shared" si="11"/>
        <v>107.74193548387096</v>
      </c>
      <c r="BH8" s="25">
        <f t="shared" ref="BH8:BH37" si="27">BG8+BH7</f>
        <v>215.48387096774192</v>
      </c>
      <c r="BI8" s="26">
        <f t="shared" si="12"/>
        <v>1</v>
      </c>
      <c r="BJ8" s="27">
        <f t="shared" ref="BJ8:BJ37" si="28">BG8*BI8+BJ7</f>
        <v>215.48387096774192</v>
      </c>
      <c r="BK8" s="30">
        <v>45.496000000000002</v>
      </c>
      <c r="BL8" s="31"/>
      <c r="BM8" s="31"/>
      <c r="BN8" s="31">
        <v>91.251000000000005</v>
      </c>
      <c r="BO8" s="40"/>
      <c r="BP8" s="40">
        <v>20.151</v>
      </c>
      <c r="BQ8" s="32">
        <v>25.427</v>
      </c>
      <c r="BR8" s="33">
        <v>1</v>
      </c>
      <c r="BS8" s="34"/>
      <c r="BT8" s="35"/>
      <c r="BU8" s="28"/>
      <c r="BV8" s="287"/>
      <c r="BW8" s="28">
        <v>2.81</v>
      </c>
      <c r="BX8" s="36"/>
      <c r="BY8" s="33">
        <v>35.89</v>
      </c>
      <c r="BZ8" s="34"/>
      <c r="CA8" s="35"/>
      <c r="CB8" s="35">
        <v>41.63</v>
      </c>
      <c r="CC8" s="235"/>
      <c r="CD8" s="235">
        <v>32</v>
      </c>
      <c r="CE8" s="36">
        <v>43.74</v>
      </c>
      <c r="CF8" s="30">
        <v>117.52800000000001</v>
      </c>
      <c r="CG8" s="30"/>
      <c r="CH8" s="31"/>
      <c r="CI8" s="32"/>
      <c r="CJ8" s="33">
        <v>1.59</v>
      </c>
      <c r="CK8" s="33"/>
      <c r="CL8" s="35"/>
      <c r="CM8" s="28"/>
      <c r="CN8" s="286"/>
      <c r="CO8" s="249">
        <f t="shared" si="13"/>
        <v>45.041040000000002</v>
      </c>
      <c r="CP8" s="12">
        <f t="shared" si="13"/>
        <v>0</v>
      </c>
      <c r="CQ8" s="12">
        <f t="shared" si="13"/>
        <v>0</v>
      </c>
      <c r="CR8" s="12">
        <f t="shared" si="13"/>
        <v>91.251000000000005</v>
      </c>
      <c r="CS8" s="11">
        <f t="shared" si="13"/>
        <v>0</v>
      </c>
      <c r="CT8" s="11">
        <f t="shared" si="13"/>
        <v>19.584756899999999</v>
      </c>
      <c r="CU8" s="272">
        <f t="shared" si="13"/>
        <v>25.427</v>
      </c>
      <c r="CV8" s="249">
        <f t="shared" si="14"/>
        <v>115.6593048</v>
      </c>
      <c r="CW8" s="12">
        <f t="shared" si="14"/>
        <v>0</v>
      </c>
      <c r="CX8" s="254">
        <f t="shared" si="14"/>
        <v>0</v>
      </c>
      <c r="CY8" s="272">
        <f t="shared" si="14"/>
        <v>0</v>
      </c>
      <c r="CZ8" s="13"/>
      <c r="DA8" s="240">
        <f>(D8+'[2]август 20 '!D8)/(AY8+'[2]август 20 '!BA8)</f>
        <v>2.1240073566982574</v>
      </c>
      <c r="DB8" s="241">
        <f>(T8+'[2]август 20 '!T8)/(AY8+'[2]август 20 '!BA8)</f>
        <v>1.3394662475648846</v>
      </c>
      <c r="DD8" s="292">
        <f t="shared" si="15"/>
        <v>7.2910000000000004</v>
      </c>
      <c r="DE8" s="291">
        <v>0.11</v>
      </c>
      <c r="DF8" s="291">
        <v>15.08</v>
      </c>
      <c r="DG8" s="145">
        <f t="shared" si="16"/>
        <v>7.2829799000000008</v>
      </c>
      <c r="DH8" s="293">
        <f t="shared" ref="DH8:DH37" si="29">IF(AB8=0,0,(DG8*DF8%)/(AB8/100))</f>
        <v>1.4757771686643377</v>
      </c>
      <c r="DJ8" s="322"/>
    </row>
    <row r="9" spans="1:114" s="76" customFormat="1" ht="16.5" customHeight="1" thickBot="1">
      <c r="A9" s="144">
        <v>3</v>
      </c>
      <c r="B9" s="122">
        <f>'[1]август 20'!K8</f>
        <v>200.00200000000001</v>
      </c>
      <c r="C9" s="123">
        <f t="shared" si="17"/>
        <v>0.42263697363026365</v>
      </c>
      <c r="D9" s="145">
        <f>B9*((100-C9)/100)</f>
        <v>199.15671760000001</v>
      </c>
      <c r="E9" s="125">
        <f t="shared" si="19"/>
        <v>38.981889331106693</v>
      </c>
      <c r="F9" s="146">
        <f t="shared" si="0"/>
        <v>2.0983744347276367</v>
      </c>
      <c r="G9" s="127"/>
      <c r="H9" s="126">
        <f t="shared" si="20"/>
        <v>0.75012872826888644</v>
      </c>
      <c r="I9" s="230">
        <f>'[1]июль 20'!AI8</f>
        <v>0</v>
      </c>
      <c r="J9" s="247">
        <f>'[1]август 20'!AA8</f>
        <v>7.9909999999999997</v>
      </c>
      <c r="K9" s="465">
        <f>'[1]сентябрь 20'!AM8</f>
        <v>0</v>
      </c>
      <c r="L9" s="247">
        <f>'[1]август 20'!AE8</f>
        <v>127.962</v>
      </c>
      <c r="M9" s="469">
        <f t="shared" si="21"/>
        <v>1.3482457064587505</v>
      </c>
      <c r="N9" s="403">
        <f>'[1]август 20'!W8</f>
        <v>0</v>
      </c>
      <c r="O9" s="403">
        <f>'[1]август 20'!AU8</f>
        <v>0</v>
      </c>
      <c r="P9" s="401">
        <f t="shared" si="1"/>
        <v>128.565</v>
      </c>
      <c r="Q9" s="122">
        <f>'[1]август 20'!S8</f>
        <v>128.565</v>
      </c>
      <c r="R9" s="123">
        <f t="shared" si="22"/>
        <v>1.64</v>
      </c>
      <c r="S9" s="129">
        <v>4</v>
      </c>
      <c r="T9" s="125">
        <f t="shared" si="2"/>
        <v>126.456534</v>
      </c>
      <c r="U9" s="147">
        <f>IF(AY9=0,0,T9/AY9)</f>
        <v>1.3323836687388053</v>
      </c>
      <c r="V9" s="130">
        <v>24.63</v>
      </c>
      <c r="W9" s="130">
        <v>49.8</v>
      </c>
      <c r="X9" s="129">
        <v>0.89</v>
      </c>
      <c r="Y9" s="131">
        <v>656</v>
      </c>
      <c r="Z9" s="131">
        <v>1153</v>
      </c>
      <c r="AA9" s="148" t="s">
        <v>337</v>
      </c>
      <c r="AB9" s="149">
        <v>74.73</v>
      </c>
      <c r="AC9" s="150">
        <v>80</v>
      </c>
      <c r="AD9" s="151">
        <v>4</v>
      </c>
      <c r="AE9" s="149">
        <v>2</v>
      </c>
      <c r="AF9" s="134">
        <f t="shared" si="4"/>
        <v>21.072595090085343</v>
      </c>
      <c r="AG9" s="152"/>
      <c r="AH9" s="129">
        <v>71.349999999999994</v>
      </c>
      <c r="AI9" s="134">
        <f t="shared" si="5"/>
        <v>751.76482983879464</v>
      </c>
      <c r="AJ9" s="153">
        <v>17.22</v>
      </c>
      <c r="AK9" s="154"/>
      <c r="AL9" s="155">
        <v>5.57</v>
      </c>
      <c r="AM9" s="478">
        <v>31.23</v>
      </c>
      <c r="AN9" s="126">
        <f t="shared" si="23"/>
        <v>0.24097222222222223</v>
      </c>
      <c r="AO9" s="157" t="s">
        <v>373</v>
      </c>
      <c r="AP9" s="156">
        <v>9.31</v>
      </c>
      <c r="AQ9" s="156">
        <v>7.08</v>
      </c>
      <c r="AR9" s="149"/>
      <c r="AS9" s="149">
        <v>6.33</v>
      </c>
      <c r="AT9" s="149">
        <v>129.6</v>
      </c>
      <c r="AU9" s="149">
        <v>2.11</v>
      </c>
      <c r="AV9" s="149"/>
      <c r="AW9" s="149"/>
      <c r="AX9" s="158">
        <f t="shared" si="6"/>
        <v>0</v>
      </c>
      <c r="AY9" s="125">
        <f t="shared" si="7"/>
        <v>94.91</v>
      </c>
      <c r="AZ9" s="125">
        <f t="shared" si="24"/>
        <v>92.438688201912242</v>
      </c>
      <c r="BA9" s="159">
        <f t="shared" si="8"/>
        <v>3.4986623239436616</v>
      </c>
      <c r="BB9" s="160">
        <f t="shared" si="9"/>
        <v>3.7963999999999998</v>
      </c>
      <c r="BC9" s="161">
        <f t="shared" si="10"/>
        <v>0.91358531820031419</v>
      </c>
      <c r="BD9" s="160">
        <f t="shared" si="25"/>
        <v>7.2950623239436609</v>
      </c>
      <c r="BE9" s="162">
        <v>0.92600000000000005</v>
      </c>
      <c r="BF9" s="25">
        <f t="shared" si="26"/>
        <v>288.35000000000002</v>
      </c>
      <c r="BG9" s="25">
        <f t="shared" si="11"/>
        <v>107.74193548387096</v>
      </c>
      <c r="BH9" s="25">
        <f t="shared" si="27"/>
        <v>323.22580645161287</v>
      </c>
      <c r="BI9" s="26">
        <f t="shared" si="12"/>
        <v>1</v>
      </c>
      <c r="BJ9" s="37">
        <f t="shared" si="28"/>
        <v>323.22580645161287</v>
      </c>
      <c r="BK9" s="38">
        <v>48.026000000000003</v>
      </c>
      <c r="BL9" s="31"/>
      <c r="BM9" s="31"/>
      <c r="BN9" s="31">
        <v>99.984999999999999</v>
      </c>
      <c r="BO9" s="40"/>
      <c r="BP9" s="40">
        <v>24.013999999999999</v>
      </c>
      <c r="BQ9" s="32">
        <v>27.977</v>
      </c>
      <c r="BR9" s="33">
        <v>0.52</v>
      </c>
      <c r="BS9" s="34"/>
      <c r="BT9" s="35"/>
      <c r="BU9" s="28"/>
      <c r="BV9" s="287"/>
      <c r="BW9" s="287">
        <v>2.48</v>
      </c>
      <c r="BX9" s="36"/>
      <c r="BY9" s="33">
        <v>36.340000000000003</v>
      </c>
      <c r="BZ9" s="34"/>
      <c r="CA9" s="35"/>
      <c r="CB9" s="35">
        <v>41.63</v>
      </c>
      <c r="CC9" s="235"/>
      <c r="CD9" s="235">
        <v>27.51</v>
      </c>
      <c r="CE9" s="36">
        <v>43.9</v>
      </c>
      <c r="CF9" s="30">
        <v>128.565</v>
      </c>
      <c r="CG9" s="30"/>
      <c r="CH9" s="31"/>
      <c r="CI9" s="32"/>
      <c r="CJ9" s="33">
        <v>1.64</v>
      </c>
      <c r="CK9" s="33"/>
      <c r="CL9" s="35"/>
      <c r="CM9" s="36"/>
      <c r="CN9" s="286"/>
      <c r="CO9" s="249">
        <f t="shared" si="13"/>
        <v>47.776264800000007</v>
      </c>
      <c r="CP9" s="12">
        <f t="shared" si="13"/>
        <v>0</v>
      </c>
      <c r="CQ9" s="12">
        <f t="shared" si="13"/>
        <v>0</v>
      </c>
      <c r="CR9" s="12">
        <f t="shared" si="13"/>
        <v>99.984999999999999</v>
      </c>
      <c r="CS9" s="11">
        <f t="shared" si="13"/>
        <v>0</v>
      </c>
      <c r="CT9" s="11">
        <f t="shared" si="13"/>
        <v>23.418452799999997</v>
      </c>
      <c r="CU9" s="272">
        <f t="shared" si="13"/>
        <v>27.977</v>
      </c>
      <c r="CV9" s="249">
        <f t="shared" si="14"/>
        <v>126.456534</v>
      </c>
      <c r="CW9" s="251">
        <f t="shared" si="14"/>
        <v>0</v>
      </c>
      <c r="CX9" s="249">
        <f t="shared" si="14"/>
        <v>0</v>
      </c>
      <c r="CY9" s="272">
        <f t="shared" si="14"/>
        <v>0</v>
      </c>
      <c r="CZ9" s="13"/>
      <c r="DA9" s="240">
        <f>(D9+'[2]август 20 '!D9)/(AY9+'[2]август 20 '!BA9)</f>
        <v>2.1081714065715604</v>
      </c>
      <c r="DB9" s="241">
        <f>(T9+'[2]август 20 '!T9)/(AY9+'[2]август 20 '!BA9)</f>
        <v>1.3277749023505858</v>
      </c>
      <c r="DD9" s="292">
        <f t="shared" si="15"/>
        <v>7.9909999999999997</v>
      </c>
      <c r="DE9" s="291">
        <v>0.13</v>
      </c>
      <c r="DF9" s="291">
        <v>16.34</v>
      </c>
      <c r="DG9" s="145">
        <f t="shared" si="16"/>
        <v>7.9806116999999999</v>
      </c>
      <c r="DH9" s="293">
        <f t="shared" si="29"/>
        <v>1.7449912374949816</v>
      </c>
      <c r="DJ9" s="322"/>
    </row>
    <row r="10" spans="1:114" s="76" customFormat="1" ht="16.5" customHeight="1" thickBot="1">
      <c r="A10" s="144">
        <v>4</v>
      </c>
      <c r="B10" s="122">
        <f>'[1]август 20'!K9</f>
        <v>120.307</v>
      </c>
      <c r="C10" s="123">
        <f t="shared" si="17"/>
        <v>0.47911459848554105</v>
      </c>
      <c r="D10" s="145">
        <f t="shared" si="18"/>
        <v>119.7305916</v>
      </c>
      <c r="E10" s="125">
        <f>IF(B10=0,0,(BK10*BY10+BL10*BZ10+BM10*CA10+BQ10*CE10+BN10*CB10+BO10*CC10+BP10*CD10)/B10)</f>
        <v>39.375830999027485</v>
      </c>
      <c r="F10" s="146">
        <f t="shared" si="0"/>
        <v>1.7698535343680708</v>
      </c>
      <c r="G10" s="127"/>
      <c r="H10" s="126">
        <f t="shared" si="20"/>
        <v>0.63248472431633396</v>
      </c>
      <c r="I10" s="230">
        <f>'[1]июль 20'!AI9</f>
        <v>0</v>
      </c>
      <c r="J10" s="247">
        <f>'[1]август 20'!AA9</f>
        <v>4.8239999999999998</v>
      </c>
      <c r="K10" s="466">
        <f>'[1]сентябрь 20'!AM9</f>
        <v>0</v>
      </c>
      <c r="L10" s="247">
        <f>'[1]август 20'!AE9</f>
        <v>76.942999999999998</v>
      </c>
      <c r="M10" s="470">
        <f t="shared" si="21"/>
        <v>1.1373688100517367</v>
      </c>
      <c r="N10" s="403">
        <f>'[1]август 20'!W9</f>
        <v>0</v>
      </c>
      <c r="O10" s="403">
        <f>'[1]август 20'!AU9</f>
        <v>0</v>
      </c>
      <c r="P10" s="401">
        <f t="shared" si="1"/>
        <v>87.697999999999993</v>
      </c>
      <c r="Q10" s="122">
        <f>'[1]август 20'!S9</f>
        <v>87.697999999999993</v>
      </c>
      <c r="R10" s="123">
        <f t="shared" si="22"/>
        <v>1.31</v>
      </c>
      <c r="S10" s="129">
        <v>2.29</v>
      </c>
      <c r="T10" s="125">
        <f t="shared" si="2"/>
        <v>86.549156199999999</v>
      </c>
      <c r="U10" s="147">
        <f t="shared" si="3"/>
        <v>1.2793666844050258</v>
      </c>
      <c r="V10" s="130"/>
      <c r="W10" s="130">
        <v>47.01</v>
      </c>
      <c r="X10" s="129">
        <v>0.53</v>
      </c>
      <c r="Y10" s="131">
        <v>638</v>
      </c>
      <c r="Z10" s="131">
        <v>1099</v>
      </c>
      <c r="AA10" s="148" t="s">
        <v>336</v>
      </c>
      <c r="AB10" s="149">
        <v>73.39</v>
      </c>
      <c r="AC10" s="150">
        <v>51</v>
      </c>
      <c r="AD10" s="151">
        <v>3</v>
      </c>
      <c r="AE10" s="149">
        <v>2.65</v>
      </c>
      <c r="AF10" s="134">
        <f t="shared" si="4"/>
        <v>39.172209903917221</v>
      </c>
      <c r="AG10" s="152"/>
      <c r="AH10" s="129">
        <v>45</v>
      </c>
      <c r="AI10" s="134">
        <f t="shared" si="5"/>
        <v>665.18847006651879</v>
      </c>
      <c r="AJ10" s="153">
        <v>11.4</v>
      </c>
      <c r="AK10" s="154"/>
      <c r="AL10" s="155">
        <v>3.35</v>
      </c>
      <c r="AM10" s="478">
        <v>13.04</v>
      </c>
      <c r="AN10" s="126">
        <f t="shared" si="23"/>
        <v>0.15720313441832429</v>
      </c>
      <c r="AO10" s="157" t="s">
        <v>374</v>
      </c>
      <c r="AP10" s="156">
        <v>9.5500000000000007</v>
      </c>
      <c r="AQ10" s="156">
        <v>6.27</v>
      </c>
      <c r="AR10" s="149"/>
      <c r="AS10" s="149">
        <v>7.89</v>
      </c>
      <c r="AT10" s="149">
        <v>82.95</v>
      </c>
      <c r="AU10" s="149">
        <v>1.0900000000000001</v>
      </c>
      <c r="AV10" s="149"/>
      <c r="AW10" s="149"/>
      <c r="AX10" s="158">
        <f t="shared" si="6"/>
        <v>0</v>
      </c>
      <c r="AY10" s="125">
        <f>AT10-AL10-AM10+AV10+AW10+AU10</f>
        <v>67.650000000000006</v>
      </c>
      <c r="AZ10" s="125">
        <f t="shared" si="24"/>
        <v>56.939373953437411</v>
      </c>
      <c r="BA10" s="159">
        <f t="shared" si="8"/>
        <v>2.750387323943662</v>
      </c>
      <c r="BB10" s="160">
        <f t="shared" si="9"/>
        <v>2.7060000000000004</v>
      </c>
      <c r="BC10" s="161">
        <f t="shared" si="10"/>
        <v>1.0531005215742248</v>
      </c>
      <c r="BD10" s="160">
        <f t="shared" si="25"/>
        <v>5.4563873239436624</v>
      </c>
      <c r="BE10" s="162">
        <v>0.94699999999999995</v>
      </c>
      <c r="BF10" s="25">
        <f t="shared" si="26"/>
        <v>356</v>
      </c>
      <c r="BG10" s="25">
        <f t="shared" si="11"/>
        <v>107.74193548387096</v>
      </c>
      <c r="BH10" s="25">
        <f t="shared" si="27"/>
        <v>430.96774193548384</v>
      </c>
      <c r="BI10" s="26">
        <f t="shared" si="12"/>
        <v>1</v>
      </c>
      <c r="BJ10" s="37">
        <f t="shared" si="28"/>
        <v>430.96774193548384</v>
      </c>
      <c r="BK10" s="38">
        <v>27.204999999999998</v>
      </c>
      <c r="BL10" s="31"/>
      <c r="BM10" s="31"/>
      <c r="BN10" s="31">
        <v>60.145000000000003</v>
      </c>
      <c r="BO10" s="40"/>
      <c r="BP10" s="40">
        <v>16.158999999999999</v>
      </c>
      <c r="BQ10" s="32">
        <v>16.797999999999998</v>
      </c>
      <c r="BR10" s="33">
        <v>0.42</v>
      </c>
      <c r="BS10" s="34"/>
      <c r="BT10" s="35"/>
      <c r="BU10" s="28"/>
      <c r="BV10" s="287"/>
      <c r="BW10" s="287">
        <v>2.86</v>
      </c>
      <c r="BX10" s="36"/>
      <c r="BY10" s="33">
        <v>36.24</v>
      </c>
      <c r="BZ10" s="34"/>
      <c r="CA10" s="35"/>
      <c r="CB10" s="35">
        <v>41.61</v>
      </c>
      <c r="CC10" s="235"/>
      <c r="CD10" s="235">
        <v>31.73</v>
      </c>
      <c r="CE10" s="36">
        <v>43.81</v>
      </c>
      <c r="CF10" s="30">
        <v>87.697999999999993</v>
      </c>
      <c r="CG10" s="30"/>
      <c r="CH10" s="31"/>
      <c r="CI10" s="32"/>
      <c r="CJ10" s="33">
        <v>1.31</v>
      </c>
      <c r="CK10" s="33"/>
      <c r="CL10" s="35"/>
      <c r="CM10" s="36"/>
      <c r="CN10" s="286"/>
      <c r="CO10" s="249">
        <f t="shared" si="13"/>
        <v>27.090738999999999</v>
      </c>
      <c r="CP10" s="12">
        <f t="shared" si="13"/>
        <v>0</v>
      </c>
      <c r="CQ10" s="12">
        <f t="shared" si="13"/>
        <v>0</v>
      </c>
      <c r="CR10" s="14">
        <f t="shared" si="13"/>
        <v>60.145000000000003</v>
      </c>
      <c r="CS10" s="11">
        <f t="shared" si="13"/>
        <v>0</v>
      </c>
      <c r="CT10" s="11">
        <f t="shared" si="13"/>
        <v>15.6968526</v>
      </c>
      <c r="CU10" s="272">
        <f t="shared" si="13"/>
        <v>16.797999999999998</v>
      </c>
      <c r="CV10" s="249">
        <f t="shared" si="14"/>
        <v>86.549156199999999</v>
      </c>
      <c r="CW10" s="12">
        <f t="shared" si="14"/>
        <v>0</v>
      </c>
      <c r="CX10" s="249">
        <f t="shared" si="14"/>
        <v>0</v>
      </c>
      <c r="CY10" s="272">
        <f t="shared" si="14"/>
        <v>0</v>
      </c>
      <c r="CZ10" s="13"/>
      <c r="DA10" s="240">
        <f>(D10+'[2]август 20 '!D10)/(AY10+'[2]август 20 '!BA10)</f>
        <v>1.9740495175285124</v>
      </c>
      <c r="DB10" s="241">
        <f>(T10+'[2]август 20 '!T10)/(AY10+'[2]август 20 '!BA10)</f>
        <v>1.2801820213390585</v>
      </c>
      <c r="DD10" s="292">
        <f t="shared" si="15"/>
        <v>4.8239999999999998</v>
      </c>
      <c r="DE10" s="291">
        <v>1.39</v>
      </c>
      <c r="DF10" s="291">
        <v>13.25</v>
      </c>
      <c r="DG10" s="145">
        <f t="shared" si="16"/>
        <v>4.7569463999999995</v>
      </c>
      <c r="DH10" s="293">
        <f t="shared" si="29"/>
        <v>0.85883008311759101</v>
      </c>
      <c r="DJ10" s="322"/>
    </row>
    <row r="11" spans="1:114" s="76" customFormat="1" ht="16.5" customHeight="1" thickBot="1">
      <c r="A11" s="144">
        <v>5</v>
      </c>
      <c r="B11" s="122">
        <f>'[1]август 20'!K10</f>
        <v>212.636</v>
      </c>
      <c r="C11" s="123">
        <f t="shared" si="17"/>
        <v>0.51290599898417943</v>
      </c>
      <c r="D11" s="145">
        <f t="shared" si="18"/>
        <v>211.54537719999999</v>
      </c>
      <c r="E11" s="125">
        <f t="shared" si="19"/>
        <v>39.028030107789839</v>
      </c>
      <c r="F11" s="146">
        <f t="shared" si="0"/>
        <v>2.375313015944307</v>
      </c>
      <c r="G11" s="127"/>
      <c r="H11" s="126">
        <f t="shared" si="20"/>
        <v>0.87379718392095207</v>
      </c>
      <c r="I11" s="230">
        <f>'[1]июль 20'!AI10</f>
        <v>0</v>
      </c>
      <c r="J11" s="247">
        <f>'[1]август 20'!AA10</f>
        <v>8.8879999999999999</v>
      </c>
      <c r="K11" s="464">
        <f>'[1]сентябрь 20'!AM10</f>
        <v>0</v>
      </c>
      <c r="L11" s="247">
        <f>'[1]август 20'!AE10</f>
        <v>133.72499999999999</v>
      </c>
      <c r="M11" s="468">
        <f t="shared" si="21"/>
        <v>1.501515832023355</v>
      </c>
      <c r="N11" s="403">
        <f>'[1]август 20'!W10</f>
        <v>0</v>
      </c>
      <c r="O11" s="403">
        <f>'[1]август 20'!AU10</f>
        <v>0</v>
      </c>
      <c r="P11" s="401">
        <f t="shared" si="1"/>
        <v>138.036</v>
      </c>
      <c r="Q11" s="122">
        <f>'[1]август 20'!S10</f>
        <v>138.036</v>
      </c>
      <c r="R11" s="123">
        <f t="shared" si="22"/>
        <v>1.47</v>
      </c>
      <c r="S11" s="129">
        <v>2</v>
      </c>
      <c r="T11" s="125">
        <f t="shared" si="2"/>
        <v>136.0068708</v>
      </c>
      <c r="U11" s="147">
        <f t="shared" si="3"/>
        <v>1.5271375567033461</v>
      </c>
      <c r="V11" s="130"/>
      <c r="W11" s="130"/>
      <c r="X11" s="129">
        <v>1.57</v>
      </c>
      <c r="Y11" s="131">
        <v>664</v>
      </c>
      <c r="Z11" s="131">
        <v>1154</v>
      </c>
      <c r="AA11" s="148" t="s">
        <v>375</v>
      </c>
      <c r="AB11" s="149">
        <v>74.13</v>
      </c>
      <c r="AC11" s="150">
        <v>85</v>
      </c>
      <c r="AD11" s="151">
        <v>4</v>
      </c>
      <c r="AE11" s="149">
        <v>3.35</v>
      </c>
      <c r="AF11" s="134">
        <f t="shared" si="4"/>
        <v>37.615090949921402</v>
      </c>
      <c r="AG11" s="152"/>
      <c r="AH11" s="129">
        <v>64.55</v>
      </c>
      <c r="AI11" s="134">
        <f t="shared" si="5"/>
        <v>724.79227487087348</v>
      </c>
      <c r="AJ11" s="163">
        <v>12.6</v>
      </c>
      <c r="AK11" s="154"/>
      <c r="AL11" s="155">
        <v>4.46</v>
      </c>
      <c r="AM11" s="478">
        <v>24.03</v>
      </c>
      <c r="AN11" s="126">
        <f t="shared" si="23"/>
        <v>0.20564826700898589</v>
      </c>
      <c r="AO11" s="157" t="s">
        <v>374</v>
      </c>
      <c r="AP11" s="156">
        <v>9.81</v>
      </c>
      <c r="AQ11" s="156">
        <v>6.28</v>
      </c>
      <c r="AR11" s="149"/>
      <c r="AS11" s="149">
        <v>6.61</v>
      </c>
      <c r="AT11" s="149">
        <v>116.85</v>
      </c>
      <c r="AU11" s="149">
        <v>0.7</v>
      </c>
      <c r="AV11" s="149"/>
      <c r="AW11" s="149"/>
      <c r="AX11" s="158">
        <f t="shared" si="6"/>
        <v>0</v>
      </c>
      <c r="AY11" s="125">
        <f t="shared" si="7"/>
        <v>89.06</v>
      </c>
      <c r="AZ11" s="125">
        <f t="shared" si="24"/>
        <v>98.876763794639658</v>
      </c>
      <c r="BA11" s="159">
        <f t="shared" si="8"/>
        <v>3.3052327464788731</v>
      </c>
      <c r="BB11" s="160">
        <f t="shared" si="9"/>
        <v>3.5624000000000002</v>
      </c>
      <c r="BC11" s="161">
        <f t="shared" si="10"/>
        <v>0.79964370041281774</v>
      </c>
      <c r="BD11" s="160">
        <f t="shared" si="25"/>
        <v>6.8676327464788738</v>
      </c>
      <c r="BE11" s="162">
        <v>0.91400000000000003</v>
      </c>
      <c r="BF11" s="25">
        <f t="shared" si="26"/>
        <v>445.06</v>
      </c>
      <c r="BG11" s="25">
        <f t="shared" si="11"/>
        <v>107.74193548387096</v>
      </c>
      <c r="BH11" s="25">
        <f t="shared" si="27"/>
        <v>538.70967741935476</v>
      </c>
      <c r="BI11" s="26">
        <f t="shared" si="12"/>
        <v>1</v>
      </c>
      <c r="BJ11" s="37">
        <f t="shared" si="28"/>
        <v>538.70967741935476</v>
      </c>
      <c r="BK11" s="38">
        <v>47.960999999999999</v>
      </c>
      <c r="BL11" s="31"/>
      <c r="BM11" s="31"/>
      <c r="BN11" s="31">
        <v>103.946</v>
      </c>
      <c r="BO11" s="40"/>
      <c r="BP11" s="40">
        <v>30.95</v>
      </c>
      <c r="BQ11" s="32">
        <v>29.779</v>
      </c>
      <c r="BR11" s="33">
        <v>0.48</v>
      </c>
      <c r="BS11" s="34"/>
      <c r="BT11" s="35"/>
      <c r="BU11" s="28"/>
      <c r="BV11" s="287"/>
      <c r="BW11" s="287">
        <v>2.78</v>
      </c>
      <c r="BX11" s="36"/>
      <c r="BY11" s="33">
        <v>35.08</v>
      </c>
      <c r="BZ11" s="34"/>
      <c r="CA11" s="35"/>
      <c r="CB11" s="35">
        <v>41.66</v>
      </c>
      <c r="CC11" s="235"/>
      <c r="CD11" s="235">
        <v>31.59</v>
      </c>
      <c r="CE11" s="36">
        <v>43.93</v>
      </c>
      <c r="CF11" s="30">
        <v>138.036</v>
      </c>
      <c r="CG11" s="30"/>
      <c r="CH11" s="31"/>
      <c r="CI11" s="32"/>
      <c r="CJ11" s="33">
        <v>1.47</v>
      </c>
      <c r="CK11" s="33"/>
      <c r="CL11" s="35"/>
      <c r="CM11" s="36"/>
      <c r="CN11" s="286"/>
      <c r="CO11" s="249">
        <f t="shared" si="13"/>
        <v>47.730787199999995</v>
      </c>
      <c r="CP11" s="12">
        <f t="shared" si="13"/>
        <v>0</v>
      </c>
      <c r="CQ11" s="15">
        <f t="shared" si="13"/>
        <v>0</v>
      </c>
      <c r="CR11" s="16">
        <f t="shared" si="13"/>
        <v>103.946</v>
      </c>
      <c r="CS11" s="11">
        <f t="shared" si="13"/>
        <v>0</v>
      </c>
      <c r="CT11" s="11">
        <f t="shared" si="13"/>
        <v>30.089589999999998</v>
      </c>
      <c r="CU11" s="272">
        <f t="shared" si="13"/>
        <v>29.779</v>
      </c>
      <c r="CV11" s="249">
        <f t="shared" si="14"/>
        <v>136.0068708</v>
      </c>
      <c r="CW11" s="12">
        <f t="shared" si="14"/>
        <v>0</v>
      </c>
      <c r="CX11" s="249">
        <f t="shared" si="14"/>
        <v>0</v>
      </c>
      <c r="CY11" s="272">
        <f t="shared" si="14"/>
        <v>0</v>
      </c>
      <c r="CZ11" s="13"/>
      <c r="DA11" s="240">
        <f>(D11+'[2]август 20 '!D11)/(AY11+'[2]август 20 '!BA11)</f>
        <v>2.2125213757794646</v>
      </c>
      <c r="DB11" s="241">
        <f>(T11+'[2]август 20 '!T11)/(AY11+'[2]август 20 '!BA11)</f>
        <v>1.3871772804574998</v>
      </c>
      <c r="DD11" s="292">
        <f t="shared" si="15"/>
        <v>8.8879999999999999</v>
      </c>
      <c r="DE11" s="291">
        <v>0.33</v>
      </c>
      <c r="DF11" s="407">
        <v>13.78</v>
      </c>
      <c r="DG11" s="145">
        <f t="shared" si="16"/>
        <v>8.8586696000000007</v>
      </c>
      <c r="DH11" s="293">
        <f t="shared" si="29"/>
        <v>1.6467350207473361</v>
      </c>
      <c r="DJ11" s="322"/>
    </row>
    <row r="12" spans="1:114" s="76" customFormat="1" ht="16.5" customHeight="1" thickBot="1">
      <c r="A12" s="144">
        <v>6</v>
      </c>
      <c r="B12" s="122">
        <f>'[1]август 20'!K11</f>
        <v>200.13</v>
      </c>
      <c r="C12" s="123">
        <f t="shared" si="17"/>
        <v>0.56458122220556639</v>
      </c>
      <c r="D12" s="145">
        <f t="shared" si="18"/>
        <v>199.00010360000002</v>
      </c>
      <c r="E12" s="125">
        <f t="shared" si="19"/>
        <v>38.935719532303999</v>
      </c>
      <c r="F12" s="146">
        <f t="shared" si="0"/>
        <v>2.051970546504434</v>
      </c>
      <c r="G12" s="127"/>
      <c r="H12" s="126">
        <f t="shared" si="20"/>
        <v>0.83840073829655593</v>
      </c>
      <c r="I12" s="230">
        <f>'[1]июль 20'!AI11</f>
        <v>0</v>
      </c>
      <c r="J12" s="247">
        <f>'[1]август 20'!AA11</f>
        <v>7.9619999999999997</v>
      </c>
      <c r="K12" s="465">
        <f>'[1]сентябрь 20'!AM11</f>
        <v>0</v>
      </c>
      <c r="L12" s="247">
        <f>'[1]август 20'!AE11</f>
        <v>117.69199999999999</v>
      </c>
      <c r="M12" s="469">
        <f t="shared" si="21"/>
        <v>1.2135698082078779</v>
      </c>
      <c r="N12" s="403">
        <f>'[1]август 20'!W11</f>
        <v>0</v>
      </c>
      <c r="O12" s="403">
        <f>'[1]август 20'!AU11</f>
        <v>0</v>
      </c>
      <c r="P12" s="401">
        <f t="shared" si="1"/>
        <v>129.23599999999999</v>
      </c>
      <c r="Q12" s="122">
        <f>'[1]август 20'!S11</f>
        <v>129.23599999999999</v>
      </c>
      <c r="R12" s="123">
        <f t="shared" si="22"/>
        <v>1.46</v>
      </c>
      <c r="S12" s="129">
        <v>2</v>
      </c>
      <c r="T12" s="125">
        <f t="shared" si="2"/>
        <v>127.3491544</v>
      </c>
      <c r="U12" s="147">
        <f t="shared" si="3"/>
        <v>1.3131486327077748</v>
      </c>
      <c r="V12" s="130"/>
      <c r="W12" s="130">
        <v>71.81</v>
      </c>
      <c r="X12" s="129">
        <v>0.52</v>
      </c>
      <c r="Y12" s="131">
        <v>680</v>
      </c>
      <c r="Z12" s="150">
        <v>1140</v>
      </c>
      <c r="AA12" s="148" t="s">
        <v>336</v>
      </c>
      <c r="AB12" s="149">
        <v>73.61</v>
      </c>
      <c r="AC12" s="150">
        <v>80</v>
      </c>
      <c r="AD12" s="151">
        <v>4</v>
      </c>
      <c r="AE12" s="149">
        <v>3.05</v>
      </c>
      <c r="AF12" s="134">
        <f t="shared" si="4"/>
        <v>31.449783460507316</v>
      </c>
      <c r="AG12" s="152"/>
      <c r="AH12" s="129">
        <v>73.05</v>
      </c>
      <c r="AI12" s="134">
        <f t="shared" si="5"/>
        <v>753.2480923901835</v>
      </c>
      <c r="AJ12" s="153">
        <v>12.41</v>
      </c>
      <c r="AK12" s="154"/>
      <c r="AL12" s="155">
        <v>5.5</v>
      </c>
      <c r="AM12" s="478">
        <v>22.43</v>
      </c>
      <c r="AN12" s="126">
        <f t="shared" si="23"/>
        <v>0.18096006454215408</v>
      </c>
      <c r="AO12" s="157" t="s">
        <v>376</v>
      </c>
      <c r="AP12" s="156">
        <v>8.76</v>
      </c>
      <c r="AQ12" s="156">
        <v>6.1</v>
      </c>
      <c r="AR12" s="149"/>
      <c r="AS12" s="149">
        <v>8.64</v>
      </c>
      <c r="AT12" s="149">
        <v>123.95</v>
      </c>
      <c r="AU12" s="149">
        <v>0.96</v>
      </c>
      <c r="AV12" s="164"/>
      <c r="AW12" s="164"/>
      <c r="AX12" s="158">
        <f t="shared" si="6"/>
        <v>0</v>
      </c>
      <c r="AY12" s="125">
        <f t="shared" si="7"/>
        <v>96.98</v>
      </c>
      <c r="AZ12" s="125">
        <f t="shared" si="24"/>
        <v>93.083288047576019</v>
      </c>
      <c r="BA12" s="159">
        <f t="shared" si="8"/>
        <v>4.8892056338028169</v>
      </c>
      <c r="BB12" s="160">
        <f t="shared" si="9"/>
        <v>3.8792000000000004</v>
      </c>
      <c r="BC12" s="161">
        <f t="shared" si="10"/>
        <v>0.92133483140238381</v>
      </c>
      <c r="BD12" s="160">
        <f t="shared" si="25"/>
        <v>8.7684056338028178</v>
      </c>
      <c r="BE12" s="162">
        <v>0.91500000000000004</v>
      </c>
      <c r="BF12" s="25">
        <f t="shared" si="26"/>
        <v>542.04</v>
      </c>
      <c r="BG12" s="25">
        <f t="shared" si="11"/>
        <v>107.74193548387096</v>
      </c>
      <c r="BH12" s="25">
        <f t="shared" si="27"/>
        <v>646.45161290322574</v>
      </c>
      <c r="BI12" s="26">
        <f t="shared" si="12"/>
        <v>1</v>
      </c>
      <c r="BJ12" s="37">
        <f t="shared" si="28"/>
        <v>646.45161290322574</v>
      </c>
      <c r="BK12" s="38">
        <v>50.432000000000002</v>
      </c>
      <c r="BL12" s="31"/>
      <c r="BM12" s="31"/>
      <c r="BN12" s="31">
        <v>90.832999999999998</v>
      </c>
      <c r="BO12" s="40"/>
      <c r="BP12" s="40">
        <v>32.006</v>
      </c>
      <c r="BQ12" s="32">
        <v>26.859000000000002</v>
      </c>
      <c r="BR12" s="33">
        <v>0.73</v>
      </c>
      <c r="BS12" s="34"/>
      <c r="BT12" s="33"/>
      <c r="BU12" s="28"/>
      <c r="BV12" s="287"/>
      <c r="BW12" s="287">
        <v>2.38</v>
      </c>
      <c r="BX12" s="36"/>
      <c r="BY12" s="33">
        <v>36.520000000000003</v>
      </c>
      <c r="BZ12" s="34"/>
      <c r="CA12" s="33"/>
      <c r="CB12" s="35">
        <v>41.75</v>
      </c>
      <c r="CC12" s="235"/>
      <c r="CD12" s="235">
        <v>30.69</v>
      </c>
      <c r="CE12" s="36">
        <v>43.78</v>
      </c>
      <c r="CF12" s="30">
        <v>129.23599999999999</v>
      </c>
      <c r="CG12" s="30"/>
      <c r="CH12" s="31"/>
      <c r="CI12" s="32"/>
      <c r="CJ12" s="33">
        <v>1.46</v>
      </c>
      <c r="CK12" s="33"/>
      <c r="CL12" s="35"/>
      <c r="CM12" s="36"/>
      <c r="CN12" s="286"/>
      <c r="CO12" s="249">
        <f t="shared" si="13"/>
        <v>50.063846399999996</v>
      </c>
      <c r="CP12" s="12">
        <f t="shared" si="13"/>
        <v>0</v>
      </c>
      <c r="CQ12" s="12">
        <f t="shared" si="13"/>
        <v>0</v>
      </c>
      <c r="CR12" s="12">
        <f t="shared" si="13"/>
        <v>90.832999999999998</v>
      </c>
      <c r="CS12" s="11">
        <f t="shared" si="13"/>
        <v>0</v>
      </c>
      <c r="CT12" s="11">
        <f t="shared" si="13"/>
        <v>31.244257200000003</v>
      </c>
      <c r="CU12" s="272">
        <f t="shared" si="13"/>
        <v>26.859000000000002</v>
      </c>
      <c r="CV12" s="249">
        <f t="shared" si="14"/>
        <v>127.3491544</v>
      </c>
      <c r="CW12" s="12">
        <f t="shared" si="14"/>
        <v>0</v>
      </c>
      <c r="CX12" s="252">
        <f t="shared" si="14"/>
        <v>0</v>
      </c>
      <c r="CY12" s="272">
        <f t="shared" si="14"/>
        <v>0</v>
      </c>
      <c r="CZ12" s="13"/>
      <c r="DA12" s="240">
        <f>(D12+'[2]август 20 '!D12)/(AY12+'[2]август 20 '!BA12)</f>
        <v>2.1351697146176774</v>
      </c>
      <c r="DB12" s="241">
        <f>(T12+'[2]август 20 '!T12)/(AY12+'[2]август 20 '!BA12)</f>
        <v>1.3348818471216544</v>
      </c>
      <c r="DD12" s="292">
        <f t="shared" si="15"/>
        <v>7.9619999999999997</v>
      </c>
      <c r="DE12" s="291">
        <v>0.17</v>
      </c>
      <c r="DF12" s="291">
        <v>11.03</v>
      </c>
      <c r="DG12" s="145">
        <f t="shared" si="16"/>
        <v>7.9484645999999994</v>
      </c>
      <c r="DH12" s="293">
        <f t="shared" si="29"/>
        <v>1.1910279111262057</v>
      </c>
      <c r="DJ12" s="322"/>
    </row>
    <row r="13" spans="1:114" s="76" customFormat="1" ht="16.5" customHeight="1" thickBot="1">
      <c r="A13" s="144">
        <v>7</v>
      </c>
      <c r="B13" s="122">
        <f>'[1]август 20'!K12</f>
        <v>221.209</v>
      </c>
      <c r="C13" s="123">
        <f t="shared" si="17"/>
        <v>0.61695753789402774</v>
      </c>
      <c r="D13" s="145">
        <f t="shared" si="18"/>
        <v>219.8442344</v>
      </c>
      <c r="E13" s="125">
        <f t="shared" si="19"/>
        <v>39.009303464144772</v>
      </c>
      <c r="F13" s="146">
        <f t="shared" si="0"/>
        <v>2.4348680296821352</v>
      </c>
      <c r="G13" s="127"/>
      <c r="H13" s="126">
        <f t="shared" si="20"/>
        <v>1.1030594130025473</v>
      </c>
      <c r="I13" s="230">
        <f>'[1]июль 20'!AI12</f>
        <v>0</v>
      </c>
      <c r="J13" s="247">
        <f>'[1]август 20'!AA12</f>
        <v>8.9969999999999999</v>
      </c>
      <c r="K13" s="464">
        <f>'[1]сентябрь 20'!AM12</f>
        <v>0</v>
      </c>
      <c r="L13" s="247">
        <f>'[1]август 20'!AE12</f>
        <v>120.249</v>
      </c>
      <c r="M13" s="468">
        <f t="shared" si="21"/>
        <v>1.3318086166795879</v>
      </c>
      <c r="N13" s="403">
        <f>'[1]август 20'!W12</f>
        <v>0</v>
      </c>
      <c r="O13" s="403">
        <f>'[1]август 20'!AU12</f>
        <v>0</v>
      </c>
      <c r="P13" s="401">
        <f t="shared" si="1"/>
        <v>140.33199999999999</v>
      </c>
      <c r="Q13" s="122">
        <f>'[1]август 20'!S12</f>
        <v>140.33199999999999</v>
      </c>
      <c r="R13" s="123">
        <f t="shared" si="22"/>
        <v>1.47</v>
      </c>
      <c r="S13" s="129">
        <v>11.95</v>
      </c>
      <c r="T13" s="125">
        <f t="shared" si="2"/>
        <v>138.26911960000001</v>
      </c>
      <c r="U13" s="147">
        <f t="shared" si="3"/>
        <v>1.5313890752021264</v>
      </c>
      <c r="V13" s="130">
        <v>23.66</v>
      </c>
      <c r="W13" s="130">
        <v>47.74</v>
      </c>
      <c r="X13" s="129">
        <v>1.1299999999999999</v>
      </c>
      <c r="Y13" s="165">
        <v>688</v>
      </c>
      <c r="Z13" s="166">
        <v>1142</v>
      </c>
      <c r="AA13" s="148" t="s">
        <v>377</v>
      </c>
      <c r="AB13" s="149">
        <v>74.05</v>
      </c>
      <c r="AC13" s="150">
        <v>87</v>
      </c>
      <c r="AD13" s="151">
        <v>4</v>
      </c>
      <c r="AE13" s="149">
        <v>4.05</v>
      </c>
      <c r="AF13" s="134">
        <f t="shared" si="4"/>
        <v>44.855465721563846</v>
      </c>
      <c r="AG13" s="152"/>
      <c r="AH13" s="129">
        <v>73.3</v>
      </c>
      <c r="AI13" s="134">
        <f t="shared" si="5"/>
        <v>811.82855244213079</v>
      </c>
      <c r="AJ13" s="136">
        <v>12.93</v>
      </c>
      <c r="AK13" s="154"/>
      <c r="AL13" s="155">
        <v>5.66</v>
      </c>
      <c r="AM13" s="478">
        <v>29.5</v>
      </c>
      <c r="AN13" s="126">
        <f t="shared" si="23"/>
        <v>0.23752012882447665</v>
      </c>
      <c r="AO13" s="157" t="s">
        <v>378</v>
      </c>
      <c r="AP13" s="156">
        <v>9.32</v>
      </c>
      <c r="AQ13" s="156">
        <v>6.14</v>
      </c>
      <c r="AR13" s="149"/>
      <c r="AS13" s="149">
        <v>8.6199999999999992</v>
      </c>
      <c r="AT13" s="149">
        <v>124.2</v>
      </c>
      <c r="AU13" s="149">
        <v>1.25</v>
      </c>
      <c r="AV13" s="149"/>
      <c r="AW13" s="149"/>
      <c r="AX13" s="158">
        <f t="shared" si="6"/>
        <v>0</v>
      </c>
      <c r="AY13" s="125">
        <f t="shared" si="7"/>
        <v>90.29</v>
      </c>
      <c r="AZ13" s="125">
        <f t="shared" si="24"/>
        <v>102.80362348601014</v>
      </c>
      <c r="BA13" s="159">
        <f t="shared" si="8"/>
        <v>4.8945816901408445</v>
      </c>
      <c r="BB13" s="160">
        <f t="shared" si="9"/>
        <v>3.6116000000000001</v>
      </c>
      <c r="BC13" s="161">
        <f t="shared" si="10"/>
        <v>0.77961724978320635</v>
      </c>
      <c r="BD13" s="160">
        <f t="shared" si="25"/>
        <v>8.5061816901408456</v>
      </c>
      <c r="BE13" s="162">
        <v>0.89300000000000002</v>
      </c>
      <c r="BF13" s="25">
        <f t="shared" si="26"/>
        <v>632.32999999999993</v>
      </c>
      <c r="BG13" s="25">
        <f t="shared" si="11"/>
        <v>107.74193548387096</v>
      </c>
      <c r="BH13" s="25">
        <f t="shared" si="27"/>
        <v>754.19354838709671</v>
      </c>
      <c r="BI13" s="26">
        <f t="shared" si="12"/>
        <v>1</v>
      </c>
      <c r="BJ13" s="37">
        <f t="shared" si="28"/>
        <v>754.19354838709671</v>
      </c>
      <c r="BK13" s="39">
        <v>62.587000000000003</v>
      </c>
      <c r="BL13" s="40"/>
      <c r="BM13" s="325"/>
      <c r="BN13" s="31">
        <v>95.674000000000007</v>
      </c>
      <c r="BO13" s="40"/>
      <c r="BP13" s="40">
        <v>38.372999999999998</v>
      </c>
      <c r="BQ13" s="32">
        <v>24.574999999999999</v>
      </c>
      <c r="BR13" s="33">
        <v>0.47</v>
      </c>
      <c r="BS13" s="34"/>
      <c r="BT13" s="33"/>
      <c r="BU13" s="28"/>
      <c r="BV13" s="287"/>
      <c r="BW13" s="287">
        <v>2.79</v>
      </c>
      <c r="BX13" s="36"/>
      <c r="BY13" s="33">
        <v>35.96</v>
      </c>
      <c r="BZ13" s="34"/>
      <c r="CA13" s="33"/>
      <c r="CB13" s="35">
        <v>41.79</v>
      </c>
      <c r="CC13" s="235"/>
      <c r="CD13" s="235">
        <v>33.86</v>
      </c>
      <c r="CE13" s="36">
        <v>43.99</v>
      </c>
      <c r="CF13" s="30">
        <v>140.33199999999999</v>
      </c>
      <c r="CG13" s="30"/>
      <c r="CH13" s="30"/>
      <c r="CI13" s="32"/>
      <c r="CJ13" s="33">
        <v>1.47</v>
      </c>
      <c r="CK13" s="33"/>
      <c r="CL13" s="33"/>
      <c r="CM13" s="36"/>
      <c r="CN13" s="286"/>
      <c r="CO13" s="249">
        <f t="shared" si="13"/>
        <v>62.292841100000004</v>
      </c>
      <c r="CP13" s="12">
        <f t="shared" si="13"/>
        <v>0</v>
      </c>
      <c r="CQ13" s="12">
        <f t="shared" si="13"/>
        <v>0</v>
      </c>
      <c r="CR13" s="12">
        <f t="shared" si="13"/>
        <v>95.674000000000007</v>
      </c>
      <c r="CS13" s="11">
        <f t="shared" si="13"/>
        <v>0</v>
      </c>
      <c r="CT13" s="11">
        <f t="shared" si="13"/>
        <v>37.302393299999999</v>
      </c>
      <c r="CU13" s="272">
        <f t="shared" si="13"/>
        <v>24.574999999999999</v>
      </c>
      <c r="CV13" s="249">
        <f t="shared" si="14"/>
        <v>138.26911960000001</v>
      </c>
      <c r="CW13" s="251">
        <f t="shared" si="14"/>
        <v>0</v>
      </c>
      <c r="CX13" s="249">
        <f t="shared" si="14"/>
        <v>0</v>
      </c>
      <c r="CY13" s="272">
        <f t="shared" si="14"/>
        <v>0</v>
      </c>
      <c r="CZ13" s="13"/>
      <c r="DA13" s="240">
        <f>(D13+'[2]август 20 '!D13)/(AY13+'[2]август 20 '!BA13)</f>
        <v>2.2691105367347011</v>
      </c>
      <c r="DB13" s="241">
        <f>(T13+'[2]август 20 '!T13)/(AY13+'[2]август 20 '!BA13)</f>
        <v>1.3984432581603028</v>
      </c>
      <c r="DD13" s="292">
        <f t="shared" si="15"/>
        <v>8.9969999999999999</v>
      </c>
      <c r="DE13" s="291">
        <v>0.35</v>
      </c>
      <c r="DF13" s="291">
        <v>14.03</v>
      </c>
      <c r="DG13" s="145">
        <f t="shared" si="16"/>
        <v>8.9655105000000006</v>
      </c>
      <c r="DH13" s="293">
        <f t="shared" si="29"/>
        <v>1.6986645822417286</v>
      </c>
      <c r="DJ13" s="322"/>
    </row>
    <row r="14" spans="1:114" s="76" customFormat="1" ht="16.5" customHeight="1" thickBot="1">
      <c r="A14" s="144">
        <v>8</v>
      </c>
      <c r="B14" s="122">
        <f>'[1]август 20'!K13</f>
        <v>182.51300000000001</v>
      </c>
      <c r="C14" s="123">
        <f t="shared" si="17"/>
        <v>0.55047739065162482</v>
      </c>
      <c r="D14" s="145">
        <f t="shared" si="18"/>
        <v>181.50830719999999</v>
      </c>
      <c r="E14" s="125">
        <f t="shared" si="19"/>
        <v>38.913709927512009</v>
      </c>
      <c r="F14" s="146">
        <f t="shared" si="0"/>
        <v>1.987607393780114</v>
      </c>
      <c r="G14" s="127"/>
      <c r="H14" s="126">
        <f t="shared" si="20"/>
        <v>0.94182333771353488</v>
      </c>
      <c r="I14" s="230">
        <f>'[1]июль 20'!AI13</f>
        <v>0</v>
      </c>
      <c r="J14" s="247">
        <f>'[1]август 20'!AA13</f>
        <v>7.41</v>
      </c>
      <c r="K14" s="467">
        <f>'[1]сентябрь 20'!AM13</f>
        <v>0</v>
      </c>
      <c r="L14" s="247">
        <f>'[1]август 20'!AE13</f>
        <v>95.501000000000005</v>
      </c>
      <c r="M14" s="471">
        <f t="shared" si="21"/>
        <v>1.045784056066579</v>
      </c>
      <c r="N14" s="403">
        <f>'[1]август 20'!W13</f>
        <v>0</v>
      </c>
      <c r="O14" s="403">
        <f>'[1]август 20'!AU13</f>
        <v>0</v>
      </c>
      <c r="P14" s="401">
        <f t="shared" si="1"/>
        <v>114.95</v>
      </c>
      <c r="Q14" s="122">
        <f>'[1]август 20'!S13</f>
        <v>114.95</v>
      </c>
      <c r="R14" s="123">
        <f t="shared" si="22"/>
        <v>1.56</v>
      </c>
      <c r="S14" s="129">
        <v>17.47</v>
      </c>
      <c r="T14" s="125">
        <f t="shared" si="2"/>
        <v>113.15678</v>
      </c>
      <c r="U14" s="147">
        <f t="shared" si="3"/>
        <v>1.2391237406920719</v>
      </c>
      <c r="V14" s="130">
        <v>46.84</v>
      </c>
      <c r="W14" s="130">
        <v>23.41</v>
      </c>
      <c r="X14" s="129">
        <v>1.55</v>
      </c>
      <c r="Y14" s="131">
        <v>654</v>
      </c>
      <c r="Z14" s="150">
        <v>1146</v>
      </c>
      <c r="AA14" s="148" t="s">
        <v>333</v>
      </c>
      <c r="AB14" s="149">
        <v>74.400000000000006</v>
      </c>
      <c r="AC14" s="150">
        <v>73</v>
      </c>
      <c r="AD14" s="151">
        <v>4</v>
      </c>
      <c r="AE14" s="149">
        <v>3.25</v>
      </c>
      <c r="AF14" s="134">
        <f t="shared" si="4"/>
        <v>35.589137100306615</v>
      </c>
      <c r="AG14" s="152"/>
      <c r="AH14" s="129">
        <v>69</v>
      </c>
      <c r="AI14" s="134">
        <f t="shared" si="5"/>
        <v>755.58475689881743</v>
      </c>
      <c r="AJ14" s="153">
        <v>12.98</v>
      </c>
      <c r="AK14" s="154"/>
      <c r="AL14" s="155">
        <v>4.6500000000000004</v>
      </c>
      <c r="AM14" s="478">
        <v>24.42</v>
      </c>
      <c r="AN14" s="126">
        <f t="shared" si="23"/>
        <v>0.20538267451640035</v>
      </c>
      <c r="AO14" s="157" t="s">
        <v>181</v>
      </c>
      <c r="AP14" s="156">
        <v>9.61</v>
      </c>
      <c r="AQ14" s="156">
        <v>6.28</v>
      </c>
      <c r="AR14" s="149"/>
      <c r="AS14" s="149">
        <v>7.31</v>
      </c>
      <c r="AT14" s="149">
        <v>118.9</v>
      </c>
      <c r="AU14" s="149">
        <v>1.49</v>
      </c>
      <c r="AV14" s="149"/>
      <c r="AW14" s="149"/>
      <c r="AX14" s="158">
        <f t="shared" si="6"/>
        <v>0</v>
      </c>
      <c r="AY14" s="125">
        <f t="shared" si="7"/>
        <v>91.32</v>
      </c>
      <c r="AZ14" s="125">
        <f t="shared" si="24"/>
        <v>84.12924427709801</v>
      </c>
      <c r="BA14" s="159">
        <f t="shared" si="8"/>
        <v>3.9072464788732391</v>
      </c>
      <c r="BB14" s="160">
        <f t="shared" si="9"/>
        <v>3.6527999999999996</v>
      </c>
      <c r="BC14" s="161">
        <f t="shared" si="10"/>
        <v>0.96192163928228014</v>
      </c>
      <c r="BD14" s="159">
        <f t="shared" si="25"/>
        <v>7.5600464788732387</v>
      </c>
      <c r="BE14" s="167">
        <v>0.90100000000000002</v>
      </c>
      <c r="BF14" s="25">
        <f t="shared" si="26"/>
        <v>723.64999999999986</v>
      </c>
      <c r="BG14" s="25">
        <f t="shared" si="11"/>
        <v>107.74193548387096</v>
      </c>
      <c r="BH14" s="25">
        <f t="shared" si="27"/>
        <v>861.93548387096769</v>
      </c>
      <c r="BI14" s="26">
        <f t="shared" si="12"/>
        <v>1</v>
      </c>
      <c r="BJ14" s="37">
        <f t="shared" si="28"/>
        <v>861.93548387096769</v>
      </c>
      <c r="BK14" s="39">
        <v>57.79</v>
      </c>
      <c r="BL14" s="40"/>
      <c r="BM14" s="325"/>
      <c r="BN14" s="31">
        <v>80.266999999999996</v>
      </c>
      <c r="BO14" s="40"/>
      <c r="BP14" s="40">
        <v>29.222000000000001</v>
      </c>
      <c r="BQ14" s="32">
        <v>15.234</v>
      </c>
      <c r="BR14" s="33">
        <v>0.53</v>
      </c>
      <c r="BS14" s="34"/>
      <c r="BT14" s="33"/>
      <c r="BU14" s="28"/>
      <c r="BV14" s="287"/>
      <c r="BW14" s="287">
        <v>2.39</v>
      </c>
      <c r="BX14" s="36"/>
      <c r="BY14" s="33">
        <v>36.75</v>
      </c>
      <c r="BZ14" s="34"/>
      <c r="CA14" s="33"/>
      <c r="CB14" s="35">
        <v>41.74</v>
      </c>
      <c r="CC14" s="235"/>
      <c r="CD14" s="235">
        <v>32.83</v>
      </c>
      <c r="CE14" s="36">
        <v>43.9</v>
      </c>
      <c r="CF14" s="30">
        <v>114.95</v>
      </c>
      <c r="CG14" s="30"/>
      <c r="CH14" s="30"/>
      <c r="CI14" s="32"/>
      <c r="CJ14" s="33">
        <v>1.56</v>
      </c>
      <c r="CK14" s="33"/>
      <c r="CL14" s="33"/>
      <c r="CM14" s="36"/>
      <c r="CN14" s="286"/>
      <c r="CO14" s="249">
        <f t="shared" si="13"/>
        <v>57.483713000000002</v>
      </c>
      <c r="CP14" s="12">
        <f t="shared" si="13"/>
        <v>0</v>
      </c>
      <c r="CQ14" s="12">
        <f t="shared" si="13"/>
        <v>0</v>
      </c>
      <c r="CR14" s="12">
        <f t="shared" si="13"/>
        <v>80.266999999999996</v>
      </c>
      <c r="CS14" s="11">
        <f t="shared" si="13"/>
        <v>0</v>
      </c>
      <c r="CT14" s="11">
        <f t="shared" si="13"/>
        <v>28.523594200000002</v>
      </c>
      <c r="CU14" s="272">
        <f t="shared" si="13"/>
        <v>15.234</v>
      </c>
      <c r="CV14" s="249">
        <f t="shared" si="14"/>
        <v>113.15678</v>
      </c>
      <c r="CW14" s="12">
        <f t="shared" si="14"/>
        <v>0</v>
      </c>
      <c r="CX14" s="252">
        <f t="shared" si="14"/>
        <v>0</v>
      </c>
      <c r="CY14" s="272">
        <f t="shared" si="14"/>
        <v>0</v>
      </c>
      <c r="CZ14" s="13"/>
      <c r="DA14" s="240">
        <f>(D14+'[2]август 20 '!D14)/(AY14+'[2]август 20 '!BA14)</f>
        <v>2.1562195564560529</v>
      </c>
      <c r="DB14" s="241">
        <f>(T14+'[2]август 20 '!T14)/(AY14+'[2]август 20 '!BA14)</f>
        <v>1.3184339419032307</v>
      </c>
      <c r="DD14" s="292">
        <f t="shared" si="15"/>
        <v>7.41</v>
      </c>
      <c r="DE14" s="291">
        <v>0.39</v>
      </c>
      <c r="DF14" s="291">
        <v>12.61</v>
      </c>
      <c r="DG14" s="145">
        <f t="shared" si="16"/>
        <v>7.3811010000000001</v>
      </c>
      <c r="DH14" s="293">
        <f t="shared" si="29"/>
        <v>1.2510172528225805</v>
      </c>
      <c r="DJ14" s="322"/>
    </row>
    <row r="15" spans="1:114" s="76" customFormat="1" ht="16.5" customHeight="1" thickBot="1">
      <c r="A15" s="144">
        <v>9</v>
      </c>
      <c r="B15" s="122">
        <f>'[1]август 20'!K14</f>
        <v>205.21899999999999</v>
      </c>
      <c r="C15" s="123">
        <f t="shared" si="17"/>
        <v>0.89331821127673372</v>
      </c>
      <c r="D15" s="145">
        <f t="shared" si="18"/>
        <v>203.38574129999998</v>
      </c>
      <c r="E15" s="125">
        <f t="shared" si="19"/>
        <v>38.515299996589015</v>
      </c>
      <c r="F15" s="146">
        <f t="shared" si="0"/>
        <v>2.2436375212355206</v>
      </c>
      <c r="G15" s="127"/>
      <c r="H15" s="126">
        <f t="shared" si="20"/>
        <v>1.0654246144511856</v>
      </c>
      <c r="I15" s="230">
        <f>'[1]июль 20'!AI14</f>
        <v>0</v>
      </c>
      <c r="J15" s="247">
        <f>'[1]август 20'!AA14</f>
        <v>8.3510000000000009</v>
      </c>
      <c r="K15" s="465">
        <f>'[1]сентябрь 20'!AM14</f>
        <v>0</v>
      </c>
      <c r="L15" s="247">
        <f>'[1]август 20'!AE14</f>
        <v>106.80500000000001</v>
      </c>
      <c r="M15" s="469">
        <f t="shared" si="21"/>
        <v>1.1782129067843352</v>
      </c>
      <c r="N15" s="403">
        <f>'[1]август 20'!W14</f>
        <v>0</v>
      </c>
      <c r="O15" s="403">
        <f>'[1]август 20'!AU14</f>
        <v>0</v>
      </c>
      <c r="P15" s="401">
        <f t="shared" si="1"/>
        <v>128.80500000000001</v>
      </c>
      <c r="Q15" s="122">
        <f>'[1]август 20'!S14</f>
        <v>128.80500000000001</v>
      </c>
      <c r="R15" s="123">
        <f t="shared" si="22"/>
        <v>1.84</v>
      </c>
      <c r="S15" s="129">
        <v>2</v>
      </c>
      <c r="T15" s="125">
        <f t="shared" si="2"/>
        <v>126.43498799999999</v>
      </c>
      <c r="U15" s="147">
        <f t="shared" si="3"/>
        <v>1.3947599338113619</v>
      </c>
      <c r="V15" s="130">
        <v>90.65</v>
      </c>
      <c r="W15" s="130">
        <v>40.1</v>
      </c>
      <c r="X15" s="129">
        <v>0.92</v>
      </c>
      <c r="Y15" s="131">
        <v>603</v>
      </c>
      <c r="Z15" s="150">
        <v>1149</v>
      </c>
      <c r="AA15" s="148" t="s">
        <v>335</v>
      </c>
      <c r="AB15" s="149">
        <v>76.47</v>
      </c>
      <c r="AC15" s="150">
        <v>82</v>
      </c>
      <c r="AD15" s="151">
        <v>4</v>
      </c>
      <c r="AE15" s="149">
        <v>2</v>
      </c>
      <c r="AF15" s="134">
        <f t="shared" si="4"/>
        <v>22.062879205736344</v>
      </c>
      <c r="AG15" s="152"/>
      <c r="AH15" s="129">
        <v>81.099999999999994</v>
      </c>
      <c r="AI15" s="134">
        <f t="shared" si="5"/>
        <v>894.64975179260864</v>
      </c>
      <c r="AJ15" s="136">
        <v>10.47</v>
      </c>
      <c r="AK15" s="154"/>
      <c r="AL15" s="155">
        <v>7.52</v>
      </c>
      <c r="AM15" s="478">
        <v>25.18</v>
      </c>
      <c r="AN15" s="126">
        <f t="shared" si="23"/>
        <v>0.205718954248366</v>
      </c>
      <c r="AO15" s="157" t="s">
        <v>379</v>
      </c>
      <c r="AP15" s="156">
        <v>8.3699999999999992</v>
      </c>
      <c r="AQ15" s="156">
        <v>6.5</v>
      </c>
      <c r="AR15" s="149"/>
      <c r="AS15" s="149">
        <v>8.34</v>
      </c>
      <c r="AT15" s="149">
        <v>122.4</v>
      </c>
      <c r="AU15" s="149">
        <v>0.95</v>
      </c>
      <c r="AV15" s="149"/>
      <c r="AW15" s="149"/>
      <c r="AX15" s="158">
        <f t="shared" si="6"/>
        <v>0</v>
      </c>
      <c r="AY15" s="125">
        <f t="shared" si="7"/>
        <v>90.65000000000002</v>
      </c>
      <c r="AZ15" s="125">
        <f t="shared" si="24"/>
        <v>90.140485256047839</v>
      </c>
      <c r="BA15" s="159">
        <f t="shared" si="8"/>
        <v>5.2395169014084502</v>
      </c>
      <c r="BB15" s="160">
        <f t="shared" si="9"/>
        <v>3.6260000000000008</v>
      </c>
      <c r="BC15" s="161">
        <f t="shared" si="10"/>
        <v>0.88492224199275549</v>
      </c>
      <c r="BD15" s="159">
        <f t="shared" si="25"/>
        <v>8.8655169014084514</v>
      </c>
      <c r="BE15" s="167">
        <v>0.89900000000000002</v>
      </c>
      <c r="BF15" s="25">
        <f t="shared" si="26"/>
        <v>814.29999999999984</v>
      </c>
      <c r="BG15" s="25">
        <f t="shared" si="11"/>
        <v>107.74193548387096</v>
      </c>
      <c r="BH15" s="25">
        <f t="shared" si="27"/>
        <v>969.67741935483866</v>
      </c>
      <c r="BI15" s="26">
        <f t="shared" si="12"/>
        <v>1</v>
      </c>
      <c r="BJ15" s="37">
        <f t="shared" si="28"/>
        <v>969.67741935483866</v>
      </c>
      <c r="BK15" s="38">
        <v>65.631</v>
      </c>
      <c r="BL15" s="42"/>
      <c r="BM15" s="31"/>
      <c r="BN15" s="31">
        <v>90.156000000000006</v>
      </c>
      <c r="BO15" s="40"/>
      <c r="BP15" s="40">
        <v>32.783000000000001</v>
      </c>
      <c r="BQ15" s="32">
        <v>16.649000000000001</v>
      </c>
      <c r="BR15" s="33">
        <v>1.06</v>
      </c>
      <c r="BS15" s="35"/>
      <c r="BT15" s="35"/>
      <c r="BU15" s="28"/>
      <c r="BV15" s="287"/>
      <c r="BW15" s="287">
        <v>3.47</v>
      </c>
      <c r="BX15" s="36"/>
      <c r="BY15" s="33">
        <v>35.770000000000003</v>
      </c>
      <c r="BZ15" s="34"/>
      <c r="CA15" s="35"/>
      <c r="CB15" s="35">
        <v>41.68</v>
      </c>
      <c r="CC15" s="35"/>
      <c r="CD15" s="35">
        <v>32.67</v>
      </c>
      <c r="CE15" s="35">
        <v>43.71</v>
      </c>
      <c r="CF15" s="38">
        <v>128.80500000000001</v>
      </c>
      <c r="CG15" s="30"/>
      <c r="CH15" s="30"/>
      <c r="CI15" s="32"/>
      <c r="CJ15" s="33">
        <v>1.84</v>
      </c>
      <c r="CK15" s="33"/>
      <c r="CL15" s="33"/>
      <c r="CM15" s="36"/>
      <c r="CN15" s="286"/>
      <c r="CO15" s="249">
        <f t="shared" si="13"/>
        <v>64.935311400000003</v>
      </c>
      <c r="CP15" s="12">
        <f t="shared" si="13"/>
        <v>0</v>
      </c>
      <c r="CQ15" s="12">
        <f t="shared" si="13"/>
        <v>0</v>
      </c>
      <c r="CR15" s="17">
        <f t="shared" si="13"/>
        <v>90.156000000000006</v>
      </c>
      <c r="CS15" s="11">
        <f t="shared" si="13"/>
        <v>0</v>
      </c>
      <c r="CT15" s="11">
        <f t="shared" si="13"/>
        <v>31.645429900000003</v>
      </c>
      <c r="CU15" s="272">
        <f t="shared" si="13"/>
        <v>16.649000000000001</v>
      </c>
      <c r="CV15" s="249">
        <f t="shared" si="14"/>
        <v>126.43498799999999</v>
      </c>
      <c r="CW15" s="12">
        <f t="shared" si="14"/>
        <v>0</v>
      </c>
      <c r="CX15" s="249">
        <f t="shared" si="14"/>
        <v>0</v>
      </c>
      <c r="CY15" s="274">
        <f t="shared" si="14"/>
        <v>0</v>
      </c>
      <c r="CZ15" s="13"/>
      <c r="DA15" s="240">
        <f>(D15+'[2]август 20 '!D15)/(AY15+'[2]август 20 '!BA15)</f>
        <v>2.2182376663620613</v>
      </c>
      <c r="DB15" s="241">
        <f>(T15+'[2]август 20 '!T15)/(AY15+'[2]август 20 '!BA15)</f>
        <v>1.3621076516777186</v>
      </c>
      <c r="DD15" s="292">
        <f t="shared" si="15"/>
        <v>8.3510000000000009</v>
      </c>
      <c r="DE15" s="291">
        <v>0.34</v>
      </c>
      <c r="DF15" s="291">
        <v>6.54</v>
      </c>
      <c r="DG15" s="145">
        <f t="shared" si="16"/>
        <v>8.3226066000000003</v>
      </c>
      <c r="DH15" s="293">
        <f t="shared" si="29"/>
        <v>0.71178039968615148</v>
      </c>
      <c r="DJ15" s="322"/>
    </row>
    <row r="16" spans="1:114" s="76" customFormat="1" ht="16.5" customHeight="1" thickBot="1">
      <c r="A16" s="144">
        <v>10</v>
      </c>
      <c r="B16" s="122">
        <f>'[1]август 20'!K15</f>
        <v>217.63200000000001</v>
      </c>
      <c r="C16" s="123">
        <f t="shared" si="17"/>
        <v>1.8007116141008674</v>
      </c>
      <c r="D16" s="145">
        <f t="shared" si="18"/>
        <v>213.71307530000001</v>
      </c>
      <c r="E16" s="125">
        <f t="shared" si="19"/>
        <v>39.414320734083219</v>
      </c>
      <c r="F16" s="146">
        <f t="shared" si="0"/>
        <v>2.1901319460955113</v>
      </c>
      <c r="G16" s="127"/>
      <c r="H16" s="126">
        <f t="shared" si="20"/>
        <v>1.0270759920065586</v>
      </c>
      <c r="I16" s="230">
        <f>'[1]июль 20'!AI15</f>
        <v>0</v>
      </c>
      <c r="J16" s="247">
        <f>'[1]август 20'!AA15</f>
        <v>8.6760000000000002</v>
      </c>
      <c r="K16" s="464">
        <f>'[1]сентябрь 20'!AM15</f>
        <v>0</v>
      </c>
      <c r="L16" s="247">
        <f>'[1]август 20'!AE15</f>
        <v>113.491</v>
      </c>
      <c r="M16" s="468">
        <f t="shared" si="21"/>
        <v>1.1630559540889525</v>
      </c>
      <c r="N16" s="403">
        <f>'[1]август 20'!W15</f>
        <v>0</v>
      </c>
      <c r="O16" s="403">
        <f>'[1]август 20'!AU15</f>
        <v>0.24299999999999999</v>
      </c>
      <c r="P16" s="401">
        <f t="shared" si="1"/>
        <v>122.22</v>
      </c>
      <c r="Q16" s="122">
        <f>'[1]август 20'!S15</f>
        <v>122.22</v>
      </c>
      <c r="R16" s="123">
        <f t="shared" si="22"/>
        <v>2.02</v>
      </c>
      <c r="S16" s="501">
        <v>2.2610000000000001</v>
      </c>
      <c r="T16" s="125">
        <f t="shared" si="2"/>
        <v>119.75115599999999</v>
      </c>
      <c r="U16" s="147">
        <f t="shared" si="3"/>
        <v>1.2272100430416066</v>
      </c>
      <c r="V16" s="130">
        <v>97.58</v>
      </c>
      <c r="W16" s="130">
        <v>97.58</v>
      </c>
      <c r="X16" s="129">
        <v>0.49</v>
      </c>
      <c r="Y16" s="131">
        <v>570</v>
      </c>
      <c r="Z16" s="150">
        <v>1153</v>
      </c>
      <c r="AA16" s="148" t="s">
        <v>337</v>
      </c>
      <c r="AB16" s="149">
        <v>76.77</v>
      </c>
      <c r="AC16" s="150">
        <v>87</v>
      </c>
      <c r="AD16" s="151">
        <v>4</v>
      </c>
      <c r="AE16" s="149">
        <v>2.2000000000000002</v>
      </c>
      <c r="AF16" s="134">
        <f t="shared" si="4"/>
        <v>22.545603607296574</v>
      </c>
      <c r="AG16" s="152"/>
      <c r="AH16" s="129">
        <v>79.099999999999994</v>
      </c>
      <c r="AI16" s="134">
        <f t="shared" si="5"/>
        <v>810.61692969870853</v>
      </c>
      <c r="AJ16" s="153">
        <v>10.86</v>
      </c>
      <c r="AK16" s="154"/>
      <c r="AL16" s="155">
        <v>6.38</v>
      </c>
      <c r="AM16" s="478">
        <v>25.13</v>
      </c>
      <c r="AN16" s="126">
        <f t="shared" si="23"/>
        <v>0.19865612648221342</v>
      </c>
      <c r="AO16" s="157" t="s">
        <v>380</v>
      </c>
      <c r="AP16" s="156">
        <v>8.27</v>
      </c>
      <c r="AQ16" s="156">
        <v>6.48</v>
      </c>
      <c r="AR16" s="149"/>
      <c r="AS16" s="149">
        <v>9.0399999999999991</v>
      </c>
      <c r="AT16" s="149">
        <v>126.5</v>
      </c>
      <c r="AU16" s="149">
        <v>2.59</v>
      </c>
      <c r="AV16" s="149"/>
      <c r="AW16" s="149"/>
      <c r="AX16" s="158">
        <f t="shared" si="6"/>
        <v>0</v>
      </c>
      <c r="AY16" s="125">
        <f t="shared" si="7"/>
        <v>97.580000000000013</v>
      </c>
      <c r="AZ16" s="125">
        <f t="shared" si="24"/>
        <v>96.850092843297006</v>
      </c>
      <c r="BA16" s="159">
        <f t="shared" si="8"/>
        <v>5.5392281690140832</v>
      </c>
      <c r="BB16" s="160">
        <f t="shared" si="9"/>
        <v>3.9032000000000004</v>
      </c>
      <c r="BC16" s="161">
        <f t="shared" si="10"/>
        <v>0.88933874708612137</v>
      </c>
      <c r="BD16" s="160">
        <f t="shared" si="25"/>
        <v>9.4424281690140841</v>
      </c>
      <c r="BE16" s="162">
        <v>0.89800000000000002</v>
      </c>
      <c r="BF16" s="25">
        <f t="shared" si="26"/>
        <v>911.87999999999988</v>
      </c>
      <c r="BG16" s="25">
        <f t="shared" si="11"/>
        <v>107.74193548387096</v>
      </c>
      <c r="BH16" s="25">
        <f t="shared" si="27"/>
        <v>1077.4193548387095</v>
      </c>
      <c r="BI16" s="26">
        <f t="shared" si="12"/>
        <v>1</v>
      </c>
      <c r="BJ16" s="37">
        <f t="shared" si="28"/>
        <v>1077.4193548387095</v>
      </c>
      <c r="BK16" s="38">
        <v>70.224000000000004</v>
      </c>
      <c r="BL16" s="31"/>
      <c r="BM16" s="31"/>
      <c r="BN16" s="234">
        <v>95.56</v>
      </c>
      <c r="BO16" s="42"/>
      <c r="BP16" s="40">
        <v>33.917000000000002</v>
      </c>
      <c r="BQ16" s="32">
        <v>17.931000000000001</v>
      </c>
      <c r="BR16" s="33">
        <v>2.0499999999999998</v>
      </c>
      <c r="BS16" s="34"/>
      <c r="BT16" s="35"/>
      <c r="BU16" s="28"/>
      <c r="BV16" s="287"/>
      <c r="BW16" s="287">
        <v>7.31</v>
      </c>
      <c r="BX16" s="36"/>
      <c r="BY16" s="33">
        <v>35.94</v>
      </c>
      <c r="BZ16" s="34"/>
      <c r="CA16" s="35"/>
      <c r="CB16" s="405">
        <v>41.76</v>
      </c>
      <c r="CC16" s="404"/>
      <c r="CD16" s="235">
        <v>37.49</v>
      </c>
      <c r="CE16" s="36">
        <v>44.16</v>
      </c>
      <c r="CF16" s="38">
        <v>122.22</v>
      </c>
      <c r="CG16" s="30"/>
      <c r="CH16" s="30"/>
      <c r="CI16" s="32"/>
      <c r="CJ16" s="33">
        <v>2.02</v>
      </c>
      <c r="CK16" s="33"/>
      <c r="CL16" s="33"/>
      <c r="CM16" s="36"/>
      <c r="CN16" s="286"/>
      <c r="CO16" s="249">
        <f t="shared" si="13"/>
        <v>68.784408000000013</v>
      </c>
      <c r="CP16" s="12">
        <f t="shared" si="13"/>
        <v>0</v>
      </c>
      <c r="CQ16" s="12">
        <f t="shared" si="13"/>
        <v>0</v>
      </c>
      <c r="CR16" s="11">
        <f t="shared" si="13"/>
        <v>95.56</v>
      </c>
      <c r="CS16" s="11">
        <f t="shared" si="13"/>
        <v>0</v>
      </c>
      <c r="CT16" s="11">
        <f t="shared" si="13"/>
        <v>31.437667300000001</v>
      </c>
      <c r="CU16" s="272">
        <f t="shared" si="13"/>
        <v>17.931000000000001</v>
      </c>
      <c r="CV16" s="249">
        <f t="shared" si="14"/>
        <v>119.75115599999999</v>
      </c>
      <c r="CW16" s="12">
        <f t="shared" si="14"/>
        <v>0</v>
      </c>
      <c r="CX16" s="249">
        <f t="shared" si="14"/>
        <v>0</v>
      </c>
      <c r="CY16" s="272">
        <f t="shared" si="14"/>
        <v>0</v>
      </c>
      <c r="CZ16" s="13"/>
      <c r="DA16" s="240">
        <f>(D16+'[2]август 20 '!D16)/(AY16+'[2]август 20 '!BA16)</f>
        <v>2.2351263636475562</v>
      </c>
      <c r="DB16" s="241">
        <f>(T16+'[2]август 20 '!T16)/(AY16+'[2]август 20 '!BA16)</f>
        <v>1.3343059164531179</v>
      </c>
      <c r="DD16" s="292">
        <f t="shared" si="15"/>
        <v>8.6760000000000002</v>
      </c>
      <c r="DE16" s="291">
        <v>2.14</v>
      </c>
      <c r="DF16" s="291">
        <v>9.61</v>
      </c>
      <c r="DG16" s="145">
        <f t="shared" si="16"/>
        <v>8.4903335999999996</v>
      </c>
      <c r="DH16" s="293">
        <f t="shared" si="29"/>
        <v>1.0628123732708088</v>
      </c>
      <c r="DJ16" s="322"/>
    </row>
    <row r="17" spans="1:114" s="76" customFormat="1" ht="16.5" customHeight="1" thickBot="1">
      <c r="A17" s="144">
        <v>11</v>
      </c>
      <c r="B17" s="122">
        <f>'[1]август 20'!K16</f>
        <v>227.357</v>
      </c>
      <c r="C17" s="123">
        <f t="shared" si="17"/>
        <v>0.94236605866544676</v>
      </c>
      <c r="D17" s="145">
        <f t="shared" si="18"/>
        <v>225.2144648</v>
      </c>
      <c r="E17" s="125">
        <f t="shared" si="19"/>
        <v>39.384716239218506</v>
      </c>
      <c r="F17" s="146">
        <f t="shared" si="0"/>
        <v>2.5715284859556977</v>
      </c>
      <c r="G17" s="127"/>
      <c r="H17" s="126">
        <f t="shared" si="20"/>
        <v>1.1175663941539165</v>
      </c>
      <c r="I17" s="230">
        <f>'[1]июль 20'!AI16</f>
        <v>0</v>
      </c>
      <c r="J17" s="247">
        <f>'[1]август 20'!AA16</f>
        <v>9.0169999999999995</v>
      </c>
      <c r="K17" s="465">
        <f>'[1]сентябрь 20'!AM16</f>
        <v>0</v>
      </c>
      <c r="L17" s="247">
        <f>'[1]август 20'!AE16</f>
        <v>127.33799999999999</v>
      </c>
      <c r="M17" s="469">
        <f t="shared" si="21"/>
        <v>1.4539620918017813</v>
      </c>
      <c r="N17" s="403">
        <f>'[1]август 20'!W16</f>
        <v>0</v>
      </c>
      <c r="O17" s="403">
        <f>'[1]август 20'!AU16</f>
        <v>2.7869999999999999</v>
      </c>
      <c r="P17" s="401">
        <f t="shared" si="1"/>
        <v>148.834</v>
      </c>
      <c r="Q17" s="122">
        <f>'[1]август 20'!S16</f>
        <v>148.834</v>
      </c>
      <c r="R17" s="123">
        <f t="shared" si="22"/>
        <v>2.48</v>
      </c>
      <c r="S17" s="501">
        <v>7.2779999999999996</v>
      </c>
      <c r="T17" s="125">
        <f t="shared" si="2"/>
        <v>145.14291679999999</v>
      </c>
      <c r="U17" s="147">
        <f t="shared" si="3"/>
        <v>1.6572609819593513</v>
      </c>
      <c r="V17" s="130">
        <v>87.58</v>
      </c>
      <c r="W17" s="130">
        <v>69.58</v>
      </c>
      <c r="X17" s="129">
        <v>0.51</v>
      </c>
      <c r="Y17" s="131">
        <v>539</v>
      </c>
      <c r="Z17" s="150">
        <v>1158</v>
      </c>
      <c r="AA17" s="148" t="s">
        <v>381</v>
      </c>
      <c r="AB17" s="149">
        <v>76.12</v>
      </c>
      <c r="AC17" s="150">
        <v>91</v>
      </c>
      <c r="AD17" s="151">
        <v>4</v>
      </c>
      <c r="AE17" s="149">
        <v>1.35</v>
      </c>
      <c r="AF17" s="134">
        <f t="shared" si="4"/>
        <v>15.414478191367895</v>
      </c>
      <c r="AG17" s="152"/>
      <c r="AH17" s="129">
        <v>63.25</v>
      </c>
      <c r="AI17" s="134">
        <f t="shared" si="5"/>
        <v>722.1968485955698</v>
      </c>
      <c r="AJ17" s="136">
        <v>13.75</v>
      </c>
      <c r="AK17" s="154"/>
      <c r="AL17" s="155">
        <v>5.13</v>
      </c>
      <c r="AM17" s="478">
        <v>29.67</v>
      </c>
      <c r="AN17" s="126">
        <f t="shared" si="23"/>
        <v>0.24551096400496486</v>
      </c>
      <c r="AO17" s="157" t="s">
        <v>382</v>
      </c>
      <c r="AP17" s="156">
        <v>9.07</v>
      </c>
      <c r="AQ17" s="156">
        <v>6.44</v>
      </c>
      <c r="AR17" s="149"/>
      <c r="AS17" s="149">
        <v>7.16</v>
      </c>
      <c r="AT17" s="149">
        <v>120.85</v>
      </c>
      <c r="AU17" s="149">
        <v>1.53</v>
      </c>
      <c r="AV17" s="149"/>
      <c r="AW17" s="149"/>
      <c r="AX17" s="158">
        <f t="shared" si="6"/>
        <v>0</v>
      </c>
      <c r="AY17" s="125">
        <f t="shared" si="7"/>
        <v>87.58</v>
      </c>
      <c r="AZ17" s="125">
        <f t="shared" si="24"/>
        <v>102.80332660592222</v>
      </c>
      <c r="BA17" s="159">
        <f t="shared" si="8"/>
        <v>3.5081478873239433</v>
      </c>
      <c r="BB17" s="160">
        <f t="shared" si="9"/>
        <v>3.5032000000000001</v>
      </c>
      <c r="BC17" s="161">
        <f t="shared" si="10"/>
        <v>0.75158779546740462</v>
      </c>
      <c r="BD17" s="160">
        <f t="shared" si="25"/>
        <v>7.011347887323943</v>
      </c>
      <c r="BE17" s="162">
        <v>0.88300000000000001</v>
      </c>
      <c r="BF17" s="25">
        <f t="shared" si="26"/>
        <v>999.45999999999992</v>
      </c>
      <c r="BG17" s="25">
        <f t="shared" si="11"/>
        <v>107.74193548387096</v>
      </c>
      <c r="BH17" s="25">
        <f t="shared" si="27"/>
        <v>1185.1612903225805</v>
      </c>
      <c r="BI17" s="26">
        <f t="shared" si="12"/>
        <v>1</v>
      </c>
      <c r="BJ17" s="37">
        <f t="shared" si="28"/>
        <v>1185.1612903225805</v>
      </c>
      <c r="BK17" s="39">
        <v>81.766999999999996</v>
      </c>
      <c r="BL17" s="31"/>
      <c r="BM17" s="31"/>
      <c r="BN17" s="234">
        <v>100.023</v>
      </c>
      <c r="BO17" s="42"/>
      <c r="BP17" s="40">
        <v>18.251999999999999</v>
      </c>
      <c r="BQ17" s="32">
        <v>27.315000000000001</v>
      </c>
      <c r="BR17" s="33">
        <v>1.56</v>
      </c>
      <c r="BS17" s="34"/>
      <c r="BT17" s="35"/>
      <c r="BU17" s="28"/>
      <c r="BV17" s="287"/>
      <c r="BW17" s="287">
        <v>4.75</v>
      </c>
      <c r="BX17" s="36"/>
      <c r="BY17" s="33">
        <v>35.74</v>
      </c>
      <c r="BZ17" s="34"/>
      <c r="CA17" s="35"/>
      <c r="CB17" s="405">
        <v>41.6</v>
      </c>
      <c r="CC17" s="404"/>
      <c r="CD17" s="235">
        <v>36.950000000000003</v>
      </c>
      <c r="CE17" s="36">
        <v>43.81</v>
      </c>
      <c r="CF17" s="38">
        <v>148.834</v>
      </c>
      <c r="CG17" s="42"/>
      <c r="CH17" s="234"/>
      <c r="CI17" s="233"/>
      <c r="CJ17" s="33">
        <v>2.48</v>
      </c>
      <c r="CK17" s="33"/>
      <c r="CL17" s="33"/>
      <c r="CM17" s="36"/>
      <c r="CN17" s="286"/>
      <c r="CO17" s="249">
        <f t="shared" si="13"/>
        <v>80.491434799999993</v>
      </c>
      <c r="CP17" s="12">
        <f t="shared" si="13"/>
        <v>0</v>
      </c>
      <c r="CQ17" s="12">
        <f t="shared" si="13"/>
        <v>0</v>
      </c>
      <c r="CR17" s="12">
        <f t="shared" si="13"/>
        <v>100.023</v>
      </c>
      <c r="CS17" s="11">
        <f t="shared" si="13"/>
        <v>0</v>
      </c>
      <c r="CT17" s="11">
        <f t="shared" si="13"/>
        <v>17.38503</v>
      </c>
      <c r="CU17" s="272">
        <f t="shared" si="13"/>
        <v>27.315000000000001</v>
      </c>
      <c r="CV17" s="249">
        <f t="shared" si="14"/>
        <v>145.14291679999999</v>
      </c>
      <c r="CW17" s="12">
        <f t="shared" si="14"/>
        <v>0</v>
      </c>
      <c r="CX17" s="254">
        <f t="shared" si="14"/>
        <v>0</v>
      </c>
      <c r="CY17" s="272">
        <f t="shared" si="14"/>
        <v>0</v>
      </c>
      <c r="CZ17" s="13"/>
      <c r="DA17" s="240">
        <f>(D17+'[2]август 20 '!D17)/(AY17+'[2]август 20 '!BA17)</f>
        <v>2.2807786901238445</v>
      </c>
      <c r="DB17" s="241">
        <f>(T17+'[2]август 20 '!T17)/(AY17+'[2]август 20 '!BA17)</f>
        <v>1.4325005991060256</v>
      </c>
      <c r="DD17" s="292">
        <f t="shared" si="15"/>
        <v>9.0169999999999995</v>
      </c>
      <c r="DE17" s="291">
        <v>0.55000000000000004</v>
      </c>
      <c r="DF17" s="291">
        <v>9.1300000000000008</v>
      </c>
      <c r="DG17" s="145">
        <f t="shared" si="16"/>
        <v>8.9674064999999992</v>
      </c>
      <c r="DH17" s="293">
        <f t="shared" si="29"/>
        <v>1.0755704328034681</v>
      </c>
      <c r="DJ17" s="322"/>
    </row>
    <row r="18" spans="1:114" s="76" customFormat="1" ht="16.5" customHeight="1" thickBot="1">
      <c r="A18" s="144">
        <v>12</v>
      </c>
      <c r="B18" s="122">
        <f>'[1]август 20'!K17</f>
        <v>207.643</v>
      </c>
      <c r="C18" s="123">
        <f t="shared" si="17"/>
        <v>0.96608438521886142</v>
      </c>
      <c r="D18" s="145">
        <f t="shared" si="18"/>
        <v>205.63699339999999</v>
      </c>
      <c r="E18" s="125">
        <f t="shared" si="19"/>
        <v>39.429911482689036</v>
      </c>
      <c r="F18" s="146">
        <f t="shared" si="0"/>
        <v>2.2373734457621586</v>
      </c>
      <c r="G18" s="127"/>
      <c r="H18" s="126">
        <f t="shared" si="20"/>
        <v>0.97373510390599505</v>
      </c>
      <c r="I18" s="230">
        <f>'[1]июль 20'!AI17</f>
        <v>0</v>
      </c>
      <c r="J18" s="247">
        <f>'[1]август 20'!AA17</f>
        <v>8.4760000000000009</v>
      </c>
      <c r="K18" s="464">
        <f>'[1]сентябрь 20'!AM17</f>
        <v>0</v>
      </c>
      <c r="L18" s="247">
        <f>'[1]август 20'!AE17</f>
        <v>116.14100000000001</v>
      </c>
      <c r="M18" s="468">
        <f t="shared" si="21"/>
        <v>1.2636383418561636</v>
      </c>
      <c r="N18" s="403">
        <f>'[1]август 20'!W17</f>
        <v>0</v>
      </c>
      <c r="O18" s="403">
        <f>'[1]август 20'!AU17</f>
        <v>3.2549999999999999</v>
      </c>
      <c r="P18" s="401">
        <f t="shared" si="1"/>
        <v>138.20500000000001</v>
      </c>
      <c r="Q18" s="122">
        <f>'[1]август 20'!S17</f>
        <v>138.20500000000001</v>
      </c>
      <c r="R18" s="123">
        <f t="shared" si="22"/>
        <v>3.44</v>
      </c>
      <c r="S18" s="502">
        <v>21.45</v>
      </c>
      <c r="T18" s="125">
        <f t="shared" si="2"/>
        <v>133.450748</v>
      </c>
      <c r="U18" s="147">
        <f t="shared" si="3"/>
        <v>1.4519720161027092</v>
      </c>
      <c r="V18" s="130">
        <v>91.91</v>
      </c>
      <c r="W18" s="130">
        <v>45.85</v>
      </c>
      <c r="X18" s="129">
        <v>0.8</v>
      </c>
      <c r="Y18" s="131">
        <v>557</v>
      </c>
      <c r="Z18" s="150">
        <v>1151</v>
      </c>
      <c r="AA18" s="148" t="s">
        <v>310</v>
      </c>
      <c r="AB18" s="149">
        <v>76.290000000000006</v>
      </c>
      <c r="AC18" s="150">
        <v>84</v>
      </c>
      <c r="AD18" s="151">
        <v>4</v>
      </c>
      <c r="AE18" s="149">
        <v>1.1499999999999999</v>
      </c>
      <c r="AF18" s="134">
        <f t="shared" si="4"/>
        <v>12.512240235012513</v>
      </c>
      <c r="AG18" s="152"/>
      <c r="AH18" s="129">
        <v>67.25</v>
      </c>
      <c r="AI18" s="134">
        <f t="shared" si="5"/>
        <v>731.69404852573177</v>
      </c>
      <c r="AJ18" s="153">
        <v>22.09</v>
      </c>
      <c r="AK18" s="154"/>
      <c r="AL18" s="155">
        <v>8.44</v>
      </c>
      <c r="AM18" s="478">
        <v>29.46</v>
      </c>
      <c r="AN18" s="126">
        <f t="shared" si="23"/>
        <v>0.23033620015637216</v>
      </c>
      <c r="AO18" s="157" t="s">
        <v>203</v>
      </c>
      <c r="AP18" s="156">
        <v>8.3000000000000007</v>
      </c>
      <c r="AQ18" s="156">
        <v>6.93</v>
      </c>
      <c r="AR18" s="151"/>
      <c r="AS18" s="149">
        <v>7</v>
      </c>
      <c r="AT18" s="149">
        <v>127.9</v>
      </c>
      <c r="AU18" s="149">
        <v>1.91</v>
      </c>
      <c r="AV18" s="149"/>
      <c r="AW18" s="149"/>
      <c r="AX18" s="158">
        <f t="shared" si="6"/>
        <v>0</v>
      </c>
      <c r="AY18" s="125">
        <f t="shared" si="7"/>
        <v>91.91</v>
      </c>
      <c r="AZ18" s="125">
        <f t="shared" si="24"/>
        <v>94.003947034075424</v>
      </c>
      <c r="BA18" s="159">
        <f t="shared" si="8"/>
        <v>3.6466549295774642</v>
      </c>
      <c r="BB18" s="160">
        <f t="shared" si="9"/>
        <v>3.6764000000000001</v>
      </c>
      <c r="BC18" s="161">
        <f t="shared" si="10"/>
        <v>0.864775413031456</v>
      </c>
      <c r="BD18" s="160">
        <f t="shared" si="25"/>
        <v>7.3230549295774647</v>
      </c>
      <c r="BE18" s="162">
        <v>0.88100000000000001</v>
      </c>
      <c r="BF18" s="25">
        <f t="shared" si="26"/>
        <v>1091.3699999999999</v>
      </c>
      <c r="BG18" s="25">
        <f t="shared" si="11"/>
        <v>107.74193548387096</v>
      </c>
      <c r="BH18" s="25">
        <f t="shared" si="27"/>
        <v>1292.9032258064515</v>
      </c>
      <c r="BI18" s="26">
        <f t="shared" si="12"/>
        <v>1</v>
      </c>
      <c r="BJ18" s="37">
        <f t="shared" si="28"/>
        <v>1292.9032258064515</v>
      </c>
      <c r="BK18" s="38">
        <v>74.885000000000005</v>
      </c>
      <c r="BL18" s="31"/>
      <c r="BM18" s="31"/>
      <c r="BN18" s="234">
        <v>91.271000000000001</v>
      </c>
      <c r="BO18" s="42"/>
      <c r="BP18" s="40">
        <v>16.617000000000001</v>
      </c>
      <c r="BQ18" s="411">
        <v>24.87</v>
      </c>
      <c r="BR18" s="41">
        <v>1.84</v>
      </c>
      <c r="BS18" s="34"/>
      <c r="BT18" s="35"/>
      <c r="BU18" s="28"/>
      <c r="BV18" s="287"/>
      <c r="BW18" s="287">
        <v>3.78</v>
      </c>
      <c r="BX18" s="36"/>
      <c r="BY18" s="34">
        <v>36.21</v>
      </c>
      <c r="BZ18" s="34"/>
      <c r="CA18" s="35"/>
      <c r="CB18" s="405">
        <v>41.44</v>
      </c>
      <c r="CC18" s="404"/>
      <c r="CD18" s="235">
        <v>36.06</v>
      </c>
      <c r="CE18" s="405">
        <v>44</v>
      </c>
      <c r="CF18" s="38">
        <v>138.20500000000001</v>
      </c>
      <c r="CG18" s="42"/>
      <c r="CH18" s="234"/>
      <c r="CI18" s="233"/>
      <c r="CJ18" s="33">
        <v>3.44</v>
      </c>
      <c r="CK18" s="33"/>
      <c r="CL18" s="33"/>
      <c r="CM18" s="36"/>
      <c r="CN18" s="286"/>
      <c r="CO18" s="249">
        <f t="shared" si="13"/>
        <v>73.507115999999996</v>
      </c>
      <c r="CP18" s="12">
        <f t="shared" si="13"/>
        <v>0</v>
      </c>
      <c r="CQ18" s="12">
        <f t="shared" si="13"/>
        <v>0</v>
      </c>
      <c r="CR18" s="12">
        <f t="shared" si="13"/>
        <v>91.271000000000001</v>
      </c>
      <c r="CS18" s="11">
        <f t="shared" si="13"/>
        <v>0</v>
      </c>
      <c r="CT18" s="11">
        <f t="shared" si="13"/>
        <v>15.9888774</v>
      </c>
      <c r="CU18" s="272">
        <f t="shared" si="13"/>
        <v>24.87</v>
      </c>
      <c r="CV18" s="249">
        <f t="shared" si="14"/>
        <v>133.450748</v>
      </c>
      <c r="CW18" s="11">
        <f t="shared" si="14"/>
        <v>0</v>
      </c>
      <c r="CX18" s="249">
        <f t="shared" si="14"/>
        <v>0</v>
      </c>
      <c r="CY18" s="272">
        <f t="shared" si="14"/>
        <v>0</v>
      </c>
      <c r="CZ18" s="13"/>
      <c r="DA18" s="240">
        <f>(D18+'[2]август 20 '!D18)/(AY18+'[2]август 20 '!BA18)</f>
        <v>2.1456010220917143</v>
      </c>
      <c r="DB18" s="241">
        <f>(T18+'[2]август 20 '!T18)/(AY18+'[2]август 20 '!BA18)</f>
        <v>1.4194373015825745</v>
      </c>
      <c r="DD18" s="292">
        <f t="shared" si="15"/>
        <v>8.4760000000000009</v>
      </c>
      <c r="DE18" s="291">
        <v>0.46</v>
      </c>
      <c r="DF18" s="291">
        <v>11.03</v>
      </c>
      <c r="DG18" s="145">
        <f t="shared" si="16"/>
        <v>8.4370104000000019</v>
      </c>
      <c r="DH18" s="293">
        <f t="shared" si="29"/>
        <v>1.2198220567833269</v>
      </c>
      <c r="DJ18" s="322"/>
    </row>
    <row r="19" spans="1:114" s="76" customFormat="1" ht="16.5" customHeight="1" thickBot="1">
      <c r="A19" s="144">
        <v>13</v>
      </c>
      <c r="B19" s="122">
        <f>'[1]август 20'!K18</f>
        <v>187.23699999999999</v>
      </c>
      <c r="C19" s="123">
        <f t="shared" si="17"/>
        <v>0.58876856604196826</v>
      </c>
      <c r="D19" s="145">
        <f t="shared" si="18"/>
        <v>186.13460739999999</v>
      </c>
      <c r="E19" s="125">
        <f t="shared" si="19"/>
        <v>39.144077612864983</v>
      </c>
      <c r="F19" s="146">
        <f t="shared" si="0"/>
        <v>2.0038174981160513</v>
      </c>
      <c r="G19" s="127"/>
      <c r="H19" s="126">
        <f t="shared" si="20"/>
        <v>0.87599964904726024</v>
      </c>
      <c r="I19" s="230">
        <f>'[1]июль 20'!AI18</f>
        <v>0</v>
      </c>
      <c r="J19" s="247">
        <f>'[1]август 20'!AA18</f>
        <v>7.5129999999999999</v>
      </c>
      <c r="K19" s="465">
        <f>'[1]сентябрь 20'!AM18</f>
        <v>0</v>
      </c>
      <c r="L19" s="247">
        <f>'[1]август 20'!AE18</f>
        <v>104.76300000000001</v>
      </c>
      <c r="M19" s="469">
        <f t="shared" si="21"/>
        <v>1.1278178490687911</v>
      </c>
      <c r="N19" s="403">
        <f>'[1]август 20'!W18</f>
        <v>0</v>
      </c>
      <c r="O19" s="403">
        <f>'[1]август 20'!AU18</f>
        <v>2.9780000000000002</v>
      </c>
      <c r="P19" s="401">
        <f t="shared" si="1"/>
        <v>122.651</v>
      </c>
      <c r="Q19" s="122">
        <f>'[1]август 20'!S18</f>
        <v>122.651</v>
      </c>
      <c r="R19" s="123">
        <f t="shared" si="22"/>
        <v>3.1</v>
      </c>
      <c r="S19" s="501">
        <v>2.129</v>
      </c>
      <c r="T19" s="125">
        <f t="shared" si="2"/>
        <v>118.84881900000001</v>
      </c>
      <c r="U19" s="147">
        <f t="shared" si="3"/>
        <v>1.2794576273011089</v>
      </c>
      <c r="V19" s="130">
        <v>92.89</v>
      </c>
      <c r="W19" s="130">
        <v>45.14</v>
      </c>
      <c r="X19" s="129">
        <v>1.42</v>
      </c>
      <c r="Y19" s="131">
        <v>615</v>
      </c>
      <c r="Z19" s="150">
        <v>1160</v>
      </c>
      <c r="AA19" s="148">
        <v>371.7</v>
      </c>
      <c r="AB19" s="149">
        <v>76.25</v>
      </c>
      <c r="AC19" s="150">
        <v>75</v>
      </c>
      <c r="AD19" s="151">
        <v>4</v>
      </c>
      <c r="AE19" s="149">
        <v>2.9</v>
      </c>
      <c r="AF19" s="134">
        <f t="shared" si="4"/>
        <v>31.219722252126168</v>
      </c>
      <c r="AG19" s="152"/>
      <c r="AH19" s="129">
        <v>64.25</v>
      </c>
      <c r="AI19" s="134">
        <f t="shared" si="5"/>
        <v>691.6783292065885</v>
      </c>
      <c r="AJ19" s="136">
        <v>10.6</v>
      </c>
      <c r="AK19" s="154"/>
      <c r="AL19" s="155">
        <v>4.5599999999999996</v>
      </c>
      <c r="AM19" s="478">
        <v>24.93</v>
      </c>
      <c r="AN19" s="126">
        <f t="shared" si="23"/>
        <v>0.20535420098846785</v>
      </c>
      <c r="AO19" s="157" t="s">
        <v>383</v>
      </c>
      <c r="AP19" s="156">
        <v>8.9499999999999993</v>
      </c>
      <c r="AQ19" s="156">
        <v>6.34</v>
      </c>
      <c r="AR19" s="151"/>
      <c r="AS19" s="149">
        <v>5.65</v>
      </c>
      <c r="AT19" s="149">
        <v>121.4</v>
      </c>
      <c r="AU19" s="149">
        <v>0.98</v>
      </c>
      <c r="AV19" s="164"/>
      <c r="AW19" s="149"/>
      <c r="AX19" s="158">
        <f t="shared" si="6"/>
        <v>0</v>
      </c>
      <c r="AY19" s="125">
        <f t="shared" si="7"/>
        <v>92.89</v>
      </c>
      <c r="AZ19" s="125">
        <f t="shared" si="24"/>
        <v>84.081708248544558</v>
      </c>
      <c r="BA19" s="159">
        <f t="shared" si="8"/>
        <v>2.8120686619718311</v>
      </c>
      <c r="BB19" s="160">
        <f t="shared" si="9"/>
        <v>3.7156000000000002</v>
      </c>
      <c r="BC19" s="161">
        <f t="shared" si="10"/>
        <v>0.9721104672733768</v>
      </c>
      <c r="BD19" s="160">
        <f t="shared" si="25"/>
        <v>6.5276686619718314</v>
      </c>
      <c r="BE19" s="162">
        <v>0.88800000000000001</v>
      </c>
      <c r="BF19" s="25">
        <f t="shared" si="26"/>
        <v>1184.26</v>
      </c>
      <c r="BG19" s="25">
        <f t="shared" si="11"/>
        <v>107.74193548387096</v>
      </c>
      <c r="BH19" s="25">
        <f t="shared" si="27"/>
        <v>1400.6451612903224</v>
      </c>
      <c r="BI19" s="26">
        <f t="shared" si="12"/>
        <v>1</v>
      </c>
      <c r="BJ19" s="37">
        <f t="shared" si="28"/>
        <v>1400.6451612903224</v>
      </c>
      <c r="BK19" s="38">
        <v>67.463999999999999</v>
      </c>
      <c r="BL19" s="31"/>
      <c r="BM19" s="31"/>
      <c r="BN19" s="234">
        <v>82.334000000000003</v>
      </c>
      <c r="BO19" s="42"/>
      <c r="BP19" s="40">
        <v>15.01</v>
      </c>
      <c r="BQ19" s="411">
        <v>22.428999999999998</v>
      </c>
      <c r="BR19" s="33">
        <v>1.04</v>
      </c>
      <c r="BS19" s="34"/>
      <c r="BT19" s="35"/>
      <c r="BU19" s="28"/>
      <c r="BV19" s="287"/>
      <c r="BW19" s="287">
        <v>2.67</v>
      </c>
      <c r="BX19" s="36"/>
      <c r="BY19" s="33">
        <v>35.53</v>
      </c>
      <c r="BZ19" s="34"/>
      <c r="CA19" s="35"/>
      <c r="CB19" s="405">
        <v>41.37</v>
      </c>
      <c r="CC19" s="404"/>
      <c r="CD19" s="235">
        <v>36.46</v>
      </c>
      <c r="CE19" s="413">
        <v>43.64</v>
      </c>
      <c r="CF19" s="41">
        <v>122.651</v>
      </c>
      <c r="CG19" s="41"/>
      <c r="CH19" s="30"/>
      <c r="CI19" s="32"/>
      <c r="CJ19" s="33">
        <v>3.1</v>
      </c>
      <c r="CK19" s="33"/>
      <c r="CL19" s="33"/>
      <c r="CM19" s="36"/>
      <c r="CN19" s="286"/>
      <c r="CO19" s="249">
        <f t="shared" si="13"/>
        <v>66.762374399999999</v>
      </c>
      <c r="CP19" s="12">
        <f t="shared" si="13"/>
        <v>0</v>
      </c>
      <c r="CQ19" s="12">
        <f t="shared" si="13"/>
        <v>0</v>
      </c>
      <c r="CR19" s="12">
        <f t="shared" si="13"/>
        <v>82.334000000000003</v>
      </c>
      <c r="CS19" s="11">
        <f t="shared" si="13"/>
        <v>0</v>
      </c>
      <c r="CT19" s="11">
        <f t="shared" si="13"/>
        <v>14.609233</v>
      </c>
      <c r="CU19" s="272">
        <f t="shared" si="13"/>
        <v>22.428999999999998</v>
      </c>
      <c r="CV19" s="249">
        <f t="shared" si="14"/>
        <v>118.84881900000001</v>
      </c>
      <c r="CW19" s="251">
        <f t="shared" si="14"/>
        <v>0</v>
      </c>
      <c r="CX19" s="249">
        <f t="shared" si="14"/>
        <v>0</v>
      </c>
      <c r="CY19" s="272">
        <f t="shared" si="14"/>
        <v>0</v>
      </c>
      <c r="CZ19" s="13"/>
      <c r="DA19" s="240">
        <f>(D19+'[2]август 20 '!D19)/(AY19+'[2]август 20 '!BA19)</f>
        <v>1.9505082403065159</v>
      </c>
      <c r="DB19" s="241">
        <f>(T19+'[2]август 20 '!T19)/(AY19+'[2]август 20 '!BA19)</f>
        <v>1.2336600050004731</v>
      </c>
      <c r="DD19" s="292">
        <f t="shared" si="15"/>
        <v>7.5129999999999999</v>
      </c>
      <c r="DE19" s="291">
        <v>0.57999999999999996</v>
      </c>
      <c r="DF19" s="291">
        <v>6.76</v>
      </c>
      <c r="DG19" s="145">
        <f t="shared" si="16"/>
        <v>7.4694246</v>
      </c>
      <c r="DH19" s="293">
        <f t="shared" si="29"/>
        <v>0.6622073481442623</v>
      </c>
      <c r="DJ19" s="322"/>
    </row>
    <row r="20" spans="1:114" s="76" customFormat="1" ht="16.5" customHeight="1" thickBot="1">
      <c r="A20" s="144">
        <v>14</v>
      </c>
      <c r="B20" s="122">
        <f>'[1]август 20'!K19</f>
        <v>202.50800000000001</v>
      </c>
      <c r="C20" s="123">
        <f t="shared" si="17"/>
        <v>0.56626004898571902</v>
      </c>
      <c r="D20" s="145">
        <f t="shared" si="18"/>
        <v>201.36127809999999</v>
      </c>
      <c r="E20" s="125">
        <f t="shared" si="19"/>
        <v>39.71044225413317</v>
      </c>
      <c r="F20" s="146">
        <f t="shared" si="0"/>
        <v>2.1328384503760196</v>
      </c>
      <c r="G20" s="127"/>
      <c r="H20" s="126">
        <f t="shared" si="20"/>
        <v>0.93193812202097248</v>
      </c>
      <c r="I20" s="230">
        <f>'[1]июль 20'!AI19</f>
        <v>0</v>
      </c>
      <c r="J20" s="247">
        <f>'[1]август 20'!AA19</f>
        <v>8.2110000000000003</v>
      </c>
      <c r="K20" s="464">
        <f>'[1]сентябрь 20'!AM19</f>
        <v>0</v>
      </c>
      <c r="L20" s="247">
        <f>'[1]август 20'!AE19</f>
        <v>113.377</v>
      </c>
      <c r="M20" s="468">
        <f t="shared" si="21"/>
        <v>1.2009003283550475</v>
      </c>
      <c r="N20" s="403">
        <f>'[1]август 20'!W19</f>
        <v>0</v>
      </c>
      <c r="O20" s="403">
        <f>'[1]август 20'!AU19</f>
        <v>3.6240000000000001</v>
      </c>
      <c r="P20" s="401">
        <f t="shared" si="1"/>
        <v>131.107</v>
      </c>
      <c r="Q20" s="122">
        <f>'[1]август 20'!S19</f>
        <v>131.107</v>
      </c>
      <c r="R20" s="123">
        <f t="shared" si="22"/>
        <v>2.8</v>
      </c>
      <c r="S20" s="503">
        <v>11.041</v>
      </c>
      <c r="T20" s="125">
        <f t="shared" si="2"/>
        <v>127.436004</v>
      </c>
      <c r="U20" s="147">
        <f t="shared" si="3"/>
        <v>1.3498146806482367</v>
      </c>
      <c r="V20" s="130">
        <v>94.41</v>
      </c>
      <c r="W20" s="130">
        <v>48.71</v>
      </c>
      <c r="X20" s="129">
        <v>0.99</v>
      </c>
      <c r="Y20" s="131">
        <v>587</v>
      </c>
      <c r="Z20" s="150">
        <v>1157</v>
      </c>
      <c r="AA20" s="168" t="s">
        <v>310</v>
      </c>
      <c r="AB20" s="149">
        <v>76.13</v>
      </c>
      <c r="AC20" s="150">
        <v>81</v>
      </c>
      <c r="AD20" s="151">
        <v>4</v>
      </c>
      <c r="AE20" s="149">
        <v>5.25</v>
      </c>
      <c r="AF20" s="134">
        <f t="shared" si="4"/>
        <v>55.608516047028928</v>
      </c>
      <c r="AG20" s="152"/>
      <c r="AH20" s="129">
        <v>72.2</v>
      </c>
      <c r="AI20" s="134">
        <f t="shared" si="5"/>
        <v>764.74949687533126</v>
      </c>
      <c r="AJ20" s="153">
        <v>12.46</v>
      </c>
      <c r="AK20" s="154"/>
      <c r="AL20" s="155">
        <v>6.26</v>
      </c>
      <c r="AM20" s="478">
        <v>23.96</v>
      </c>
      <c r="AN20" s="126">
        <f t="shared" si="23"/>
        <v>0.19471759447379117</v>
      </c>
      <c r="AO20" s="157" t="s">
        <v>196</v>
      </c>
      <c r="AP20" s="156">
        <v>8.9</v>
      </c>
      <c r="AQ20" s="156">
        <v>6.82</v>
      </c>
      <c r="AR20" s="149"/>
      <c r="AS20" s="149">
        <v>6.39</v>
      </c>
      <c r="AT20" s="149">
        <v>123.05</v>
      </c>
      <c r="AU20" s="149">
        <v>1.58</v>
      </c>
      <c r="AV20" s="149"/>
      <c r="AW20" s="149"/>
      <c r="AX20" s="158">
        <f t="shared" si="6"/>
        <v>0</v>
      </c>
      <c r="AY20" s="125">
        <f t="shared" si="7"/>
        <v>94.409999999999982</v>
      </c>
      <c r="AZ20" s="125">
        <f t="shared" si="24"/>
        <v>92.637489307553139</v>
      </c>
      <c r="BA20" s="159">
        <f t="shared" si="8"/>
        <v>3.5738999999999996</v>
      </c>
      <c r="BB20" s="160">
        <f t="shared" si="9"/>
        <v>3.7763999999999993</v>
      </c>
      <c r="BC20" s="161">
        <f t="shared" si="10"/>
        <v>0.89886225610897619</v>
      </c>
      <c r="BD20" s="160">
        <f t="shared" si="25"/>
        <v>7.3502999999999989</v>
      </c>
      <c r="BE20" s="162">
        <v>0.88900000000000001</v>
      </c>
      <c r="BF20" s="25">
        <f t="shared" si="26"/>
        <v>1278.67</v>
      </c>
      <c r="BG20" s="25">
        <f t="shared" si="11"/>
        <v>107.74193548387096</v>
      </c>
      <c r="BH20" s="25">
        <f t="shared" si="27"/>
        <v>1508.3870967741934</v>
      </c>
      <c r="BI20" s="26">
        <f t="shared" si="12"/>
        <v>1</v>
      </c>
      <c r="BJ20" s="37">
        <f t="shared" si="28"/>
        <v>1508.3870967741934</v>
      </c>
      <c r="BK20" s="38">
        <v>72.917000000000002</v>
      </c>
      <c r="BL20" s="31"/>
      <c r="BM20" s="31"/>
      <c r="BN20" s="234">
        <v>89.048000000000002</v>
      </c>
      <c r="BO20" s="42"/>
      <c r="BP20" s="40">
        <v>16.213999999999999</v>
      </c>
      <c r="BQ20" s="411">
        <v>24.329000000000001</v>
      </c>
      <c r="BR20" s="33">
        <v>0.91</v>
      </c>
      <c r="BS20" s="34"/>
      <c r="BT20" s="35"/>
      <c r="BU20" s="28"/>
      <c r="BV20" s="287"/>
      <c r="BW20" s="287">
        <v>2.98</v>
      </c>
      <c r="BX20" s="36"/>
      <c r="BY20" s="33">
        <v>36.520000000000003</v>
      </c>
      <c r="BZ20" s="34"/>
      <c r="CA20" s="35"/>
      <c r="CB20" s="405">
        <v>41.67</v>
      </c>
      <c r="CC20" s="404"/>
      <c r="CD20" s="235">
        <v>37.01</v>
      </c>
      <c r="CE20" s="413">
        <v>43.9</v>
      </c>
      <c r="CF20" s="30">
        <v>131.107</v>
      </c>
      <c r="CG20" s="30"/>
      <c r="CH20" s="31"/>
      <c r="CI20" s="32"/>
      <c r="CJ20" s="33">
        <v>2.8</v>
      </c>
      <c r="CK20" s="33"/>
      <c r="CL20" s="35"/>
      <c r="CM20" s="36"/>
      <c r="CN20" s="286"/>
      <c r="CO20" s="249">
        <f t="shared" si="13"/>
        <v>72.253455299999999</v>
      </c>
      <c r="CP20" s="12">
        <f t="shared" si="13"/>
        <v>0</v>
      </c>
      <c r="CQ20" s="12">
        <f t="shared" si="13"/>
        <v>0</v>
      </c>
      <c r="CR20" s="12">
        <f t="shared" si="13"/>
        <v>89.048000000000002</v>
      </c>
      <c r="CS20" s="11">
        <f t="shared" si="13"/>
        <v>0</v>
      </c>
      <c r="CT20" s="11">
        <f t="shared" si="13"/>
        <v>15.730822799999999</v>
      </c>
      <c r="CU20" s="272">
        <f t="shared" si="13"/>
        <v>24.329000000000001</v>
      </c>
      <c r="CV20" s="249">
        <f t="shared" si="14"/>
        <v>127.436004</v>
      </c>
      <c r="CW20" s="12">
        <f t="shared" si="14"/>
        <v>0</v>
      </c>
      <c r="CX20" s="249">
        <f t="shared" si="14"/>
        <v>0</v>
      </c>
      <c r="CY20" s="272">
        <f t="shared" si="14"/>
        <v>0</v>
      </c>
      <c r="CZ20" s="13"/>
      <c r="DA20" s="240">
        <f>(D20+'[2]август 20 '!D20)/(AY20+'[2]август 20 '!BA20)</f>
        <v>2.2307091616041554</v>
      </c>
      <c r="DB20" s="241">
        <f>(T20+'[2]август 20 '!T20)/(AY20+'[2]август 20 '!BA20)</f>
        <v>1.4080259190816233</v>
      </c>
      <c r="DD20" s="292">
        <f t="shared" si="15"/>
        <v>8.2110000000000003</v>
      </c>
      <c r="DE20" s="291">
        <v>0.44</v>
      </c>
      <c r="DF20" s="407">
        <v>8.7899999999999991</v>
      </c>
      <c r="DG20" s="145">
        <f t="shared" si="16"/>
        <v>8.1748716000000012</v>
      </c>
      <c r="DH20" s="293">
        <f t="shared" si="29"/>
        <v>0.94387391782477359</v>
      </c>
      <c r="DJ20" s="322"/>
    </row>
    <row r="21" spans="1:114" s="76" customFormat="1" ht="16.5" customHeight="1" thickBot="1">
      <c r="A21" s="144">
        <v>15</v>
      </c>
      <c r="B21" s="122">
        <f>'[1]август 20'!K20</f>
        <v>197.50399999999999</v>
      </c>
      <c r="C21" s="123">
        <f t="shared" si="17"/>
        <v>0.69694968203175633</v>
      </c>
      <c r="D21" s="145">
        <f t="shared" si="18"/>
        <v>196.12749649999998</v>
      </c>
      <c r="E21" s="125">
        <f t="shared" si="19"/>
        <v>39.190827730071291</v>
      </c>
      <c r="F21" s="146">
        <f t="shared" si="0"/>
        <v>2.2317648668639056</v>
      </c>
      <c r="G21" s="127"/>
      <c r="H21" s="126">
        <f t="shared" si="20"/>
        <v>0.97346946404187551</v>
      </c>
      <c r="I21" s="230">
        <f>'[1]июль 20'!AI20</f>
        <v>0</v>
      </c>
      <c r="J21" s="247">
        <f>'[1]август 20'!AA20</f>
        <v>8.3940000000000001</v>
      </c>
      <c r="K21" s="465">
        <f>'[1]сентябрь 20'!AM20</f>
        <v>0</v>
      </c>
      <c r="L21" s="247">
        <f>'[1]август 20'!AE20</f>
        <v>110.57899999999999</v>
      </c>
      <c r="M21" s="469">
        <f t="shared" si="21"/>
        <v>1.2582954028220303</v>
      </c>
      <c r="N21" s="403">
        <f>'[1]август 20'!W20</f>
        <v>0</v>
      </c>
      <c r="O21" s="403">
        <f>'[1]август 20'!AU20</f>
        <v>3.51</v>
      </c>
      <c r="P21" s="401">
        <f t="shared" si="1"/>
        <v>128.38200000000001</v>
      </c>
      <c r="Q21" s="122">
        <f>'[1]август 20'!S20</f>
        <v>128.38200000000001</v>
      </c>
      <c r="R21" s="123">
        <f t="shared" si="22"/>
        <v>3.22</v>
      </c>
      <c r="S21" s="501"/>
      <c r="T21" s="125">
        <f t="shared" si="2"/>
        <v>124.2480996</v>
      </c>
      <c r="U21" s="147">
        <f t="shared" si="3"/>
        <v>1.4138381838871192</v>
      </c>
      <c r="V21" s="130">
        <v>87.88</v>
      </c>
      <c r="W21" s="130">
        <v>87.88</v>
      </c>
      <c r="X21" s="129">
        <v>0.25</v>
      </c>
      <c r="Y21" s="131">
        <v>627</v>
      </c>
      <c r="Z21" s="150">
        <v>1162</v>
      </c>
      <c r="AA21" s="168" t="s">
        <v>333</v>
      </c>
      <c r="AB21" s="149">
        <v>76.03</v>
      </c>
      <c r="AC21" s="150">
        <v>79</v>
      </c>
      <c r="AD21" s="151">
        <v>4</v>
      </c>
      <c r="AE21" s="149">
        <v>5.65</v>
      </c>
      <c r="AF21" s="134">
        <f t="shared" si="4"/>
        <v>64.29221665908058</v>
      </c>
      <c r="AG21" s="152"/>
      <c r="AH21" s="129">
        <v>76.2</v>
      </c>
      <c r="AI21" s="134">
        <f t="shared" si="5"/>
        <v>867.09148839326383</v>
      </c>
      <c r="AJ21" s="136">
        <v>14.07</v>
      </c>
      <c r="AK21" s="154"/>
      <c r="AL21" s="155">
        <v>6.01</v>
      </c>
      <c r="AM21" s="478">
        <v>33.020000000000003</v>
      </c>
      <c r="AN21" s="126">
        <f t="shared" si="23"/>
        <v>0.2637380191693291</v>
      </c>
      <c r="AO21" s="157" t="s">
        <v>183</v>
      </c>
      <c r="AP21" s="156">
        <v>7.81</v>
      </c>
      <c r="AQ21" s="156">
        <v>6.74</v>
      </c>
      <c r="AR21" s="149"/>
      <c r="AS21" s="149">
        <v>7.45</v>
      </c>
      <c r="AT21" s="149">
        <v>125.2</v>
      </c>
      <c r="AU21" s="149">
        <v>1.71</v>
      </c>
      <c r="AV21" s="149"/>
      <c r="AW21" s="149"/>
      <c r="AX21" s="158">
        <f t="shared" si="6"/>
        <v>0</v>
      </c>
      <c r="AY21" s="125">
        <f t="shared" si="7"/>
        <v>87.879999999999981</v>
      </c>
      <c r="AZ21" s="125">
        <f t="shared" si="24"/>
        <v>90.471562221636589</v>
      </c>
      <c r="BA21" s="159">
        <f t="shared" si="8"/>
        <v>4.3975985915492961</v>
      </c>
      <c r="BB21" s="160">
        <f t="shared" si="9"/>
        <v>3.5151999999999992</v>
      </c>
      <c r="BC21" s="161">
        <f t="shared" si="10"/>
        <v>0.86926484849222163</v>
      </c>
      <c r="BD21" s="160">
        <f t="shared" si="25"/>
        <v>7.9127985915492953</v>
      </c>
      <c r="BE21" s="162">
        <v>0.88700000000000001</v>
      </c>
      <c r="BF21" s="25">
        <f t="shared" si="26"/>
        <v>1366.55</v>
      </c>
      <c r="BG21" s="25">
        <f t="shared" si="11"/>
        <v>107.74193548387096</v>
      </c>
      <c r="BH21" s="25">
        <f t="shared" si="27"/>
        <v>1616.1290322580644</v>
      </c>
      <c r="BI21" s="26">
        <f t="shared" si="12"/>
        <v>1</v>
      </c>
      <c r="BJ21" s="37">
        <f t="shared" si="28"/>
        <v>1616.1290322580644</v>
      </c>
      <c r="BK21" s="38">
        <v>71.094999999999999</v>
      </c>
      <c r="BL21" s="31"/>
      <c r="BM21" s="31"/>
      <c r="BN21" s="234">
        <v>86.906999999999996</v>
      </c>
      <c r="BO21" s="42"/>
      <c r="BP21" s="40">
        <v>15.83</v>
      </c>
      <c r="BQ21" s="411">
        <v>23.672000000000001</v>
      </c>
      <c r="BR21" s="33">
        <v>1.07</v>
      </c>
      <c r="BS21" s="34"/>
      <c r="BT21" s="35"/>
      <c r="BU21" s="35"/>
      <c r="BV21" s="235"/>
      <c r="BW21" s="235">
        <v>3.89</v>
      </c>
      <c r="BX21" s="36"/>
      <c r="BY21" s="33">
        <v>35.24</v>
      </c>
      <c r="BZ21" s="34"/>
      <c r="CA21" s="35"/>
      <c r="CB21" s="405">
        <v>41.58</v>
      </c>
      <c r="CC21" s="404"/>
      <c r="CD21" s="235">
        <v>37.090000000000003</v>
      </c>
      <c r="CE21" s="413">
        <v>43.69</v>
      </c>
      <c r="CF21" s="30">
        <v>128.38200000000001</v>
      </c>
      <c r="CG21" s="30"/>
      <c r="CH21" s="31"/>
      <c r="CI21" s="32"/>
      <c r="CJ21" s="33">
        <v>3.22</v>
      </c>
      <c r="CK21" s="33"/>
      <c r="CL21" s="35"/>
      <c r="CM21" s="36"/>
      <c r="CN21" s="286"/>
      <c r="CO21" s="249">
        <f t="shared" si="13"/>
        <v>70.334283499999998</v>
      </c>
      <c r="CP21" s="12">
        <f t="shared" si="13"/>
        <v>0</v>
      </c>
      <c r="CQ21" s="12">
        <f t="shared" si="13"/>
        <v>0</v>
      </c>
      <c r="CR21" s="12">
        <f t="shared" si="13"/>
        <v>86.906999999999996</v>
      </c>
      <c r="CS21" s="11">
        <f t="shared" si="13"/>
        <v>0</v>
      </c>
      <c r="CT21" s="11">
        <f t="shared" si="13"/>
        <v>15.214212999999999</v>
      </c>
      <c r="CU21" s="272">
        <f t="shared" si="13"/>
        <v>23.672000000000001</v>
      </c>
      <c r="CV21" s="249">
        <f t="shared" si="14"/>
        <v>124.2480996</v>
      </c>
      <c r="CW21" s="12">
        <f t="shared" si="14"/>
        <v>0</v>
      </c>
      <c r="CX21" s="249">
        <f t="shared" si="14"/>
        <v>0</v>
      </c>
      <c r="CY21" s="272">
        <f t="shared" si="14"/>
        <v>0</v>
      </c>
      <c r="CZ21" s="13"/>
      <c r="DA21" s="240">
        <f>(D21+'[2]август 20 '!D21)/(AY21+'[2]август 20 '!BA21)</f>
        <v>2.0977759892233121</v>
      </c>
      <c r="DB21" s="241">
        <f>(T21+'[2]август 20 '!T21)/(AY21+'[2]август 20 '!BA21)</f>
        <v>1.3189349759534841</v>
      </c>
      <c r="DD21" s="292">
        <f t="shared" si="15"/>
        <v>8.3940000000000001</v>
      </c>
      <c r="DE21" s="291">
        <v>1.41</v>
      </c>
      <c r="DF21" s="291">
        <v>20.34</v>
      </c>
      <c r="DG21" s="145">
        <f t="shared" si="16"/>
        <v>8.2756445999999997</v>
      </c>
      <c r="DH21" s="293">
        <f t="shared" si="29"/>
        <v>2.2139499035117716</v>
      </c>
      <c r="DJ21" s="322"/>
    </row>
    <row r="22" spans="1:114" s="76" customFormat="1" ht="16.5" customHeight="1" thickBot="1">
      <c r="A22" s="144">
        <v>16</v>
      </c>
      <c r="B22" s="122">
        <f>'[1]август 20'!K21</f>
        <v>194.76400000000001</v>
      </c>
      <c r="C22" s="123">
        <f t="shared" si="17"/>
        <v>0.70900238237045865</v>
      </c>
      <c r="D22" s="145">
        <f t="shared" si="18"/>
        <v>193.38311860000002</v>
      </c>
      <c r="E22" s="125">
        <f t="shared" si="19"/>
        <v>39.357707687252258</v>
      </c>
      <c r="F22" s="146">
        <f t="shared" si="0"/>
        <v>2.1451261075984469</v>
      </c>
      <c r="G22" s="127"/>
      <c r="H22" s="126">
        <f t="shared" si="20"/>
        <v>0.93397802107598438</v>
      </c>
      <c r="I22" s="230">
        <f>'[1]июль 20'!AI21</f>
        <v>0</v>
      </c>
      <c r="J22" s="247">
        <f>'[1]август 20'!AA21</f>
        <v>7.88</v>
      </c>
      <c r="K22" s="464">
        <f>'[1]сентябрь 20'!AM21</f>
        <v>0</v>
      </c>
      <c r="L22" s="247">
        <f>'[1]август 20'!AE21</f>
        <v>109.185</v>
      </c>
      <c r="M22" s="468">
        <f t="shared" si="21"/>
        <v>1.2111480865224624</v>
      </c>
      <c r="N22" s="403">
        <f>'[1]август 20'!W21</f>
        <v>0</v>
      </c>
      <c r="O22" s="403">
        <f>'[1]август 20'!AU21</f>
        <v>3.5169999999999999</v>
      </c>
      <c r="P22" s="401">
        <f t="shared" si="1"/>
        <v>126.471</v>
      </c>
      <c r="Q22" s="122">
        <f>'[1]август 20'!S21</f>
        <v>126.471</v>
      </c>
      <c r="R22" s="123">
        <f t="shared" si="22"/>
        <v>3.7</v>
      </c>
      <c r="S22" s="501"/>
      <c r="T22" s="125">
        <f t="shared" si="2"/>
        <v>121.791573</v>
      </c>
      <c r="U22" s="147">
        <f t="shared" si="3"/>
        <v>1.3509880532445921</v>
      </c>
      <c r="V22" s="130">
        <v>90.15</v>
      </c>
      <c r="W22" s="130">
        <v>25.47</v>
      </c>
      <c r="X22" s="129">
        <v>1.1399999999999999</v>
      </c>
      <c r="Y22" s="131">
        <v>569</v>
      </c>
      <c r="Z22" s="150">
        <v>1163</v>
      </c>
      <c r="AA22" s="148" t="s">
        <v>299</v>
      </c>
      <c r="AB22" s="149">
        <v>76.349999999999994</v>
      </c>
      <c r="AC22" s="150">
        <v>78</v>
      </c>
      <c r="AD22" s="151">
        <v>4</v>
      </c>
      <c r="AE22" s="149">
        <v>4.1500000000000004</v>
      </c>
      <c r="AF22" s="134">
        <f t="shared" si="4"/>
        <v>46.034387132556851</v>
      </c>
      <c r="AG22" s="152"/>
      <c r="AH22" s="129">
        <v>73.8</v>
      </c>
      <c r="AI22" s="134">
        <f t="shared" si="5"/>
        <v>818.63560732113137</v>
      </c>
      <c r="AJ22" s="153">
        <v>12.06</v>
      </c>
      <c r="AK22" s="154"/>
      <c r="AL22" s="155">
        <v>4.9400000000000004</v>
      </c>
      <c r="AM22" s="478">
        <v>25.08</v>
      </c>
      <c r="AN22" s="126">
        <f t="shared" si="23"/>
        <v>0.2115563053563897</v>
      </c>
      <c r="AO22" s="157" t="s">
        <v>382</v>
      </c>
      <c r="AP22" s="156">
        <v>8.2799999999999994</v>
      </c>
      <c r="AQ22" s="156">
        <v>6.36</v>
      </c>
      <c r="AR22" s="151"/>
      <c r="AS22" s="149">
        <v>6.97</v>
      </c>
      <c r="AT22" s="149">
        <v>118.55</v>
      </c>
      <c r="AU22" s="149">
        <v>1.62</v>
      </c>
      <c r="AV22" s="149"/>
      <c r="AW22" s="149"/>
      <c r="AX22" s="158">
        <f t="shared" si="6"/>
        <v>0</v>
      </c>
      <c r="AY22" s="125">
        <f t="shared" si="7"/>
        <v>90.15</v>
      </c>
      <c r="AZ22" s="125">
        <f t="shared" si="24"/>
        <v>88.945294883464527</v>
      </c>
      <c r="BA22" s="159">
        <f t="shared" si="8"/>
        <v>3.9846802816901405</v>
      </c>
      <c r="BB22" s="160">
        <f t="shared" si="9"/>
        <v>3.6060000000000003</v>
      </c>
      <c r="BC22" s="161">
        <f t="shared" si="10"/>
        <v>0.90432891454359043</v>
      </c>
      <c r="BD22" s="160">
        <f t="shared" si="25"/>
        <v>7.5906802816901404</v>
      </c>
      <c r="BE22" s="162">
        <v>0.88800000000000001</v>
      </c>
      <c r="BF22" s="25">
        <f t="shared" si="26"/>
        <v>1456.7</v>
      </c>
      <c r="BG22" s="25">
        <f t="shared" si="11"/>
        <v>107.74193548387096</v>
      </c>
      <c r="BH22" s="25">
        <f t="shared" si="27"/>
        <v>1723.8709677419354</v>
      </c>
      <c r="BI22" s="26">
        <f t="shared" si="12"/>
        <v>1</v>
      </c>
      <c r="BJ22" s="37">
        <f t="shared" si="28"/>
        <v>1723.8709677419354</v>
      </c>
      <c r="BK22" s="38">
        <v>69.977000000000004</v>
      </c>
      <c r="BL22" s="31"/>
      <c r="BM22" s="31"/>
      <c r="BN22" s="234">
        <v>85.796000000000006</v>
      </c>
      <c r="BO22" s="42"/>
      <c r="BP22" s="40">
        <v>15.602</v>
      </c>
      <c r="BQ22" s="411">
        <v>23.388999999999999</v>
      </c>
      <c r="BR22" s="33">
        <v>1.3</v>
      </c>
      <c r="BS22" s="34"/>
      <c r="BT22" s="35"/>
      <c r="BU22" s="35"/>
      <c r="BV22" s="235"/>
      <c r="BW22" s="235">
        <v>3.02</v>
      </c>
      <c r="BX22" s="36"/>
      <c r="BY22" s="33">
        <v>35.5</v>
      </c>
      <c r="BZ22" s="34"/>
      <c r="CA22" s="35"/>
      <c r="CB22" s="405">
        <v>41.62</v>
      </c>
      <c r="CC22" s="404"/>
      <c r="CD22" s="235">
        <v>37.799999999999997</v>
      </c>
      <c r="CE22" s="413">
        <v>43.64</v>
      </c>
      <c r="CF22" s="30">
        <v>126.471</v>
      </c>
      <c r="CG22" s="30"/>
      <c r="CH22" s="31"/>
      <c r="CI22" s="32"/>
      <c r="CJ22" s="33">
        <v>3.7</v>
      </c>
      <c r="CK22" s="33"/>
      <c r="CL22" s="35"/>
      <c r="CM22" s="36"/>
      <c r="CN22" s="286"/>
      <c r="CO22" s="249">
        <f t="shared" si="13"/>
        <v>69.067299000000006</v>
      </c>
      <c r="CP22" s="12">
        <f t="shared" si="13"/>
        <v>0</v>
      </c>
      <c r="CQ22" s="12">
        <f t="shared" si="13"/>
        <v>0</v>
      </c>
      <c r="CR22" s="12">
        <f t="shared" si="13"/>
        <v>85.796000000000006</v>
      </c>
      <c r="CS22" s="11">
        <f t="shared" si="13"/>
        <v>0</v>
      </c>
      <c r="CT22" s="11">
        <f t="shared" si="13"/>
        <v>15.130819600000001</v>
      </c>
      <c r="CU22" s="272">
        <f t="shared" si="13"/>
        <v>23.388999999999999</v>
      </c>
      <c r="CV22" s="249">
        <f t="shared" si="14"/>
        <v>121.791573</v>
      </c>
      <c r="CW22" s="12">
        <f t="shared" si="14"/>
        <v>0</v>
      </c>
      <c r="CX22" s="249">
        <f t="shared" si="14"/>
        <v>0</v>
      </c>
      <c r="CY22" s="272">
        <f t="shared" si="14"/>
        <v>0</v>
      </c>
      <c r="CZ22" s="13"/>
      <c r="DA22" s="240">
        <f>(D22+'[2]август 20 '!D22)/(AY22+'[2]август 20 '!BA22)</f>
        <v>2.1750505363781945</v>
      </c>
      <c r="DB22" s="241">
        <f>(T22+'[2]август 20 '!T22)/(AY22+'[2]август 20 '!BA22)</f>
        <v>1.3714851572636766</v>
      </c>
      <c r="DD22" s="292">
        <f t="shared" si="15"/>
        <v>7.88</v>
      </c>
      <c r="DE22" s="291">
        <v>0.92</v>
      </c>
      <c r="DF22" s="291">
        <v>18.760000000000002</v>
      </c>
      <c r="DG22" s="145">
        <f t="shared" si="16"/>
        <v>7.8075039999999998</v>
      </c>
      <c r="DH22" s="293">
        <f t="shared" si="29"/>
        <v>1.9183860516044533</v>
      </c>
      <c r="DJ22" s="322"/>
    </row>
    <row r="23" spans="1:114" s="76" customFormat="1" ht="16.5" customHeight="1" thickBot="1">
      <c r="A23" s="144">
        <v>17</v>
      </c>
      <c r="B23" s="122">
        <f>'[1]август 20'!K22</f>
        <v>202.36199999999999</v>
      </c>
      <c r="C23" s="123">
        <f t="shared" si="17"/>
        <v>0.69989029560885929</v>
      </c>
      <c r="D23" s="145">
        <f t="shared" si="18"/>
        <v>200.94568800000002</v>
      </c>
      <c r="E23" s="125">
        <f t="shared" si="19"/>
        <v>39.67137921151204</v>
      </c>
      <c r="F23" s="146">
        <f t="shared" si="0"/>
        <v>2.1418214453208275</v>
      </c>
      <c r="G23" s="127"/>
      <c r="H23" s="126">
        <f t="shared" si="20"/>
        <v>0.93378477936474114</v>
      </c>
      <c r="I23" s="230">
        <f>'[1]июль 20'!AI22</f>
        <v>0</v>
      </c>
      <c r="J23" s="247">
        <f>'[1]август 20'!AA22</f>
        <v>8.0489999999999995</v>
      </c>
      <c r="K23" s="465">
        <f>'[1]сентябрь 20'!AM22</f>
        <v>0</v>
      </c>
      <c r="L23" s="247">
        <f>'[1]август 20'!AE22</f>
        <v>113.33799999999999</v>
      </c>
      <c r="M23" s="469">
        <f t="shared" si="21"/>
        <v>1.2080366659560864</v>
      </c>
      <c r="N23" s="403">
        <f>'[1]август 20'!W22</f>
        <v>0</v>
      </c>
      <c r="O23" s="403">
        <f>'[1]август 20'!AU22</f>
        <v>3.6930000000000001</v>
      </c>
      <c r="P23" s="401">
        <f t="shared" si="1"/>
        <v>131.387</v>
      </c>
      <c r="Q23" s="122">
        <f>'[1]август 20'!S22</f>
        <v>131.387</v>
      </c>
      <c r="R23" s="123">
        <f t="shared" si="22"/>
        <v>3.42</v>
      </c>
      <c r="S23" s="501">
        <v>11.071</v>
      </c>
      <c r="T23" s="125">
        <f t="shared" si="2"/>
        <v>126.8935646</v>
      </c>
      <c r="U23" s="147">
        <f t="shared" si="3"/>
        <v>1.3525214730334685</v>
      </c>
      <c r="V23" s="130">
        <v>93.82</v>
      </c>
      <c r="W23" s="130">
        <v>93.82</v>
      </c>
      <c r="X23" s="129">
        <v>0.72</v>
      </c>
      <c r="Y23" s="131">
        <v>553</v>
      </c>
      <c r="Z23" s="150">
        <v>1157</v>
      </c>
      <c r="AA23" s="148" t="s">
        <v>329</v>
      </c>
      <c r="AB23" s="149">
        <v>76.23</v>
      </c>
      <c r="AC23" s="150">
        <v>81</v>
      </c>
      <c r="AD23" s="151">
        <v>4</v>
      </c>
      <c r="AE23" s="149">
        <v>2.4</v>
      </c>
      <c r="AF23" s="134">
        <f t="shared" si="4"/>
        <v>25.580899594969093</v>
      </c>
      <c r="AG23" s="152"/>
      <c r="AH23" s="129">
        <v>69.45</v>
      </c>
      <c r="AI23" s="134">
        <f t="shared" si="5"/>
        <v>740.2472820294181</v>
      </c>
      <c r="AJ23" s="136">
        <v>12.87</v>
      </c>
      <c r="AK23" s="154"/>
      <c r="AL23" s="155">
        <v>5.15</v>
      </c>
      <c r="AM23" s="478">
        <v>24.06</v>
      </c>
      <c r="AN23" s="126">
        <f t="shared" si="23"/>
        <v>0.19705159705159705</v>
      </c>
      <c r="AO23" s="157" t="s">
        <v>217</v>
      </c>
      <c r="AP23" s="156">
        <v>8.0299999999999994</v>
      </c>
      <c r="AQ23" s="156">
        <v>6.65</v>
      </c>
      <c r="AR23" s="151"/>
      <c r="AS23" s="149">
        <v>7.3</v>
      </c>
      <c r="AT23" s="149">
        <v>122.1</v>
      </c>
      <c r="AU23" s="149">
        <v>0.93</v>
      </c>
      <c r="AV23" s="149"/>
      <c r="AW23" s="149"/>
      <c r="AX23" s="158">
        <f t="shared" si="6"/>
        <v>0</v>
      </c>
      <c r="AY23" s="125">
        <f t="shared" si="7"/>
        <v>93.82</v>
      </c>
      <c r="AZ23" s="125">
        <f t="shared" si="24"/>
        <v>93.173521481926798</v>
      </c>
      <c r="BA23" s="159">
        <f t="shared" si="8"/>
        <v>3.9273485915492956</v>
      </c>
      <c r="BB23" s="160">
        <f t="shared" si="9"/>
        <v>3.7527999999999997</v>
      </c>
      <c r="BC23" s="161">
        <f t="shared" si="10"/>
        <v>0.8971506119414977</v>
      </c>
      <c r="BD23" s="160">
        <f t="shared" si="25"/>
        <v>7.6801485915492957</v>
      </c>
      <c r="BE23" s="162">
        <v>0.88900000000000001</v>
      </c>
      <c r="BF23" s="25">
        <f t="shared" si="26"/>
        <v>1550.52</v>
      </c>
      <c r="BG23" s="25">
        <f t="shared" si="11"/>
        <v>107.74193548387096</v>
      </c>
      <c r="BH23" s="25">
        <f t="shared" si="27"/>
        <v>1831.6129032258063</v>
      </c>
      <c r="BI23" s="26">
        <f t="shared" si="12"/>
        <v>1</v>
      </c>
      <c r="BJ23" s="37">
        <f t="shared" si="28"/>
        <v>1831.6129032258063</v>
      </c>
      <c r="BK23" s="38">
        <v>72.835999999999999</v>
      </c>
      <c r="BL23" s="31"/>
      <c r="BM23" s="31"/>
      <c r="BN23" s="234">
        <v>89.037000000000006</v>
      </c>
      <c r="BO23" s="42"/>
      <c r="BP23" s="40">
        <v>16.187999999999999</v>
      </c>
      <c r="BQ23" s="411">
        <v>24.300999999999998</v>
      </c>
      <c r="BR23" s="33">
        <v>1.38</v>
      </c>
      <c r="BS23" s="34"/>
      <c r="BT23" s="35"/>
      <c r="BU23" s="35"/>
      <c r="BV23" s="235"/>
      <c r="BW23" s="235">
        <v>2.54</v>
      </c>
      <c r="BX23" s="36"/>
      <c r="BY23" s="33">
        <v>36.229999999999997</v>
      </c>
      <c r="BZ23" s="34"/>
      <c r="CA23" s="35"/>
      <c r="CB23" s="405">
        <v>41.69</v>
      </c>
      <c r="CC23" s="404"/>
      <c r="CD23" s="235">
        <v>37.99</v>
      </c>
      <c r="CE23" s="413">
        <v>43.71</v>
      </c>
      <c r="CF23" s="30">
        <v>131.387</v>
      </c>
      <c r="CG23" s="30"/>
      <c r="CH23" s="31"/>
      <c r="CI23" s="32"/>
      <c r="CJ23" s="33">
        <v>3.42</v>
      </c>
      <c r="CK23" s="33"/>
      <c r="CL23" s="35"/>
      <c r="CM23" s="36"/>
      <c r="CN23" s="286"/>
      <c r="CO23" s="249">
        <f t="shared" ref="CO23:CU37" si="30">BK23*((100-BR23)/100)</f>
        <v>71.83086320000001</v>
      </c>
      <c r="CP23" s="12">
        <f t="shared" si="30"/>
        <v>0</v>
      </c>
      <c r="CQ23" s="12">
        <f t="shared" si="30"/>
        <v>0</v>
      </c>
      <c r="CR23" s="12">
        <f t="shared" si="30"/>
        <v>89.037000000000006</v>
      </c>
      <c r="CS23" s="11">
        <f t="shared" si="30"/>
        <v>0</v>
      </c>
      <c r="CT23" s="11">
        <f t="shared" si="30"/>
        <v>15.776824799999998</v>
      </c>
      <c r="CU23" s="272">
        <f t="shared" si="30"/>
        <v>24.300999999999998</v>
      </c>
      <c r="CV23" s="249">
        <f t="shared" si="14"/>
        <v>126.8935646</v>
      </c>
      <c r="CW23" s="11">
        <f t="shared" si="14"/>
        <v>0</v>
      </c>
      <c r="CX23" s="249">
        <f t="shared" si="14"/>
        <v>0</v>
      </c>
      <c r="CY23" s="272">
        <f t="shared" si="14"/>
        <v>0</v>
      </c>
      <c r="CZ23" s="13"/>
      <c r="DA23" s="240">
        <f>(D23+'[2]август 20 '!D23)/(AY23+'[2]август 20 '!BA23)</f>
        <v>2.2063879015998649</v>
      </c>
      <c r="DB23" s="241">
        <f>(T23+'[2]август 20 '!T23)/(AY23+'[2]август 20 '!BA23)</f>
        <v>1.3981210244292606</v>
      </c>
      <c r="DD23" s="292">
        <f t="shared" si="15"/>
        <v>8.0489999999999995</v>
      </c>
      <c r="DE23" s="291">
        <v>1.46</v>
      </c>
      <c r="DF23" s="291">
        <v>18.059999999999999</v>
      </c>
      <c r="DG23" s="145">
        <f t="shared" si="16"/>
        <v>7.9314846000000001</v>
      </c>
      <c r="DH23" s="293">
        <f t="shared" si="29"/>
        <v>1.8790845057851235</v>
      </c>
      <c r="DJ23" s="322"/>
    </row>
    <row r="24" spans="1:114" s="76" customFormat="1" ht="16.5" customHeight="1" thickBot="1">
      <c r="A24" s="144">
        <v>18</v>
      </c>
      <c r="B24" s="122">
        <f>'[1]август 20'!K23</f>
        <v>192.518</v>
      </c>
      <c r="C24" s="123">
        <f t="shared" si="17"/>
        <v>0.69498841666753253</v>
      </c>
      <c r="D24" s="145">
        <f t="shared" si="18"/>
        <v>191.1800222</v>
      </c>
      <c r="E24" s="125">
        <f t="shared" si="19"/>
        <v>39.134519265731001</v>
      </c>
      <c r="F24" s="146">
        <f t="shared" si="0"/>
        <v>2.0262853439321673</v>
      </c>
      <c r="G24" s="127"/>
      <c r="H24" s="126">
        <f t="shared" si="20"/>
        <v>0.88546923370429242</v>
      </c>
      <c r="I24" s="230">
        <f>'[1]июль 20'!AI23</f>
        <v>0</v>
      </c>
      <c r="J24" s="247">
        <f>'[1]август 20'!AA23</f>
        <v>7.8559999999999999</v>
      </c>
      <c r="K24" s="464">
        <f>'[1]сентябрь 20'!AM23</f>
        <v>0</v>
      </c>
      <c r="L24" s="247">
        <f>'[1]август 20'!AE23</f>
        <v>107.636</v>
      </c>
      <c r="M24" s="468">
        <f t="shared" si="21"/>
        <v>1.1408161102278749</v>
      </c>
      <c r="N24" s="403">
        <f>'[1]август 20'!W23</f>
        <v>0</v>
      </c>
      <c r="O24" s="403">
        <f>'[1]август 20'!AU23</f>
        <v>3.411</v>
      </c>
      <c r="P24" s="401">
        <f t="shared" si="1"/>
        <v>125.21599999999999</v>
      </c>
      <c r="Q24" s="122">
        <f>'[1]август 20'!S23</f>
        <v>125.21599999999999</v>
      </c>
      <c r="R24" s="123">
        <f t="shared" si="22"/>
        <v>3.68</v>
      </c>
      <c r="S24" s="129">
        <v>2.29</v>
      </c>
      <c r="T24" s="125">
        <f t="shared" si="2"/>
        <v>120.60805119999999</v>
      </c>
      <c r="U24" s="147">
        <f t="shared" si="3"/>
        <v>1.2783047291997878</v>
      </c>
      <c r="V24" s="130">
        <v>94.35</v>
      </c>
      <c r="W24" s="130">
        <v>49.09</v>
      </c>
      <c r="X24" s="129">
        <v>0.82</v>
      </c>
      <c r="Y24" s="150">
        <v>555</v>
      </c>
      <c r="Z24" s="150">
        <v>1153</v>
      </c>
      <c r="AA24" s="148" t="s">
        <v>280</v>
      </c>
      <c r="AB24" s="149">
        <v>76.45</v>
      </c>
      <c r="AC24" s="150">
        <v>77</v>
      </c>
      <c r="AD24" s="151">
        <v>4</v>
      </c>
      <c r="AE24" s="149">
        <v>4.05</v>
      </c>
      <c r="AF24" s="134">
        <f t="shared" si="4"/>
        <v>42.925278219395857</v>
      </c>
      <c r="AG24" s="152"/>
      <c r="AH24" s="129">
        <v>68.95</v>
      </c>
      <c r="AI24" s="134">
        <f t="shared" si="5"/>
        <v>730.78961314255434</v>
      </c>
      <c r="AJ24" s="153">
        <v>12.44</v>
      </c>
      <c r="AK24" s="154"/>
      <c r="AL24" s="155">
        <v>4.96</v>
      </c>
      <c r="AM24" s="478">
        <v>24.22</v>
      </c>
      <c r="AN24" s="126">
        <f t="shared" si="23"/>
        <v>0.19811860940695294</v>
      </c>
      <c r="AO24" s="157" t="s">
        <v>184</v>
      </c>
      <c r="AP24" s="156">
        <v>7.99</v>
      </c>
      <c r="AQ24" s="156">
        <v>6.9</v>
      </c>
      <c r="AR24" s="151"/>
      <c r="AS24" s="149">
        <v>8.01</v>
      </c>
      <c r="AT24" s="149">
        <v>122.25</v>
      </c>
      <c r="AU24" s="149">
        <v>1.28</v>
      </c>
      <c r="AV24" s="164"/>
      <c r="AW24" s="149"/>
      <c r="AX24" s="158">
        <f t="shared" si="6"/>
        <v>0</v>
      </c>
      <c r="AY24" s="125">
        <f t="shared" si="7"/>
        <v>94.350000000000009</v>
      </c>
      <c r="AZ24" s="125">
        <f t="shared" si="24"/>
        <v>86.569043417837335</v>
      </c>
      <c r="BA24" s="159">
        <f t="shared" si="8"/>
        <v>4.2782989436619721</v>
      </c>
      <c r="BB24" s="160">
        <f t="shared" si="9"/>
        <v>3.7740000000000005</v>
      </c>
      <c r="BC24" s="161">
        <f t="shared" si="10"/>
        <v>0.96408845744135385</v>
      </c>
      <c r="BD24" s="160">
        <f t="shared" si="25"/>
        <v>8.0522989436619721</v>
      </c>
      <c r="BE24" s="162">
        <v>0.89300000000000002</v>
      </c>
      <c r="BF24" s="25">
        <f t="shared" si="26"/>
        <v>1644.87</v>
      </c>
      <c r="BG24" s="25">
        <f t="shared" si="11"/>
        <v>107.74193548387096</v>
      </c>
      <c r="BH24" s="25">
        <f t="shared" si="27"/>
        <v>1939.3548387096773</v>
      </c>
      <c r="BI24" s="26">
        <f t="shared" si="12"/>
        <v>1</v>
      </c>
      <c r="BJ24" s="37">
        <f t="shared" si="28"/>
        <v>1939.3548387096773</v>
      </c>
      <c r="BK24" s="38">
        <v>69.305999999999997</v>
      </c>
      <c r="BL24" s="31"/>
      <c r="BM24" s="31"/>
      <c r="BN24" s="234">
        <v>84.539000000000001</v>
      </c>
      <c r="BO24" s="42"/>
      <c r="BP24" s="40">
        <v>15.576000000000001</v>
      </c>
      <c r="BQ24" s="411">
        <v>23.097000000000001</v>
      </c>
      <c r="BR24" s="33">
        <v>1.0900000000000001</v>
      </c>
      <c r="BS24" s="34"/>
      <c r="BT24" s="35"/>
      <c r="BU24" s="35"/>
      <c r="BV24" s="235"/>
      <c r="BW24" s="235">
        <v>3.74</v>
      </c>
      <c r="BX24" s="36"/>
      <c r="BY24" s="33">
        <v>35.1</v>
      </c>
      <c r="BZ24" s="34"/>
      <c r="CA24" s="35"/>
      <c r="CB24" s="405">
        <v>41.7</v>
      </c>
      <c r="CC24" s="404"/>
      <c r="CD24" s="235">
        <v>35.71</v>
      </c>
      <c r="CE24" s="413">
        <v>44.16</v>
      </c>
      <c r="CF24" s="30">
        <v>125.21599999999999</v>
      </c>
      <c r="CG24" s="30"/>
      <c r="CH24" s="31"/>
      <c r="CI24" s="32"/>
      <c r="CJ24" s="33">
        <v>3.68</v>
      </c>
      <c r="CK24" s="33"/>
      <c r="CL24" s="35"/>
      <c r="CM24" s="36"/>
      <c r="CN24" s="286"/>
      <c r="CO24" s="249">
        <f t="shared" si="30"/>
        <v>68.550564600000001</v>
      </c>
      <c r="CP24" s="12">
        <f t="shared" si="30"/>
        <v>0</v>
      </c>
      <c r="CQ24" s="12">
        <f t="shared" si="30"/>
        <v>0</v>
      </c>
      <c r="CR24" s="12">
        <f t="shared" si="30"/>
        <v>84.539000000000001</v>
      </c>
      <c r="CS24" s="11">
        <f t="shared" si="30"/>
        <v>0</v>
      </c>
      <c r="CT24" s="11">
        <f t="shared" si="30"/>
        <v>14.993457600000001</v>
      </c>
      <c r="CU24" s="272">
        <f t="shared" si="30"/>
        <v>23.097000000000001</v>
      </c>
      <c r="CV24" s="249">
        <f t="shared" si="14"/>
        <v>120.60805119999999</v>
      </c>
      <c r="CW24" s="12">
        <f t="shared" si="14"/>
        <v>0</v>
      </c>
      <c r="CX24" s="249">
        <f t="shared" si="14"/>
        <v>0</v>
      </c>
      <c r="CY24" s="272">
        <f t="shared" si="14"/>
        <v>0</v>
      </c>
      <c r="CZ24" s="13"/>
      <c r="DA24" s="240">
        <f>(D24+'[2]август 20 '!D24)/(AY24+'[2]август 20 '!BA24)</f>
        <v>2.095235305477265</v>
      </c>
      <c r="DB24" s="241">
        <f>(T24+'[2]август 20 '!T24)/(AY24+'[2]август 20 '!BA24)</f>
        <v>1.3302459074087329</v>
      </c>
      <c r="DD24" s="292">
        <f t="shared" si="15"/>
        <v>7.8559999999999999</v>
      </c>
      <c r="DE24" s="291">
        <v>1.7</v>
      </c>
      <c r="DF24" s="291">
        <v>11.22</v>
      </c>
      <c r="DG24" s="145">
        <f t="shared" si="16"/>
        <v>7.722448</v>
      </c>
      <c r="DH24" s="293">
        <f t="shared" si="29"/>
        <v>1.1333664690647482</v>
      </c>
      <c r="DJ24" s="322"/>
    </row>
    <row r="25" spans="1:114" s="76" customFormat="1" ht="16.5" customHeight="1" thickBot="1">
      <c r="A25" s="144">
        <v>19</v>
      </c>
      <c r="B25" s="122">
        <f>'[1]август 20'!K24</f>
        <v>200.405</v>
      </c>
      <c r="C25" s="123">
        <f t="shared" si="17"/>
        <v>0.65058102342755919</v>
      </c>
      <c r="D25" s="145">
        <f t="shared" si="18"/>
        <v>199.10120309999999</v>
      </c>
      <c r="E25" s="125">
        <f t="shared" si="19"/>
        <v>39.413920361268438</v>
      </c>
      <c r="F25" s="146">
        <f t="shared" si="0"/>
        <v>2.3148610987094527</v>
      </c>
      <c r="G25" s="127"/>
      <c r="H25" s="126">
        <f t="shared" si="20"/>
        <v>1.0147797128240905</v>
      </c>
      <c r="I25" s="230">
        <f>'[1]июль 20'!AI24</f>
        <v>0</v>
      </c>
      <c r="J25" s="247">
        <f>'[1]август 20'!AA24</f>
        <v>8.1820000000000004</v>
      </c>
      <c r="K25" s="465">
        <f>'[1]сентябрь 20'!AM24</f>
        <v>0</v>
      </c>
      <c r="L25" s="247">
        <f>'[1]август 20'!AE24</f>
        <v>111.82</v>
      </c>
      <c r="M25" s="469">
        <f t="shared" si="21"/>
        <v>1.3000813858853622</v>
      </c>
      <c r="N25" s="403">
        <f>'[1]август 20'!W24</f>
        <v>0</v>
      </c>
      <c r="O25" s="403">
        <f>'[1]август 20'!AU24</f>
        <v>3.9049999999999998</v>
      </c>
      <c r="P25" s="401">
        <f t="shared" si="1"/>
        <v>130.041</v>
      </c>
      <c r="Q25" s="122">
        <f>'[1]август 20'!S24</f>
        <v>130.041</v>
      </c>
      <c r="R25" s="123">
        <f>IF(Q25=0,0,(CI25*CM25+CG25*CK25+CH25*CL25+CF25*CJ25)/Q25)</f>
        <v>3.16</v>
      </c>
      <c r="S25" s="501">
        <v>16.72</v>
      </c>
      <c r="T25" s="125">
        <f t="shared" si="2"/>
        <v>125.9317044</v>
      </c>
      <c r="U25" s="147">
        <f t="shared" si="3"/>
        <v>1.464151893965818</v>
      </c>
      <c r="V25" s="130">
        <v>86.01</v>
      </c>
      <c r="W25" s="130">
        <v>86.01</v>
      </c>
      <c r="X25" s="129">
        <v>0.56999999999999995</v>
      </c>
      <c r="Y25" s="150">
        <v>540</v>
      </c>
      <c r="Z25" s="150">
        <v>1156</v>
      </c>
      <c r="AA25" s="148" t="s">
        <v>287</v>
      </c>
      <c r="AB25" s="149">
        <v>75.97</v>
      </c>
      <c r="AC25" s="150">
        <v>80</v>
      </c>
      <c r="AD25" s="151">
        <v>4</v>
      </c>
      <c r="AE25" s="149">
        <v>4.4000000000000004</v>
      </c>
      <c r="AF25" s="134">
        <f t="shared" si="4"/>
        <v>51.156842227647957</v>
      </c>
      <c r="AG25" s="152"/>
      <c r="AH25" s="129">
        <v>70.3</v>
      </c>
      <c r="AI25" s="134">
        <f t="shared" si="5"/>
        <v>817.34682013719339</v>
      </c>
      <c r="AJ25" s="136">
        <v>11.6</v>
      </c>
      <c r="AK25" s="154"/>
      <c r="AL25" s="155">
        <v>4.76</v>
      </c>
      <c r="AM25" s="478">
        <v>29.68</v>
      </c>
      <c r="AN25" s="126">
        <f t="shared" si="23"/>
        <v>0.24930701385972281</v>
      </c>
      <c r="AO25" s="157" t="s">
        <v>200</v>
      </c>
      <c r="AP25" s="156">
        <v>8.1300000000000008</v>
      </c>
      <c r="AQ25" s="156">
        <v>6.78</v>
      </c>
      <c r="AR25" s="152"/>
      <c r="AS25" s="149">
        <v>6.9</v>
      </c>
      <c r="AT25" s="149">
        <v>119.05</v>
      </c>
      <c r="AU25" s="149">
        <v>1.4</v>
      </c>
      <c r="AV25" s="164"/>
      <c r="AW25" s="149"/>
      <c r="AX25" s="158">
        <f t="shared" si="6"/>
        <v>0</v>
      </c>
      <c r="AY25" s="125">
        <f t="shared" si="7"/>
        <v>86.009999999999991</v>
      </c>
      <c r="AZ25" s="125">
        <f t="shared" si="24"/>
        <v>91.207452626069283</v>
      </c>
      <c r="BA25" s="159">
        <f t="shared" si="8"/>
        <v>3.7575845070422531</v>
      </c>
      <c r="BB25" s="160">
        <f t="shared" si="9"/>
        <v>3.4403999999999999</v>
      </c>
      <c r="BC25" s="161">
        <f t="shared" si="10"/>
        <v>0.83265971786960524</v>
      </c>
      <c r="BD25" s="160">
        <f t="shared" si="25"/>
        <v>7.1979845070422535</v>
      </c>
      <c r="BE25" s="162">
        <v>0.89</v>
      </c>
      <c r="BF25" s="25">
        <f t="shared" si="26"/>
        <v>1730.8799999999999</v>
      </c>
      <c r="BG25" s="25">
        <f t="shared" si="11"/>
        <v>107.74193548387096</v>
      </c>
      <c r="BH25" s="25">
        <f t="shared" si="27"/>
        <v>2047.0967741935483</v>
      </c>
      <c r="BI25" s="26">
        <f t="shared" si="12"/>
        <v>1</v>
      </c>
      <c r="BJ25" s="37">
        <f t="shared" si="28"/>
        <v>2047.0967741935483</v>
      </c>
      <c r="BK25" s="38">
        <v>76.183000000000007</v>
      </c>
      <c r="BL25" s="31"/>
      <c r="BM25" s="31"/>
      <c r="BN25" s="234">
        <v>87.981999999999999</v>
      </c>
      <c r="BO25" s="42"/>
      <c r="BP25" s="40">
        <v>12.401999999999999</v>
      </c>
      <c r="BQ25" s="411">
        <v>23.838000000000001</v>
      </c>
      <c r="BR25" s="33">
        <v>1.07</v>
      </c>
      <c r="BS25" s="34"/>
      <c r="BT25" s="35"/>
      <c r="BU25" s="35"/>
      <c r="BV25" s="235"/>
      <c r="BW25" s="235">
        <v>3.94</v>
      </c>
      <c r="BX25" s="36"/>
      <c r="BY25" s="33">
        <v>35.81</v>
      </c>
      <c r="BZ25" s="34"/>
      <c r="CA25" s="35"/>
      <c r="CB25" s="405">
        <v>41.56</v>
      </c>
      <c r="CC25" s="404"/>
      <c r="CD25" s="235">
        <v>37.82</v>
      </c>
      <c r="CE25" s="413">
        <v>43.84</v>
      </c>
      <c r="CF25" s="30">
        <v>130.041</v>
      </c>
      <c r="CG25" s="30"/>
      <c r="CH25" s="31"/>
      <c r="CI25" s="32"/>
      <c r="CJ25" s="33">
        <v>3.16</v>
      </c>
      <c r="CK25" s="33"/>
      <c r="CL25" s="35"/>
      <c r="CM25" s="36"/>
      <c r="CN25" s="286"/>
      <c r="CO25" s="249">
        <f t="shared" si="30"/>
        <v>75.367841900000016</v>
      </c>
      <c r="CP25" s="12">
        <f t="shared" si="30"/>
        <v>0</v>
      </c>
      <c r="CQ25" s="12">
        <f t="shared" si="30"/>
        <v>0</v>
      </c>
      <c r="CR25" s="12">
        <f t="shared" si="30"/>
        <v>87.981999999999999</v>
      </c>
      <c r="CS25" s="11">
        <f t="shared" si="30"/>
        <v>0</v>
      </c>
      <c r="CT25" s="11">
        <f t="shared" si="30"/>
        <v>11.913361199999999</v>
      </c>
      <c r="CU25" s="272">
        <f t="shared" si="30"/>
        <v>23.838000000000001</v>
      </c>
      <c r="CV25" s="249">
        <f t="shared" si="14"/>
        <v>125.9317044</v>
      </c>
      <c r="CW25" s="251">
        <f t="shared" si="14"/>
        <v>0</v>
      </c>
      <c r="CX25" s="249">
        <f t="shared" si="14"/>
        <v>0</v>
      </c>
      <c r="CY25" s="272">
        <f t="shared" si="14"/>
        <v>0</v>
      </c>
      <c r="CZ25" s="13"/>
      <c r="DA25" s="240">
        <f>(D25+'[2]август 20 '!D25)/(AY25+'[2]август 20 '!BA25)</f>
        <v>2.322653983474833</v>
      </c>
      <c r="DB25" s="241">
        <f>(T25+'[2]август 20 '!T25)/(AY25+'[2]август 20 '!BA25)</f>
        <v>1.4761662537901759</v>
      </c>
      <c r="DD25" s="292">
        <f t="shared" si="15"/>
        <v>8.1820000000000004</v>
      </c>
      <c r="DE25" s="291">
        <v>0.54</v>
      </c>
      <c r="DF25" s="291">
        <v>9.6199999999999992</v>
      </c>
      <c r="DG25" s="145">
        <f t="shared" si="16"/>
        <v>8.1378172000000006</v>
      </c>
      <c r="DH25" s="293">
        <f t="shared" si="29"/>
        <v>1.0304831046992233</v>
      </c>
      <c r="DJ25" s="322"/>
    </row>
    <row r="26" spans="1:114" s="76" customFormat="1" ht="16.5" customHeight="1" thickBot="1">
      <c r="A26" s="144">
        <v>20</v>
      </c>
      <c r="B26" s="122">
        <f>'[1]август 20'!K25</f>
        <v>194.85900000000001</v>
      </c>
      <c r="C26" s="123">
        <f t="shared" si="17"/>
        <v>0.7486130484093626</v>
      </c>
      <c r="D26" s="145">
        <f t="shared" si="18"/>
        <v>193.4002601</v>
      </c>
      <c r="E26" s="125">
        <f t="shared" si="19"/>
        <v>39.825986893086792</v>
      </c>
      <c r="F26" s="146">
        <f t="shared" si="0"/>
        <v>1.9527489913166396</v>
      </c>
      <c r="G26" s="127"/>
      <c r="H26" s="126">
        <f t="shared" si="20"/>
        <v>0.85155755351373175</v>
      </c>
      <c r="I26" s="230">
        <f>'[1]июль 20'!AI25</f>
        <v>0</v>
      </c>
      <c r="J26" s="247">
        <f>'[1]август 20'!AA25</f>
        <v>7.6710000000000003</v>
      </c>
      <c r="K26" s="464">
        <f>'[1]сентябрь 20'!AM25</f>
        <v>0</v>
      </c>
      <c r="L26" s="247">
        <f>'[1]август 20'!AE25</f>
        <v>109.062</v>
      </c>
      <c r="M26" s="468">
        <f t="shared" si="21"/>
        <v>1.101191437802908</v>
      </c>
      <c r="N26" s="403">
        <f>'[1]август 20'!W25</f>
        <v>0</v>
      </c>
      <c r="O26" s="403">
        <f>'[1]август 20'!AU25</f>
        <v>4.1790000000000003</v>
      </c>
      <c r="P26" s="401">
        <f t="shared" si="1"/>
        <v>127.61799999999999</v>
      </c>
      <c r="Q26" s="122">
        <f>'[1]август 20'!S25</f>
        <v>127.61799999999999</v>
      </c>
      <c r="R26" s="123">
        <f t="shared" ref="R26:R30" si="31">IF(Q26=0,0,(CI26*CM26+CG26*CK26+CH26*CL26+CF26*CJ26)/Q26)</f>
        <v>3.83</v>
      </c>
      <c r="S26" s="501">
        <v>13.69</v>
      </c>
      <c r="T26" s="125">
        <f t="shared" si="2"/>
        <v>122.7302306</v>
      </c>
      <c r="U26" s="147">
        <f t="shared" si="3"/>
        <v>1.2391986126817447</v>
      </c>
      <c r="V26" s="169">
        <v>99.04</v>
      </c>
      <c r="W26" s="169">
        <v>99.04</v>
      </c>
      <c r="X26" s="170">
        <v>0.45</v>
      </c>
      <c r="Y26" s="166">
        <v>595</v>
      </c>
      <c r="Z26" s="166">
        <v>1157</v>
      </c>
      <c r="AA26" s="148" t="s">
        <v>345</v>
      </c>
      <c r="AB26" s="164">
        <v>75.83</v>
      </c>
      <c r="AC26" s="166">
        <v>78</v>
      </c>
      <c r="AD26" s="171">
        <v>4</v>
      </c>
      <c r="AE26" s="164">
        <v>7.55</v>
      </c>
      <c r="AF26" s="172">
        <f t="shared" si="4"/>
        <v>76.231825525040378</v>
      </c>
      <c r="AG26" s="173"/>
      <c r="AH26" s="170">
        <v>73.75</v>
      </c>
      <c r="AI26" s="134">
        <f t="shared" si="5"/>
        <v>744.64862681744751</v>
      </c>
      <c r="AJ26" s="174">
        <v>12.21</v>
      </c>
      <c r="AK26" s="175"/>
      <c r="AL26" s="176">
        <v>4.84</v>
      </c>
      <c r="AM26" s="478">
        <v>25.51</v>
      </c>
      <c r="AN26" s="126">
        <f t="shared" si="23"/>
        <v>0.19883086515978177</v>
      </c>
      <c r="AO26" s="178" t="s">
        <v>222</v>
      </c>
      <c r="AP26" s="177">
        <v>7.85</v>
      </c>
      <c r="AQ26" s="177">
        <v>7.4</v>
      </c>
      <c r="AR26" s="171"/>
      <c r="AS26" s="164">
        <v>6.27</v>
      </c>
      <c r="AT26" s="149">
        <v>128.30000000000001</v>
      </c>
      <c r="AU26" s="164">
        <v>1.0900000000000001</v>
      </c>
      <c r="AV26" s="164"/>
      <c r="AW26" s="164"/>
      <c r="AX26" s="179">
        <f t="shared" si="6"/>
        <v>0</v>
      </c>
      <c r="AY26" s="125">
        <f t="shared" si="7"/>
        <v>99.04</v>
      </c>
      <c r="AZ26" s="125">
        <f t="shared" si="24"/>
        <v>89.598418318365816</v>
      </c>
      <c r="BA26" s="159">
        <f t="shared" si="8"/>
        <v>3.5820686619718303</v>
      </c>
      <c r="BB26" s="159">
        <f t="shared" si="9"/>
        <v>3.9616000000000002</v>
      </c>
      <c r="BC26" s="180">
        <f t="shared" si="10"/>
        <v>0.97505269578848097</v>
      </c>
      <c r="BD26" s="159">
        <f t="shared" si="25"/>
        <v>7.5436686619718305</v>
      </c>
      <c r="BE26" s="167">
        <v>0.89400000000000002</v>
      </c>
      <c r="BF26" s="25">
        <f t="shared" si="26"/>
        <v>1829.9199999999998</v>
      </c>
      <c r="BG26" s="25">
        <f t="shared" si="11"/>
        <v>107.74193548387096</v>
      </c>
      <c r="BH26" s="25">
        <f t="shared" si="27"/>
        <v>2154.838709677419</v>
      </c>
      <c r="BI26" s="26">
        <f t="shared" si="12"/>
        <v>1</v>
      </c>
      <c r="BJ26" s="37">
        <f t="shared" si="28"/>
        <v>2154.838709677419</v>
      </c>
      <c r="BK26" s="38">
        <v>83.424999999999997</v>
      </c>
      <c r="BL26" s="43"/>
      <c r="BM26" s="31"/>
      <c r="BN26" s="406">
        <v>85.706000000000003</v>
      </c>
      <c r="BO26" s="42"/>
      <c r="BP26" s="40">
        <v>2.3719999999999999</v>
      </c>
      <c r="BQ26" s="412">
        <v>23.356000000000002</v>
      </c>
      <c r="BR26" s="33">
        <v>1.63</v>
      </c>
      <c r="BS26" s="34"/>
      <c r="BT26" s="35"/>
      <c r="BU26" s="35"/>
      <c r="BV26" s="235"/>
      <c r="BW26" s="235">
        <v>4.17</v>
      </c>
      <c r="BX26" s="36"/>
      <c r="BY26" s="33">
        <v>36.94</v>
      </c>
      <c r="BZ26" s="34"/>
      <c r="CA26" s="35"/>
      <c r="CB26" s="405">
        <v>41.66</v>
      </c>
      <c r="CC26" s="404"/>
      <c r="CD26" s="235">
        <v>36.619999999999997</v>
      </c>
      <c r="CE26" s="413">
        <v>43.73</v>
      </c>
      <c r="CF26" s="30">
        <v>127.61799999999999</v>
      </c>
      <c r="CG26" s="30"/>
      <c r="CH26" s="43"/>
      <c r="CI26" s="32"/>
      <c r="CJ26" s="33">
        <v>3.83</v>
      </c>
      <c r="CK26" s="33"/>
      <c r="CL26" s="35"/>
      <c r="CM26" s="36"/>
      <c r="CN26" s="286"/>
      <c r="CO26" s="249">
        <f t="shared" si="30"/>
        <v>82.065172500000003</v>
      </c>
      <c r="CP26" s="12">
        <f t="shared" si="30"/>
        <v>0</v>
      </c>
      <c r="CQ26" s="12">
        <f t="shared" si="30"/>
        <v>0</v>
      </c>
      <c r="CR26" s="12">
        <f t="shared" si="30"/>
        <v>85.706000000000003</v>
      </c>
      <c r="CS26" s="11">
        <f t="shared" si="30"/>
        <v>0</v>
      </c>
      <c r="CT26" s="11">
        <f t="shared" si="30"/>
        <v>2.2730875999999998</v>
      </c>
      <c r="CU26" s="272">
        <f t="shared" si="30"/>
        <v>23.356000000000002</v>
      </c>
      <c r="CV26" s="249">
        <f t="shared" si="14"/>
        <v>122.7302306</v>
      </c>
      <c r="CW26" s="12">
        <f t="shared" si="14"/>
        <v>0</v>
      </c>
      <c r="CX26" s="249">
        <f t="shared" si="14"/>
        <v>0</v>
      </c>
      <c r="CY26" s="274">
        <f t="shared" si="14"/>
        <v>0</v>
      </c>
      <c r="CZ26" s="13"/>
      <c r="DA26" s="240">
        <f>(D26+'[2]август 20 '!D26)/(AY26+'[2]август 20 '!BA26)</f>
        <v>1.981023396401866</v>
      </c>
      <c r="DB26" s="241">
        <f>(T26+'[2]август 20 '!T26)/(AY26+'[2]август 20 '!BA26)</f>
        <v>1.2598327558322922</v>
      </c>
      <c r="DD26" s="292">
        <f t="shared" si="15"/>
        <v>7.6710000000000003</v>
      </c>
      <c r="DE26" s="291">
        <v>1.22</v>
      </c>
      <c r="DF26" s="291">
        <v>9.25</v>
      </c>
      <c r="DG26" s="145">
        <f t="shared" si="16"/>
        <v>7.5774138000000004</v>
      </c>
      <c r="DH26" s="293">
        <f t="shared" si="29"/>
        <v>0.92431857642094162</v>
      </c>
      <c r="DJ26" s="322"/>
    </row>
    <row r="27" spans="1:114" s="76" customFormat="1" ht="16.5" customHeight="1" thickBot="1">
      <c r="A27" s="144">
        <v>21</v>
      </c>
      <c r="B27" s="122">
        <f>'[1]август 20'!K26</f>
        <v>212.512</v>
      </c>
      <c r="C27" s="123">
        <f t="shared" si="17"/>
        <v>0.71345345204035537</v>
      </c>
      <c r="D27" s="145">
        <f t="shared" si="18"/>
        <v>210.99582580000001</v>
      </c>
      <c r="E27" s="125">
        <f t="shared" si="19"/>
        <v>39.148663228429463</v>
      </c>
      <c r="F27" s="146">
        <f t="shared" si="0"/>
        <v>2.1914813647694222</v>
      </c>
      <c r="G27" s="127"/>
      <c r="H27" s="126">
        <f t="shared" si="20"/>
        <v>0.95632349189862886</v>
      </c>
      <c r="I27" s="230">
        <f>'[1]июль 20'!AI26</f>
        <v>0</v>
      </c>
      <c r="J27" s="247">
        <f>'[1]август 20'!AA26</f>
        <v>8.7530000000000001</v>
      </c>
      <c r="K27" s="465">
        <f>'[1]сентябрь 20'!AM26</f>
        <v>0</v>
      </c>
      <c r="L27" s="247">
        <f>'[1]август 20'!AE26</f>
        <v>118.92100000000001</v>
      </c>
      <c r="M27" s="469">
        <f t="shared" si="21"/>
        <v>1.2351578728707935</v>
      </c>
      <c r="N27" s="403">
        <f>'[1]август 20'!W26</f>
        <v>0</v>
      </c>
      <c r="O27" s="403">
        <f>'[1]август 20'!AU26</f>
        <v>4.7300000000000004</v>
      </c>
      <c r="P27" s="401">
        <f t="shared" si="1"/>
        <v>139.155</v>
      </c>
      <c r="Q27" s="122">
        <f>'[1]август 20'!S26</f>
        <v>139.155</v>
      </c>
      <c r="R27" s="123">
        <f t="shared" si="31"/>
        <v>3.45</v>
      </c>
      <c r="S27" s="501">
        <v>5.03</v>
      </c>
      <c r="T27" s="125">
        <f t="shared" si="2"/>
        <v>134.3541525</v>
      </c>
      <c r="U27" s="147">
        <f t="shared" si="3"/>
        <v>1.3954523525135021</v>
      </c>
      <c r="V27" s="130">
        <v>96.28</v>
      </c>
      <c r="W27" s="130">
        <v>72.319999999999993</v>
      </c>
      <c r="X27" s="129">
        <v>0.78</v>
      </c>
      <c r="Y27" s="150">
        <v>551</v>
      </c>
      <c r="Z27" s="150">
        <v>1160</v>
      </c>
      <c r="AA27" s="148" t="s">
        <v>314</v>
      </c>
      <c r="AB27" s="149">
        <v>76.23</v>
      </c>
      <c r="AC27" s="150">
        <v>85</v>
      </c>
      <c r="AD27" s="151">
        <v>4</v>
      </c>
      <c r="AE27" s="149">
        <v>4.3499999999999996</v>
      </c>
      <c r="AF27" s="134">
        <f t="shared" si="4"/>
        <v>45.180722891566248</v>
      </c>
      <c r="AG27" s="152"/>
      <c r="AH27" s="129">
        <v>70</v>
      </c>
      <c r="AI27" s="134">
        <f t="shared" si="5"/>
        <v>727.04611549646847</v>
      </c>
      <c r="AJ27" s="136">
        <v>10.94</v>
      </c>
      <c r="AK27" s="154"/>
      <c r="AL27" s="155">
        <v>5.83</v>
      </c>
      <c r="AM27" s="478">
        <v>23.74</v>
      </c>
      <c r="AN27" s="126">
        <f t="shared" si="23"/>
        <v>0.18999599839935974</v>
      </c>
      <c r="AO27" s="157" t="s">
        <v>197</v>
      </c>
      <c r="AP27" s="156">
        <v>8.07</v>
      </c>
      <c r="AQ27" s="156">
        <v>7.17</v>
      </c>
      <c r="AR27" s="151"/>
      <c r="AS27" s="149">
        <v>6.79</v>
      </c>
      <c r="AT27" s="149">
        <v>124.95</v>
      </c>
      <c r="AU27" s="149">
        <v>0.9</v>
      </c>
      <c r="AV27" s="164"/>
      <c r="AW27" s="149"/>
      <c r="AX27" s="158">
        <f t="shared" si="6"/>
        <v>0</v>
      </c>
      <c r="AY27" s="125">
        <f t="shared" si="7"/>
        <v>96.280000000000015</v>
      </c>
      <c r="AZ27" s="125">
        <f t="shared" si="24"/>
        <v>95.552402843589135</v>
      </c>
      <c r="BA27" s="159">
        <f t="shared" si="8"/>
        <v>3.6819014084507042</v>
      </c>
      <c r="BB27" s="160">
        <f t="shared" si="9"/>
        <v>3.8512000000000008</v>
      </c>
      <c r="BC27" s="161">
        <f t="shared" si="10"/>
        <v>0.88852816853920402</v>
      </c>
      <c r="BD27" s="160">
        <f t="shared" si="25"/>
        <v>7.5331014084507046</v>
      </c>
      <c r="BE27" s="162">
        <v>0.89400000000000002</v>
      </c>
      <c r="BF27" s="25">
        <f t="shared" si="26"/>
        <v>1926.1999999999998</v>
      </c>
      <c r="BG27" s="25">
        <f t="shared" si="11"/>
        <v>107.74193548387096</v>
      </c>
      <c r="BH27" s="25">
        <f t="shared" si="27"/>
        <v>2262.5806451612898</v>
      </c>
      <c r="BI27" s="26">
        <f t="shared" si="12"/>
        <v>1</v>
      </c>
      <c r="BJ27" s="37">
        <f t="shared" si="28"/>
        <v>2262.5806451612898</v>
      </c>
      <c r="BK27" s="38">
        <v>93.590999999999994</v>
      </c>
      <c r="BL27" s="31"/>
      <c r="BM27" s="31"/>
      <c r="BN27" s="234">
        <v>93.51</v>
      </c>
      <c r="BO27" s="42"/>
      <c r="BP27" s="40"/>
      <c r="BQ27" s="411">
        <v>25.411000000000001</v>
      </c>
      <c r="BR27" s="33">
        <v>1.62</v>
      </c>
      <c r="BS27" s="34"/>
      <c r="BT27" s="35"/>
      <c r="BU27" s="35"/>
      <c r="BV27" s="235"/>
      <c r="BW27" s="235"/>
      <c r="BX27" s="36"/>
      <c r="BY27" s="33">
        <v>35.479999999999997</v>
      </c>
      <c r="BZ27" s="34"/>
      <c r="CA27" s="35"/>
      <c r="CB27" s="405">
        <v>41.6</v>
      </c>
      <c r="CC27" s="404"/>
      <c r="CD27" s="235"/>
      <c r="CE27" s="413">
        <v>43.64</v>
      </c>
      <c r="CF27" s="30">
        <v>139.155</v>
      </c>
      <c r="CG27" s="30"/>
      <c r="CH27" s="31"/>
      <c r="CI27" s="32"/>
      <c r="CJ27" s="33">
        <v>3.45</v>
      </c>
      <c r="CK27" s="33"/>
      <c r="CL27" s="35"/>
      <c r="CM27" s="36"/>
      <c r="CN27" s="286"/>
      <c r="CO27" s="249">
        <f t="shared" si="30"/>
        <v>92.074825799999999</v>
      </c>
      <c r="CP27" s="12">
        <f t="shared" si="30"/>
        <v>0</v>
      </c>
      <c r="CQ27" s="12">
        <f t="shared" si="30"/>
        <v>0</v>
      </c>
      <c r="CR27" s="12">
        <f t="shared" si="30"/>
        <v>93.51</v>
      </c>
      <c r="CS27" s="11">
        <f t="shared" si="30"/>
        <v>0</v>
      </c>
      <c r="CT27" s="11">
        <f t="shared" si="30"/>
        <v>0</v>
      </c>
      <c r="CU27" s="272">
        <f t="shared" si="30"/>
        <v>25.411000000000001</v>
      </c>
      <c r="CV27" s="249">
        <f t="shared" si="14"/>
        <v>134.3541525</v>
      </c>
      <c r="CW27" s="11">
        <f t="shared" si="14"/>
        <v>0</v>
      </c>
      <c r="CX27" s="249">
        <f t="shared" si="14"/>
        <v>0</v>
      </c>
      <c r="CY27" s="272">
        <f t="shared" si="14"/>
        <v>0</v>
      </c>
      <c r="CZ27" s="13"/>
      <c r="DA27" s="240">
        <f>(D27+'[2]август 20 '!D27)/(AY27+'[2]август 20 '!BA27)</f>
        <v>2.2047752389840385</v>
      </c>
      <c r="DB27" s="241">
        <f>(T27+'[2]август 20 '!T27)/(AY27+'[2]август 20 '!BA27)</f>
        <v>1.400674883662661</v>
      </c>
      <c r="DD27" s="292">
        <f t="shared" si="15"/>
        <v>8.7530000000000001</v>
      </c>
      <c r="DE27" s="291">
        <v>1.22</v>
      </c>
      <c r="DF27" s="291">
        <v>8.42</v>
      </c>
      <c r="DG27" s="145">
        <f t="shared" si="16"/>
        <v>8.6462134000000006</v>
      </c>
      <c r="DH27" s="293">
        <f t="shared" si="29"/>
        <v>0.95501924213564204</v>
      </c>
      <c r="DJ27" s="322"/>
    </row>
    <row r="28" spans="1:114" s="76" customFormat="1" ht="16.5" customHeight="1" thickBot="1">
      <c r="A28" s="144">
        <v>22</v>
      </c>
      <c r="B28" s="122">
        <f>'[1]август 20'!K27</f>
        <v>205.05</v>
      </c>
      <c r="C28" s="123">
        <f t="shared" si="17"/>
        <v>1.0664392099487927</v>
      </c>
      <c r="D28" s="145">
        <f t="shared" si="18"/>
        <v>202.86326639999999</v>
      </c>
      <c r="E28" s="125">
        <f t="shared" si="19"/>
        <v>39.821517581077785</v>
      </c>
      <c r="F28" s="146">
        <f t="shared" si="0"/>
        <v>2.0679232048929665</v>
      </c>
      <c r="G28" s="127"/>
      <c r="H28" s="126">
        <f t="shared" si="20"/>
        <v>0.89781107441386332</v>
      </c>
      <c r="I28" s="230">
        <f>'[1]июль 20'!AI27</f>
        <v>0</v>
      </c>
      <c r="J28" s="247">
        <f>'[1]август 20'!AA27</f>
        <v>8.1020000000000003</v>
      </c>
      <c r="K28" s="464">
        <f>'[1]сентябрь 20'!AM27</f>
        <v>0</v>
      </c>
      <c r="L28" s="247">
        <f>'[1]август 20'!AE27</f>
        <v>114.788</v>
      </c>
      <c r="M28" s="468">
        <f t="shared" si="21"/>
        <v>1.1701121304791031</v>
      </c>
      <c r="N28" s="403">
        <f>'[1]август 20'!W27</f>
        <v>0</v>
      </c>
      <c r="O28" s="403">
        <f>'[1]август 20'!AU27</f>
        <v>4.5129999999999999</v>
      </c>
      <c r="P28" s="401">
        <f t="shared" si="1"/>
        <v>134.89599999999999</v>
      </c>
      <c r="Q28" s="122">
        <f>'[1]август 20'!S27</f>
        <v>134.89599999999999</v>
      </c>
      <c r="R28" s="123">
        <f t="shared" si="31"/>
        <v>3.35</v>
      </c>
      <c r="S28" s="501">
        <v>6.22</v>
      </c>
      <c r="T28" s="125">
        <f t="shared" si="2"/>
        <v>130.37698399999999</v>
      </c>
      <c r="U28" s="147">
        <f t="shared" si="3"/>
        <v>1.3290212436289501</v>
      </c>
      <c r="V28" s="130">
        <v>98.1</v>
      </c>
      <c r="W28" s="130">
        <v>48.87</v>
      </c>
      <c r="X28" s="129">
        <v>0.74</v>
      </c>
      <c r="Y28" s="150">
        <v>600</v>
      </c>
      <c r="Z28" s="150">
        <v>1165</v>
      </c>
      <c r="AA28" s="148" t="s">
        <v>314</v>
      </c>
      <c r="AB28" s="149">
        <v>76.650000000000006</v>
      </c>
      <c r="AC28" s="150">
        <v>82</v>
      </c>
      <c r="AD28" s="151">
        <v>4</v>
      </c>
      <c r="AE28" s="149">
        <v>2.5499999999999998</v>
      </c>
      <c r="AF28" s="134">
        <f t="shared" si="4"/>
        <v>25.99388379204893</v>
      </c>
      <c r="AG28" s="152"/>
      <c r="AH28" s="129">
        <v>70.599999999999994</v>
      </c>
      <c r="AI28" s="134">
        <f t="shared" si="5"/>
        <v>719.67380224260955</v>
      </c>
      <c r="AJ28" s="153">
        <v>10.55</v>
      </c>
      <c r="AK28" s="154"/>
      <c r="AL28" s="155">
        <v>6.67</v>
      </c>
      <c r="AM28" s="478">
        <v>24.1</v>
      </c>
      <c r="AN28" s="126">
        <f t="shared" si="23"/>
        <v>0.18879749314531924</v>
      </c>
      <c r="AO28" s="157" t="s">
        <v>151</v>
      </c>
      <c r="AP28" s="156">
        <v>7.78</v>
      </c>
      <c r="AQ28" s="156">
        <v>7.26</v>
      </c>
      <c r="AR28" s="151"/>
      <c r="AS28" s="149">
        <v>6.55</v>
      </c>
      <c r="AT28" s="149">
        <v>127.65</v>
      </c>
      <c r="AU28" s="149">
        <v>1.22</v>
      </c>
      <c r="AV28" s="164"/>
      <c r="AW28" s="149"/>
      <c r="AX28" s="158">
        <f t="shared" si="6"/>
        <v>0</v>
      </c>
      <c r="AY28" s="125">
        <f t="shared" si="7"/>
        <v>98.1</v>
      </c>
      <c r="AZ28" s="125">
        <f t="shared" si="24"/>
        <v>92.979450612911307</v>
      </c>
      <c r="BA28" s="159">
        <f t="shared" si="8"/>
        <v>3.5822042253521125</v>
      </c>
      <c r="BB28" s="160">
        <f t="shared" si="9"/>
        <v>3.9239999999999999</v>
      </c>
      <c r="BC28" s="161">
        <f t="shared" si="10"/>
        <v>0.93080765394725029</v>
      </c>
      <c r="BD28" s="160">
        <f t="shared" si="25"/>
        <v>7.5062042253521124</v>
      </c>
      <c r="BE28" s="162">
        <v>0.89500000000000002</v>
      </c>
      <c r="BF28" s="25">
        <f t="shared" si="26"/>
        <v>2024.2999999999997</v>
      </c>
      <c r="BG28" s="25">
        <f t="shared" si="11"/>
        <v>107.74193548387096</v>
      </c>
      <c r="BH28" s="25">
        <f t="shared" si="27"/>
        <v>2370.3225806451605</v>
      </c>
      <c r="BI28" s="26">
        <f t="shared" si="12"/>
        <v>1</v>
      </c>
      <c r="BJ28" s="37">
        <f t="shared" si="28"/>
        <v>2370.3225806451605</v>
      </c>
      <c r="BK28" s="38">
        <v>84.855999999999995</v>
      </c>
      <c r="BL28" s="31"/>
      <c r="BM28" s="31"/>
      <c r="BN28" s="234">
        <v>90.197000000000003</v>
      </c>
      <c r="BO28" s="42"/>
      <c r="BP28" s="40">
        <v>5.4059999999999997</v>
      </c>
      <c r="BQ28" s="411">
        <v>24.591000000000001</v>
      </c>
      <c r="BR28" s="33">
        <v>2.34</v>
      </c>
      <c r="BS28" s="34"/>
      <c r="BT28" s="35"/>
      <c r="BU28" s="35"/>
      <c r="BV28" s="235"/>
      <c r="BW28" s="235">
        <v>3.72</v>
      </c>
      <c r="BX28" s="36"/>
      <c r="BY28" s="33">
        <v>36.97</v>
      </c>
      <c r="BZ28" s="34"/>
      <c r="CA28" s="35"/>
      <c r="CB28" s="405">
        <v>41.6</v>
      </c>
      <c r="CC28" s="404"/>
      <c r="CD28" s="235">
        <v>36.81</v>
      </c>
      <c r="CE28" s="36">
        <v>43.8</v>
      </c>
      <c r="CF28" s="30">
        <v>134.89599999999999</v>
      </c>
      <c r="CG28" s="30"/>
      <c r="CH28" s="31"/>
      <c r="CI28" s="32"/>
      <c r="CJ28" s="33">
        <v>3.35</v>
      </c>
      <c r="CK28" s="33"/>
      <c r="CL28" s="35"/>
      <c r="CM28" s="36"/>
      <c r="CN28" s="286"/>
      <c r="CO28" s="249">
        <f t="shared" si="30"/>
        <v>82.870369599999989</v>
      </c>
      <c r="CP28" s="12">
        <f t="shared" si="30"/>
        <v>0</v>
      </c>
      <c r="CQ28" s="12">
        <f t="shared" si="30"/>
        <v>0</v>
      </c>
      <c r="CR28" s="12">
        <f t="shared" si="30"/>
        <v>90.197000000000003</v>
      </c>
      <c r="CS28" s="11">
        <f t="shared" si="30"/>
        <v>0</v>
      </c>
      <c r="CT28" s="11">
        <f t="shared" si="30"/>
        <v>5.2048967999999993</v>
      </c>
      <c r="CU28" s="272">
        <f t="shared" si="30"/>
        <v>24.591000000000001</v>
      </c>
      <c r="CV28" s="249">
        <f t="shared" si="14"/>
        <v>130.37698399999999</v>
      </c>
      <c r="CW28" s="12">
        <f t="shared" si="14"/>
        <v>0</v>
      </c>
      <c r="CX28" s="249">
        <f t="shared" si="14"/>
        <v>0</v>
      </c>
      <c r="CY28" s="272">
        <f t="shared" si="14"/>
        <v>0</v>
      </c>
      <c r="CZ28" s="13"/>
      <c r="DA28" s="240">
        <f>(D28+'[2]август 20 '!D28)/(AY28+'[2]август 20 '!BA28)</f>
        <v>2.1250867481033362</v>
      </c>
      <c r="DB28" s="241">
        <f>(T28+'[2]август 20 '!T28)/(AY28+'[2]август 20 '!BA28)</f>
        <v>1.3643721447273185</v>
      </c>
      <c r="DD28" s="292">
        <f t="shared" si="15"/>
        <v>8.1020000000000003</v>
      </c>
      <c r="DE28" s="305">
        <v>1.34</v>
      </c>
      <c r="DF28" s="291">
        <v>9.32</v>
      </c>
      <c r="DG28" s="145">
        <f t="shared" si="16"/>
        <v>7.9934331999999992</v>
      </c>
      <c r="DH28" s="293">
        <f t="shared" si="29"/>
        <v>0.97193473482061299</v>
      </c>
      <c r="DJ28" s="322"/>
    </row>
    <row r="29" spans="1:114" s="76" customFormat="1" ht="16.5" customHeight="1" thickBot="1">
      <c r="A29" s="144">
        <v>23</v>
      </c>
      <c r="B29" s="122">
        <f>'[1]август 20'!K28</f>
        <v>205.096</v>
      </c>
      <c r="C29" s="123">
        <f t="shared" si="17"/>
        <v>1.0223269103249211</v>
      </c>
      <c r="D29" s="145">
        <f t="shared" si="18"/>
        <v>202.9992484</v>
      </c>
      <c r="E29" s="125">
        <f t="shared" si="19"/>
        <v>39.944816817490349</v>
      </c>
      <c r="F29" s="146">
        <f t="shared" si="0"/>
        <v>2.1974371985278198</v>
      </c>
      <c r="G29" s="127"/>
      <c r="H29" s="126">
        <f t="shared" si="20"/>
        <v>0.95520944360251148</v>
      </c>
      <c r="I29" s="230">
        <f>'[1]июль 20'!AI28</f>
        <v>0</v>
      </c>
      <c r="J29" s="247">
        <f>'[1]август 20'!AA28</f>
        <v>8.5950000000000006</v>
      </c>
      <c r="K29" s="465">
        <f>'[1]сентябрь 20'!AM28</f>
        <v>0</v>
      </c>
      <c r="L29" s="247">
        <f>'[1]август 20'!AE28</f>
        <v>114.75700000000001</v>
      </c>
      <c r="M29" s="469">
        <f t="shared" si="21"/>
        <v>1.2422277549253087</v>
      </c>
      <c r="N29" s="403">
        <f>'[1]август 20'!W28</f>
        <v>0</v>
      </c>
      <c r="O29" s="403">
        <f>'[1]август 20'!AU28</f>
        <v>5.2569999999999997</v>
      </c>
      <c r="P29" s="401">
        <f t="shared" si="1"/>
        <v>135.12700000000001</v>
      </c>
      <c r="Q29" s="122">
        <f>'[1]август 20'!S28</f>
        <v>135.12700000000001</v>
      </c>
      <c r="R29" s="123">
        <f t="shared" si="31"/>
        <v>3.41</v>
      </c>
      <c r="S29" s="501">
        <v>19.100000000000001</v>
      </c>
      <c r="T29" s="125">
        <f t="shared" si="2"/>
        <v>130.51916930000002</v>
      </c>
      <c r="U29" s="147">
        <f t="shared" si="3"/>
        <v>1.4128509341848887</v>
      </c>
      <c r="V29" s="130">
        <v>92.38</v>
      </c>
      <c r="W29" s="130">
        <v>92.38</v>
      </c>
      <c r="X29" s="129">
        <v>0.54</v>
      </c>
      <c r="Y29" s="150">
        <v>608</v>
      </c>
      <c r="Z29" s="150">
        <v>1160</v>
      </c>
      <c r="AA29" s="148" t="s">
        <v>307</v>
      </c>
      <c r="AB29" s="149">
        <v>76.34</v>
      </c>
      <c r="AC29" s="150">
        <v>82</v>
      </c>
      <c r="AD29" s="151">
        <v>4</v>
      </c>
      <c r="AE29" s="149">
        <v>5.2</v>
      </c>
      <c r="AF29" s="134">
        <f t="shared" si="4"/>
        <v>56.28924009525872</v>
      </c>
      <c r="AG29" s="152"/>
      <c r="AH29" s="129">
        <v>66.8</v>
      </c>
      <c r="AI29" s="134">
        <f t="shared" si="5"/>
        <v>723.10023814678505</v>
      </c>
      <c r="AJ29" s="136">
        <v>11.17</v>
      </c>
      <c r="AK29" s="154"/>
      <c r="AL29" s="155">
        <v>6.83</v>
      </c>
      <c r="AM29" s="478">
        <v>31.11</v>
      </c>
      <c r="AN29" s="126">
        <f t="shared" si="23"/>
        <v>0.24163106796116504</v>
      </c>
      <c r="AO29" s="157" t="s">
        <v>193</v>
      </c>
      <c r="AP29" s="156">
        <v>8.15</v>
      </c>
      <c r="AQ29" s="156">
        <v>7</v>
      </c>
      <c r="AR29" s="149"/>
      <c r="AS29" s="149">
        <v>6.34</v>
      </c>
      <c r="AT29" s="149">
        <v>128.75</v>
      </c>
      <c r="AU29" s="149">
        <v>1.57</v>
      </c>
      <c r="AV29" s="164"/>
      <c r="AW29" s="149"/>
      <c r="AX29" s="158">
        <f t="shared" si="6"/>
        <v>0</v>
      </c>
      <c r="AY29" s="125">
        <f t="shared" si="7"/>
        <v>92.38</v>
      </c>
      <c r="AZ29" s="125">
        <f t="shared" si="24"/>
        <v>93.719642396975246</v>
      </c>
      <c r="BA29" s="159">
        <f t="shared" si="8"/>
        <v>3.2807267605633803</v>
      </c>
      <c r="BB29" s="160">
        <f t="shared" si="9"/>
        <v>3.6951999999999998</v>
      </c>
      <c r="BC29" s="161">
        <f t="shared" si="10"/>
        <v>0.8697115741132353</v>
      </c>
      <c r="BD29" s="160">
        <f t="shared" si="25"/>
        <v>6.9759267605633806</v>
      </c>
      <c r="BE29" s="162">
        <v>0.89400000000000002</v>
      </c>
      <c r="BF29" s="25">
        <f t="shared" si="26"/>
        <v>2116.6799999999998</v>
      </c>
      <c r="BG29" s="25">
        <f t="shared" si="11"/>
        <v>107.74193548387096</v>
      </c>
      <c r="BH29" s="25">
        <f t="shared" si="27"/>
        <v>2478.0645161290313</v>
      </c>
      <c r="BI29" s="26">
        <f t="shared" si="12"/>
        <v>1</v>
      </c>
      <c r="BJ29" s="37">
        <f t="shared" si="28"/>
        <v>2478.0645161290313</v>
      </c>
      <c r="BK29" s="328">
        <v>82.119</v>
      </c>
      <c r="BL29" s="31"/>
      <c r="BM29" s="31"/>
      <c r="BN29" s="31">
        <v>90.168999999999997</v>
      </c>
      <c r="BO29" s="40"/>
      <c r="BP29" s="40">
        <v>8.2200000000000006</v>
      </c>
      <c r="BQ29" s="32">
        <v>24.588000000000001</v>
      </c>
      <c r="BR29" s="33">
        <v>2.2400000000000002</v>
      </c>
      <c r="BS29" s="34"/>
      <c r="BT29" s="35"/>
      <c r="BU29" s="35"/>
      <c r="BV29" s="235"/>
      <c r="BW29" s="235">
        <v>3.13</v>
      </c>
      <c r="BX29" s="36"/>
      <c r="BY29" s="33">
        <v>37.24</v>
      </c>
      <c r="BZ29" s="34"/>
      <c r="CA29" s="35"/>
      <c r="CB29" s="35">
        <v>41.39</v>
      </c>
      <c r="CC29" s="235"/>
      <c r="CD29" s="235">
        <v>40.15</v>
      </c>
      <c r="CE29" s="36">
        <v>43.61</v>
      </c>
      <c r="CF29" s="30">
        <v>135.12700000000001</v>
      </c>
      <c r="CG29" s="30"/>
      <c r="CH29" s="31"/>
      <c r="CI29" s="32"/>
      <c r="CJ29" s="33">
        <v>3.41</v>
      </c>
      <c r="CK29" s="33"/>
      <c r="CL29" s="35"/>
      <c r="CM29" s="36"/>
      <c r="CN29" s="286"/>
      <c r="CO29" s="249">
        <f t="shared" si="30"/>
        <v>80.279534400000003</v>
      </c>
      <c r="CP29" s="12">
        <f t="shared" si="30"/>
        <v>0</v>
      </c>
      <c r="CQ29" s="12">
        <f t="shared" si="30"/>
        <v>0</v>
      </c>
      <c r="CR29" s="12">
        <f t="shared" si="30"/>
        <v>90.168999999999997</v>
      </c>
      <c r="CS29" s="11">
        <f t="shared" si="30"/>
        <v>0</v>
      </c>
      <c r="CT29" s="11">
        <f t="shared" si="30"/>
        <v>7.962714000000001</v>
      </c>
      <c r="CU29" s="272">
        <f t="shared" si="30"/>
        <v>24.588000000000001</v>
      </c>
      <c r="CV29" s="249">
        <f t="shared" si="14"/>
        <v>130.51916930000002</v>
      </c>
      <c r="CW29" s="12">
        <f t="shared" si="14"/>
        <v>0</v>
      </c>
      <c r="CX29" s="249">
        <f t="shared" si="14"/>
        <v>0</v>
      </c>
      <c r="CY29" s="272">
        <f t="shared" si="14"/>
        <v>0</v>
      </c>
      <c r="CZ29" s="13"/>
      <c r="DA29" s="240">
        <f>(D29+'[2]август 20 '!D29)/(AY29+'[2]август 20 '!BA29)</f>
        <v>2.1228721675254514</v>
      </c>
      <c r="DB29" s="241">
        <f>(T29+'[2]август 20 '!T29)/(AY29+'[2]август 20 '!BA29)</f>
        <v>1.3644486932800828</v>
      </c>
      <c r="DD29" s="292">
        <f t="shared" si="15"/>
        <v>8.5950000000000006</v>
      </c>
      <c r="DE29" s="291">
        <v>0.27</v>
      </c>
      <c r="DF29" s="291">
        <v>8.82</v>
      </c>
      <c r="DG29" s="145">
        <f t="shared" si="16"/>
        <v>8.5717935000000018</v>
      </c>
      <c r="DH29" s="293">
        <f t="shared" si="29"/>
        <v>0.99034868574796975</v>
      </c>
      <c r="DJ29" s="322"/>
    </row>
    <row r="30" spans="1:114" s="76" customFormat="1" ht="16.5" customHeight="1" thickBot="1">
      <c r="A30" s="144">
        <v>24</v>
      </c>
      <c r="B30" s="122">
        <f>'[1]август 20'!K29</f>
        <v>172.334</v>
      </c>
      <c r="C30" s="123">
        <f t="shared" si="17"/>
        <v>0.74321346919354281</v>
      </c>
      <c r="D30" s="145">
        <f t="shared" si="18"/>
        <v>171.0531905</v>
      </c>
      <c r="E30" s="125">
        <f t="shared" si="19"/>
        <v>39.74377081713417</v>
      </c>
      <c r="F30" s="146">
        <f t="shared" si="0"/>
        <v>1.8871711220211826</v>
      </c>
      <c r="G30" s="127"/>
      <c r="H30" s="126">
        <f t="shared" si="20"/>
        <v>0.77760580869373341</v>
      </c>
      <c r="I30" s="230">
        <f>'[1]июль 20'!AI29</f>
        <v>0</v>
      </c>
      <c r="J30" s="247">
        <f>'[1]август 20'!AA29</f>
        <v>6.976</v>
      </c>
      <c r="K30" s="464">
        <f>'[1]сентябрь 20'!AM29</f>
        <v>0</v>
      </c>
      <c r="L30" s="247">
        <f>'[1]август 20'!AE29</f>
        <v>100.571</v>
      </c>
      <c r="M30" s="468">
        <f t="shared" si="21"/>
        <v>1.1095653133274492</v>
      </c>
      <c r="N30" s="403">
        <f>'[1]август 20'!W29</f>
        <v>0</v>
      </c>
      <c r="O30" s="403">
        <f>'[1]август 20'!AU29</f>
        <v>5.6589999999999998</v>
      </c>
      <c r="P30" s="401">
        <f t="shared" si="1"/>
        <v>124.90300000000001</v>
      </c>
      <c r="Q30" s="122">
        <f>'[1]август 20'!S29</f>
        <v>124.90300000000001</v>
      </c>
      <c r="R30" s="123">
        <f t="shared" si="31"/>
        <v>2.93</v>
      </c>
      <c r="S30" s="501">
        <v>12.56</v>
      </c>
      <c r="T30" s="125">
        <f t="shared" si="2"/>
        <v>121.24334209999999</v>
      </c>
      <c r="U30" s="147">
        <f t="shared" si="3"/>
        <v>1.3376361661518092</v>
      </c>
      <c r="V30" s="169">
        <v>90.64</v>
      </c>
      <c r="W30" s="169">
        <v>68.08</v>
      </c>
      <c r="X30" s="170">
        <v>0.74</v>
      </c>
      <c r="Y30" s="166">
        <v>637</v>
      </c>
      <c r="Z30" s="166">
        <v>1157</v>
      </c>
      <c r="AA30" s="148" t="s">
        <v>310</v>
      </c>
      <c r="AB30" s="164">
        <v>75.75</v>
      </c>
      <c r="AC30" s="166">
        <v>72</v>
      </c>
      <c r="AD30" s="171">
        <v>4</v>
      </c>
      <c r="AE30" s="164">
        <v>8.0500000000000007</v>
      </c>
      <c r="AF30" s="172">
        <f t="shared" si="4"/>
        <v>88.812886142983245</v>
      </c>
      <c r="AG30" s="173"/>
      <c r="AH30" s="170">
        <v>58.3</v>
      </c>
      <c r="AI30" s="134">
        <f t="shared" si="5"/>
        <v>643.20388349514553</v>
      </c>
      <c r="AJ30" s="174">
        <v>13.28</v>
      </c>
      <c r="AK30" s="175"/>
      <c r="AL30" s="176">
        <v>4.79</v>
      </c>
      <c r="AM30" s="478">
        <v>23.75</v>
      </c>
      <c r="AN30" s="126">
        <f t="shared" si="23"/>
        <v>0.20178419711129991</v>
      </c>
      <c r="AO30" s="178" t="s">
        <v>384</v>
      </c>
      <c r="AP30" s="177">
        <v>8.67</v>
      </c>
      <c r="AQ30" s="177">
        <v>6.65</v>
      </c>
      <c r="AR30" s="171"/>
      <c r="AS30" s="164">
        <v>5.48</v>
      </c>
      <c r="AT30" s="149">
        <v>117.7</v>
      </c>
      <c r="AU30" s="164">
        <v>1.48</v>
      </c>
      <c r="AV30" s="164"/>
      <c r="AW30" s="164"/>
      <c r="AX30" s="179">
        <f t="shared" si="6"/>
        <v>0</v>
      </c>
      <c r="AY30" s="125">
        <f t="shared" si="7"/>
        <v>90.64</v>
      </c>
      <c r="AZ30" s="125">
        <f t="shared" si="24"/>
        <v>79.311668946608577</v>
      </c>
      <c r="BA30" s="159">
        <f t="shared" si="8"/>
        <v>2.4748760563380285</v>
      </c>
      <c r="BB30" s="159">
        <f t="shared" si="9"/>
        <v>3.6255999999999999</v>
      </c>
      <c r="BC30" s="180">
        <f t="shared" si="10"/>
        <v>1.0099556081913796</v>
      </c>
      <c r="BD30" s="159">
        <f t="shared" si="25"/>
        <v>6.100476056338028</v>
      </c>
      <c r="BE30" s="167">
        <v>0.89900000000000002</v>
      </c>
      <c r="BF30" s="25">
        <f t="shared" si="26"/>
        <v>2207.3199999999997</v>
      </c>
      <c r="BG30" s="25">
        <f t="shared" si="11"/>
        <v>107.74193548387096</v>
      </c>
      <c r="BH30" s="25">
        <f t="shared" si="27"/>
        <v>2585.806451612902</v>
      </c>
      <c r="BI30" s="26">
        <f t="shared" si="12"/>
        <v>1</v>
      </c>
      <c r="BJ30" s="37">
        <f t="shared" si="28"/>
        <v>2585.806451612902</v>
      </c>
      <c r="BK30" s="38">
        <v>60.966999999999999</v>
      </c>
      <c r="BL30" s="31"/>
      <c r="BM30" s="31"/>
      <c r="BN30" s="31">
        <v>79.882999999999996</v>
      </c>
      <c r="BO30" s="40"/>
      <c r="BP30" s="40">
        <v>10.795999999999999</v>
      </c>
      <c r="BQ30" s="44">
        <v>20.687999999999999</v>
      </c>
      <c r="BR30" s="45">
        <v>1.69</v>
      </c>
      <c r="BS30" s="46"/>
      <c r="BT30" s="47"/>
      <c r="BU30" s="47"/>
      <c r="BV30" s="283"/>
      <c r="BW30" s="283">
        <v>2.3199999999999998</v>
      </c>
      <c r="BX30" s="48"/>
      <c r="BY30" s="45">
        <v>36.58</v>
      </c>
      <c r="BZ30" s="46"/>
      <c r="CA30" s="47"/>
      <c r="CB30" s="47">
        <v>41.5</v>
      </c>
      <c r="CC30" s="283"/>
      <c r="CD30" s="283">
        <v>36.67</v>
      </c>
      <c r="CE30" s="48">
        <v>43.89</v>
      </c>
      <c r="CF30" s="49">
        <v>124.90300000000001</v>
      </c>
      <c r="CG30" s="49"/>
      <c r="CH30" s="43"/>
      <c r="CI30" s="32"/>
      <c r="CJ30" s="33">
        <v>2.93</v>
      </c>
      <c r="CK30" s="33"/>
      <c r="CL30" s="35"/>
      <c r="CM30" s="36"/>
      <c r="CN30" s="286"/>
      <c r="CO30" s="249">
        <f t="shared" si="30"/>
        <v>59.936657699999998</v>
      </c>
      <c r="CP30" s="12">
        <f t="shared" si="30"/>
        <v>0</v>
      </c>
      <c r="CQ30" s="12">
        <f t="shared" si="30"/>
        <v>0</v>
      </c>
      <c r="CR30" s="12">
        <f t="shared" si="30"/>
        <v>79.882999999999996</v>
      </c>
      <c r="CS30" s="11">
        <f t="shared" si="30"/>
        <v>0</v>
      </c>
      <c r="CT30" s="11">
        <f t="shared" si="30"/>
        <v>10.5455328</v>
      </c>
      <c r="CU30" s="272">
        <f t="shared" si="30"/>
        <v>20.687999999999999</v>
      </c>
      <c r="CV30" s="249">
        <f t="shared" si="14"/>
        <v>121.24334209999999</v>
      </c>
      <c r="CW30" s="11">
        <f t="shared" si="14"/>
        <v>0</v>
      </c>
      <c r="CX30" s="252">
        <f t="shared" si="14"/>
        <v>0</v>
      </c>
      <c r="CY30" s="272">
        <f t="shared" si="14"/>
        <v>0</v>
      </c>
      <c r="CZ30" s="13"/>
      <c r="DA30" s="240">
        <f>(D30+'[2]август 20 '!D30)/(AY30+'[2]август 20 '!BA30)</f>
        <v>2.0112506145895201</v>
      </c>
      <c r="DB30" s="241">
        <f>(T30+'[2]август 20 '!T30)/(AY30+'[2]август 20 '!BA30)</f>
        <v>1.3654235715868694</v>
      </c>
      <c r="DD30" s="292">
        <f t="shared" si="15"/>
        <v>6.976</v>
      </c>
      <c r="DE30" s="291">
        <v>0.32</v>
      </c>
      <c r="DF30" s="291">
        <v>10.49</v>
      </c>
      <c r="DG30" s="145">
        <f t="shared" si="16"/>
        <v>6.9536768000000002</v>
      </c>
      <c r="DH30" s="293">
        <f t="shared" si="29"/>
        <v>0.96295801494389455</v>
      </c>
      <c r="DJ30" s="322"/>
    </row>
    <row r="31" spans="1:114" s="76" customFormat="1" ht="16.5" customHeight="1" thickBot="1">
      <c r="A31" s="144">
        <v>25</v>
      </c>
      <c r="B31" s="122">
        <f>'[1]август 20'!K30</f>
        <v>52.44</v>
      </c>
      <c r="C31" s="123">
        <f t="shared" si="17"/>
        <v>0.83239836003051115</v>
      </c>
      <c r="D31" s="145">
        <f t="shared" si="18"/>
        <v>52.003490300000003</v>
      </c>
      <c r="E31" s="125">
        <f t="shared" si="19"/>
        <v>39.920605072463772</v>
      </c>
      <c r="F31" s="146">
        <f t="shared" si="0"/>
        <v>1.1987895412632548</v>
      </c>
      <c r="G31" s="127"/>
      <c r="H31" s="126">
        <f t="shared" si="20"/>
        <v>0.47276372291378499</v>
      </c>
      <c r="I31" s="230">
        <f>'[1]июль 20'!AI30</f>
        <v>0</v>
      </c>
      <c r="J31" s="247">
        <f>'[1]август 20'!AA30</f>
        <v>2.2040000000000002</v>
      </c>
      <c r="K31" s="465">
        <f>'[1]сентябрь 20'!AM30</f>
        <v>0</v>
      </c>
      <c r="L31" s="247">
        <f>'[1]август 20'!AE30</f>
        <v>31.495000000000001</v>
      </c>
      <c r="M31" s="469">
        <f t="shared" si="21"/>
        <v>0.72602581834946955</v>
      </c>
      <c r="N31" s="403">
        <f>'[1]август 20'!W30</f>
        <v>0</v>
      </c>
      <c r="O31" s="403">
        <f>'[1]август 20'!AU30</f>
        <v>1.9850000000000001</v>
      </c>
      <c r="P31" s="401">
        <f t="shared" si="1"/>
        <v>42.319000000000003</v>
      </c>
      <c r="Q31" s="122">
        <f>'[1]август 20'!S30</f>
        <v>42.319000000000003</v>
      </c>
      <c r="R31" s="123">
        <v>2.38</v>
      </c>
      <c r="S31" s="501">
        <v>23</v>
      </c>
      <c r="T31" s="125">
        <f t="shared" si="2"/>
        <v>41.311807800000004</v>
      </c>
      <c r="U31" s="147">
        <f t="shared" si="3"/>
        <v>0.95232383125864439</v>
      </c>
      <c r="V31" s="130">
        <v>21.25</v>
      </c>
      <c r="W31" s="130">
        <v>21.25</v>
      </c>
      <c r="X31" s="129">
        <v>0.93</v>
      </c>
      <c r="Y31" s="150">
        <v>627</v>
      </c>
      <c r="Z31" s="150">
        <v>1169</v>
      </c>
      <c r="AA31" s="148" t="s">
        <v>385</v>
      </c>
      <c r="AB31" s="149">
        <v>74.86</v>
      </c>
      <c r="AC31" s="150">
        <v>23</v>
      </c>
      <c r="AD31" s="151">
        <v>2</v>
      </c>
      <c r="AE31" s="149">
        <v>1.8</v>
      </c>
      <c r="AF31" s="134">
        <f t="shared" si="4"/>
        <v>41.493775933609953</v>
      </c>
      <c r="AG31" s="152"/>
      <c r="AH31" s="129">
        <v>26.8</v>
      </c>
      <c r="AI31" s="134">
        <f t="shared" si="5"/>
        <v>617.79621945597046</v>
      </c>
      <c r="AJ31" s="136">
        <v>6.11</v>
      </c>
      <c r="AK31" s="154"/>
      <c r="AL31" s="155">
        <v>6.91</v>
      </c>
      <c r="AM31" s="478"/>
      <c r="AN31" s="126">
        <f t="shared" si="23"/>
        <v>0</v>
      </c>
      <c r="AO31" s="157" t="s">
        <v>119</v>
      </c>
      <c r="AP31" s="156">
        <v>7.77</v>
      </c>
      <c r="AQ31" s="156">
        <v>6.78</v>
      </c>
      <c r="AR31" s="151"/>
      <c r="AS31" s="149">
        <v>8.27</v>
      </c>
      <c r="AT31" s="149">
        <v>49.2</v>
      </c>
      <c r="AU31" s="149">
        <v>1.0900000000000001</v>
      </c>
      <c r="AV31" s="164"/>
      <c r="AW31" s="149"/>
      <c r="AX31" s="158">
        <f t="shared" si="6"/>
        <v>0</v>
      </c>
      <c r="AY31" s="125">
        <f t="shared" si="7"/>
        <v>43.38000000000001</v>
      </c>
      <c r="AZ31" s="125">
        <f t="shared" si="24"/>
        <v>24.534676947190604</v>
      </c>
      <c r="BA31" s="159">
        <f t="shared" si="8"/>
        <v>1.7168985915492956</v>
      </c>
      <c r="BB31" s="160">
        <f t="shared" si="9"/>
        <v>1.7352000000000005</v>
      </c>
      <c r="BC31" s="161">
        <f t="shared" si="10"/>
        <v>1.564262961494405</v>
      </c>
      <c r="BD31" s="160">
        <f t="shared" si="25"/>
        <v>3.4520985915492961</v>
      </c>
      <c r="BE31" s="162">
        <v>0.90600000000000003</v>
      </c>
      <c r="BF31" s="25">
        <f t="shared" si="26"/>
        <v>2250.6999999999998</v>
      </c>
      <c r="BG31" s="25">
        <f t="shared" si="11"/>
        <v>107.74193548387096</v>
      </c>
      <c r="BH31" s="25">
        <f t="shared" si="27"/>
        <v>2693.5483870967728</v>
      </c>
      <c r="BI31" s="26">
        <f t="shared" si="12"/>
        <v>1</v>
      </c>
      <c r="BJ31" s="37">
        <f t="shared" si="28"/>
        <v>2693.5483870967728</v>
      </c>
      <c r="BK31" s="38"/>
      <c r="BL31" s="31">
        <v>16.809000000000001</v>
      </c>
      <c r="BM31" s="31"/>
      <c r="BN31" s="31">
        <v>25.196999999999999</v>
      </c>
      <c r="BO31" s="40"/>
      <c r="BP31" s="40">
        <v>4.1360000000000001</v>
      </c>
      <c r="BQ31" s="32">
        <v>6.298</v>
      </c>
      <c r="BR31" s="33"/>
      <c r="BS31" s="34">
        <v>2.09</v>
      </c>
      <c r="BT31" s="35"/>
      <c r="BU31" s="35"/>
      <c r="BV31" s="235"/>
      <c r="BW31" s="235">
        <v>2.06</v>
      </c>
      <c r="BX31" s="36"/>
      <c r="BY31" s="33"/>
      <c r="BZ31" s="34">
        <v>37.54</v>
      </c>
      <c r="CA31" s="35"/>
      <c r="CB31" s="35">
        <v>41.37</v>
      </c>
      <c r="CC31" s="235"/>
      <c r="CD31" s="235">
        <v>35.299999999999997</v>
      </c>
      <c r="CE31" s="36">
        <v>43.51</v>
      </c>
      <c r="CF31" s="30">
        <v>42.319000000000003</v>
      </c>
      <c r="CG31" s="30"/>
      <c r="CH31" s="31"/>
      <c r="CI31" s="32"/>
      <c r="CJ31" s="33">
        <v>2.37</v>
      </c>
      <c r="CK31" s="33"/>
      <c r="CL31" s="35"/>
      <c r="CM31" s="36"/>
      <c r="CN31" s="286"/>
      <c r="CO31" s="249">
        <f t="shared" si="30"/>
        <v>0</v>
      </c>
      <c r="CP31" s="12">
        <f t="shared" si="30"/>
        <v>16.4576919</v>
      </c>
      <c r="CQ31" s="12">
        <f t="shared" si="30"/>
        <v>0</v>
      </c>
      <c r="CR31" s="12">
        <f t="shared" si="30"/>
        <v>25.196999999999999</v>
      </c>
      <c r="CS31" s="11">
        <f t="shared" si="30"/>
        <v>0</v>
      </c>
      <c r="CT31" s="11">
        <f t="shared" si="30"/>
        <v>4.0507983999999997</v>
      </c>
      <c r="CU31" s="272">
        <f t="shared" si="30"/>
        <v>6.298</v>
      </c>
      <c r="CV31" s="249">
        <f t="shared" si="14"/>
        <v>41.316039699999997</v>
      </c>
      <c r="CW31" s="12">
        <f t="shared" si="14"/>
        <v>0</v>
      </c>
      <c r="CX31" s="249">
        <f t="shared" si="14"/>
        <v>0</v>
      </c>
      <c r="CY31" s="272">
        <f t="shared" si="14"/>
        <v>0</v>
      </c>
      <c r="CZ31" s="13"/>
      <c r="DA31" s="240">
        <f>(D31+'[2]август 20 '!D31)/(AY31+'[2]август 20 '!BA31)</f>
        <v>1.3325401363935658</v>
      </c>
      <c r="DB31" s="241">
        <f>(T31+'[2]август 20 '!T31)/(AY31+'[2]август 20 '!BA31)</f>
        <v>1.0009576502680837</v>
      </c>
      <c r="DD31" s="292">
        <f t="shared" si="15"/>
        <v>2.2040000000000002</v>
      </c>
      <c r="DE31" s="291">
        <v>1.7</v>
      </c>
      <c r="DF31" s="291">
        <v>11.22</v>
      </c>
      <c r="DG31" s="145">
        <f t="shared" si="16"/>
        <v>2.1665320000000001</v>
      </c>
      <c r="DH31" s="293">
        <f t="shared" si="29"/>
        <v>0.32471932994923858</v>
      </c>
      <c r="DJ31" s="322"/>
    </row>
    <row r="32" spans="1:114" s="76" customFormat="1" ht="16.5" customHeight="1" thickBot="1">
      <c r="A32" s="144">
        <v>26</v>
      </c>
      <c r="B32" s="122">
        <f>'[1]август 20'!K31</f>
        <v>137.53200000000001</v>
      </c>
      <c r="C32" s="123">
        <f t="shared" si="17"/>
        <v>0.575271500450804</v>
      </c>
      <c r="D32" s="145">
        <f t="shared" si="18"/>
        <v>136.74081759999999</v>
      </c>
      <c r="E32" s="125">
        <f t="shared" si="19"/>
        <v>40.172874312887174</v>
      </c>
      <c r="F32" s="146">
        <f t="shared" si="0"/>
        <v>3.1565285687903972</v>
      </c>
      <c r="G32" s="127"/>
      <c r="H32" s="126">
        <f t="shared" si="20"/>
        <v>1.1884999445983382</v>
      </c>
      <c r="I32" s="230">
        <f>'[1]июль 20'!AI31</f>
        <v>0</v>
      </c>
      <c r="J32" s="247">
        <f>'[1]август 20'!AA31</f>
        <v>5.1459999999999999</v>
      </c>
      <c r="K32" s="464">
        <f>'[1]сентябрь 20'!AM31</f>
        <v>0</v>
      </c>
      <c r="L32" s="247">
        <f>'[1]август 20'!AE31</f>
        <v>85.254999999999995</v>
      </c>
      <c r="M32" s="468">
        <f t="shared" si="21"/>
        <v>1.9680286241920593</v>
      </c>
      <c r="N32" s="403">
        <f>'[1]август 20'!W31</f>
        <v>0</v>
      </c>
      <c r="O32" s="403">
        <f>'[1]август 20'!AU31</f>
        <v>0</v>
      </c>
      <c r="P32" s="401">
        <f t="shared" si="1"/>
        <v>93.555000000000007</v>
      </c>
      <c r="Q32" s="122">
        <f>'[1]август 20'!S31</f>
        <v>93.555000000000007</v>
      </c>
      <c r="R32" s="123">
        <f t="shared" ref="R32:R37" si="32">IF(Q32=0,0,(CI32*CM32+CG32*CK32+CH32*CL32+CF32*CJ32)/Q32)</f>
        <v>3.01</v>
      </c>
      <c r="S32" s="501"/>
      <c r="T32" s="125">
        <f t="shared" si="2"/>
        <v>90.738994500000004</v>
      </c>
      <c r="U32" s="147">
        <f t="shared" si="3"/>
        <v>2.0946212950138507</v>
      </c>
      <c r="V32" s="130">
        <v>31.79</v>
      </c>
      <c r="W32" s="130">
        <v>13.49</v>
      </c>
      <c r="X32" s="129">
        <v>1.21</v>
      </c>
      <c r="Y32" s="150">
        <v>616</v>
      </c>
      <c r="Z32" s="150">
        <v>978</v>
      </c>
      <c r="AA32" s="148" t="s">
        <v>387</v>
      </c>
      <c r="AB32" s="149">
        <v>75.27</v>
      </c>
      <c r="AC32" s="150">
        <v>55</v>
      </c>
      <c r="AD32" s="151">
        <v>3</v>
      </c>
      <c r="AE32" s="149">
        <v>3.5</v>
      </c>
      <c r="AF32" s="134">
        <f t="shared" si="4"/>
        <v>80.794090489381361</v>
      </c>
      <c r="AG32" s="152"/>
      <c r="AH32" s="129">
        <v>39.15</v>
      </c>
      <c r="AI32" s="134">
        <f t="shared" si="5"/>
        <v>903.73961218836575</v>
      </c>
      <c r="AJ32" s="153">
        <v>9.82</v>
      </c>
      <c r="AK32" s="154"/>
      <c r="AL32" s="155">
        <v>13.49</v>
      </c>
      <c r="AM32" s="478">
        <v>17.78</v>
      </c>
      <c r="AN32" s="126">
        <f t="shared" si="23"/>
        <v>0.25768115942028985</v>
      </c>
      <c r="AO32" s="157" t="s">
        <v>386</v>
      </c>
      <c r="AP32" s="156">
        <v>7.77</v>
      </c>
      <c r="AQ32" s="156">
        <v>6.66</v>
      </c>
      <c r="AR32" s="151"/>
      <c r="AS32" s="149">
        <v>8.89</v>
      </c>
      <c r="AT32" s="149">
        <v>69</v>
      </c>
      <c r="AU32" s="149">
        <v>5.59</v>
      </c>
      <c r="AV32" s="149"/>
      <c r="AW32" s="149"/>
      <c r="AX32" s="158">
        <f t="shared" si="6"/>
        <v>0</v>
      </c>
      <c r="AY32" s="125">
        <f t="shared" si="7"/>
        <v>43.319999999999993</v>
      </c>
      <c r="AZ32" s="125">
        <f t="shared" si="24"/>
        <v>64.30221593487019</v>
      </c>
      <c r="BA32" s="159">
        <f t="shared" si="8"/>
        <v>2.6961116197183097</v>
      </c>
      <c r="BB32" s="160">
        <f t="shared" si="9"/>
        <v>1.7327999999999997</v>
      </c>
      <c r="BC32" s="161">
        <f t="shared" si="10"/>
        <v>0.59358003583414809</v>
      </c>
      <c r="BD32" s="160">
        <f t="shared" si="25"/>
        <v>4.4289116197183098</v>
      </c>
      <c r="BE32" s="162">
        <v>0.89700000000000002</v>
      </c>
      <c r="BF32" s="25">
        <f t="shared" si="26"/>
        <v>2294.02</v>
      </c>
      <c r="BG32" s="25">
        <f t="shared" si="11"/>
        <v>107.74193548387096</v>
      </c>
      <c r="BH32" s="25">
        <f t="shared" si="27"/>
        <v>2801.2903225806435</v>
      </c>
      <c r="BI32" s="26">
        <f t="shared" si="12"/>
        <v>1</v>
      </c>
      <c r="BJ32" s="37">
        <f t="shared" si="28"/>
        <v>2801.2903225806435</v>
      </c>
      <c r="BK32" s="38"/>
      <c r="BL32" s="31">
        <v>38.564999999999998</v>
      </c>
      <c r="BM32" s="31"/>
      <c r="BN32" s="31">
        <v>60.502000000000002</v>
      </c>
      <c r="BO32" s="40"/>
      <c r="BP32" s="40">
        <v>13.712</v>
      </c>
      <c r="BQ32" s="32">
        <v>24.753</v>
      </c>
      <c r="BR32" s="33"/>
      <c r="BS32" s="34">
        <v>1.44</v>
      </c>
      <c r="BT32" s="35"/>
      <c r="BU32" s="35"/>
      <c r="BV32" s="235"/>
      <c r="BW32" s="235">
        <v>1.72</v>
      </c>
      <c r="BX32" s="36"/>
      <c r="BY32" s="33"/>
      <c r="BZ32" s="34">
        <v>37.39</v>
      </c>
      <c r="CA32" s="35"/>
      <c r="CB32" s="35">
        <v>41.53</v>
      </c>
      <c r="CC32" s="235"/>
      <c r="CD32" s="235">
        <v>35.5</v>
      </c>
      <c r="CE32" s="36">
        <v>43.78</v>
      </c>
      <c r="CF32" s="30">
        <v>93.555000000000007</v>
      </c>
      <c r="CG32" s="30"/>
      <c r="CH32" s="31"/>
      <c r="CI32" s="50"/>
      <c r="CJ32" s="33">
        <v>3.01</v>
      </c>
      <c r="CK32" s="33"/>
      <c r="CL32" s="35"/>
      <c r="CM32" s="36"/>
      <c r="CN32" s="286"/>
      <c r="CO32" s="249">
        <f t="shared" si="30"/>
        <v>0</v>
      </c>
      <c r="CP32" s="12">
        <f t="shared" si="30"/>
        <v>38.009664000000001</v>
      </c>
      <c r="CQ32" s="12">
        <f t="shared" si="30"/>
        <v>0</v>
      </c>
      <c r="CR32" s="12">
        <f t="shared" si="30"/>
        <v>60.502000000000002</v>
      </c>
      <c r="CS32" s="11">
        <f t="shared" si="30"/>
        <v>0</v>
      </c>
      <c r="CT32" s="11">
        <f t="shared" si="30"/>
        <v>13.4761536</v>
      </c>
      <c r="CU32" s="272">
        <f t="shared" si="30"/>
        <v>24.753</v>
      </c>
      <c r="CV32" s="249">
        <f t="shared" si="14"/>
        <v>90.738994500000004</v>
      </c>
      <c r="CW32" s="11">
        <f t="shared" si="14"/>
        <v>0</v>
      </c>
      <c r="CX32" s="249">
        <f t="shared" si="14"/>
        <v>0</v>
      </c>
      <c r="CY32" s="272">
        <f t="shared" si="14"/>
        <v>0</v>
      </c>
      <c r="CZ32" s="13"/>
      <c r="DA32" s="240">
        <f>(D32+'[2]август 20 '!D32)/(AY32+'[2]август 20 '!BA32)</f>
        <v>5.7742383010156981</v>
      </c>
      <c r="DB32" s="241">
        <f>(T32+'[2]август 20 '!T32)/(AY32+'[2]август 20 '!BA32)</f>
        <v>3.8480838988919674</v>
      </c>
      <c r="DD32" s="292">
        <f t="shared" si="15"/>
        <v>5.1459999999999999</v>
      </c>
      <c r="DE32" s="291">
        <v>0.25</v>
      </c>
      <c r="DF32" s="291">
        <v>8.65</v>
      </c>
      <c r="DG32" s="145">
        <f t="shared" si="16"/>
        <v>5.1331350000000002</v>
      </c>
      <c r="DH32" s="293">
        <f t="shared" si="29"/>
        <v>0.58989793742526919</v>
      </c>
      <c r="DJ32" s="322"/>
    </row>
    <row r="33" spans="1:114" s="76" customFormat="1" ht="16.5" customHeight="1" thickBot="1">
      <c r="A33" s="144">
        <v>27</v>
      </c>
      <c r="B33" s="122">
        <f>'[1]август 20'!K32</f>
        <v>224.95699999999999</v>
      </c>
      <c r="C33" s="123">
        <f t="shared" si="17"/>
        <v>1.2054460185724383</v>
      </c>
      <c r="D33" s="145">
        <f t="shared" si="18"/>
        <v>222.24526479999997</v>
      </c>
      <c r="E33" s="125">
        <f t="shared" si="19"/>
        <v>39.697137986370727</v>
      </c>
      <c r="F33" s="146">
        <f t="shared" si="0"/>
        <v>2.1516629373608285</v>
      </c>
      <c r="G33" s="127"/>
      <c r="H33" s="126">
        <f t="shared" si="20"/>
        <v>0.80169682253848384</v>
      </c>
      <c r="I33" s="230">
        <f>'[1]июль 20'!AI32</f>
        <v>0</v>
      </c>
      <c r="J33" s="247">
        <f>'[1]август 20'!AA32</f>
        <v>9.1319999999999997</v>
      </c>
      <c r="K33" s="465">
        <f>'[1]сентябрь 20'!AM32</f>
        <v>0</v>
      </c>
      <c r="L33" s="247">
        <f>'[1]август 20'!AE32</f>
        <v>139.43799999999999</v>
      </c>
      <c r="M33" s="469">
        <f t="shared" si="21"/>
        <v>1.3499661148223447</v>
      </c>
      <c r="N33" s="403">
        <f>'[1]август 20'!W32</f>
        <v>0</v>
      </c>
      <c r="O33" s="403">
        <f>'[1]август 20'!AU32</f>
        <v>0</v>
      </c>
      <c r="P33" s="401">
        <f t="shared" si="1"/>
        <v>154.15700000000001</v>
      </c>
      <c r="Q33" s="122">
        <f>'[1]август 20'!S32</f>
        <v>154.15700000000001</v>
      </c>
      <c r="R33" s="123">
        <f t="shared" si="32"/>
        <v>3.04</v>
      </c>
      <c r="S33" s="501">
        <v>3.25</v>
      </c>
      <c r="T33" s="125">
        <f t="shared" si="2"/>
        <v>149.4706272</v>
      </c>
      <c r="U33" s="147">
        <f t="shared" si="3"/>
        <v>1.4470967876851581</v>
      </c>
      <c r="V33" s="130">
        <v>103.29</v>
      </c>
      <c r="W33" s="130">
        <v>57.31</v>
      </c>
      <c r="X33" s="129">
        <v>0.93</v>
      </c>
      <c r="Y33" s="150">
        <v>633</v>
      </c>
      <c r="Z33" s="150">
        <v>1114</v>
      </c>
      <c r="AA33" s="148" t="s">
        <v>249</v>
      </c>
      <c r="AB33" s="149">
        <v>76.099999999999994</v>
      </c>
      <c r="AC33" s="150">
        <v>90</v>
      </c>
      <c r="AD33" s="151">
        <v>4</v>
      </c>
      <c r="AE33" s="149">
        <v>7.4</v>
      </c>
      <c r="AF33" s="134">
        <f t="shared" si="4"/>
        <v>71.642947042308052</v>
      </c>
      <c r="AG33" s="152"/>
      <c r="AH33" s="129">
        <v>76.900000000000006</v>
      </c>
      <c r="AI33" s="134">
        <f t="shared" si="5"/>
        <v>744.50576048020139</v>
      </c>
      <c r="AJ33" s="136">
        <v>13.94</v>
      </c>
      <c r="AK33" s="154"/>
      <c r="AL33" s="155">
        <v>4.88</v>
      </c>
      <c r="AM33" s="478">
        <v>29.98</v>
      </c>
      <c r="AN33" s="126">
        <f t="shared" si="23"/>
        <v>0.21979472140762463</v>
      </c>
      <c r="AO33" s="157" t="s">
        <v>191</v>
      </c>
      <c r="AP33" s="156">
        <v>8.9600000000000009</v>
      </c>
      <c r="AQ33" s="156">
        <v>6.52</v>
      </c>
      <c r="AR33" s="151"/>
      <c r="AS33" s="149">
        <v>7.85</v>
      </c>
      <c r="AT33" s="149">
        <v>136.4</v>
      </c>
      <c r="AU33" s="149">
        <v>1.75</v>
      </c>
      <c r="AV33" s="149"/>
      <c r="AW33" s="149"/>
      <c r="AX33" s="158">
        <f t="shared" si="6"/>
        <v>0</v>
      </c>
      <c r="AY33" s="125">
        <f t="shared" si="7"/>
        <v>103.29</v>
      </c>
      <c r="AZ33" s="125">
        <f t="shared" si="24"/>
        <v>103.65383291127527</v>
      </c>
      <c r="BA33" s="159">
        <f t="shared" si="8"/>
        <v>4.6762781690140844</v>
      </c>
      <c r="BB33" s="160">
        <f t="shared" si="9"/>
        <v>4.1316000000000006</v>
      </c>
      <c r="BC33" s="161">
        <f t="shared" si="10"/>
        <v>0.89094566838410016</v>
      </c>
      <c r="BD33" s="160">
        <f t="shared" si="25"/>
        <v>8.807878169014085</v>
      </c>
      <c r="BE33" s="162">
        <v>0.89700000000000002</v>
      </c>
      <c r="BF33" s="25">
        <f t="shared" si="26"/>
        <v>2397.31</v>
      </c>
      <c r="BG33" s="25">
        <f t="shared" si="11"/>
        <v>107.74193548387096</v>
      </c>
      <c r="BH33" s="25">
        <f t="shared" si="27"/>
        <v>2909.0322580645143</v>
      </c>
      <c r="BI33" s="26">
        <f t="shared" si="12"/>
        <v>1</v>
      </c>
      <c r="BJ33" s="37">
        <f t="shared" si="28"/>
        <v>2909.0322580645143</v>
      </c>
      <c r="BK33" s="38"/>
      <c r="BL33" s="31">
        <v>63.103999999999999</v>
      </c>
      <c r="BM33" s="31"/>
      <c r="BN33" s="31">
        <v>98.957999999999998</v>
      </c>
      <c r="BO33" s="40"/>
      <c r="BP33" s="40">
        <v>22.414999999999999</v>
      </c>
      <c r="BQ33" s="32">
        <v>40.479999999999997</v>
      </c>
      <c r="BR33" s="33"/>
      <c r="BS33" s="34">
        <v>3.53</v>
      </c>
      <c r="BT33" s="35"/>
      <c r="BU33" s="35"/>
      <c r="BV33" s="235"/>
      <c r="BW33" s="235">
        <v>2.16</v>
      </c>
      <c r="BX33" s="36"/>
      <c r="BY33" s="33"/>
      <c r="BZ33" s="34">
        <v>36.270000000000003</v>
      </c>
      <c r="CA33" s="35"/>
      <c r="CB33" s="35">
        <v>41.53</v>
      </c>
      <c r="CC33" s="235"/>
      <c r="CD33" s="235">
        <v>33.79</v>
      </c>
      <c r="CE33" s="36">
        <v>43.83</v>
      </c>
      <c r="CF33" s="30">
        <v>154.15700000000001</v>
      </c>
      <c r="CG33" s="30"/>
      <c r="CH33" s="31"/>
      <c r="CI33" s="32"/>
      <c r="CJ33" s="33">
        <v>3.04</v>
      </c>
      <c r="CK33" s="33"/>
      <c r="CL33" s="35"/>
      <c r="CM33" s="36"/>
      <c r="CN33" s="270"/>
      <c r="CO33" s="249">
        <f t="shared" si="30"/>
        <v>0</v>
      </c>
      <c r="CP33" s="12">
        <f t="shared" si="30"/>
        <v>60.876428799999999</v>
      </c>
      <c r="CQ33" s="12">
        <f t="shared" si="30"/>
        <v>0</v>
      </c>
      <c r="CR33" s="12">
        <f t="shared" si="30"/>
        <v>98.957999999999998</v>
      </c>
      <c r="CS33" s="11">
        <f t="shared" si="30"/>
        <v>0</v>
      </c>
      <c r="CT33" s="11">
        <f t="shared" si="30"/>
        <v>21.930835999999999</v>
      </c>
      <c r="CU33" s="272">
        <f t="shared" si="30"/>
        <v>40.479999999999997</v>
      </c>
      <c r="CV33" s="249">
        <f t="shared" si="14"/>
        <v>149.4706272</v>
      </c>
      <c r="CW33" s="12">
        <f t="shared" si="14"/>
        <v>0</v>
      </c>
      <c r="CX33" s="254">
        <f t="shared" si="14"/>
        <v>0</v>
      </c>
      <c r="CY33" s="275">
        <f t="shared" si="14"/>
        <v>0</v>
      </c>
      <c r="CZ33" s="13"/>
      <c r="DA33" s="240">
        <f>(D33+'[2]август 20 '!D33)/(AY33+'[2]август 20 '!BA33)</f>
        <v>2.427095611148093</v>
      </c>
      <c r="DB33" s="241">
        <f>(T33+'[2]август 20 '!T33)/(AY33+'[2]август 20 '!BA33)</f>
        <v>1.6066262316297126</v>
      </c>
      <c r="DD33" s="292">
        <f t="shared" si="15"/>
        <v>9.1319999999999997</v>
      </c>
      <c r="DE33" s="291">
        <v>0.15</v>
      </c>
      <c r="DF33" s="291">
        <v>20.399999999999999</v>
      </c>
      <c r="DG33" s="145">
        <f t="shared" si="16"/>
        <v>9.1183019999999999</v>
      </c>
      <c r="DH33" s="293">
        <f t="shared" si="29"/>
        <v>2.4443280000000001</v>
      </c>
      <c r="DJ33" s="322">
        <f t="shared" ref="DJ33:DJ37" si="33">CO33+CP33+CQ33+CR33+CS33+CT33+CU33</f>
        <v>222.2452648</v>
      </c>
    </row>
    <row r="34" spans="1:114" s="76" customFormat="1" ht="16.5" customHeight="1" thickBot="1">
      <c r="A34" s="144">
        <v>28</v>
      </c>
      <c r="B34" s="122">
        <f>'[1]август 20'!K33</f>
        <v>227.87899999999999</v>
      </c>
      <c r="C34" s="123">
        <f t="shared" si="17"/>
        <v>0.63012001983508803</v>
      </c>
      <c r="D34" s="145">
        <f t="shared" si="18"/>
        <v>226.4430888</v>
      </c>
      <c r="E34" s="125">
        <f t="shared" si="19"/>
        <v>39.42732309690669</v>
      </c>
      <c r="F34" s="146">
        <f t="shared" si="0"/>
        <v>1.9340885616672363</v>
      </c>
      <c r="G34" s="127"/>
      <c r="H34" s="126">
        <f t="shared" si="20"/>
        <v>0.85418593098735929</v>
      </c>
      <c r="I34" s="230">
        <f>'[1]июль 20'!AI33</f>
        <v>0</v>
      </c>
      <c r="J34" s="247">
        <f>'[1]август 20'!AA33</f>
        <v>9.0109999999999992</v>
      </c>
      <c r="K34" s="464">
        <f>'[1]сентябрь 20'!AM33</f>
        <v>0</v>
      </c>
      <c r="L34" s="247">
        <f>'[1]август 20'!AE33</f>
        <v>126.435</v>
      </c>
      <c r="M34" s="468">
        <f t="shared" si="21"/>
        <v>1.0799026306798771</v>
      </c>
      <c r="N34" s="403">
        <f>'[1]август 20'!W33</f>
        <v>0</v>
      </c>
      <c r="O34" s="403">
        <f>'[1]август 20'!AU33</f>
        <v>0</v>
      </c>
      <c r="P34" s="401">
        <f t="shared" si="1"/>
        <v>155.73599999999999</v>
      </c>
      <c r="Q34" s="122">
        <f>'[1]август 20'!S33</f>
        <v>155.73599999999999</v>
      </c>
      <c r="R34" s="123">
        <f t="shared" si="32"/>
        <v>2.89</v>
      </c>
      <c r="S34" s="501">
        <v>15.8</v>
      </c>
      <c r="T34" s="125">
        <f t="shared" si="2"/>
        <v>151.2352296</v>
      </c>
      <c r="U34" s="147">
        <f t="shared" si="3"/>
        <v>1.2917255688418177</v>
      </c>
      <c r="V34" s="169">
        <v>117.08</v>
      </c>
      <c r="W34" s="169">
        <v>117.08</v>
      </c>
      <c r="X34" s="170">
        <v>0.5</v>
      </c>
      <c r="Y34" s="166">
        <v>671</v>
      </c>
      <c r="Z34" s="166">
        <v>1147</v>
      </c>
      <c r="AA34" s="148" t="s">
        <v>141</v>
      </c>
      <c r="AB34" s="164">
        <v>75.19</v>
      </c>
      <c r="AC34" s="166">
        <v>91</v>
      </c>
      <c r="AD34" s="171">
        <v>4</v>
      </c>
      <c r="AE34" s="164">
        <v>6.25</v>
      </c>
      <c r="AF34" s="172">
        <f t="shared" si="4"/>
        <v>53.38230269900923</v>
      </c>
      <c r="AG34" s="173"/>
      <c r="AH34" s="170">
        <v>64.75</v>
      </c>
      <c r="AI34" s="134">
        <f t="shared" si="5"/>
        <v>553.04065596173564</v>
      </c>
      <c r="AJ34" s="174">
        <v>13.99</v>
      </c>
      <c r="AK34" s="175"/>
      <c r="AL34" s="176">
        <v>6.33</v>
      </c>
      <c r="AM34" s="478">
        <v>29.51</v>
      </c>
      <c r="AN34" s="126">
        <f t="shared" si="23"/>
        <v>0.19543046357615895</v>
      </c>
      <c r="AO34" s="178" t="s">
        <v>389</v>
      </c>
      <c r="AP34" s="177">
        <v>9.6199999999999992</v>
      </c>
      <c r="AQ34" s="177">
        <v>5.99</v>
      </c>
      <c r="AR34" s="171"/>
      <c r="AS34" s="164">
        <v>6.16</v>
      </c>
      <c r="AT34" s="149">
        <v>151</v>
      </c>
      <c r="AU34" s="164">
        <v>1.92</v>
      </c>
      <c r="AV34" s="164"/>
      <c r="AW34" s="164"/>
      <c r="AX34" s="179">
        <f t="shared" si="6"/>
        <v>0</v>
      </c>
      <c r="AY34" s="125">
        <f t="shared" si="7"/>
        <v>117.07999999999998</v>
      </c>
      <c r="AZ34" s="125">
        <f t="shared" si="24"/>
        <v>105.78617182688367</v>
      </c>
      <c r="BA34" s="159">
        <f t="shared" si="8"/>
        <v>3.0897605633802816</v>
      </c>
      <c r="BB34" s="159">
        <f t="shared" si="9"/>
        <v>4.6831999999999994</v>
      </c>
      <c r="BC34" s="180">
        <f t="shared" si="10"/>
        <v>0.98602161754081141</v>
      </c>
      <c r="BD34" s="159">
        <f t="shared" si="25"/>
        <v>7.7729605633802805</v>
      </c>
      <c r="BE34" s="167">
        <v>0.90100000000000002</v>
      </c>
      <c r="BF34" s="25">
        <f t="shared" si="26"/>
        <v>2514.39</v>
      </c>
      <c r="BG34" s="25">
        <f t="shared" si="11"/>
        <v>107.74193548387096</v>
      </c>
      <c r="BH34" s="25">
        <f t="shared" si="27"/>
        <v>3016.774193548385</v>
      </c>
      <c r="BI34" s="26">
        <f t="shared" si="12"/>
        <v>1</v>
      </c>
      <c r="BJ34" s="37">
        <f t="shared" si="28"/>
        <v>3016.774193548385</v>
      </c>
      <c r="BK34" s="38"/>
      <c r="BL34" s="30">
        <v>77.997</v>
      </c>
      <c r="BM34" s="43"/>
      <c r="BN34" s="43">
        <v>90.295000000000002</v>
      </c>
      <c r="BO34" s="281"/>
      <c r="BP34" s="281">
        <v>23.446999999999999</v>
      </c>
      <c r="BQ34" s="44">
        <v>36.14</v>
      </c>
      <c r="BR34" s="45"/>
      <c r="BS34" s="46">
        <v>1.36</v>
      </c>
      <c r="BT34" s="47"/>
      <c r="BU34" s="47"/>
      <c r="BV34" s="283"/>
      <c r="BW34" s="283">
        <v>1.6</v>
      </c>
      <c r="BX34" s="48"/>
      <c r="BY34" s="45"/>
      <c r="BZ34" s="46">
        <v>36.229999999999997</v>
      </c>
      <c r="CA34" s="47"/>
      <c r="CB34" s="47">
        <v>41.42</v>
      </c>
      <c r="CC34" s="283"/>
      <c r="CD34" s="283">
        <v>35.85</v>
      </c>
      <c r="CE34" s="48">
        <v>43.67</v>
      </c>
      <c r="CF34" s="49">
        <v>155.73599999999999</v>
      </c>
      <c r="CG34" s="49"/>
      <c r="CH34" s="43"/>
      <c r="CI34" s="32"/>
      <c r="CJ34" s="33">
        <v>2.89</v>
      </c>
      <c r="CK34" s="33"/>
      <c r="CL34" s="35"/>
      <c r="CM34" s="36"/>
      <c r="CN34" s="270"/>
      <c r="CO34" s="249">
        <f t="shared" si="30"/>
        <v>0</v>
      </c>
      <c r="CP34" s="12">
        <f t="shared" si="30"/>
        <v>76.936240800000007</v>
      </c>
      <c r="CQ34" s="12">
        <f t="shared" si="30"/>
        <v>0</v>
      </c>
      <c r="CR34" s="12">
        <f t="shared" si="30"/>
        <v>90.295000000000002</v>
      </c>
      <c r="CS34" s="11">
        <f t="shared" si="30"/>
        <v>0</v>
      </c>
      <c r="CT34" s="11">
        <f t="shared" si="30"/>
        <v>23.071848000000003</v>
      </c>
      <c r="CU34" s="272">
        <f t="shared" si="30"/>
        <v>36.14</v>
      </c>
      <c r="CV34" s="249">
        <f t="shared" si="14"/>
        <v>151.2352296</v>
      </c>
      <c r="CW34" s="12">
        <f t="shared" si="14"/>
        <v>0</v>
      </c>
      <c r="CX34" s="249">
        <f t="shared" si="14"/>
        <v>0</v>
      </c>
      <c r="CY34" s="272">
        <f t="shared" si="14"/>
        <v>0</v>
      </c>
      <c r="CZ34" s="13"/>
      <c r="DA34" s="240">
        <f>(D34+'[2]август 20 '!D34)/(AY34+'[2]август 20 '!BA34)</f>
        <v>2.0584748895776772</v>
      </c>
      <c r="DB34" s="241">
        <f>(T34+'[2]август 20 '!T34)/(AY34+'[2]август 20 '!BA34)</f>
        <v>1.3483742890504236</v>
      </c>
      <c r="DD34" s="292">
        <f t="shared" si="15"/>
        <v>9.0109999999999992</v>
      </c>
      <c r="DE34" s="291">
        <v>0.21</v>
      </c>
      <c r="DF34" s="291">
        <v>17.78</v>
      </c>
      <c r="DG34" s="145">
        <f t="shared" si="16"/>
        <v>8.9920768999999989</v>
      </c>
      <c r="DH34" s="293">
        <f t="shared" si="29"/>
        <v>2.126334981806091</v>
      </c>
      <c r="DJ34" s="322">
        <f t="shared" si="33"/>
        <v>226.4430888</v>
      </c>
    </row>
    <row r="35" spans="1:114" s="76" customFormat="1" ht="16.5" customHeight="1" thickBot="1">
      <c r="A35" s="144">
        <v>29</v>
      </c>
      <c r="B35" s="122">
        <f>'[1]август 20'!K34</f>
        <v>243.56700000000001</v>
      </c>
      <c r="C35" s="123">
        <f t="shared" si="17"/>
        <v>1.0936589932133662</v>
      </c>
      <c r="D35" s="145">
        <f t="shared" si="18"/>
        <v>240.9032076</v>
      </c>
      <c r="E35" s="125">
        <f t="shared" si="19"/>
        <v>37.23810429984357</v>
      </c>
      <c r="F35" s="146">
        <f t="shared" si="0"/>
        <v>1.8571015078630897</v>
      </c>
      <c r="G35" s="127">
        <v>12.99</v>
      </c>
      <c r="H35" s="126">
        <f t="shared" si="20"/>
        <v>1.4766281806968855</v>
      </c>
      <c r="I35" s="230">
        <f>'[1]июль 20'!AI34</f>
        <v>0</v>
      </c>
      <c r="J35" s="247">
        <f>'[1]август 20'!AA34</f>
        <v>9.7669999999999995</v>
      </c>
      <c r="K35" s="465">
        <f>'[1]сентябрь 20'!AM34</f>
        <v>0</v>
      </c>
      <c r="L35" s="247">
        <f>'[1]август 20'!AE34</f>
        <v>49.354999999999997</v>
      </c>
      <c r="M35" s="469">
        <f t="shared" si="21"/>
        <v>0.38047332716620419</v>
      </c>
      <c r="N35" s="403">
        <f>'[1]август 20'!W34</f>
        <v>0</v>
      </c>
      <c r="O35" s="403">
        <f>'[1]август 20'!AU34</f>
        <v>0</v>
      </c>
      <c r="P35" s="401">
        <f t="shared" si="1"/>
        <v>165.32599999999999</v>
      </c>
      <c r="Q35" s="122">
        <f>'[1]август 20'!S34</f>
        <v>165.32599999999999</v>
      </c>
      <c r="R35" s="123">
        <f t="shared" si="32"/>
        <v>2.92</v>
      </c>
      <c r="S35" s="501"/>
      <c r="T35" s="125">
        <f t="shared" si="2"/>
        <v>160.49848079999998</v>
      </c>
      <c r="U35" s="147">
        <f t="shared" si="3"/>
        <v>1.2372685846438483</v>
      </c>
      <c r="V35" s="130">
        <v>63.76</v>
      </c>
      <c r="W35" s="130">
        <v>63.76</v>
      </c>
      <c r="X35" s="129">
        <v>1.18</v>
      </c>
      <c r="Y35" s="150">
        <v>630</v>
      </c>
      <c r="Z35" s="150">
        <v>1151</v>
      </c>
      <c r="AA35" s="148" t="s">
        <v>187</v>
      </c>
      <c r="AB35" s="149">
        <v>75.2</v>
      </c>
      <c r="AC35" s="150">
        <v>97</v>
      </c>
      <c r="AD35" s="151">
        <v>4</v>
      </c>
      <c r="AE35" s="181">
        <v>5</v>
      </c>
      <c r="AF35" s="134">
        <f t="shared" si="4"/>
        <v>38.544557508479798</v>
      </c>
      <c r="AG35" s="182"/>
      <c r="AH35" s="129">
        <v>70.150000000000006</v>
      </c>
      <c r="AI35" s="134">
        <f t="shared" si="5"/>
        <v>540.78014184397171</v>
      </c>
      <c r="AJ35" s="136">
        <v>15.27</v>
      </c>
      <c r="AK35" s="154"/>
      <c r="AL35" s="155">
        <v>5.52</v>
      </c>
      <c r="AM35" s="478">
        <v>24.49</v>
      </c>
      <c r="AN35" s="126">
        <f t="shared" si="23"/>
        <v>0.15509816339455351</v>
      </c>
      <c r="AO35" s="184" t="s">
        <v>390</v>
      </c>
      <c r="AP35" s="183">
        <v>9.93</v>
      </c>
      <c r="AQ35" s="183">
        <v>6.86</v>
      </c>
      <c r="AR35" s="185"/>
      <c r="AS35" s="181">
        <v>5.17</v>
      </c>
      <c r="AT35" s="149">
        <v>157.9</v>
      </c>
      <c r="AU35" s="181">
        <v>1.83</v>
      </c>
      <c r="AV35" s="149"/>
      <c r="AW35" s="149"/>
      <c r="AX35" s="158">
        <f t="shared" si="6"/>
        <v>0</v>
      </c>
      <c r="AY35" s="125">
        <f t="shared" si="7"/>
        <v>129.72</v>
      </c>
      <c r="AZ35" s="125">
        <f t="shared" si="24"/>
        <v>105.42296361583989</v>
      </c>
      <c r="BA35" s="159">
        <f t="shared" si="8"/>
        <v>2.8094580985915494</v>
      </c>
      <c r="BB35" s="160">
        <f t="shared" si="9"/>
        <v>5.1887999999999996</v>
      </c>
      <c r="BC35" s="161">
        <f t="shared" si="10"/>
        <v>1.0874132836470034</v>
      </c>
      <c r="BD35" s="160">
        <f t="shared" si="25"/>
        <v>7.998258098591549</v>
      </c>
      <c r="BE35" s="162">
        <v>0.90800000000000003</v>
      </c>
      <c r="BF35" s="25">
        <f t="shared" si="26"/>
        <v>2644.1099999999997</v>
      </c>
      <c r="BG35" s="25">
        <f t="shared" si="11"/>
        <v>107.74193548387096</v>
      </c>
      <c r="BH35" s="25">
        <f t="shared" si="27"/>
        <v>3124.5161290322558</v>
      </c>
      <c r="BI35" s="26">
        <f t="shared" si="12"/>
        <v>1</v>
      </c>
      <c r="BJ35" s="37">
        <f t="shared" si="28"/>
        <v>3124.5161290322558</v>
      </c>
      <c r="BK35" s="38"/>
      <c r="BL35" s="31">
        <v>164.55199999999999</v>
      </c>
      <c r="BM35" s="31"/>
      <c r="BN35" s="31">
        <v>39.442</v>
      </c>
      <c r="BO35" s="40"/>
      <c r="BP35" s="40">
        <v>29.66</v>
      </c>
      <c r="BQ35" s="32">
        <v>9.9130000000000003</v>
      </c>
      <c r="BR35" s="33"/>
      <c r="BS35" s="34">
        <v>1.17</v>
      </c>
      <c r="BT35" s="35"/>
      <c r="BU35" s="35"/>
      <c r="BV35" s="235"/>
      <c r="BW35" s="235">
        <v>2.4900000000000002</v>
      </c>
      <c r="BX35" s="36"/>
      <c r="BY35" s="33"/>
      <c r="BZ35" s="34">
        <v>35.97</v>
      </c>
      <c r="CA35" s="35"/>
      <c r="CB35" s="35">
        <v>43.52</v>
      </c>
      <c r="CC35" s="235"/>
      <c r="CD35" s="235">
        <v>33.729999999999997</v>
      </c>
      <c r="CE35" s="36">
        <v>43.79</v>
      </c>
      <c r="CF35" s="30">
        <v>165.32599999999999</v>
      </c>
      <c r="CG35" s="30"/>
      <c r="CH35" s="31"/>
      <c r="CI35" s="50"/>
      <c r="CJ35" s="33">
        <v>2.92</v>
      </c>
      <c r="CK35" s="33"/>
      <c r="CL35" s="35"/>
      <c r="CM35" s="36"/>
      <c r="CN35" s="270"/>
      <c r="CO35" s="249">
        <f t="shared" si="30"/>
        <v>0</v>
      </c>
      <c r="CP35" s="12">
        <f t="shared" si="30"/>
        <v>162.62674159999997</v>
      </c>
      <c r="CQ35" s="12">
        <f t="shared" si="30"/>
        <v>0</v>
      </c>
      <c r="CR35" s="12">
        <f t="shared" si="30"/>
        <v>39.442</v>
      </c>
      <c r="CS35" s="11">
        <f t="shared" si="30"/>
        <v>0</v>
      </c>
      <c r="CT35" s="11">
        <f t="shared" si="30"/>
        <v>28.921466000000002</v>
      </c>
      <c r="CU35" s="272">
        <f t="shared" si="30"/>
        <v>9.9130000000000003</v>
      </c>
      <c r="CV35" s="249">
        <f t="shared" si="14"/>
        <v>160.49848079999998</v>
      </c>
      <c r="CW35" s="12">
        <f t="shared" si="14"/>
        <v>0</v>
      </c>
      <c r="CX35" s="249">
        <f t="shared" si="14"/>
        <v>0</v>
      </c>
      <c r="CY35" s="272">
        <f t="shared" si="14"/>
        <v>0</v>
      </c>
      <c r="CZ35" s="13"/>
      <c r="DA35" s="240">
        <f>(D35+'[2]август 20 '!D35)/(AY35+'[2]август 20 '!BA35)</f>
        <v>1.9958300450155819</v>
      </c>
      <c r="DB35" s="241">
        <f>(T35+'[2]август 20 '!T35)/(AY35+'[2]август 20 '!BA35)</f>
        <v>1.3014815211182567</v>
      </c>
      <c r="DD35" s="292">
        <f t="shared" si="15"/>
        <v>9.7669999999999995</v>
      </c>
      <c r="DE35" s="291">
        <v>0.59</v>
      </c>
      <c r="DF35" s="291">
        <v>9.92</v>
      </c>
      <c r="DG35" s="145">
        <f t="shared" si="16"/>
        <v>9.7093746999999997</v>
      </c>
      <c r="DH35" s="293">
        <f t="shared" si="29"/>
        <v>1.2808111306382979</v>
      </c>
      <c r="DJ35" s="322">
        <f t="shared" si="33"/>
        <v>240.9032076</v>
      </c>
    </row>
    <row r="36" spans="1:114" s="76" customFormat="1" ht="16.5" customHeight="1" thickBot="1">
      <c r="A36" s="144">
        <v>30</v>
      </c>
      <c r="B36" s="122">
        <f>'[1]август 20'!K35</f>
        <v>260.07400000000001</v>
      </c>
      <c r="C36" s="123">
        <f t="shared" si="17"/>
        <v>0.8777021155517275</v>
      </c>
      <c r="D36" s="145">
        <f t="shared" si="18"/>
        <v>257.79132500000003</v>
      </c>
      <c r="E36" s="125">
        <f t="shared" si="19"/>
        <v>37.259054576774304</v>
      </c>
      <c r="F36" s="146">
        <f t="shared" si="0"/>
        <v>2.3199363300935931</v>
      </c>
      <c r="G36" s="127">
        <v>19.850000000000001</v>
      </c>
      <c r="H36" s="126">
        <f t="shared" si="20"/>
        <v>1.8517847822174229</v>
      </c>
      <c r="I36" s="230">
        <f>'[1]июль 20'!AI35</f>
        <v>0</v>
      </c>
      <c r="J36" s="247">
        <f>'[1]август 20'!AA35</f>
        <v>10.497</v>
      </c>
      <c r="K36" s="464">
        <f>'[1]сентябрь 20'!AM35</f>
        <v>0</v>
      </c>
      <c r="L36" s="247">
        <f>'[1]август 20'!AE35</f>
        <v>52.021000000000001</v>
      </c>
      <c r="M36" s="468">
        <f t="shared" si="21"/>
        <v>0.46815154787616997</v>
      </c>
      <c r="N36" s="403">
        <f>'[1]август 20'!W35</f>
        <v>0</v>
      </c>
      <c r="O36" s="403">
        <f>'[1]август 20'!AU35</f>
        <v>0</v>
      </c>
      <c r="P36" s="401">
        <f t="shared" si="1"/>
        <v>173.548</v>
      </c>
      <c r="Q36" s="122">
        <f>'[1]август 20'!S35</f>
        <v>173.548</v>
      </c>
      <c r="R36" s="123">
        <f t="shared" si="32"/>
        <v>3.1000000000000005</v>
      </c>
      <c r="S36" s="501">
        <v>7.48</v>
      </c>
      <c r="T36" s="125">
        <f t="shared" si="2"/>
        <v>168.168012</v>
      </c>
      <c r="U36" s="147">
        <f t="shared" si="3"/>
        <v>1.5133910367170629</v>
      </c>
      <c r="V36" s="130">
        <v>111.12</v>
      </c>
      <c r="W36" s="130">
        <v>29.24</v>
      </c>
      <c r="X36" s="129">
        <v>1.25</v>
      </c>
      <c r="Y36" s="150">
        <v>613</v>
      </c>
      <c r="Z36" s="150">
        <v>1168</v>
      </c>
      <c r="AA36" s="148" t="s">
        <v>391</v>
      </c>
      <c r="AB36" s="149">
        <v>75.739999999999995</v>
      </c>
      <c r="AC36" s="150">
        <v>104</v>
      </c>
      <c r="AD36" s="151">
        <v>4</v>
      </c>
      <c r="AE36" s="149">
        <v>4.9000000000000004</v>
      </c>
      <c r="AF36" s="134">
        <f t="shared" si="4"/>
        <v>44.096472282217427</v>
      </c>
      <c r="AG36" s="152"/>
      <c r="AH36" s="129">
        <v>71.75</v>
      </c>
      <c r="AI36" s="134">
        <f t="shared" si="5"/>
        <v>645.6983441324694</v>
      </c>
      <c r="AJ36" s="153"/>
      <c r="AK36" s="154"/>
      <c r="AL36" s="155">
        <v>5.75</v>
      </c>
      <c r="AM36" s="478">
        <v>37.58</v>
      </c>
      <c r="AN36" s="126">
        <f t="shared" si="23"/>
        <v>0.24331498866947232</v>
      </c>
      <c r="AO36" s="157" t="s">
        <v>392</v>
      </c>
      <c r="AP36" s="156">
        <v>9.73</v>
      </c>
      <c r="AQ36" s="156">
        <v>7.13</v>
      </c>
      <c r="AR36" s="151"/>
      <c r="AS36" s="149">
        <v>8.5500000000000007</v>
      </c>
      <c r="AT36" s="149">
        <v>154.44999999999999</v>
      </c>
      <c r="AU36" s="149"/>
      <c r="AV36" s="149"/>
      <c r="AW36" s="149"/>
      <c r="AX36" s="158">
        <f t="shared" si="6"/>
        <v>0</v>
      </c>
      <c r="AY36" s="125">
        <f t="shared" si="7"/>
        <v>111.11999999999999</v>
      </c>
      <c r="AZ36" s="125">
        <f t="shared" si="24"/>
        <v>112.24799224510866</v>
      </c>
      <c r="BA36" s="159">
        <f t="shared" si="8"/>
        <v>4.7521742957746484</v>
      </c>
      <c r="BB36" s="160">
        <f t="shared" si="9"/>
        <v>4.4447999999999999</v>
      </c>
      <c r="BC36" s="161">
        <f t="shared" si="10"/>
        <v>0.87622855891251594</v>
      </c>
      <c r="BD36" s="160">
        <f t="shared" si="25"/>
        <v>9.1969742957746483</v>
      </c>
      <c r="BE36" s="162">
        <v>0.90700000000000003</v>
      </c>
      <c r="BF36" s="25">
        <f t="shared" si="26"/>
        <v>2755.2299999999996</v>
      </c>
      <c r="BG36" s="25">
        <f t="shared" si="11"/>
        <v>107.74193548387096</v>
      </c>
      <c r="BH36" s="25">
        <f t="shared" si="27"/>
        <v>3232.2580645161265</v>
      </c>
      <c r="BI36" s="26">
        <f t="shared" si="12"/>
        <v>1</v>
      </c>
      <c r="BJ36" s="37">
        <f t="shared" si="28"/>
        <v>3232.2580645161265</v>
      </c>
      <c r="BK36" s="38"/>
      <c r="BL36" s="31">
        <v>169.49</v>
      </c>
      <c r="BM36" s="31"/>
      <c r="BN36" s="31">
        <v>41.619</v>
      </c>
      <c r="BO36" s="40"/>
      <c r="BP36" s="40">
        <v>38.563000000000002</v>
      </c>
      <c r="BQ36" s="32">
        <v>10.401999999999999</v>
      </c>
      <c r="BR36" s="33"/>
      <c r="BS36" s="34">
        <v>0.96</v>
      </c>
      <c r="BT36" s="35"/>
      <c r="BU36" s="35"/>
      <c r="BV36" s="235"/>
      <c r="BW36" s="235">
        <v>1.7</v>
      </c>
      <c r="BX36" s="36"/>
      <c r="BY36" s="33"/>
      <c r="BZ36" s="34">
        <v>36.06</v>
      </c>
      <c r="CA36" s="35"/>
      <c r="CB36" s="35">
        <v>42.13</v>
      </c>
      <c r="CC36" s="235"/>
      <c r="CD36" s="235">
        <v>35.47</v>
      </c>
      <c r="CE36" s="36">
        <v>43.94</v>
      </c>
      <c r="CF36" s="30">
        <v>173.548</v>
      </c>
      <c r="CG36" s="30"/>
      <c r="CH36" s="34"/>
      <c r="CI36" s="50"/>
      <c r="CJ36" s="33">
        <v>3.1</v>
      </c>
      <c r="CK36" s="33"/>
      <c r="CL36" s="35"/>
      <c r="CM36" s="36"/>
      <c r="CN36" s="270"/>
      <c r="CO36" s="249">
        <f t="shared" si="30"/>
        <v>0</v>
      </c>
      <c r="CP36" s="12">
        <f t="shared" si="30"/>
        <v>167.86289600000001</v>
      </c>
      <c r="CQ36" s="12">
        <f t="shared" si="30"/>
        <v>0</v>
      </c>
      <c r="CR36" s="12">
        <f t="shared" si="30"/>
        <v>41.619</v>
      </c>
      <c r="CS36" s="11">
        <f t="shared" si="30"/>
        <v>0</v>
      </c>
      <c r="CT36" s="11">
        <f t="shared" si="30"/>
        <v>37.907429</v>
      </c>
      <c r="CU36" s="272">
        <f t="shared" si="30"/>
        <v>10.401999999999999</v>
      </c>
      <c r="CV36" s="249">
        <f t="shared" si="14"/>
        <v>168.168012</v>
      </c>
      <c r="CW36" s="12">
        <f t="shared" si="14"/>
        <v>0</v>
      </c>
      <c r="CX36" s="249">
        <f t="shared" si="14"/>
        <v>0</v>
      </c>
      <c r="CY36" s="274">
        <f t="shared" si="14"/>
        <v>0</v>
      </c>
      <c r="CZ36" s="13"/>
      <c r="DA36" s="240">
        <f>(D36+'[2]август 20 '!D36)/(AY36+'[2]август 20 '!BA36)</f>
        <v>2.1897326225196778</v>
      </c>
      <c r="DB36" s="241">
        <f>(T36+'[2]август 20 '!T36)/(AY36+'[2]август 20 '!BA36)</f>
        <v>1.404267133935448</v>
      </c>
      <c r="DD36" s="292">
        <f t="shared" si="15"/>
        <v>10.497</v>
      </c>
      <c r="DE36" s="291">
        <v>0.51</v>
      </c>
      <c r="DF36" s="291">
        <v>11.15</v>
      </c>
      <c r="DG36" s="145">
        <f t="shared" si="16"/>
        <v>10.443465299999998</v>
      </c>
      <c r="DH36" s="293">
        <f t="shared" si="29"/>
        <v>1.537425905664114</v>
      </c>
      <c r="DJ36" s="322">
        <f t="shared" si="33"/>
        <v>257.79132500000003</v>
      </c>
    </row>
    <row r="37" spans="1:114" s="76" customFormat="1" ht="16.5" customHeight="1" thickBot="1">
      <c r="A37" s="186">
        <v>31</v>
      </c>
      <c r="B37" s="122">
        <f>'[1]август 20'!K36</f>
        <v>257.30099999999999</v>
      </c>
      <c r="C37" s="123">
        <f t="shared" si="17"/>
        <v>1.0718087376263599</v>
      </c>
      <c r="D37" s="187">
        <f t="shared" si="18"/>
        <v>254.54322539999998</v>
      </c>
      <c r="E37" s="285">
        <f t="shared" si="19"/>
        <v>37.437164332824203</v>
      </c>
      <c r="F37" s="189">
        <f t="shared" si="0"/>
        <v>2.1679859075036196</v>
      </c>
      <c r="G37" s="127"/>
      <c r="H37" s="126">
        <f t="shared" si="20"/>
        <v>1.729777918405587</v>
      </c>
      <c r="I37" s="230">
        <f>'[1]июль 20'!AI36</f>
        <v>0</v>
      </c>
      <c r="J37" s="277">
        <f>'[1]август 20'!AA36</f>
        <v>10.077</v>
      </c>
      <c r="K37" s="276">
        <f>'[1]сентябрь 20'!AM36</f>
        <v>0</v>
      </c>
      <c r="L37" s="438">
        <f>'[1]август 20'!AE36</f>
        <v>51.45</v>
      </c>
      <c r="M37" s="128">
        <f t="shared" si="21"/>
        <v>0.43820798909803244</v>
      </c>
      <c r="N37" s="399">
        <f>'[1]август 20'!W36</f>
        <v>0</v>
      </c>
      <c r="O37" s="399">
        <f>'[1]август 20'!AU36</f>
        <v>0.69599999999999995</v>
      </c>
      <c r="P37" s="125">
        <f t="shared" si="1"/>
        <v>170.09700000000001</v>
      </c>
      <c r="Q37" s="122">
        <f>'[1]август 20'!S36</f>
        <v>170.09700000000001</v>
      </c>
      <c r="R37" s="123">
        <f t="shared" si="32"/>
        <v>3.09</v>
      </c>
      <c r="S37" s="501"/>
      <c r="T37" s="125">
        <f t="shared" si="2"/>
        <v>164.84100269999999</v>
      </c>
      <c r="U37" s="191">
        <f t="shared" si="3"/>
        <v>1.403977537688442</v>
      </c>
      <c r="V37" s="192">
        <v>117.41</v>
      </c>
      <c r="W37" s="192">
        <v>117.41</v>
      </c>
      <c r="X37" s="190">
        <v>0.75</v>
      </c>
      <c r="Y37" s="193">
        <v>617</v>
      </c>
      <c r="Z37" s="194">
        <v>1166</v>
      </c>
      <c r="AA37" s="195" t="s">
        <v>395</v>
      </c>
      <c r="AB37" s="196">
        <v>76</v>
      </c>
      <c r="AC37" s="194">
        <v>103</v>
      </c>
      <c r="AD37" s="193">
        <v>4</v>
      </c>
      <c r="AE37" s="196">
        <v>4.8</v>
      </c>
      <c r="AF37" s="134">
        <f t="shared" si="4"/>
        <v>40.882377991653172</v>
      </c>
      <c r="AG37" s="197"/>
      <c r="AH37" s="190">
        <v>80.849999999999994</v>
      </c>
      <c r="AI37" s="134">
        <f t="shared" si="5"/>
        <v>688.61255429690812</v>
      </c>
      <c r="AJ37" s="196"/>
      <c r="AK37" s="198"/>
      <c r="AL37" s="199">
        <v>6.7</v>
      </c>
      <c r="AM37" s="478">
        <v>36.64</v>
      </c>
      <c r="AN37" s="126">
        <f t="shared" si="23"/>
        <v>0.22793157076205289</v>
      </c>
      <c r="AO37" s="201" t="s">
        <v>207</v>
      </c>
      <c r="AP37" s="200">
        <v>9.3000000000000007</v>
      </c>
      <c r="AQ37" s="201">
        <v>7.06</v>
      </c>
      <c r="AR37" s="193"/>
      <c r="AS37" s="196">
        <v>7.39</v>
      </c>
      <c r="AT37" s="242">
        <v>160.75</v>
      </c>
      <c r="AU37" s="196"/>
      <c r="AV37" s="196"/>
      <c r="AW37" s="196"/>
      <c r="AX37" s="202">
        <f t="shared" si="6"/>
        <v>0</v>
      </c>
      <c r="AY37" s="188">
        <f t="shared" si="7"/>
        <v>117.41000000000001</v>
      </c>
      <c r="AZ37" s="125">
        <f t="shared" si="24"/>
        <v>111.09584895782018</v>
      </c>
      <c r="BA37" s="203">
        <f t="shared" si="8"/>
        <v>4.6283778169014083</v>
      </c>
      <c r="BB37" s="204">
        <f t="shared" si="9"/>
        <v>4.6964000000000006</v>
      </c>
      <c r="BC37" s="205">
        <f t="shared" si="10"/>
        <v>0.93638444704679358</v>
      </c>
      <c r="BD37" s="206">
        <f t="shared" si="25"/>
        <v>9.3247778169014097</v>
      </c>
      <c r="BE37" s="207">
        <v>0.90800000000000003</v>
      </c>
      <c r="BF37" s="25">
        <f t="shared" si="26"/>
        <v>2872.6399999999994</v>
      </c>
      <c r="BG37" s="25">
        <f t="shared" si="11"/>
        <v>107.74193548387096</v>
      </c>
      <c r="BH37" s="25">
        <f t="shared" si="27"/>
        <v>3339.9999999999973</v>
      </c>
      <c r="BI37" s="26">
        <f t="shared" si="12"/>
        <v>1</v>
      </c>
      <c r="BJ37" s="37">
        <f t="shared" si="28"/>
        <v>3339.9999999999973</v>
      </c>
      <c r="BK37" s="51"/>
      <c r="BL37" s="53">
        <v>176.55600000000001</v>
      </c>
      <c r="BM37" s="53"/>
      <c r="BN37" s="53">
        <v>41.232999999999997</v>
      </c>
      <c r="BO37" s="282"/>
      <c r="BP37" s="282">
        <v>29.295000000000002</v>
      </c>
      <c r="BQ37" s="54">
        <v>10.217000000000001</v>
      </c>
      <c r="BR37" s="55"/>
      <c r="BS37" s="52">
        <v>1.26</v>
      </c>
      <c r="BT37" s="56"/>
      <c r="BU37" s="56"/>
      <c r="BV37" s="284"/>
      <c r="BW37" s="284">
        <v>1.82</v>
      </c>
      <c r="BX37" s="57"/>
      <c r="BY37" s="55"/>
      <c r="BZ37" s="52">
        <v>36.29</v>
      </c>
      <c r="CA37" s="56"/>
      <c r="CB37" s="56">
        <v>43.24</v>
      </c>
      <c r="CC37" s="284"/>
      <c r="CD37" s="284">
        <v>34.32</v>
      </c>
      <c r="CE37" s="57">
        <v>42.78</v>
      </c>
      <c r="CF37" s="58">
        <v>170.09700000000001</v>
      </c>
      <c r="CG37" s="58"/>
      <c r="CH37" s="52"/>
      <c r="CI37" s="54"/>
      <c r="CJ37" s="33">
        <v>3.09</v>
      </c>
      <c r="CK37" s="265"/>
      <c r="CL37" s="59"/>
      <c r="CM37" s="60"/>
      <c r="CN37" s="270"/>
      <c r="CO37" s="269">
        <f t="shared" si="30"/>
        <v>0</v>
      </c>
      <c r="CP37" s="18">
        <f t="shared" si="30"/>
        <v>174.33139439999999</v>
      </c>
      <c r="CQ37" s="18">
        <f t="shared" si="30"/>
        <v>0</v>
      </c>
      <c r="CR37" s="18">
        <f t="shared" si="30"/>
        <v>41.232999999999997</v>
      </c>
      <c r="CS37" s="251">
        <f t="shared" si="30"/>
        <v>0</v>
      </c>
      <c r="CT37" s="11">
        <f t="shared" si="30"/>
        <v>28.761831000000004</v>
      </c>
      <c r="CU37" s="273">
        <f t="shared" si="30"/>
        <v>10.217000000000001</v>
      </c>
      <c r="CV37" s="269">
        <f t="shared" si="14"/>
        <v>164.84100269999999</v>
      </c>
      <c r="CW37" s="18">
        <f t="shared" si="14"/>
        <v>0</v>
      </c>
      <c r="CX37" s="261">
        <f t="shared" si="14"/>
        <v>0</v>
      </c>
      <c r="CY37" s="273">
        <f t="shared" si="14"/>
        <v>0</v>
      </c>
      <c r="CZ37" s="13"/>
      <c r="DA37" s="240">
        <f>(D37+'[2]август 20 '!D37)/(AY37+'[2]август 20 '!BA37)</f>
        <v>2.3995522592216583</v>
      </c>
      <c r="DB37" s="241">
        <f>(T37+'[2]август 20 '!T37)/(AY37+'[2]август 20 '!BA37)</f>
        <v>1.5243350345177666</v>
      </c>
      <c r="DD37" s="292">
        <f t="shared" si="15"/>
        <v>10.077</v>
      </c>
      <c r="DE37" s="294">
        <v>0.17</v>
      </c>
      <c r="DF37" s="294">
        <v>12.34</v>
      </c>
      <c r="DG37" s="323">
        <f t="shared" si="16"/>
        <v>10.0598691</v>
      </c>
      <c r="DH37" s="293">
        <f t="shared" si="29"/>
        <v>1.6334050617631577</v>
      </c>
      <c r="DJ37" s="322">
        <f t="shared" si="33"/>
        <v>254.54322540000001</v>
      </c>
    </row>
    <row r="38" spans="1:114" s="214" customFormat="1" ht="16.5" customHeight="1" thickBot="1">
      <c r="A38" s="91" t="s">
        <v>56</v>
      </c>
      <c r="B38" s="92">
        <f>SUM(B7:B37)</f>
        <v>6170.7349999999997</v>
      </c>
      <c r="C38" s="330"/>
      <c r="D38" s="331">
        <f>SUM(D7:D37)</f>
        <v>6122.3937443554087</v>
      </c>
      <c r="E38" s="332"/>
      <c r="F38" s="331"/>
      <c r="G38" s="333">
        <f>SUM(G7:G37)</f>
        <v>32.840000000000003</v>
      </c>
      <c r="H38" s="329"/>
      <c r="I38" s="334">
        <f>SUM(I7:I37)</f>
        <v>0</v>
      </c>
      <c r="J38" s="329">
        <f>SUM(J7:J37)</f>
        <v>249.02799999999996</v>
      </c>
      <c r="K38" s="329">
        <f>SUM(K7:K37)</f>
        <v>0</v>
      </c>
      <c r="L38" s="396">
        <f>SUM(L7:L37)</f>
        <v>3231.2299999999996</v>
      </c>
      <c r="M38" s="335"/>
      <c r="N38" s="329">
        <f>SUM(N7:N37)</f>
        <v>0</v>
      </c>
      <c r="O38" s="396">
        <f>SUM(O7:O37)</f>
        <v>57.942</v>
      </c>
      <c r="P38" s="330">
        <f>SUM(P7:P37)</f>
        <v>4048.4060030000005</v>
      </c>
      <c r="Q38" s="396">
        <f>SUM(Q7:Q37)</f>
        <v>4048.4060000000004</v>
      </c>
      <c r="R38" s="336">
        <f>IF(Q38=0,0,(CA38*CH38+CE38*CI38+CF38*CJ38)/Q38)</f>
        <v>0</v>
      </c>
      <c r="S38" s="398">
        <f>SUM(S7:S37)</f>
        <v>237.42000000000002</v>
      </c>
      <c r="T38" s="331">
        <f>SUM(T7:T37)</f>
        <v>3939.5718500000003</v>
      </c>
      <c r="U38" s="337"/>
      <c r="V38" s="229">
        <f>SUM(V7:V37)</f>
        <v>2265.3199999999993</v>
      </c>
      <c r="W38" s="229">
        <f>SUM(W7:W37)</f>
        <v>1873.6100000000001</v>
      </c>
      <c r="X38" s="338"/>
      <c r="Y38" s="337"/>
      <c r="Z38" s="339"/>
      <c r="AA38" s="340"/>
      <c r="AB38" s="338"/>
      <c r="AC38" s="339"/>
      <c r="AD38" s="339">
        <f>SUM(AD7:AD37)</f>
        <v>120</v>
      </c>
      <c r="AE38" s="90">
        <f>SUM(AE7:AE37)</f>
        <v>115.19999999999999</v>
      </c>
      <c r="AF38" s="341"/>
      <c r="AG38" s="342">
        <f>SUM(AG7:AG37)</f>
        <v>0</v>
      </c>
      <c r="AH38" s="90">
        <f>SUM(AH7:AH37)</f>
        <v>2081.75</v>
      </c>
      <c r="AI38" s="341"/>
      <c r="AJ38" s="332">
        <f>SUM(AJ7:AJ37)</f>
        <v>367.95</v>
      </c>
      <c r="AK38" s="343"/>
      <c r="AL38" s="397">
        <f>SUM(AL7:AL37)</f>
        <v>184.00000000000003</v>
      </c>
      <c r="AM38" s="344">
        <f>SUM(AM7:AM37)</f>
        <v>788.86</v>
      </c>
      <c r="AN38" s="345"/>
      <c r="AO38" s="342"/>
      <c r="AP38" s="332"/>
      <c r="AQ38" s="342"/>
      <c r="AR38" s="342"/>
      <c r="AS38" s="346"/>
      <c r="AT38" s="332">
        <f>SUM(AT7:AT37)</f>
        <v>3796.15</v>
      </c>
      <c r="AU38" s="332">
        <f>SUM(AU7:AU37)</f>
        <v>49.349999999999994</v>
      </c>
      <c r="AV38" s="347">
        <f>SUM(AV7:AV37)</f>
        <v>0</v>
      </c>
      <c r="AW38" s="332">
        <f>SUM(AW7:AW37)</f>
        <v>0</v>
      </c>
      <c r="AX38" s="331"/>
      <c r="AY38" s="90">
        <f>SUM(AY7:AY37)</f>
        <v>2872.6399999999994</v>
      </c>
      <c r="AZ38" s="330">
        <f>SUM(AZ7:AZ37)</f>
        <v>2802.1035735824612</v>
      </c>
      <c r="BA38" s="342">
        <f>SUM(BA7:BA37)</f>
        <v>116.17675176056336</v>
      </c>
      <c r="BB38" s="342">
        <f>SUM(BB7:BB37)</f>
        <v>114.90560000000002</v>
      </c>
      <c r="BC38" s="332"/>
      <c r="BD38" s="89">
        <f>SUM(BD7:BD37)</f>
        <v>231.0823517605634</v>
      </c>
      <c r="BE38" s="348"/>
      <c r="BF38" s="19"/>
      <c r="BG38" s="19">
        <f t="shared" si="11"/>
        <v>0</v>
      </c>
      <c r="BH38" s="19"/>
      <c r="BI38" s="208">
        <f>SUM(BI7:BI37)</f>
        <v>31</v>
      </c>
      <c r="BJ38" s="209"/>
      <c r="BK38" s="278">
        <f t="shared" ref="BK38:BQ38" si="34">SUM(BK7:BK37)</f>
        <v>1622.8409999999999</v>
      </c>
      <c r="BL38" s="61">
        <f>SUM(BL7:BL37)</f>
        <v>707.07300100000009</v>
      </c>
      <c r="BM38" s="61">
        <f t="shared" si="34"/>
        <v>9.9999999999999995E-7</v>
      </c>
      <c r="BN38" s="61">
        <f t="shared" si="34"/>
        <v>2546.8000000000002</v>
      </c>
      <c r="BO38" s="61">
        <f t="shared" si="34"/>
        <v>9.9999999999999995E-7</v>
      </c>
      <c r="BP38" s="61">
        <f t="shared" si="34"/>
        <v>609.59100000000001</v>
      </c>
      <c r="BQ38" s="64">
        <f t="shared" si="34"/>
        <v>684.43000000000006</v>
      </c>
      <c r="BR38" s="63"/>
      <c r="BS38" s="24"/>
      <c r="BT38" s="24"/>
      <c r="BU38" s="24"/>
      <c r="BV38" s="62"/>
      <c r="BW38" s="62"/>
      <c r="BX38" s="65"/>
      <c r="BY38" s="63"/>
      <c r="BZ38" s="24"/>
      <c r="CA38" s="24"/>
      <c r="CB38" s="24"/>
      <c r="CC38" s="62"/>
      <c r="CD38" s="62"/>
      <c r="CE38" s="62"/>
      <c r="CF38" s="66">
        <f>SUM(CF7:CF37)</f>
        <v>4048.4060000000004</v>
      </c>
      <c r="CG38" s="66">
        <f>SUM(CG7:CG37)</f>
        <v>9.9999999999999995E-7</v>
      </c>
      <c r="CH38" s="61">
        <f>SUM(CH7:CH37)</f>
        <v>9.9999999999999995E-7</v>
      </c>
      <c r="CI38" s="67">
        <f>SUM(CI7:CI37)</f>
        <v>9.9999999999999995E-7</v>
      </c>
      <c r="CJ38" s="210"/>
      <c r="CK38" s="266"/>
      <c r="CL38" s="211"/>
      <c r="CM38" s="212"/>
      <c r="CN38" s="213"/>
      <c r="CO38" s="68">
        <f t="shared" ref="CO38:CY38" si="35">SUM(CO7:CO37)</f>
        <v>1602.2440184000002</v>
      </c>
      <c r="CP38" s="69">
        <f t="shared" si="35"/>
        <v>697.10105850000002</v>
      </c>
      <c r="CQ38" s="70">
        <f t="shared" si="35"/>
        <v>9.9999998999999992E-7</v>
      </c>
      <c r="CR38" s="69">
        <f t="shared" si="35"/>
        <v>2546.7999989466502</v>
      </c>
      <c r="CS38" s="72">
        <f t="shared" si="35"/>
        <v>9.9999998999999992E-7</v>
      </c>
      <c r="CT38" s="72">
        <f t="shared" si="35"/>
        <v>591.81866959999991</v>
      </c>
      <c r="CU38" s="71">
        <f t="shared" si="35"/>
        <v>684.42999990876012</v>
      </c>
      <c r="CV38" s="72">
        <f t="shared" si="35"/>
        <v>3939.5760819000002</v>
      </c>
      <c r="CW38" s="72">
        <f t="shared" si="35"/>
        <v>9.9999998999999992E-7</v>
      </c>
      <c r="CX38" s="72">
        <f t="shared" si="35"/>
        <v>9.9999998999999992E-7</v>
      </c>
      <c r="CY38" s="72">
        <f t="shared" si="35"/>
        <v>9.9999998999999992E-7</v>
      </c>
      <c r="CZ38" s="70"/>
      <c r="DA38" s="240">
        <f>(D38+'[2]август 20 '!D38)/(AY38+'[2]август 20 '!BA38)</f>
        <v>2.1590106131182591</v>
      </c>
      <c r="DB38" s="241">
        <f>(T38+'[2]август 20 '!T38)/(AY38+'[2]август 20 '!BA38)</f>
        <v>1.3735141336063272</v>
      </c>
      <c r="DD38" s="295">
        <f>SUM(DD7:DD37)</f>
        <v>249.02799999999996</v>
      </c>
      <c r="DE38" s="296">
        <f>(SUMPRODUCT(DD7:DD37,DE7:DE37))/DD38</f>
        <v>0.65388482419647587</v>
      </c>
      <c r="DF38" s="296">
        <f>(SUMPRODUCT(DD7:DD37,DF7:DF37))/DD38</f>
        <v>12.375663780779677</v>
      </c>
      <c r="DG38" s="296">
        <f>(SUMPRODUCT(DE7:DE37,DG7:DG37))/DE38</f>
        <v>246.24472029743703</v>
      </c>
      <c r="DH38" s="324">
        <f>IF(J38=0,0,(DG38*DF38%)/(AB39/100))</f>
        <v>40.302731813792143</v>
      </c>
    </row>
    <row r="39" spans="1:114" s="214" customFormat="1" ht="16.5" customHeight="1" thickBot="1">
      <c r="A39" s="93" t="s">
        <v>57</v>
      </c>
      <c r="B39" s="349">
        <f>B38/AU2</f>
        <v>199.05596774193546</v>
      </c>
      <c r="C39" s="349">
        <f>(BK38*BR39+BM38*BT39+BQ38*BX39+BL38*BS39+BN38*BU39+BO38*BV39+BP38*BW39)/B38</f>
        <v>0.78339542444441435</v>
      </c>
      <c r="D39" s="350">
        <f>D38/AU2</f>
        <v>197.49657239856157</v>
      </c>
      <c r="E39" s="349">
        <f>(BK38*BY39+BM38*CA39+BQ38*CE39+BL38*BZ39+BN38*CB39+BO38*CC39+BP38*CD39)/B38</f>
        <v>39.073177162850136</v>
      </c>
      <c r="F39" s="351">
        <f>IF($AY$38=0,0,$D$38/$AY$38)</f>
        <v>2.1312777599544006</v>
      </c>
      <c r="G39" s="352">
        <f>G38/AU2</f>
        <v>1.0593548387096776</v>
      </c>
      <c r="H39" s="353">
        <f>IF($AY$38=0,0,(CP38+CO38+CS38+CQ38+CT38)/AY38)</f>
        <v>1.0064483361994543</v>
      </c>
      <c r="I39" s="349">
        <f>I38/AU2</f>
        <v>0</v>
      </c>
      <c r="J39" s="349">
        <f>J38/AU2</f>
        <v>8.03316129032258</v>
      </c>
      <c r="K39" s="349">
        <f>K38/AU2</f>
        <v>0</v>
      </c>
      <c r="L39" s="349">
        <f>L38/AU2</f>
        <v>104.2332258064516</v>
      </c>
      <c r="M39" s="354">
        <f>IF($AY$38=0,0,(CR38+CU38)/$AY$38)</f>
        <v>1.1248294247992825</v>
      </c>
      <c r="N39" s="349">
        <f>N38/AU2</f>
        <v>0</v>
      </c>
      <c r="O39" s="349">
        <f>O38/AU2</f>
        <v>1.8690967741935485</v>
      </c>
      <c r="P39" s="349">
        <f>P38/AU2</f>
        <v>130.59374203225809</v>
      </c>
      <c r="Q39" s="349">
        <f>Q38/AU2</f>
        <v>130.59374193548388</v>
      </c>
      <c r="R39" s="349">
        <f>(SUMPRODUCT(R7:R37,Q7:Q37))/Q38</f>
        <v>2.6883210330189224</v>
      </c>
      <c r="S39" s="355">
        <f>S38/AU2</f>
        <v>7.6587096774193553</v>
      </c>
      <c r="T39" s="356"/>
      <c r="U39" s="354">
        <f>IF($AY$38=0,0,$T$38/$AY$38)</f>
        <v>1.3714116109223575</v>
      </c>
      <c r="V39" s="349">
        <f>V38/AU2</f>
        <v>73.074838709677394</v>
      </c>
      <c r="W39" s="349">
        <f>W38/AU2</f>
        <v>60.439032258064522</v>
      </c>
      <c r="X39" s="349">
        <f>(SUMPRODUCT(X7:X37,AY7:AY37))/AY38</f>
        <v>0.84517332488581942</v>
      </c>
      <c r="Y39" s="357">
        <f>AVERAGE(Y7:Y37)</f>
        <v>611.06451612903231</v>
      </c>
      <c r="Z39" s="357">
        <f>AVERAGE(Z7:Z37)</f>
        <v>1146.8387096774193</v>
      </c>
      <c r="AA39" s="357"/>
      <c r="AB39" s="349">
        <f>(SUMPRODUCT(AB7:AB37,AY7:AY37))/AY38</f>
        <v>75.613779241394681</v>
      </c>
      <c r="AC39" s="358">
        <f>AVERAGE(AC7:AC37)</f>
        <v>79.838709677419359</v>
      </c>
      <c r="AD39" s="358">
        <f>AVERAGE(AD7:AD37)</f>
        <v>3.870967741935484</v>
      </c>
      <c r="AE39" s="349">
        <f>AE38/AU2</f>
        <v>3.7161290322580642</v>
      </c>
      <c r="AF39" s="355">
        <f>IF(AY38=0,0,AE38/AY38*1000)</f>
        <v>40.102484126100038</v>
      </c>
      <c r="AG39" s="356" t="e">
        <f>AG38/$AW$2</f>
        <v>#DIV/0!</v>
      </c>
      <c r="AH39" s="349">
        <f>AH38/AU2</f>
        <v>67.153225806451616</v>
      </c>
      <c r="AI39" s="355">
        <f>IF(AY38=0,0,AH38/AY38*1000)</f>
        <v>724.68182577698576</v>
      </c>
      <c r="AJ39" s="349">
        <f>AJ38/AU2</f>
        <v>11.869354838709677</v>
      </c>
      <c r="AK39" s="359"/>
      <c r="AL39" s="349">
        <f>AL38/AU2</f>
        <v>5.9354838709677429</v>
      </c>
      <c r="AM39" s="349">
        <f>AM38/AU2</f>
        <v>25.44709677419355</v>
      </c>
      <c r="AN39" s="360">
        <f>IF(AM39=0,0,AM39/AT39)</f>
        <v>0.20780527639845636</v>
      </c>
      <c r="AO39" s="356"/>
      <c r="AP39" s="349">
        <f>AVERAGE(AP7:AP37)</f>
        <v>8.748709677419356</v>
      </c>
      <c r="AQ39" s="349">
        <f>AVERAGE(AQ7:AQ37)</f>
        <v>6.6816129032258074</v>
      </c>
      <c r="AR39" s="356"/>
      <c r="AS39" s="349">
        <f>AVERAGE(AS7:AS37)</f>
        <v>7.2132258064516126</v>
      </c>
      <c r="AT39" s="349">
        <f>AT38/AU2</f>
        <v>122.45645161290322</v>
      </c>
      <c r="AU39" s="349">
        <f>AU38/AU2</f>
        <v>1.5919354838709676</v>
      </c>
      <c r="AV39" s="349" t="e">
        <f>AV38/$AW$2</f>
        <v>#DIV/0!</v>
      </c>
      <c r="AW39" s="349" t="e">
        <f>AW38/$AW$2</f>
        <v>#DIV/0!</v>
      </c>
      <c r="AX39" s="349" t="e">
        <f>IF(AY39=0,0,AW39/AY39*100)</f>
        <v>#DIV/0!</v>
      </c>
      <c r="AY39" s="349">
        <f>AY38/AU2</f>
        <v>92.66580645161288</v>
      </c>
      <c r="AZ39" s="349">
        <f>AZ38/AU2</f>
        <v>90.390437857498753</v>
      </c>
      <c r="BA39" s="356"/>
      <c r="BB39" s="356"/>
      <c r="BC39" s="351">
        <f>(AY38*AB39)/(D38*E39)</f>
        <v>0.90799229962623562</v>
      </c>
      <c r="BD39" s="349">
        <f>BD38/AU2</f>
        <v>7.4542694116310777</v>
      </c>
      <c r="BE39" s="361"/>
      <c r="BF39" s="19"/>
      <c r="BG39" s="19"/>
      <c r="BH39" s="19"/>
      <c r="BI39" s="19"/>
      <c r="BJ39" s="215"/>
      <c r="BK39" s="73"/>
      <c r="BL39" s="216"/>
      <c r="BM39" s="216"/>
      <c r="BN39" s="216"/>
      <c r="BO39" s="219"/>
      <c r="BP39" s="219"/>
      <c r="BQ39" s="217"/>
      <c r="BR39" s="73">
        <f t="shared" ref="BR39:BX39" si="36">(SUMPRODUCT(BK7:BK37,BR7:BR37))/BK38</f>
        <v>1.2691928291188108</v>
      </c>
      <c r="BS39" s="29">
        <f>(SUMPRODUCT(BL7:BL37,BS7:BS37))/BL38</f>
        <v>1.4103130067046652</v>
      </c>
      <c r="BT39" s="29">
        <f t="shared" si="36"/>
        <v>9.9999999999999995E-7</v>
      </c>
      <c r="BU39" s="29">
        <f t="shared" si="36"/>
        <v>4.1359745563059523E-8</v>
      </c>
      <c r="BV39" s="29">
        <f t="shared" si="36"/>
        <v>9.9999999999999995E-7</v>
      </c>
      <c r="BW39" s="29">
        <f t="shared" si="36"/>
        <v>2.915451573267978</v>
      </c>
      <c r="BX39" s="74">
        <f t="shared" si="36"/>
        <v>1.3330800812354804E-8</v>
      </c>
      <c r="BY39" s="73">
        <f t="shared" ref="BY39:CE39" si="37">(SUMPRODUCT(BK7:BK37,BY7:BY37))/BK38</f>
        <v>36.041401055309791</v>
      </c>
      <c r="BZ39" s="29">
        <f t="shared" si="37"/>
        <v>36.241704383788232</v>
      </c>
      <c r="CA39" s="29">
        <f t="shared" si="37"/>
        <v>9.9999999999999995E-7</v>
      </c>
      <c r="CB39" s="29">
        <f t="shared" si="37"/>
        <v>41.681202807444635</v>
      </c>
      <c r="CC39" s="29">
        <f t="shared" si="37"/>
        <v>9.9999999999999995E-7</v>
      </c>
      <c r="CD39" s="29">
        <f t="shared" si="37"/>
        <v>34.228384605415755</v>
      </c>
      <c r="CE39" s="74">
        <f t="shared" si="37"/>
        <v>43.797357450725421</v>
      </c>
      <c r="CF39" s="218"/>
      <c r="CG39" s="218"/>
      <c r="CH39" s="216"/>
      <c r="CI39" s="219"/>
      <c r="CJ39" s="75">
        <f>(SUMPRODUCT(CF7:CF37,CJ7:CJ37))/CF38</f>
        <v>2.6882165005189695</v>
      </c>
      <c r="CK39" s="75">
        <f>(SUMPRODUCT(CG7:CG37,CK7:CK37))/CG38</f>
        <v>9.9999999999999995E-7</v>
      </c>
      <c r="CL39" s="29">
        <f>(SUMPRODUCT(CH7:CH37,CL7:CL37))/CH38</f>
        <v>9.9999999999999995E-7</v>
      </c>
      <c r="CM39" s="74">
        <f>(SUMPRODUCT(CI7:CI37,CM7:CM37))/CI38</f>
        <v>9.9999999999999995E-7</v>
      </c>
      <c r="CN39" s="19"/>
      <c r="CO39" s="596">
        <f>CO38+CP38</f>
        <v>2299.3450769000001</v>
      </c>
      <c r="CP39" s="596"/>
      <c r="CQ39" s="597">
        <f>CQ38+CR38+CU38+CS38+CT38</f>
        <v>3823.04867045541</v>
      </c>
      <c r="CR39" s="597"/>
      <c r="CS39" s="597"/>
      <c r="CT39" s="597"/>
      <c r="CU39" s="597"/>
      <c r="CV39" s="597">
        <f>CV38+CX38+CY38+CW38</f>
        <v>3939.5760848999998</v>
      </c>
      <c r="CW39" s="597"/>
      <c r="CX39" s="597"/>
      <c r="CY39" s="597"/>
      <c r="DA39" s="236"/>
      <c r="DB39" s="238"/>
      <c r="DD39" s="297"/>
      <c r="DE39" s="298"/>
      <c r="DF39" s="298"/>
      <c r="DG39" s="299"/>
      <c r="DH39" s="300"/>
    </row>
    <row r="40" spans="1:114" s="214" customFormat="1" ht="16.5" customHeight="1" thickBot="1">
      <c r="A40" s="94" t="s">
        <v>58</v>
      </c>
      <c r="B40" s="362"/>
      <c r="C40" s="362"/>
      <c r="D40" s="363"/>
      <c r="E40" s="364">
        <v>38.299999999999997</v>
      </c>
      <c r="F40" s="363">
        <v>2.2200000000000002</v>
      </c>
      <c r="G40" s="365"/>
      <c r="H40" s="410">
        <v>0.75480000000000003</v>
      </c>
      <c r="I40" s="363"/>
      <c r="J40" s="363">
        <v>8.6193600000000004</v>
      </c>
      <c r="K40" s="363"/>
      <c r="L40" s="363"/>
      <c r="M40" s="410">
        <v>1.4652000000000001</v>
      </c>
      <c r="N40" s="363"/>
      <c r="O40" s="363"/>
      <c r="P40" s="366"/>
      <c r="Q40" s="362"/>
      <c r="R40" s="367"/>
      <c r="S40" s="368">
        <v>12.82</v>
      </c>
      <c r="T40" s="362"/>
      <c r="U40" s="369">
        <v>1.32</v>
      </c>
      <c r="V40" s="370">
        <v>3340</v>
      </c>
      <c r="W40" s="370">
        <v>3340</v>
      </c>
      <c r="X40" s="371"/>
      <c r="Y40" s="371"/>
      <c r="Z40" s="372">
        <v>1190</v>
      </c>
      <c r="AA40" s="372"/>
      <c r="AB40" s="362">
        <v>76</v>
      </c>
      <c r="AC40" s="362"/>
      <c r="AD40" s="362"/>
      <c r="AE40" s="362"/>
      <c r="AF40" s="362"/>
      <c r="AG40" s="362"/>
      <c r="AH40" s="362"/>
      <c r="AI40" s="362">
        <v>680</v>
      </c>
      <c r="AJ40" s="373"/>
      <c r="AK40" s="374"/>
      <c r="AL40" s="375"/>
      <c r="AM40" s="362"/>
      <c r="AN40" s="362"/>
      <c r="AO40" s="362"/>
      <c r="AP40" s="362"/>
      <c r="AQ40" s="362"/>
      <c r="AR40" s="362"/>
      <c r="AS40" s="362"/>
      <c r="AT40" s="376">
        <v>3340</v>
      </c>
      <c r="AU40" s="377">
        <v>23.4</v>
      </c>
      <c r="AV40" s="377"/>
      <c r="AW40" s="378"/>
      <c r="AX40" s="362"/>
      <c r="AY40" s="379">
        <v>107.74</v>
      </c>
      <c r="AZ40" s="362"/>
      <c r="BA40" s="362"/>
      <c r="BB40" s="362"/>
      <c r="BC40" s="363">
        <v>0.9</v>
      </c>
      <c r="BD40" s="362"/>
      <c r="BE40" s="380"/>
      <c r="BF40" s="19"/>
      <c r="BG40" s="19"/>
      <c r="BH40" s="19"/>
      <c r="BI40" s="19"/>
      <c r="BJ40" s="215"/>
      <c r="BK40" s="220"/>
      <c r="BL40" s="221"/>
      <c r="BM40" s="216"/>
      <c r="BN40" s="216"/>
      <c r="BO40" s="219"/>
      <c r="BP40" s="219"/>
      <c r="BQ40" s="217"/>
      <c r="BR40" s="218"/>
      <c r="BS40" s="216"/>
      <c r="BT40" s="216"/>
      <c r="BU40" s="216"/>
      <c r="BV40" s="219"/>
      <c r="BW40" s="219"/>
      <c r="BX40" s="217"/>
      <c r="BY40" s="218"/>
      <c r="BZ40" s="216"/>
      <c r="CA40" s="216"/>
      <c r="CB40" s="216"/>
      <c r="CC40" s="219"/>
      <c r="CD40" s="219"/>
      <c r="CE40" s="217"/>
      <c r="CF40" s="218"/>
      <c r="CG40" s="218"/>
      <c r="CH40" s="216"/>
      <c r="CI40" s="219"/>
      <c r="CJ40" s="220"/>
      <c r="CK40" s="218"/>
      <c r="CL40" s="216"/>
      <c r="CM40" s="217"/>
      <c r="CN40" s="213"/>
      <c r="CO40" s="604">
        <f>CO39+CQ39</f>
        <v>6122.3937473554106</v>
      </c>
      <c r="CP40" s="604"/>
      <c r="CQ40" s="604"/>
      <c r="CR40" s="604"/>
      <c r="CS40" s="604"/>
      <c r="CT40" s="604"/>
      <c r="CU40" s="604"/>
      <c r="DA40" s="237"/>
      <c r="DB40" s="239"/>
      <c r="DD40" s="301"/>
      <c r="DE40" s="302"/>
      <c r="DF40" s="302"/>
      <c r="DG40" s="303"/>
      <c r="DH40" s="304"/>
    </row>
    <row r="41" spans="1:114" s="214" customFormat="1" ht="16.5" customHeight="1" thickBot="1">
      <c r="A41" s="95" t="s">
        <v>59</v>
      </c>
      <c r="B41" s="381"/>
      <c r="C41" s="381"/>
      <c r="D41" s="382"/>
      <c r="E41" s="381"/>
      <c r="F41" s="383">
        <f>F39-F40</f>
        <v>-8.8722240045599587E-2</v>
      </c>
      <c r="G41" s="384">
        <f>G39-G40</f>
        <v>1.0593548387096776</v>
      </c>
      <c r="H41" s="383"/>
      <c r="I41" s="385">
        <f>I39-I40</f>
        <v>0</v>
      </c>
      <c r="J41" s="385"/>
      <c r="K41" s="385"/>
      <c r="L41" s="385"/>
      <c r="M41" s="385"/>
      <c r="N41" s="385"/>
      <c r="O41" s="385"/>
      <c r="P41" s="383"/>
      <c r="Q41" s="386"/>
      <c r="R41" s="385">
        <f>R39-R40</f>
        <v>2.6883210330189224</v>
      </c>
      <c r="S41" s="386"/>
      <c r="T41" s="386"/>
      <c r="U41" s="383">
        <f>U39-U40</f>
        <v>5.1411610922357465E-2</v>
      </c>
      <c r="V41" s="383"/>
      <c r="W41" s="383"/>
      <c r="X41" s="383"/>
      <c r="Y41" s="383"/>
      <c r="Z41" s="387">
        <f>Z39-Z40</f>
        <v>-43.161290322580726</v>
      </c>
      <c r="AA41" s="388"/>
      <c r="AB41" s="381"/>
      <c r="AC41" s="381"/>
      <c r="AD41" s="381"/>
      <c r="AE41" s="381"/>
      <c r="AF41" s="381"/>
      <c r="AG41" s="381"/>
      <c r="AH41" s="381"/>
      <c r="AI41" s="381"/>
      <c r="AJ41" s="381"/>
      <c r="AK41" s="389"/>
      <c r="AL41" s="390"/>
      <c r="AM41" s="381"/>
      <c r="AN41" s="381"/>
      <c r="AO41" s="381"/>
      <c r="AP41" s="381"/>
      <c r="AQ41" s="381"/>
      <c r="AR41" s="381"/>
      <c r="AS41" s="381"/>
      <c r="AT41" s="391">
        <f>AT38+AV38-AT40</f>
        <v>456.15000000000009</v>
      </c>
      <c r="AU41" s="392"/>
      <c r="AV41" s="393"/>
      <c r="AW41" s="390"/>
      <c r="AX41" s="381"/>
      <c r="AY41" s="385"/>
      <c r="AZ41" s="381"/>
      <c r="BA41" s="381"/>
      <c r="BB41" s="381"/>
      <c r="BC41" s="394"/>
      <c r="BD41" s="381"/>
      <c r="BE41" s="395"/>
      <c r="BF41" s="222"/>
      <c r="BG41" s="222"/>
      <c r="BH41" s="222"/>
      <c r="BI41" s="222"/>
      <c r="BJ41" s="222"/>
      <c r="BK41" s="223"/>
      <c r="BL41" s="224"/>
      <c r="BM41" s="225"/>
      <c r="BN41" s="225"/>
      <c r="BO41" s="224"/>
      <c r="BP41" s="224"/>
      <c r="BQ41" s="226"/>
      <c r="BR41" s="227"/>
      <c r="BS41" s="225"/>
      <c r="BT41" s="225"/>
      <c r="BU41" s="225"/>
      <c r="BV41" s="224"/>
      <c r="BW41" s="224"/>
      <c r="BX41" s="224"/>
      <c r="BY41" s="228"/>
      <c r="BZ41" s="225"/>
      <c r="CA41" s="225"/>
      <c r="CB41" s="225"/>
      <c r="CC41" s="224"/>
      <c r="CD41" s="224"/>
      <c r="CE41" s="226"/>
      <c r="CF41" s="227"/>
      <c r="CG41" s="227"/>
      <c r="CH41" s="225"/>
      <c r="CI41" s="224"/>
      <c r="CJ41" s="228"/>
      <c r="CK41" s="227"/>
      <c r="CL41" s="225"/>
      <c r="CM41" s="226"/>
      <c r="CN41" s="213"/>
      <c r="CO41" s="213"/>
      <c r="CP41" s="213"/>
      <c r="CQ41" s="213"/>
      <c r="DA41" s="21"/>
      <c r="DH41" s="309"/>
    </row>
    <row r="42" spans="1:114" ht="15" hidden="1" customHeight="1">
      <c r="A42" s="96"/>
      <c r="B42" s="96"/>
      <c r="C42" s="96"/>
      <c r="D42" s="97"/>
      <c r="E42" s="96"/>
      <c r="F42" s="98"/>
      <c r="G42" s="99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1"/>
      <c r="AF42" s="101"/>
      <c r="AG42" s="100"/>
      <c r="AH42" s="100"/>
      <c r="AI42" s="100"/>
      <c r="AJ42" s="100"/>
      <c r="AK42" s="100"/>
      <c r="AL42" s="100"/>
      <c r="AM42" s="100"/>
      <c r="AN42" s="100"/>
      <c r="AO42" s="100"/>
      <c r="AP42" s="100"/>
      <c r="AQ42" s="100"/>
      <c r="AR42" s="100"/>
      <c r="AS42" s="96"/>
      <c r="AT42" s="612"/>
      <c r="AU42" s="612"/>
      <c r="AV42" s="612"/>
      <c r="AW42" s="96"/>
      <c r="AX42" s="96"/>
      <c r="AY42" s="100"/>
      <c r="AZ42" s="100"/>
      <c r="BA42" s="100"/>
      <c r="BB42" s="100"/>
      <c r="BC42" s="100"/>
      <c r="BD42" s="100"/>
      <c r="BE42" s="100"/>
      <c r="BK42" s="20"/>
      <c r="BL42" s="20"/>
      <c r="BM42" s="20"/>
    </row>
    <row r="43" spans="1:114" ht="13.5" thickBot="1">
      <c r="A43" s="100"/>
      <c r="B43" s="100"/>
      <c r="C43" s="100"/>
      <c r="D43" s="102"/>
      <c r="E43" s="100"/>
      <c r="F43" s="100"/>
      <c r="G43" s="96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1"/>
      <c r="AF43" s="101"/>
      <c r="AG43" s="100"/>
      <c r="AH43" s="100"/>
      <c r="AI43" s="100"/>
      <c r="AJ43" s="100"/>
      <c r="AK43" s="100"/>
      <c r="AL43" s="100"/>
      <c r="AM43" s="100"/>
      <c r="AN43" s="100"/>
      <c r="AO43" s="100"/>
      <c r="AP43" s="100"/>
      <c r="AQ43" s="100"/>
      <c r="AR43" s="100"/>
      <c r="AS43" s="96" t="s">
        <v>60</v>
      </c>
      <c r="AT43" s="103">
        <f>AT40/BE43</f>
        <v>107.74193548387096</v>
      </c>
      <c r="AU43" s="104"/>
      <c r="AV43" s="96"/>
      <c r="AW43" s="96" t="s">
        <v>61</v>
      </c>
      <c r="AX43" s="96"/>
      <c r="AY43" s="100"/>
      <c r="AZ43" s="100"/>
      <c r="BA43" s="100"/>
      <c r="BB43" s="100"/>
      <c r="BC43" s="100"/>
      <c r="BD43" s="105" t="s">
        <v>62</v>
      </c>
      <c r="BE43" s="100">
        <v>31</v>
      </c>
    </row>
    <row r="44" spans="1:114" ht="16.5" customHeight="1" thickBot="1">
      <c r="A44" s="100"/>
      <c r="B44" s="100"/>
      <c r="C44" s="100"/>
      <c r="D44" s="102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489" t="s">
        <v>343</v>
      </c>
      <c r="AG44" s="488"/>
      <c r="AH44" s="488"/>
      <c r="AI44" s="488"/>
      <c r="AJ44" s="488"/>
      <c r="AK44" s="488"/>
      <c r="AL44" s="488"/>
      <c r="AM44" s="490">
        <f>AM38/AT38</f>
        <v>0.20780527639845633</v>
      </c>
      <c r="AN44" s="479"/>
      <c r="AO44" s="480" t="s">
        <v>88</v>
      </c>
      <c r="AP44" s="100"/>
      <c r="AQ44" s="100"/>
      <c r="AR44" s="100"/>
      <c r="AS44" s="100"/>
      <c r="AT44" s="100"/>
      <c r="AU44" s="100"/>
      <c r="AV44" s="100"/>
      <c r="AW44" s="100"/>
      <c r="AX44" s="100"/>
      <c r="AY44" s="100"/>
      <c r="AZ44" s="100"/>
      <c r="BA44" s="100"/>
      <c r="BB44" s="100"/>
      <c r="BC44" s="100"/>
      <c r="BD44" s="96"/>
      <c r="BE44" s="96"/>
    </row>
    <row r="45" spans="1:114" ht="13.5" thickBot="1">
      <c r="A45" s="100"/>
      <c r="B45" s="100"/>
      <c r="C45" s="100"/>
      <c r="D45" s="102"/>
      <c r="E45" s="100"/>
      <c r="F45" s="100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101"/>
      <c r="AE45" s="101"/>
      <c r="AF45" s="101"/>
      <c r="AG45" s="100"/>
      <c r="AH45" s="100"/>
      <c r="AI45" s="100"/>
      <c r="AJ45" s="100"/>
      <c r="AK45" s="100"/>
      <c r="AL45" s="100"/>
      <c r="AM45" s="106" t="s">
        <v>63</v>
      </c>
      <c r="AN45" s="106"/>
      <c r="AO45" s="106"/>
      <c r="AP45" s="106"/>
      <c r="AQ45" s="106"/>
      <c r="AR45" s="106"/>
      <c r="AS45" s="107" t="s">
        <v>64</v>
      </c>
      <c r="AT45" s="108">
        <v>30</v>
      </c>
      <c r="AU45" s="108"/>
      <c r="AV45" s="100"/>
      <c r="AW45" s="100"/>
      <c r="AX45" s="100"/>
      <c r="AY45" s="100"/>
      <c r="AZ45" s="100"/>
      <c r="BA45" s="100"/>
      <c r="BB45" s="100"/>
      <c r="BC45" s="100"/>
      <c r="BD45" s="96"/>
      <c r="BE45" s="96"/>
      <c r="BM45" s="1"/>
      <c r="BS45" s="1"/>
    </row>
    <row r="46" spans="1:114" ht="12.75" customHeight="1" thickBot="1">
      <c r="A46" s="100"/>
      <c r="B46" s="100"/>
      <c r="C46" s="109" t="s">
        <v>65</v>
      </c>
      <c r="D46" s="102"/>
      <c r="E46" s="100"/>
      <c r="F46" s="100"/>
      <c r="G46" s="100"/>
      <c r="H46" s="100"/>
      <c r="I46" s="100"/>
      <c r="J46" s="100"/>
      <c r="K46" s="100"/>
      <c r="L46" s="110">
        <f>AT38/AD38</f>
        <v>31.634583333333335</v>
      </c>
      <c r="M46" s="109" t="s">
        <v>88</v>
      </c>
      <c r="N46" s="606"/>
      <c r="O46" s="606"/>
      <c r="P46" s="111"/>
      <c r="Q46" s="100"/>
      <c r="R46" s="100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101"/>
      <c r="AE46" s="101"/>
      <c r="AF46" s="101"/>
      <c r="AG46" s="100"/>
      <c r="AH46" s="100"/>
      <c r="AI46" s="100"/>
      <c r="AJ46" s="100"/>
      <c r="AK46" s="100"/>
      <c r="AL46" s="100"/>
      <c r="AM46" s="100"/>
      <c r="AN46" s="100"/>
      <c r="AO46" s="106"/>
      <c r="AP46" s="106"/>
      <c r="AQ46" s="106"/>
      <c r="AR46" s="106"/>
      <c r="AS46" s="107" t="s">
        <v>66</v>
      </c>
      <c r="AT46" s="112">
        <f>AT40/AT45</f>
        <v>111.33333333333333</v>
      </c>
      <c r="AU46" s="112"/>
      <c r="AV46" s="100"/>
      <c r="AW46" s="100"/>
      <c r="AX46" s="100">
        <v>0</v>
      </c>
      <c r="AY46" s="100"/>
      <c r="AZ46" s="607" t="s">
        <v>67</v>
      </c>
      <c r="BA46" s="607"/>
      <c r="BB46" s="607"/>
      <c r="BC46" s="607"/>
      <c r="BD46" s="607"/>
      <c r="BE46" s="607"/>
    </row>
    <row r="47" spans="1:114">
      <c r="A47" s="100"/>
      <c r="B47" s="100"/>
      <c r="C47" s="100"/>
      <c r="D47" s="102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100"/>
      <c r="AI47" s="100"/>
      <c r="AJ47" s="100"/>
      <c r="AK47" s="100"/>
      <c r="AL47" s="100"/>
      <c r="AM47" s="100"/>
      <c r="AN47" s="100"/>
      <c r="AO47" s="100"/>
      <c r="AP47" s="100"/>
      <c r="AQ47" s="100"/>
      <c r="AR47" s="100"/>
      <c r="AS47" s="100"/>
      <c r="AT47" s="100"/>
      <c r="AU47" s="100"/>
      <c r="AV47" s="100"/>
      <c r="AW47" s="100"/>
      <c r="AX47" s="100"/>
      <c r="AY47" s="100"/>
      <c r="AZ47" s="607"/>
      <c r="BA47" s="607"/>
      <c r="BB47" s="607"/>
      <c r="BC47" s="607"/>
      <c r="BD47" s="607"/>
      <c r="BE47" s="607"/>
    </row>
    <row r="48" spans="1:114">
      <c r="A48" s="100"/>
      <c r="B48" s="100"/>
      <c r="C48" s="100"/>
      <c r="D48" s="102"/>
      <c r="E48" s="100"/>
      <c r="F48" s="100"/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13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  <c r="AE48" s="100"/>
      <c r="AF48" s="100"/>
      <c r="AG48" s="100"/>
      <c r="AH48" s="100"/>
      <c r="AI48" s="100"/>
      <c r="AJ48" s="100"/>
      <c r="AK48" s="100"/>
      <c r="AL48" s="100"/>
      <c r="AM48" s="100"/>
      <c r="AN48" s="100"/>
      <c r="AO48" s="100"/>
      <c r="AP48" s="100"/>
      <c r="AQ48" s="100"/>
      <c r="AR48" s="100"/>
      <c r="AS48" s="100"/>
      <c r="AT48" s="100"/>
      <c r="AU48" s="100"/>
      <c r="AV48" s="100"/>
      <c r="AW48" s="100"/>
      <c r="AX48" s="100"/>
      <c r="AY48" s="100"/>
      <c r="AZ48" s="608">
        <f>BF37-BJ37</f>
        <v>-467.35999999999785</v>
      </c>
      <c r="BA48" s="608"/>
      <c r="BB48" s="608"/>
      <c r="BC48" s="608"/>
      <c r="BD48" s="609" t="s">
        <v>68</v>
      </c>
      <c r="BE48" s="114"/>
    </row>
    <row r="49" spans="1:57" ht="12" customHeight="1">
      <c r="A49" s="100"/>
      <c r="B49" s="100"/>
      <c r="C49" s="100"/>
      <c r="D49" s="102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15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100"/>
      <c r="AI49" s="100"/>
      <c r="AJ49" s="100"/>
      <c r="AK49" s="100"/>
      <c r="AL49" s="100"/>
      <c r="AM49" s="100"/>
      <c r="AN49" s="100"/>
      <c r="AO49" s="100"/>
      <c r="AP49" s="100"/>
      <c r="AQ49" s="100"/>
      <c r="AR49" s="100"/>
      <c r="AS49" s="100"/>
      <c r="AT49" s="100"/>
      <c r="AU49" s="100"/>
      <c r="AV49" s="100"/>
      <c r="AW49" s="100"/>
      <c r="AX49" s="100"/>
      <c r="AY49" s="100"/>
      <c r="AZ49" s="608"/>
      <c r="BA49" s="608"/>
      <c r="BB49" s="608"/>
      <c r="BC49" s="608"/>
      <c r="BD49" s="609"/>
      <c r="BE49" s="114"/>
    </row>
    <row r="50" spans="1:57" ht="13.5" customHeight="1">
      <c r="A50" s="100"/>
      <c r="B50" s="100"/>
      <c r="C50" s="100"/>
      <c r="D50" s="102"/>
      <c r="E50" s="100"/>
      <c r="F50" s="100"/>
      <c r="G50" s="100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100"/>
      <c r="AC50" s="100"/>
      <c r="AD50" s="100"/>
      <c r="AE50" s="100"/>
      <c r="AF50" s="100"/>
      <c r="AG50" s="100"/>
      <c r="AH50" s="100"/>
      <c r="AI50" s="100"/>
      <c r="AJ50" s="100"/>
      <c r="AK50" s="100"/>
      <c r="AL50" s="100"/>
      <c r="AM50" s="100"/>
      <c r="AN50" s="100"/>
      <c r="AO50" s="100"/>
      <c r="AP50" s="100"/>
      <c r="AQ50" s="100"/>
      <c r="AR50" s="100"/>
      <c r="AS50" s="100"/>
      <c r="AT50" s="100"/>
      <c r="AU50" s="100"/>
      <c r="AV50" s="100"/>
      <c r="AW50" s="100"/>
      <c r="AX50" s="100"/>
      <c r="AY50" s="100"/>
      <c r="AZ50" s="116"/>
      <c r="BA50" s="96"/>
      <c r="BB50" s="96"/>
      <c r="BC50" s="96"/>
      <c r="BD50" s="96"/>
      <c r="BE50" s="114"/>
    </row>
    <row r="51" spans="1:57" ht="13.5" customHeight="1" thickBot="1">
      <c r="A51" s="100"/>
      <c r="B51" s="100"/>
      <c r="C51" s="100"/>
      <c r="D51" s="102"/>
      <c r="E51" s="100"/>
      <c r="F51" s="100"/>
      <c r="G51" s="100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0"/>
      <c r="AC51" s="100"/>
      <c r="AD51" s="100"/>
      <c r="AE51" s="100"/>
      <c r="AF51" s="100"/>
      <c r="AG51" s="100"/>
      <c r="AH51" s="100"/>
      <c r="AI51" s="100"/>
      <c r="AJ51" s="100"/>
      <c r="AK51" s="100"/>
      <c r="AL51" s="100"/>
      <c r="AM51" s="100"/>
      <c r="AN51" s="100"/>
      <c r="AO51" s="100"/>
      <c r="AP51" s="100"/>
      <c r="AQ51" s="100"/>
      <c r="AR51" s="100"/>
      <c r="AS51" s="100"/>
      <c r="AT51" s="100"/>
      <c r="AU51" s="100"/>
      <c r="AV51" s="100"/>
      <c r="AW51" s="100"/>
      <c r="AX51" s="100"/>
      <c r="AY51" s="100"/>
      <c r="AZ51" s="610">
        <f>AZ48/AT40*100</f>
        <v>-13.99281437125742</v>
      </c>
      <c r="BA51" s="610"/>
      <c r="BB51" s="610"/>
      <c r="BC51" s="610"/>
      <c r="BD51" s="611" t="s">
        <v>69</v>
      </c>
      <c r="BE51" s="114"/>
    </row>
    <row r="52" spans="1:57" ht="13.5" thickBot="1">
      <c r="A52" s="100"/>
      <c r="B52" s="100"/>
      <c r="C52" s="100"/>
      <c r="D52" s="102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  <c r="AF52" s="100"/>
      <c r="AG52" s="100"/>
      <c r="AH52" s="100"/>
      <c r="AI52" s="100"/>
      <c r="AJ52" s="100"/>
      <c r="AK52" s="100"/>
      <c r="AL52" s="100"/>
      <c r="AM52" s="100"/>
      <c r="AN52" s="100"/>
      <c r="AO52" s="100"/>
      <c r="AP52" s="100"/>
      <c r="AQ52" s="100"/>
      <c r="AR52" s="100"/>
      <c r="AS52" s="100"/>
      <c r="AT52" s="100"/>
      <c r="AU52" s="100"/>
      <c r="AV52" s="100"/>
      <c r="AW52" s="100"/>
      <c r="AX52" s="100"/>
      <c r="AY52" s="100"/>
      <c r="AZ52" s="610"/>
      <c r="BA52" s="610"/>
      <c r="BB52" s="610"/>
      <c r="BC52" s="610"/>
      <c r="BD52" s="611"/>
      <c r="BE52" s="117"/>
    </row>
    <row r="53" spans="1:57">
      <c r="A53" s="100"/>
      <c r="B53" s="100"/>
      <c r="C53" s="100"/>
      <c r="D53" s="102"/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100"/>
      <c r="AI53" s="100"/>
      <c r="AJ53" s="100"/>
      <c r="AK53" s="100"/>
      <c r="AL53" s="100"/>
      <c r="AM53" s="100"/>
      <c r="AN53" s="100"/>
      <c r="AO53" s="100"/>
      <c r="AP53" s="100"/>
      <c r="AQ53" s="100"/>
      <c r="AR53" s="100"/>
      <c r="AS53" s="100"/>
      <c r="AT53" s="100"/>
      <c r="AU53" s="100"/>
      <c r="AV53" s="100"/>
      <c r="AW53" s="100"/>
      <c r="AX53" s="100"/>
      <c r="AY53" s="100"/>
      <c r="AZ53" s="100"/>
      <c r="BA53" s="100"/>
      <c r="BB53" s="100"/>
      <c r="BC53" s="100"/>
      <c r="BD53" s="100"/>
      <c r="BE53" s="100"/>
    </row>
    <row r="54" spans="1:57">
      <c r="A54" s="100"/>
      <c r="B54" s="100"/>
      <c r="C54" s="100"/>
      <c r="D54" s="102"/>
      <c r="E54" s="100"/>
      <c r="F54" s="100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100"/>
      <c r="AI54" s="100"/>
      <c r="AJ54" s="100"/>
      <c r="AK54" s="100"/>
      <c r="AL54" s="100"/>
      <c r="AM54" s="100"/>
      <c r="AN54" s="100"/>
      <c r="AO54" s="100"/>
      <c r="AP54" s="100"/>
      <c r="AQ54" s="100"/>
      <c r="AR54" s="100"/>
      <c r="AS54" s="100"/>
      <c r="AT54" s="100"/>
      <c r="AU54" s="100"/>
      <c r="AV54" s="100"/>
      <c r="AW54" s="100"/>
      <c r="AX54" s="100"/>
      <c r="AY54" s="100"/>
      <c r="AZ54" s="100"/>
      <c r="BA54" s="100"/>
      <c r="BB54" s="100"/>
      <c r="BC54" s="100"/>
      <c r="BD54" s="100"/>
      <c r="BE54" s="100"/>
    </row>
    <row r="55" spans="1:57">
      <c r="A55" s="100"/>
      <c r="B55" s="100"/>
      <c r="C55" s="100"/>
      <c r="D55" s="102"/>
      <c r="E55" s="100"/>
      <c r="F55" s="100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  <c r="AH55" s="100"/>
      <c r="AI55" s="100"/>
      <c r="AJ55" s="100"/>
      <c r="AK55" s="100"/>
      <c r="AL55" s="100"/>
      <c r="AM55" s="100"/>
      <c r="AN55" s="100"/>
      <c r="AO55" s="100"/>
      <c r="AP55" s="100"/>
      <c r="AQ55" s="100"/>
      <c r="AR55" s="100"/>
      <c r="AS55" s="100"/>
      <c r="AT55" s="100"/>
      <c r="AU55" s="100"/>
      <c r="AV55" s="100"/>
      <c r="AW55" s="100"/>
      <c r="AX55" s="100"/>
      <c r="AY55" s="100"/>
      <c r="AZ55" s="100"/>
      <c r="BA55" s="100"/>
      <c r="BB55" s="100"/>
      <c r="BC55" s="100"/>
      <c r="BD55" s="100"/>
      <c r="BE55" s="100"/>
    </row>
    <row r="56" spans="1:57" ht="13.5" thickBot="1">
      <c r="A56" s="100"/>
      <c r="B56" s="100"/>
      <c r="C56" s="100"/>
      <c r="D56" s="102"/>
      <c r="E56" s="100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/>
      <c r="AE56" s="100"/>
      <c r="AF56" s="100"/>
      <c r="AG56" s="100"/>
      <c r="AH56" s="100"/>
      <c r="AI56" s="100"/>
      <c r="AJ56" s="100"/>
      <c r="AK56" s="100"/>
      <c r="AL56" s="100"/>
      <c r="AM56" s="100"/>
      <c r="AN56" s="100"/>
      <c r="AO56" s="100"/>
      <c r="AP56" s="100"/>
      <c r="AQ56" s="100"/>
      <c r="AR56" s="100"/>
      <c r="AS56" s="100"/>
      <c r="AT56" s="100"/>
      <c r="AU56" s="100"/>
      <c r="AV56" s="100"/>
      <c r="AW56" s="100"/>
      <c r="AX56" s="100"/>
      <c r="AY56" s="100"/>
      <c r="AZ56" s="100"/>
      <c r="BA56" s="100"/>
      <c r="BB56" s="100"/>
      <c r="BC56" s="100"/>
      <c r="BD56" s="100"/>
      <c r="BE56" s="100"/>
    </row>
    <row r="57" spans="1:57" ht="15.75">
      <c r="A57" s="100"/>
      <c r="B57" s="100"/>
      <c r="C57" s="100"/>
      <c r="D57" s="102"/>
      <c r="E57" s="100"/>
      <c r="F57" s="100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100"/>
      <c r="AI57" s="100"/>
      <c r="AJ57" s="100"/>
      <c r="AK57" s="100"/>
      <c r="AL57" s="100"/>
      <c r="AM57" s="100"/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X57" s="100"/>
      <c r="AY57" s="100"/>
      <c r="AZ57" s="481" t="s">
        <v>344</v>
      </c>
      <c r="BA57" s="482"/>
      <c r="BB57" s="482"/>
      <c r="BC57" s="482"/>
      <c r="BD57" s="482"/>
      <c r="BE57" s="483"/>
    </row>
    <row r="58" spans="1:57" ht="15.75">
      <c r="A58" s="100"/>
      <c r="B58" s="100"/>
      <c r="C58" s="100"/>
      <c r="D58" s="102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  <c r="AA58" s="100"/>
      <c r="AB58" s="100"/>
      <c r="AC58" s="100"/>
      <c r="AD58" s="100"/>
      <c r="AE58" s="100"/>
      <c r="AF58" s="100"/>
      <c r="AG58" s="100"/>
      <c r="AH58" s="100"/>
      <c r="AI58" s="100"/>
      <c r="AJ58" s="100"/>
      <c r="AK58" s="100"/>
      <c r="AL58" s="100"/>
      <c r="AM58" s="100"/>
      <c r="AN58" s="100"/>
      <c r="AO58" s="100"/>
      <c r="AP58" s="100"/>
      <c r="AQ58" s="100"/>
      <c r="AR58" s="100"/>
      <c r="AS58" s="100"/>
      <c r="AT58" s="100"/>
      <c r="AU58" s="100"/>
      <c r="AV58" s="100"/>
      <c r="AW58" s="100"/>
      <c r="AX58" s="100"/>
      <c r="AY58" s="100"/>
      <c r="AZ58" s="484" t="s">
        <v>340</v>
      </c>
      <c r="BA58" s="485"/>
      <c r="BB58" s="485"/>
      <c r="BC58" s="485"/>
      <c r="BD58" s="617">
        <f>'[5]август 20'!$F$38</f>
        <v>788.86</v>
      </c>
      <c r="BE58" s="618"/>
    </row>
    <row r="59" spans="1:57" ht="16.5" thickBot="1">
      <c r="A59" s="100"/>
      <c r="B59" s="100"/>
      <c r="C59" s="100"/>
      <c r="D59" s="102"/>
      <c r="E59" s="100"/>
      <c r="F59" s="100"/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  <c r="AE59" s="100"/>
      <c r="AF59" s="100"/>
      <c r="AG59" s="100"/>
      <c r="AH59" s="100"/>
      <c r="AI59" s="100"/>
      <c r="AJ59" s="100"/>
      <c r="AK59" s="100"/>
      <c r="AL59" s="100"/>
      <c r="AM59" s="100"/>
      <c r="AN59" s="100"/>
      <c r="AO59" s="100"/>
      <c r="AP59" s="100"/>
      <c r="AQ59" s="100"/>
      <c r="AR59" s="100"/>
      <c r="AS59" s="100"/>
      <c r="AT59" s="100"/>
      <c r="AU59" s="100"/>
      <c r="AV59" s="100"/>
      <c r="AW59" s="100"/>
      <c r="AX59" s="100"/>
      <c r="AY59" s="100"/>
      <c r="AZ59" s="484" t="s">
        <v>341</v>
      </c>
      <c r="BA59" s="485"/>
      <c r="BB59" s="485"/>
      <c r="BC59" s="485"/>
      <c r="BD59" s="619">
        <f>'[5]август 20'!$B$38</f>
        <v>788.86</v>
      </c>
      <c r="BE59" s="620"/>
    </row>
    <row r="60" spans="1:57" ht="16.5" thickBot="1">
      <c r="A60" s="100"/>
      <c r="B60" s="100"/>
      <c r="C60" s="100"/>
      <c r="D60" s="102"/>
      <c r="E60" s="100"/>
      <c r="F60" s="100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  <c r="AE60" s="100"/>
      <c r="AF60" s="100"/>
      <c r="AG60" s="100"/>
      <c r="AH60" s="100"/>
      <c r="AI60" s="100"/>
      <c r="AJ60" s="100"/>
      <c r="AK60" s="100"/>
      <c r="AL60" s="100"/>
      <c r="AM60" s="100"/>
      <c r="AN60" s="100"/>
      <c r="AO60" s="100"/>
      <c r="AP60" s="100"/>
      <c r="AQ60" s="100"/>
      <c r="AR60" s="100"/>
      <c r="AS60" s="100"/>
      <c r="AT60" s="100"/>
      <c r="AU60" s="100"/>
      <c r="AV60" s="100"/>
      <c r="AW60" s="100"/>
      <c r="AX60" s="100"/>
      <c r="AY60" s="100"/>
      <c r="AZ60" s="486" t="s">
        <v>342</v>
      </c>
      <c r="BA60" s="487"/>
      <c r="BB60" s="487"/>
      <c r="BC60" s="487"/>
      <c r="BD60" s="621">
        <f>BD59-BD58</f>
        <v>0</v>
      </c>
      <c r="BE60" s="622"/>
    </row>
    <row r="61" spans="1:57">
      <c r="A61" s="100"/>
      <c r="B61" s="100"/>
      <c r="C61" s="100"/>
      <c r="D61" s="102"/>
      <c r="E61" s="100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/>
      <c r="AE61" s="100"/>
      <c r="AF61" s="100"/>
      <c r="AG61" s="100"/>
      <c r="AH61" s="100"/>
      <c r="AI61" s="100"/>
      <c r="AJ61" s="100"/>
      <c r="AK61" s="100"/>
      <c r="AL61" s="100"/>
      <c r="AM61" s="100"/>
      <c r="AN61" s="100"/>
      <c r="AO61" s="100"/>
      <c r="AP61" s="100"/>
      <c r="AQ61" s="100"/>
      <c r="AR61" s="100"/>
      <c r="AS61" s="100"/>
      <c r="AT61" s="100"/>
      <c r="AU61" s="100"/>
      <c r="AV61" s="100"/>
      <c r="AW61" s="100"/>
      <c r="AX61" s="100"/>
      <c r="AY61" s="100"/>
      <c r="AZ61" s="100"/>
      <c r="BA61" s="100"/>
      <c r="BB61" s="100"/>
      <c r="BC61" s="100"/>
      <c r="BD61" s="100"/>
      <c r="BE61" s="100"/>
    </row>
    <row r="62" spans="1:57">
      <c r="A62" s="100"/>
      <c r="B62" s="100"/>
      <c r="C62" s="100"/>
      <c r="D62" s="102"/>
      <c r="E62" s="100"/>
      <c r="F62" s="100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100"/>
      <c r="AC62" s="100"/>
      <c r="AD62" s="100"/>
      <c r="AE62" s="100"/>
      <c r="AF62" s="100"/>
      <c r="AG62" s="100"/>
      <c r="AH62" s="100"/>
      <c r="AI62" s="100"/>
      <c r="AJ62" s="100"/>
      <c r="AK62" s="100"/>
      <c r="AL62" s="100"/>
      <c r="AM62" s="100"/>
      <c r="AN62" s="100"/>
      <c r="AO62" s="100"/>
      <c r="AP62" s="100"/>
      <c r="AQ62" s="100"/>
      <c r="AR62" s="100"/>
      <c r="AS62" s="100"/>
      <c r="AT62" s="100"/>
      <c r="AU62" s="100"/>
      <c r="AV62" s="100"/>
      <c r="AW62" s="100"/>
      <c r="AX62" s="100"/>
      <c r="AY62" s="100"/>
      <c r="AZ62" s="100"/>
      <c r="BA62" s="100"/>
      <c r="BB62" s="100"/>
      <c r="BC62" s="100"/>
      <c r="BD62" s="100"/>
      <c r="BE62" s="100"/>
    </row>
    <row r="63" spans="1:57">
      <c r="A63" s="100"/>
      <c r="B63" s="100"/>
      <c r="C63" s="100"/>
      <c r="D63" s="102"/>
      <c r="E63" s="100"/>
      <c r="F63" s="100"/>
      <c r="G63" s="100"/>
      <c r="H63" s="100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  <c r="AA63" s="100"/>
      <c r="AB63" s="100"/>
      <c r="AC63" s="100"/>
      <c r="AD63" s="100"/>
      <c r="AE63" s="100"/>
      <c r="AF63" s="100"/>
      <c r="AG63" s="100"/>
      <c r="AH63" s="100"/>
      <c r="AI63" s="100"/>
      <c r="AJ63" s="100"/>
      <c r="AK63" s="100"/>
      <c r="AL63" s="100"/>
      <c r="AM63" s="100"/>
      <c r="AN63" s="100"/>
      <c r="AO63" s="100"/>
      <c r="AP63" s="100"/>
      <c r="AQ63" s="100"/>
      <c r="AR63" s="100"/>
      <c r="AS63" s="100"/>
      <c r="AT63" s="100"/>
      <c r="AU63" s="100"/>
      <c r="AV63" s="100"/>
      <c r="AW63" s="100"/>
      <c r="AX63" s="100"/>
      <c r="AY63" s="100"/>
      <c r="AZ63" s="100"/>
      <c r="BA63" s="100"/>
      <c r="BB63" s="100"/>
      <c r="BC63" s="100"/>
      <c r="BD63" s="100"/>
      <c r="BE63" s="100"/>
    </row>
    <row r="64" spans="1:57">
      <c r="A64" s="100"/>
      <c r="B64" s="100"/>
      <c r="C64" s="100"/>
      <c r="D64" s="102"/>
      <c r="E64" s="100"/>
      <c r="F64" s="100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  <c r="AE64" s="100"/>
      <c r="AF64" s="100"/>
      <c r="AG64" s="100"/>
      <c r="AH64" s="100"/>
      <c r="AI64" s="100"/>
      <c r="AJ64" s="100"/>
      <c r="AK64" s="100"/>
      <c r="AL64" s="100"/>
      <c r="AM64" s="100"/>
      <c r="AN64" s="100"/>
      <c r="AO64" s="100"/>
      <c r="AP64" s="100"/>
      <c r="AQ64" s="100"/>
      <c r="AR64" s="100"/>
      <c r="AS64" s="100"/>
      <c r="AT64" s="100"/>
      <c r="AU64" s="100"/>
      <c r="AV64" s="100"/>
      <c r="AW64" s="100"/>
      <c r="AX64" s="100"/>
      <c r="AY64" s="100"/>
      <c r="AZ64" s="100"/>
      <c r="BA64" s="100"/>
      <c r="BB64" s="100"/>
      <c r="BC64" s="100"/>
      <c r="BD64" s="100"/>
      <c r="BE64" s="100"/>
    </row>
    <row r="65" spans="1:57">
      <c r="A65" s="100"/>
      <c r="B65" s="100"/>
      <c r="C65" s="100"/>
      <c r="D65" s="102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/>
      <c r="AE65" s="100"/>
      <c r="AF65" s="100"/>
      <c r="AG65" s="100"/>
      <c r="AH65" s="100"/>
      <c r="AI65" s="100"/>
      <c r="AJ65" s="100"/>
      <c r="AK65" s="100"/>
      <c r="AL65" s="100"/>
      <c r="AM65" s="100"/>
      <c r="AN65" s="100"/>
      <c r="AO65" s="100"/>
      <c r="AP65" s="100"/>
      <c r="AQ65" s="100"/>
      <c r="AR65" s="100"/>
      <c r="AS65" s="100"/>
      <c r="AT65" s="100"/>
      <c r="AU65" s="100"/>
      <c r="AV65" s="100"/>
      <c r="AW65" s="100"/>
      <c r="AX65" s="100"/>
      <c r="AY65" s="100"/>
      <c r="AZ65" s="100"/>
      <c r="BA65" s="100"/>
      <c r="BB65" s="100"/>
      <c r="BC65" s="100"/>
      <c r="BD65" s="100"/>
      <c r="BE65" s="100"/>
    </row>
    <row r="66" spans="1:57">
      <c r="A66" s="100"/>
      <c r="B66" s="100"/>
      <c r="C66" s="100"/>
      <c r="D66" s="102"/>
      <c r="E66" s="100"/>
      <c r="F66" s="100"/>
      <c r="G66" s="100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/>
      <c r="AE66" s="100"/>
      <c r="AF66" s="100"/>
      <c r="AG66" s="100"/>
      <c r="AH66" s="100"/>
      <c r="AI66" s="100"/>
      <c r="AJ66" s="100"/>
      <c r="AK66" s="100"/>
      <c r="AL66" s="100"/>
      <c r="AM66" s="100"/>
      <c r="AN66" s="100"/>
      <c r="AO66" s="100"/>
      <c r="AP66" s="100"/>
      <c r="AQ66" s="100"/>
      <c r="AR66" s="100"/>
      <c r="AS66" s="100"/>
      <c r="AT66" s="100"/>
      <c r="AU66" s="100"/>
      <c r="AV66" s="100"/>
      <c r="AW66" s="100"/>
      <c r="AX66" s="100"/>
      <c r="AY66" s="100"/>
      <c r="AZ66" s="100"/>
      <c r="BA66" s="100"/>
      <c r="BB66" s="100"/>
      <c r="BC66" s="100"/>
      <c r="BD66" s="100"/>
      <c r="BE66" s="100"/>
    </row>
    <row r="67" spans="1:57">
      <c r="A67" s="100"/>
      <c r="B67" s="100"/>
      <c r="C67" s="100"/>
      <c r="D67" s="102"/>
      <c r="E67" s="100"/>
      <c r="F67" s="100"/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  <c r="AD67" s="100"/>
      <c r="AE67" s="100"/>
      <c r="AF67" s="100"/>
      <c r="AG67" s="100"/>
      <c r="AH67" s="100"/>
      <c r="AI67" s="100"/>
      <c r="AJ67" s="100"/>
      <c r="AK67" s="100"/>
      <c r="AL67" s="100"/>
      <c r="AM67" s="100"/>
      <c r="AN67" s="100"/>
      <c r="AO67" s="100"/>
      <c r="AP67" s="100"/>
      <c r="AQ67" s="100"/>
      <c r="AR67" s="100"/>
      <c r="AS67" s="100"/>
      <c r="AT67" s="100"/>
      <c r="AU67" s="100"/>
      <c r="AV67" s="100"/>
      <c r="AW67" s="100"/>
      <c r="AX67" s="100"/>
      <c r="AY67" s="100"/>
      <c r="AZ67" s="100"/>
      <c r="BA67" s="100"/>
      <c r="BB67" s="100"/>
      <c r="BC67" s="100"/>
      <c r="BD67" s="100"/>
      <c r="BE67" s="100"/>
    </row>
    <row r="68" spans="1:57">
      <c r="A68" s="100"/>
      <c r="B68" s="100"/>
      <c r="C68" s="100"/>
      <c r="D68" s="102"/>
      <c r="E68" s="100"/>
      <c r="F68" s="100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  <c r="AI68" s="100"/>
      <c r="AJ68" s="100"/>
      <c r="AK68" s="100"/>
      <c r="AL68" s="100"/>
      <c r="AM68" s="100"/>
      <c r="AN68" s="100"/>
      <c r="AO68" s="100"/>
      <c r="AP68" s="100"/>
      <c r="AQ68" s="100"/>
      <c r="AR68" s="100"/>
      <c r="AS68" s="100"/>
      <c r="AT68" s="100"/>
      <c r="AU68" s="100"/>
      <c r="AV68" s="100"/>
      <c r="AW68" s="100"/>
      <c r="AX68" s="100"/>
      <c r="AY68" s="100"/>
      <c r="AZ68" s="100"/>
      <c r="BA68" s="100"/>
      <c r="BB68" s="100"/>
      <c r="BC68" s="100"/>
      <c r="BD68" s="100"/>
      <c r="BE68" s="100"/>
    </row>
    <row r="69" spans="1:57">
      <c r="A69" s="100"/>
      <c r="B69" s="100"/>
      <c r="C69" s="100"/>
      <c r="D69" s="102"/>
      <c r="E69" s="100"/>
      <c r="F69" s="100"/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100"/>
      <c r="AC69" s="100"/>
      <c r="AD69" s="100"/>
      <c r="AE69" s="100"/>
      <c r="AF69" s="100"/>
      <c r="AG69" s="100"/>
      <c r="AH69" s="100"/>
      <c r="AI69" s="100"/>
      <c r="AJ69" s="100"/>
      <c r="AK69" s="100"/>
      <c r="AL69" s="100"/>
      <c r="AM69" s="100"/>
      <c r="AN69" s="100"/>
      <c r="AO69" s="100"/>
      <c r="AP69" s="100"/>
      <c r="AQ69" s="100"/>
      <c r="AR69" s="100"/>
      <c r="AS69" s="100"/>
      <c r="AT69" s="100"/>
      <c r="AU69" s="100"/>
      <c r="AV69" s="100"/>
      <c r="AW69" s="100"/>
      <c r="AX69" s="100"/>
      <c r="AY69" s="100"/>
      <c r="AZ69" s="100"/>
      <c r="BA69" s="100"/>
      <c r="BB69" s="100"/>
      <c r="BC69" s="100"/>
      <c r="BD69" s="100"/>
      <c r="BE69" s="100"/>
    </row>
    <row r="70" spans="1:57">
      <c r="A70" s="100"/>
      <c r="B70" s="100"/>
      <c r="C70" s="100"/>
      <c r="D70" s="102"/>
      <c r="E70" s="100"/>
      <c r="F70" s="100"/>
      <c r="G70" s="100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  <c r="AE70" s="100"/>
      <c r="AF70" s="100"/>
      <c r="AG70" s="100"/>
      <c r="AH70" s="100"/>
      <c r="AI70" s="100"/>
      <c r="AJ70" s="100"/>
      <c r="AK70" s="100"/>
      <c r="AL70" s="100"/>
      <c r="AM70" s="100"/>
      <c r="AN70" s="100"/>
      <c r="AO70" s="100"/>
      <c r="AP70" s="100"/>
      <c r="AQ70" s="100"/>
      <c r="AR70" s="100"/>
      <c r="AS70" s="100"/>
      <c r="AT70" s="100"/>
      <c r="AU70" s="100"/>
      <c r="AV70" s="100"/>
      <c r="AW70" s="100"/>
      <c r="AX70" s="100"/>
      <c r="AY70" s="100"/>
      <c r="AZ70" s="100"/>
      <c r="BA70" s="100"/>
      <c r="BB70" s="100"/>
      <c r="BC70" s="100"/>
      <c r="BD70" s="100"/>
      <c r="BE70" s="100"/>
    </row>
    <row r="71" spans="1:57" ht="18" customHeight="1">
      <c r="A71" s="318" t="s">
        <v>70</v>
      </c>
      <c r="B71" s="319"/>
      <c r="C71" s="318"/>
      <c r="D71" s="318"/>
      <c r="E71" s="318"/>
      <c r="F71" s="318"/>
      <c r="G71" s="318"/>
      <c r="H71" s="318"/>
      <c r="I71" s="318"/>
      <c r="J71" s="320"/>
      <c r="K71" s="320"/>
      <c r="L71" s="605" t="s">
        <v>158</v>
      </c>
      <c r="M71" s="605"/>
      <c r="N71" s="605"/>
      <c r="O71" s="605"/>
      <c r="P71" s="605"/>
      <c r="Q71" s="605"/>
      <c r="R71" s="109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/>
      <c r="AE71" s="100"/>
      <c r="AF71" s="100"/>
      <c r="AG71" s="100"/>
      <c r="AH71" s="100"/>
      <c r="AI71" s="100"/>
      <c r="AJ71" s="100"/>
      <c r="AK71" s="100"/>
      <c r="AL71" s="100"/>
      <c r="AM71" s="100"/>
      <c r="AN71" s="100"/>
      <c r="AO71" s="100"/>
      <c r="AP71" s="100"/>
      <c r="AQ71" s="100"/>
      <c r="AR71" s="100"/>
      <c r="AS71" s="100"/>
      <c r="AT71" s="100"/>
      <c r="AU71" s="100"/>
      <c r="AV71" s="100"/>
      <c r="AW71" s="100"/>
      <c r="AX71" s="100"/>
      <c r="AY71" s="100"/>
      <c r="AZ71" s="100"/>
      <c r="BA71" s="100"/>
      <c r="BB71" s="100"/>
      <c r="BC71" s="100"/>
      <c r="BD71" s="100"/>
      <c r="BE71" s="100"/>
    </row>
    <row r="72" spans="1:57" ht="15">
      <c r="A72" s="118"/>
      <c r="B72" s="118"/>
      <c r="C72" s="119"/>
      <c r="D72" s="120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  <c r="AE72" s="100"/>
      <c r="AF72" s="100"/>
      <c r="AG72" s="100"/>
      <c r="AH72" s="100"/>
      <c r="AI72" s="100"/>
      <c r="AJ72" s="100"/>
      <c r="AK72" s="100"/>
      <c r="AL72" s="100"/>
      <c r="AM72" s="100"/>
      <c r="AN72" s="100"/>
      <c r="AO72" s="100"/>
      <c r="AP72" s="100"/>
      <c r="AQ72" s="100"/>
      <c r="AR72" s="100"/>
      <c r="AS72" s="100"/>
      <c r="AT72" s="100"/>
      <c r="AU72" s="100"/>
      <c r="AV72" s="100"/>
      <c r="AW72" s="100"/>
      <c r="AX72" s="100"/>
      <c r="AY72" s="100"/>
      <c r="AZ72" s="100"/>
      <c r="BA72" s="100"/>
      <c r="BB72" s="100"/>
      <c r="BC72" s="100"/>
      <c r="BD72" s="100"/>
      <c r="BE72" s="100"/>
    </row>
    <row r="73" spans="1:57" ht="15.75">
      <c r="A73" s="100"/>
      <c r="B73" s="100"/>
      <c r="C73" s="100"/>
      <c r="D73" s="102"/>
      <c r="E73" s="100"/>
      <c r="F73" s="100"/>
      <c r="G73" s="100"/>
      <c r="H73" s="100"/>
      <c r="I73" s="100"/>
      <c r="J73" s="100"/>
      <c r="K73" s="100"/>
      <c r="L73" s="111"/>
      <c r="M73" s="111"/>
      <c r="N73" s="111"/>
      <c r="O73" s="111"/>
      <c r="P73" s="111"/>
      <c r="Q73" s="111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00"/>
      <c r="AK73" s="100"/>
      <c r="AL73" s="100"/>
      <c r="AM73" s="100"/>
      <c r="AN73" s="100"/>
      <c r="AO73" s="100"/>
      <c r="AP73" s="100"/>
      <c r="AQ73" s="100"/>
      <c r="AR73" s="100"/>
      <c r="AS73" s="100"/>
      <c r="AT73" s="100"/>
      <c r="AU73" s="100"/>
      <c r="AV73" s="100"/>
      <c r="AW73" s="100"/>
      <c r="AX73" s="100"/>
      <c r="AY73" s="100"/>
      <c r="AZ73" s="100"/>
      <c r="BA73" s="100"/>
      <c r="BB73" s="100"/>
      <c r="BC73" s="100"/>
      <c r="BD73" s="100"/>
      <c r="BE73" s="100"/>
    </row>
    <row r="74" spans="1:57">
      <c r="A74" s="100"/>
      <c r="B74" s="100"/>
      <c r="C74" s="100"/>
      <c r="D74" s="102"/>
      <c r="E74" s="100"/>
      <c r="F74" s="100"/>
      <c r="G74" s="100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00"/>
      <c r="AK74" s="100"/>
      <c r="AL74" s="100"/>
      <c r="AM74" s="100"/>
      <c r="AN74" s="100"/>
      <c r="AO74" s="100"/>
      <c r="AP74" s="100"/>
      <c r="AQ74" s="100"/>
      <c r="AR74" s="100"/>
      <c r="AS74" s="100"/>
      <c r="AT74" s="100"/>
      <c r="AU74" s="100"/>
      <c r="AV74" s="100"/>
      <c r="AW74" s="100"/>
      <c r="AX74" s="100"/>
      <c r="AY74" s="100"/>
      <c r="AZ74" s="100"/>
      <c r="BA74" s="100"/>
      <c r="BB74" s="100"/>
      <c r="BC74" s="100"/>
      <c r="BD74" s="100"/>
      <c r="BE74" s="100"/>
    </row>
    <row r="75" spans="1:57">
      <c r="A75" s="100"/>
      <c r="B75" s="100"/>
      <c r="C75" s="100"/>
      <c r="D75" s="102"/>
      <c r="E75" s="100"/>
      <c r="F75" s="100"/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  <c r="AD75" s="100"/>
      <c r="AE75" s="100"/>
      <c r="AF75" s="100"/>
      <c r="AG75" s="100"/>
      <c r="AH75" s="100"/>
      <c r="AI75" s="100"/>
      <c r="AJ75" s="100"/>
      <c r="AK75" s="100"/>
      <c r="AL75" s="100"/>
      <c r="AM75" s="100"/>
      <c r="AN75" s="100"/>
      <c r="AO75" s="100"/>
      <c r="AP75" s="100"/>
      <c r="AQ75" s="100"/>
      <c r="AR75" s="100"/>
      <c r="AS75" s="100"/>
      <c r="AT75" s="100"/>
      <c r="AU75" s="100"/>
      <c r="AV75" s="100"/>
      <c r="AW75" s="100"/>
      <c r="AX75" s="100"/>
      <c r="AY75" s="100"/>
      <c r="AZ75" s="100"/>
      <c r="BA75" s="100"/>
      <c r="BB75" s="100"/>
      <c r="BC75" s="100"/>
      <c r="BD75" s="100"/>
      <c r="BE75" s="100"/>
    </row>
    <row r="77" spans="1:57">
      <c r="AY77" t="s">
        <v>302</v>
      </c>
    </row>
  </sheetData>
  <sheetProtection selectLockedCells="1" selectUnlockedCells="1"/>
  <mergeCells count="81">
    <mergeCell ref="AE3:AF4"/>
    <mergeCell ref="AG3:AI4"/>
    <mergeCell ref="AI5:AI6"/>
    <mergeCell ref="AY2:BC2"/>
    <mergeCell ref="A3:A6"/>
    <mergeCell ref="B3:G3"/>
    <mergeCell ref="H3:P3"/>
    <mergeCell ref="Q3:U3"/>
    <mergeCell ref="V3:V6"/>
    <mergeCell ref="W3:W6"/>
    <mergeCell ref="X3:X6"/>
    <mergeCell ref="Y3:Y6"/>
    <mergeCell ref="Z3:Z6"/>
    <mergeCell ref="P4:P6"/>
    <mergeCell ref="L4:L6"/>
    <mergeCell ref="M4:M6"/>
    <mergeCell ref="CJ3:CM5"/>
    <mergeCell ref="B4:B6"/>
    <mergeCell ref="C4:C6"/>
    <mergeCell ref="D4:D6"/>
    <mergeCell ref="E4:E6"/>
    <mergeCell ref="F4:F6"/>
    <mergeCell ref="G4:G6"/>
    <mergeCell ref="H4:H6"/>
    <mergeCell ref="I4:I6"/>
    <mergeCell ref="J4:J6"/>
    <mergeCell ref="BD3:BD6"/>
    <mergeCell ref="BE3:BE6"/>
    <mergeCell ref="BK3:BQ5"/>
    <mergeCell ref="BR3:BX5"/>
    <mergeCell ref="BY3:CE5"/>
    <mergeCell ref="K4:K6"/>
    <mergeCell ref="AA3:AA6"/>
    <mergeCell ref="AB3:AB6"/>
    <mergeCell ref="N4:N6"/>
    <mergeCell ref="O4:O6"/>
    <mergeCell ref="DD4:DH4"/>
    <mergeCell ref="AE5:AE6"/>
    <mergeCell ref="AF5:AF6"/>
    <mergeCell ref="AG5:AG6"/>
    <mergeCell ref="AH5:AH6"/>
    <mergeCell ref="CF3:CI5"/>
    <mergeCell ref="AQ3:AQ6"/>
    <mergeCell ref="AS3:AS6"/>
    <mergeCell ref="AT3:AY4"/>
    <mergeCell ref="AZ3:AZ6"/>
    <mergeCell ref="BA3:BB4"/>
    <mergeCell ref="BC3:BC6"/>
    <mergeCell ref="Q4:Q6"/>
    <mergeCell ref="R4:R6"/>
    <mergeCell ref="S4:S6"/>
    <mergeCell ref="T4:T6"/>
    <mergeCell ref="U4:U6"/>
    <mergeCell ref="AC3:AC6"/>
    <mergeCell ref="AD3:AD6"/>
    <mergeCell ref="DA5:DB5"/>
    <mergeCell ref="CO39:CP39"/>
    <mergeCell ref="CQ39:CU39"/>
    <mergeCell ref="CV39:CY39"/>
    <mergeCell ref="AX5:AX6"/>
    <mergeCell ref="AY5:AY6"/>
    <mergeCell ref="AJ3:AK6"/>
    <mergeCell ref="AL3:AL6"/>
    <mergeCell ref="AM3:AM6"/>
    <mergeCell ref="AN3:AN6"/>
    <mergeCell ref="AO3:AO6"/>
    <mergeCell ref="AP3:AP6"/>
    <mergeCell ref="AT5:AT6"/>
    <mergeCell ref="AW5:AW6"/>
    <mergeCell ref="CO40:CU40"/>
    <mergeCell ref="BD58:BE58"/>
    <mergeCell ref="BD59:BE59"/>
    <mergeCell ref="BD60:BE60"/>
    <mergeCell ref="L71:Q71"/>
    <mergeCell ref="N46:O46"/>
    <mergeCell ref="AZ46:BE47"/>
    <mergeCell ref="AZ48:BC49"/>
    <mergeCell ref="BD48:BD49"/>
    <mergeCell ref="AZ51:BC52"/>
    <mergeCell ref="BD51:BD52"/>
    <mergeCell ref="AT42:AV42"/>
  </mergeCells>
  <printOptions horizontalCentered="1" verticalCentered="1"/>
  <pageMargins left="0" right="0" top="0" bottom="0" header="0" footer="0"/>
  <pageSetup paperSize="9" scale="46" firstPageNumber="0" orientation="landscape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J77"/>
  <sheetViews>
    <sheetView showZeros="0" zoomScale="90" zoomScaleNormal="90" workbookViewId="0">
      <pane xSplit="1" ySplit="6" topLeftCell="CL25" activePane="bottomRight" state="frozen"/>
      <selection pane="topRight" activeCell="B1" sqref="B1"/>
      <selection pane="bottomLeft" activeCell="A7" sqref="A7"/>
      <selection pane="bottomRight" activeCell="CN45" sqref="CN45"/>
    </sheetView>
  </sheetViews>
  <sheetFormatPr defaultColWidth="8.7109375" defaultRowHeight="12.75"/>
  <cols>
    <col min="1" max="1" width="3.5703125" customWidth="1"/>
    <col min="2" max="2" width="9.7109375" customWidth="1"/>
    <col min="3" max="3" width="6" customWidth="1"/>
    <col min="4" max="4" width="12" style="1" hidden="1" customWidth="1"/>
    <col min="5" max="5" width="7.140625" customWidth="1"/>
    <col min="6" max="6" width="7.5703125" customWidth="1"/>
    <col min="7" max="7" width="6.85546875" customWidth="1"/>
    <col min="8" max="8" width="7.28515625" customWidth="1"/>
    <col min="9" max="9" width="7.42578125" hidden="1" customWidth="1"/>
    <col min="10" max="10" width="9.140625" customWidth="1"/>
    <col min="11" max="11" width="5.5703125" hidden="1" customWidth="1"/>
    <col min="12" max="12" width="8.42578125" customWidth="1"/>
    <col min="13" max="13" width="7.42578125" customWidth="1"/>
    <col min="14" max="14" width="6.140625" customWidth="1"/>
    <col min="15" max="15" width="8.140625" customWidth="1"/>
    <col min="16" max="16" width="9.85546875" hidden="1" customWidth="1"/>
    <col min="17" max="17" width="9.28515625" customWidth="1"/>
    <col min="18" max="18" width="6" customWidth="1"/>
    <col min="19" max="19" width="8.140625" customWidth="1"/>
    <col min="20" max="20" width="9.140625" hidden="1" customWidth="1"/>
    <col min="21" max="21" width="7.140625" customWidth="1"/>
    <col min="22" max="22" width="7.85546875" customWidth="1"/>
    <col min="23" max="23" width="8.28515625" customWidth="1"/>
    <col min="24" max="24" width="6" customWidth="1"/>
    <col min="25" max="25" width="5.42578125" customWidth="1"/>
    <col min="26" max="26" width="6.85546875" customWidth="1"/>
    <col min="27" max="27" width="6.5703125" customWidth="1"/>
    <col min="28" max="28" width="7.5703125" customWidth="1"/>
    <col min="29" max="29" width="6.5703125" customWidth="1"/>
    <col min="30" max="30" width="4.28515625" customWidth="1"/>
    <col min="31" max="32" width="6.85546875" customWidth="1"/>
    <col min="33" max="33" width="0" hidden="1" customWidth="1"/>
    <col min="34" max="34" width="8.42578125" customWidth="1"/>
    <col min="35" max="35" width="7" customWidth="1"/>
    <col min="36" max="36" width="7.85546875" customWidth="1"/>
    <col min="37" max="37" width="0" hidden="1" customWidth="1"/>
    <col min="38" max="38" width="6.7109375" customWidth="1"/>
    <col min="39" max="39" width="7.7109375" customWidth="1"/>
    <col min="40" max="40" width="7" hidden="1" customWidth="1"/>
    <col min="41" max="41" width="9.42578125" customWidth="1"/>
    <col min="42" max="42" width="6.28515625" customWidth="1"/>
    <col min="43" max="43" width="6.85546875" customWidth="1"/>
    <col min="44" max="44" width="0" hidden="1" customWidth="1"/>
    <col min="45" max="45" width="6.7109375" customWidth="1"/>
    <col min="46" max="46" width="9.7109375" customWidth="1"/>
    <col min="47" max="47" width="7" customWidth="1"/>
    <col min="48" max="48" width="0" hidden="1" customWidth="1"/>
    <col min="49" max="49" width="6.140625" hidden="1" customWidth="1"/>
    <col min="50" max="50" width="5.140625" hidden="1" customWidth="1"/>
    <col min="51" max="51" width="8.42578125" customWidth="1"/>
    <col min="52" max="52" width="10" customWidth="1"/>
    <col min="53" max="53" width="8.7109375" hidden="1" customWidth="1"/>
    <col min="54" max="54" width="3.85546875" hidden="1" customWidth="1"/>
    <col min="55" max="55" width="6.5703125" customWidth="1"/>
    <col min="56" max="56" width="6.140625" customWidth="1"/>
    <col min="57" max="57" width="6.7109375" customWidth="1"/>
    <col min="58" max="58" width="8.85546875" customWidth="1"/>
    <col min="59" max="59" width="7.85546875" customWidth="1"/>
    <col min="60" max="60" width="9.85546875" customWidth="1"/>
    <col min="61" max="62" width="8.7109375" customWidth="1"/>
    <col min="63" max="63" width="10.28515625" customWidth="1"/>
    <col min="64" max="64" width="10.85546875" customWidth="1"/>
    <col min="65" max="65" width="10.7109375" customWidth="1"/>
    <col min="66" max="66" width="11.28515625" customWidth="1"/>
    <col min="67" max="68" width="8.85546875" customWidth="1"/>
    <col min="69" max="69" width="11.28515625" customWidth="1"/>
    <col min="70" max="70" width="7.7109375" customWidth="1"/>
    <col min="71" max="71" width="10" customWidth="1"/>
    <col min="72" max="72" width="8.85546875" customWidth="1"/>
    <col min="73" max="73" width="10.140625" customWidth="1"/>
    <col min="74" max="75" width="8.85546875" customWidth="1"/>
    <col min="76" max="76" width="10.85546875" customWidth="1"/>
    <col min="77" max="78" width="8.7109375" customWidth="1"/>
    <col min="79" max="79" width="10" customWidth="1"/>
    <col min="80" max="80" width="10.42578125" customWidth="1"/>
    <col min="81" max="82" width="8.42578125" customWidth="1"/>
    <col min="83" max="83" width="9.85546875" customWidth="1"/>
    <col min="84" max="85" width="11.42578125" customWidth="1"/>
    <col min="86" max="86" width="11.140625" customWidth="1"/>
    <col min="87" max="87" width="11.28515625" customWidth="1"/>
    <col min="88" max="89" width="10" customWidth="1"/>
    <col min="90" max="90" width="8.7109375" customWidth="1"/>
    <col min="91" max="91" width="11.85546875" customWidth="1"/>
    <col min="92" max="92" width="8.7109375" customWidth="1"/>
    <col min="93" max="93" width="12.140625" customWidth="1"/>
    <col min="94" max="94" width="12.5703125" customWidth="1"/>
    <col min="95" max="95" width="11.7109375" customWidth="1"/>
    <col min="96" max="98" width="12.28515625" customWidth="1"/>
    <col min="99" max="99" width="13.28515625" customWidth="1"/>
    <col min="100" max="100" width="12.85546875" customWidth="1"/>
    <col min="101" max="101" width="13.42578125" customWidth="1"/>
    <col min="102" max="103" width="12.5703125" customWidth="1"/>
    <col min="104" max="104" width="9.5703125" customWidth="1"/>
    <col min="105" max="105" width="19.140625" customWidth="1"/>
    <col min="106" max="106" width="19.42578125" customWidth="1"/>
    <col min="111" max="111" width="8.7109375" hidden="1" customWidth="1"/>
    <col min="112" max="112" width="9" bestFit="1" customWidth="1"/>
    <col min="114" max="114" width="9.5703125" bestFit="1" customWidth="1"/>
  </cols>
  <sheetData>
    <row r="1" spans="1:114" ht="17.25" customHeight="1">
      <c r="A1" s="310" t="s">
        <v>0</v>
      </c>
      <c r="B1" s="310"/>
      <c r="C1" s="310"/>
      <c r="D1" s="311"/>
      <c r="E1" s="310"/>
      <c r="F1" s="310"/>
      <c r="G1" s="310"/>
      <c r="H1" s="310"/>
      <c r="I1" s="310"/>
      <c r="J1" s="310"/>
      <c r="K1" s="310"/>
      <c r="L1" s="310"/>
      <c r="M1" s="310"/>
      <c r="N1" s="310"/>
      <c r="O1" s="310"/>
      <c r="P1" s="77"/>
      <c r="Q1" s="77"/>
      <c r="R1" s="77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</row>
    <row r="2" spans="1:114" ht="19.5" customHeight="1" thickBot="1">
      <c r="A2" s="22"/>
      <c r="B2" s="78"/>
      <c r="C2" s="78"/>
      <c r="D2" s="79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80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80"/>
      <c r="AT2" s="312" t="s">
        <v>1</v>
      </c>
      <c r="AU2" s="313">
        <v>31</v>
      </c>
      <c r="AV2" s="314"/>
      <c r="AW2" s="314"/>
      <c r="AX2" s="315" t="s">
        <v>81</v>
      </c>
      <c r="AY2" s="556" t="s">
        <v>81</v>
      </c>
      <c r="AZ2" s="556"/>
      <c r="BA2" s="556"/>
      <c r="BB2" s="556"/>
      <c r="BC2" s="556"/>
      <c r="BD2" s="316" t="s">
        <v>107</v>
      </c>
      <c r="BE2" s="317"/>
    </row>
    <row r="3" spans="1:114" ht="39.75" customHeight="1" thickBot="1">
      <c r="A3" s="557" t="s">
        <v>3</v>
      </c>
      <c r="B3" s="558" t="s">
        <v>71</v>
      </c>
      <c r="C3" s="558"/>
      <c r="D3" s="558"/>
      <c r="E3" s="558"/>
      <c r="F3" s="558"/>
      <c r="G3" s="558"/>
      <c r="H3" s="554" t="s">
        <v>4</v>
      </c>
      <c r="I3" s="554"/>
      <c r="J3" s="554"/>
      <c r="K3" s="554"/>
      <c r="L3" s="554"/>
      <c r="M3" s="554"/>
      <c r="N3" s="554"/>
      <c r="O3" s="554"/>
      <c r="P3" s="559"/>
      <c r="Q3" s="560" t="s">
        <v>5</v>
      </c>
      <c r="R3" s="561"/>
      <c r="S3" s="561"/>
      <c r="T3" s="561"/>
      <c r="U3" s="562"/>
      <c r="V3" s="563" t="s">
        <v>6</v>
      </c>
      <c r="W3" s="563" t="s">
        <v>7</v>
      </c>
      <c r="X3" s="564" t="s">
        <v>8</v>
      </c>
      <c r="Y3" s="564" t="s">
        <v>9</v>
      </c>
      <c r="Z3" s="564" t="s">
        <v>10</v>
      </c>
      <c r="AA3" s="564" t="s">
        <v>11</v>
      </c>
      <c r="AB3" s="564" t="s">
        <v>12</v>
      </c>
      <c r="AC3" s="564" t="s">
        <v>13</v>
      </c>
      <c r="AD3" s="564" t="s">
        <v>14</v>
      </c>
      <c r="AE3" s="554" t="s">
        <v>15</v>
      </c>
      <c r="AF3" s="554"/>
      <c r="AG3" s="554" t="s">
        <v>16</v>
      </c>
      <c r="AH3" s="554"/>
      <c r="AI3" s="554"/>
      <c r="AJ3" s="593" t="s">
        <v>17</v>
      </c>
      <c r="AK3" s="593"/>
      <c r="AL3" s="564" t="s">
        <v>18</v>
      </c>
      <c r="AM3" s="599" t="s">
        <v>19</v>
      </c>
      <c r="AN3" s="600" t="s">
        <v>95</v>
      </c>
      <c r="AO3" s="603" t="s">
        <v>20</v>
      </c>
      <c r="AP3" s="564" t="s">
        <v>105</v>
      </c>
      <c r="AQ3" s="564" t="s">
        <v>21</v>
      </c>
      <c r="AR3" s="81"/>
      <c r="AS3" s="593" t="s">
        <v>22</v>
      </c>
      <c r="AT3" s="554" t="s">
        <v>23</v>
      </c>
      <c r="AU3" s="554"/>
      <c r="AV3" s="554"/>
      <c r="AW3" s="554"/>
      <c r="AX3" s="554"/>
      <c r="AY3" s="554"/>
      <c r="AZ3" s="564" t="s">
        <v>24</v>
      </c>
      <c r="BA3" s="594" t="s">
        <v>25</v>
      </c>
      <c r="BB3" s="594"/>
      <c r="BC3" s="564" t="s">
        <v>26</v>
      </c>
      <c r="BD3" s="564" t="s">
        <v>27</v>
      </c>
      <c r="BE3" s="572" t="s">
        <v>28</v>
      </c>
      <c r="BF3" s="3"/>
      <c r="BG3" s="3"/>
      <c r="BH3" s="3"/>
      <c r="BI3" s="3"/>
      <c r="BJ3" s="3"/>
      <c r="BK3" s="573" t="s">
        <v>29</v>
      </c>
      <c r="BL3" s="574"/>
      <c r="BM3" s="574"/>
      <c r="BN3" s="574"/>
      <c r="BO3" s="575"/>
      <c r="BP3" s="575"/>
      <c r="BQ3" s="576"/>
      <c r="BR3" s="573" t="s">
        <v>30</v>
      </c>
      <c r="BS3" s="585"/>
      <c r="BT3" s="585"/>
      <c r="BU3" s="585"/>
      <c r="BV3" s="585"/>
      <c r="BW3" s="585"/>
      <c r="BX3" s="586"/>
      <c r="BY3" s="566" t="s">
        <v>31</v>
      </c>
      <c r="BZ3" s="566"/>
      <c r="CA3" s="566"/>
      <c r="CB3" s="566"/>
      <c r="CC3" s="566"/>
      <c r="CD3" s="566"/>
      <c r="CE3" s="566"/>
      <c r="CF3" s="566" t="s">
        <v>87</v>
      </c>
      <c r="CG3" s="566"/>
      <c r="CH3" s="566"/>
      <c r="CI3" s="566"/>
      <c r="CJ3" s="566" t="s">
        <v>32</v>
      </c>
      <c r="CK3" s="566"/>
      <c r="CL3" s="566"/>
      <c r="CM3" s="566"/>
      <c r="CN3" s="4"/>
      <c r="CO3" s="5"/>
      <c r="CP3" s="6"/>
      <c r="CQ3" s="6"/>
    </row>
    <row r="4" spans="1:114" s="7" customFormat="1" ht="30.75" customHeight="1" thickBot="1">
      <c r="A4" s="557"/>
      <c r="B4" s="565" t="s">
        <v>72</v>
      </c>
      <c r="C4" s="613" t="s">
        <v>73</v>
      </c>
      <c r="D4" s="615" t="s">
        <v>33</v>
      </c>
      <c r="E4" s="613" t="s">
        <v>74</v>
      </c>
      <c r="F4" s="569" t="s">
        <v>75</v>
      </c>
      <c r="G4" s="569" t="s">
        <v>34</v>
      </c>
      <c r="H4" s="555" t="s">
        <v>76</v>
      </c>
      <c r="I4" s="570" t="s">
        <v>101</v>
      </c>
      <c r="J4" s="555" t="s">
        <v>89</v>
      </c>
      <c r="K4" s="565" t="s">
        <v>35</v>
      </c>
      <c r="L4" s="565" t="s">
        <v>77</v>
      </c>
      <c r="M4" s="565" t="s">
        <v>78</v>
      </c>
      <c r="N4" s="565" t="s">
        <v>101</v>
      </c>
      <c r="O4" s="565" t="s">
        <v>96</v>
      </c>
      <c r="P4" s="555" t="s">
        <v>79</v>
      </c>
      <c r="Q4" s="555" t="s">
        <v>36</v>
      </c>
      <c r="R4" s="555" t="s">
        <v>32</v>
      </c>
      <c r="S4" s="555" t="s">
        <v>37</v>
      </c>
      <c r="T4" s="555" t="s">
        <v>38</v>
      </c>
      <c r="U4" s="555" t="s">
        <v>39</v>
      </c>
      <c r="V4" s="563"/>
      <c r="W4" s="563"/>
      <c r="X4" s="564"/>
      <c r="Y4" s="564"/>
      <c r="Z4" s="564"/>
      <c r="AA4" s="564"/>
      <c r="AB4" s="564"/>
      <c r="AC4" s="564"/>
      <c r="AD4" s="564"/>
      <c r="AE4" s="554"/>
      <c r="AF4" s="554"/>
      <c r="AG4" s="554"/>
      <c r="AH4" s="554"/>
      <c r="AI4" s="554"/>
      <c r="AJ4" s="593"/>
      <c r="AK4" s="593"/>
      <c r="AL4" s="564"/>
      <c r="AM4" s="599"/>
      <c r="AN4" s="601"/>
      <c r="AO4" s="603"/>
      <c r="AP4" s="564"/>
      <c r="AQ4" s="564"/>
      <c r="AR4" s="82"/>
      <c r="AS4" s="593"/>
      <c r="AT4" s="554"/>
      <c r="AU4" s="554"/>
      <c r="AV4" s="554"/>
      <c r="AW4" s="554"/>
      <c r="AX4" s="554"/>
      <c r="AY4" s="554"/>
      <c r="AZ4" s="564"/>
      <c r="BA4" s="594"/>
      <c r="BB4" s="594"/>
      <c r="BC4" s="564"/>
      <c r="BD4" s="564"/>
      <c r="BE4" s="572"/>
      <c r="BF4" s="3"/>
      <c r="BG4" s="3"/>
      <c r="BH4" s="3"/>
      <c r="BI4" s="3"/>
      <c r="BJ4" s="3"/>
      <c r="BK4" s="577"/>
      <c r="BL4" s="578"/>
      <c r="BM4" s="578"/>
      <c r="BN4" s="578"/>
      <c r="BO4" s="579"/>
      <c r="BP4" s="579"/>
      <c r="BQ4" s="580"/>
      <c r="BR4" s="577"/>
      <c r="BS4" s="566"/>
      <c r="BT4" s="566"/>
      <c r="BU4" s="566"/>
      <c r="BV4" s="566"/>
      <c r="BW4" s="566"/>
      <c r="BX4" s="587"/>
      <c r="BY4" s="566"/>
      <c r="BZ4" s="566"/>
      <c r="CA4" s="566"/>
      <c r="CB4" s="566"/>
      <c r="CC4" s="566"/>
      <c r="CD4" s="566"/>
      <c r="CE4" s="566"/>
      <c r="CF4" s="566"/>
      <c r="CG4" s="566"/>
      <c r="CH4" s="566"/>
      <c r="CI4" s="566"/>
      <c r="CJ4" s="566"/>
      <c r="CK4" s="566"/>
      <c r="CL4" s="566"/>
      <c r="CM4" s="566"/>
      <c r="CN4" s="4"/>
      <c r="CO4" s="6"/>
      <c r="CP4" s="6"/>
      <c r="CQ4" s="262"/>
      <c r="CR4" s="231"/>
      <c r="CS4" s="231"/>
      <c r="CT4" s="231"/>
      <c r="CU4" s="231"/>
      <c r="CV4" s="231"/>
      <c r="CW4" s="231"/>
      <c r="CX4" s="231"/>
      <c r="CY4" s="231"/>
      <c r="DD4" s="590" t="s">
        <v>90</v>
      </c>
      <c r="DE4" s="591"/>
      <c r="DF4" s="591"/>
      <c r="DG4" s="591"/>
      <c r="DH4" s="592"/>
    </row>
    <row r="5" spans="1:114" s="7" customFormat="1" ht="8.25" hidden="1" customHeight="1">
      <c r="A5" s="557"/>
      <c r="B5" s="565"/>
      <c r="C5" s="614"/>
      <c r="D5" s="616"/>
      <c r="E5" s="614"/>
      <c r="F5" s="569"/>
      <c r="G5" s="569"/>
      <c r="H5" s="555"/>
      <c r="I5" s="570"/>
      <c r="J5" s="565"/>
      <c r="K5" s="565"/>
      <c r="L5" s="565"/>
      <c r="M5" s="565"/>
      <c r="N5" s="565"/>
      <c r="O5" s="565"/>
      <c r="P5" s="555"/>
      <c r="Q5" s="555"/>
      <c r="R5" s="555"/>
      <c r="S5" s="555"/>
      <c r="T5" s="555"/>
      <c r="U5" s="555"/>
      <c r="V5" s="563"/>
      <c r="W5" s="563"/>
      <c r="X5" s="564"/>
      <c r="Y5" s="564"/>
      <c r="Z5" s="564"/>
      <c r="AA5" s="564"/>
      <c r="AB5" s="564"/>
      <c r="AC5" s="564"/>
      <c r="AD5" s="564"/>
      <c r="AE5" s="555" t="s">
        <v>40</v>
      </c>
      <c r="AF5" s="555" t="s">
        <v>41</v>
      </c>
      <c r="AG5" s="555" t="s">
        <v>42</v>
      </c>
      <c r="AH5" s="555" t="s">
        <v>40</v>
      </c>
      <c r="AI5" s="555" t="s">
        <v>41</v>
      </c>
      <c r="AJ5" s="593"/>
      <c r="AK5" s="593"/>
      <c r="AL5" s="564"/>
      <c r="AM5" s="599"/>
      <c r="AN5" s="601"/>
      <c r="AO5" s="603"/>
      <c r="AP5" s="564"/>
      <c r="AQ5" s="564"/>
      <c r="AR5" s="83"/>
      <c r="AS5" s="593"/>
      <c r="AT5" s="555" t="s">
        <v>43</v>
      </c>
      <c r="AU5" s="84"/>
      <c r="AV5" s="85"/>
      <c r="AW5" s="598" t="s">
        <v>44</v>
      </c>
      <c r="AX5" s="598" t="s">
        <v>45</v>
      </c>
      <c r="AY5" s="555" t="s">
        <v>46</v>
      </c>
      <c r="AZ5" s="564"/>
      <c r="BA5" s="86" t="s">
        <v>47</v>
      </c>
      <c r="BB5" s="86" t="s">
        <v>48</v>
      </c>
      <c r="BC5" s="564"/>
      <c r="BD5" s="564"/>
      <c r="BE5" s="572"/>
      <c r="BF5" s="3"/>
      <c r="BG5" s="3"/>
      <c r="BH5" s="3"/>
      <c r="BI5" s="3"/>
      <c r="BJ5" s="3"/>
      <c r="BK5" s="581"/>
      <c r="BL5" s="582"/>
      <c r="BM5" s="582"/>
      <c r="BN5" s="582"/>
      <c r="BO5" s="583"/>
      <c r="BP5" s="583"/>
      <c r="BQ5" s="584"/>
      <c r="BR5" s="581"/>
      <c r="BS5" s="588"/>
      <c r="BT5" s="588"/>
      <c r="BU5" s="588"/>
      <c r="BV5" s="588"/>
      <c r="BW5" s="588"/>
      <c r="BX5" s="589"/>
      <c r="BY5" s="567"/>
      <c r="BZ5" s="566"/>
      <c r="CA5" s="566"/>
      <c r="CB5" s="566"/>
      <c r="CC5" s="566"/>
      <c r="CD5" s="566"/>
      <c r="CE5" s="566"/>
      <c r="CF5" s="567"/>
      <c r="CG5" s="567"/>
      <c r="CH5" s="567"/>
      <c r="CI5" s="567"/>
      <c r="CJ5" s="567"/>
      <c r="CK5" s="567"/>
      <c r="CL5" s="567"/>
      <c r="CM5" s="567"/>
      <c r="CN5" s="4"/>
      <c r="CO5"/>
      <c r="CP5"/>
      <c r="CQ5" s="255"/>
      <c r="CR5" s="256"/>
      <c r="CS5" s="256"/>
      <c r="CT5" s="256"/>
      <c r="CU5" s="256"/>
      <c r="CV5" s="257"/>
      <c r="CW5" s="257"/>
      <c r="CX5" s="257"/>
      <c r="CY5" s="258"/>
      <c r="DA5" s="595" t="s">
        <v>49</v>
      </c>
      <c r="DB5" s="595"/>
    </row>
    <row r="6" spans="1:114" s="7" customFormat="1" ht="106.5" customHeight="1" thickBot="1">
      <c r="A6" s="557"/>
      <c r="B6" s="565"/>
      <c r="C6" s="565"/>
      <c r="D6" s="568"/>
      <c r="E6" s="565"/>
      <c r="F6" s="569"/>
      <c r="G6" s="569"/>
      <c r="H6" s="555"/>
      <c r="I6" s="570"/>
      <c r="J6" s="571"/>
      <c r="K6" s="565"/>
      <c r="L6" s="565"/>
      <c r="M6" s="565"/>
      <c r="N6" s="565"/>
      <c r="O6" s="565"/>
      <c r="P6" s="565"/>
      <c r="Q6" s="565"/>
      <c r="R6" s="565"/>
      <c r="S6" s="565"/>
      <c r="T6" s="555"/>
      <c r="U6" s="555"/>
      <c r="V6" s="563"/>
      <c r="W6" s="563"/>
      <c r="X6" s="564"/>
      <c r="Y6" s="564"/>
      <c r="Z6" s="564"/>
      <c r="AA6" s="564"/>
      <c r="AB6" s="564"/>
      <c r="AC6" s="564"/>
      <c r="AD6" s="564"/>
      <c r="AE6" s="555"/>
      <c r="AF6" s="555"/>
      <c r="AG6" s="555"/>
      <c r="AH6" s="555"/>
      <c r="AI6" s="555"/>
      <c r="AJ6" s="593"/>
      <c r="AK6" s="593"/>
      <c r="AL6" s="564"/>
      <c r="AM6" s="599"/>
      <c r="AN6" s="602"/>
      <c r="AO6" s="603"/>
      <c r="AP6" s="564"/>
      <c r="AQ6" s="564"/>
      <c r="AR6" s="494"/>
      <c r="AS6" s="593"/>
      <c r="AT6" s="555"/>
      <c r="AU6" s="493" t="s">
        <v>50</v>
      </c>
      <c r="AV6" s="493" t="s">
        <v>51</v>
      </c>
      <c r="AW6" s="598"/>
      <c r="AX6" s="598"/>
      <c r="AY6" s="555"/>
      <c r="AZ6" s="555"/>
      <c r="BA6" s="87"/>
      <c r="BB6" s="88">
        <v>0.04</v>
      </c>
      <c r="BC6" s="564"/>
      <c r="BD6" s="564"/>
      <c r="BE6" s="572"/>
      <c r="BF6" s="8" t="s">
        <v>52</v>
      </c>
      <c r="BG6" s="8" t="s">
        <v>53</v>
      </c>
      <c r="BH6" s="8" t="s">
        <v>54</v>
      </c>
      <c r="BI6" s="3"/>
      <c r="BJ6" s="3"/>
      <c r="BK6" s="308" t="s">
        <v>364</v>
      </c>
      <c r="BL6" s="280" t="s">
        <v>82</v>
      </c>
      <c r="BM6" s="279" t="s">
        <v>262</v>
      </c>
      <c r="BN6" s="307" t="s">
        <v>365</v>
      </c>
      <c r="BO6" s="308" t="s">
        <v>97</v>
      </c>
      <c r="BP6" s="326" t="s">
        <v>99</v>
      </c>
      <c r="BQ6" s="495" t="s">
        <v>366</v>
      </c>
      <c r="BR6" s="308" t="s">
        <v>364</v>
      </c>
      <c r="BS6" s="280" t="s">
        <v>82</v>
      </c>
      <c r="BT6" s="279" t="s">
        <v>262</v>
      </c>
      <c r="BU6" s="327"/>
      <c r="BV6" s="308" t="s">
        <v>97</v>
      </c>
      <c r="BW6" s="326" t="s">
        <v>99</v>
      </c>
      <c r="BX6" s="306"/>
      <c r="BY6" s="308" t="s">
        <v>364</v>
      </c>
      <c r="BZ6" s="280" t="s">
        <v>82</v>
      </c>
      <c r="CA6" s="279" t="s">
        <v>262</v>
      </c>
      <c r="CB6" s="307" t="s">
        <v>365</v>
      </c>
      <c r="CC6" s="308" t="s">
        <v>97</v>
      </c>
      <c r="CD6" s="326" t="s">
        <v>99</v>
      </c>
      <c r="CE6" s="495" t="s">
        <v>366</v>
      </c>
      <c r="CF6" s="267" t="s">
        <v>106</v>
      </c>
      <c r="CG6" s="268" t="s">
        <v>85</v>
      </c>
      <c r="CH6" s="244" t="s">
        <v>109</v>
      </c>
      <c r="CI6" s="245" t="s">
        <v>103</v>
      </c>
      <c r="CJ6" s="267" t="s">
        <v>106</v>
      </c>
      <c r="CK6" s="268" t="s">
        <v>85</v>
      </c>
      <c r="CL6" s="244" t="s">
        <v>109</v>
      </c>
      <c r="CM6" s="245" t="s">
        <v>103</v>
      </c>
      <c r="CN6" s="243"/>
      <c r="CO6" s="248" t="s">
        <v>364</v>
      </c>
      <c r="CP6" s="10" t="s">
        <v>82</v>
      </c>
      <c r="CQ6" s="264" t="s">
        <v>263</v>
      </c>
      <c r="CR6" s="23" t="s">
        <v>367</v>
      </c>
      <c r="CS6" s="248" t="s">
        <v>98</v>
      </c>
      <c r="CT6" s="248" t="s">
        <v>99</v>
      </c>
      <c r="CU6" s="496" t="s">
        <v>369</v>
      </c>
      <c r="CV6" s="259" t="s">
        <v>106</v>
      </c>
      <c r="CW6" s="248" t="s">
        <v>84</v>
      </c>
      <c r="CX6" s="232" t="s">
        <v>108</v>
      </c>
      <c r="CY6" s="263" t="s">
        <v>103</v>
      </c>
      <c r="CZ6" s="253"/>
      <c r="DA6" s="321" t="s">
        <v>80</v>
      </c>
      <c r="DB6" s="321" t="s">
        <v>55</v>
      </c>
      <c r="DD6" s="288" t="s">
        <v>91</v>
      </c>
      <c r="DE6" s="289" t="s">
        <v>92</v>
      </c>
      <c r="DF6" s="290" t="s">
        <v>93</v>
      </c>
      <c r="DG6" s="290"/>
      <c r="DH6" s="289" t="s">
        <v>94</v>
      </c>
    </row>
    <row r="7" spans="1:114" s="76" customFormat="1" ht="16.5" customHeight="1" thickBot="1">
      <c r="A7" s="121">
        <v>1</v>
      </c>
      <c r="B7" s="122">
        <f>'[1]август 20'!K6</f>
        <v>222.863</v>
      </c>
      <c r="C7" s="123">
        <f>IF(B7=0,0,(BK7*BR7+BL7*BS7+BM7*BT7+BN7*BU7+BQ7*BX7+BO7*BV7+BP7*BW7)/B7)</f>
        <v>0.32499048500201022</v>
      </c>
      <c r="D7" s="124">
        <f>B7*((100-C7)/100)</f>
        <v>222.13871645540996</v>
      </c>
      <c r="E7" s="125">
        <f>IF(B7=0,0,(BK7*BY7+BL7*BZ7+BM7*CA7+BQ7*CE7+BN7*CB7+BO7*CC7+BP7*CD7)/B7)</f>
        <v>38.100512557041782</v>
      </c>
      <c r="F7" s="126">
        <f t="shared" ref="F7:F37" si="0">IF(AY7=0,0,D7/AY7)</f>
        <v>2.2748460466503837</v>
      </c>
      <c r="G7" s="127"/>
      <c r="H7" s="126">
        <f>IF(AY7=0,0,(CP7+CO7+CS7+CQ7+CT7)/AY7)</f>
        <v>1.1027109124423959</v>
      </c>
      <c r="I7" s="230">
        <f>'[1]июль 20'!AI6</f>
        <v>0</v>
      </c>
      <c r="J7" s="246">
        <f>'[1]август 20'!AA6</f>
        <v>9.1289999999999996</v>
      </c>
      <c r="K7" s="437">
        <f>'[1]сентябрь 20'!AM6</f>
        <v>0</v>
      </c>
      <c r="L7" s="438">
        <f>'[1]август 20'!AE6</f>
        <v>114.459</v>
      </c>
      <c r="M7" s="399">
        <f>IF(AY7=0,0,(CR7+CU7)/AY7)</f>
        <v>1.1721351649299541</v>
      </c>
      <c r="N7" s="399">
        <f>'[1]август 20'!W6</f>
        <v>0</v>
      </c>
      <c r="O7" s="402">
        <f>'[1]август 20'!AU6</f>
        <v>0</v>
      </c>
      <c r="P7" s="125">
        <f t="shared" ref="P7:P37" si="1">CF7+CH7+CI7+CG7</f>
        <v>142.305003</v>
      </c>
      <c r="Q7" s="122">
        <f>'[1]август 20'!S6</f>
        <v>142.30500000000001</v>
      </c>
      <c r="R7" s="123">
        <f>IF(Q7=0,0,(CI7*CM7+CG7*CK7+CH7*CL7+CF7*CJ7)/Q7)</f>
        <v>1.5500000000000211</v>
      </c>
      <c r="S7" s="129">
        <v>12.34</v>
      </c>
      <c r="T7" s="125">
        <f t="shared" ref="T7:T37" si="2">Q7*((100-R7)/100)</f>
        <v>140.09927249999996</v>
      </c>
      <c r="U7" s="128">
        <f t="shared" ref="U7:U37" si="3">IF(AY7=0,0,T7/AY7)</f>
        <v>1.4347083717357907</v>
      </c>
      <c r="V7" s="130">
        <v>97.65</v>
      </c>
      <c r="W7" s="130">
        <v>97.65</v>
      </c>
      <c r="X7" s="129">
        <v>0.54</v>
      </c>
      <c r="Y7" s="131">
        <v>633</v>
      </c>
      <c r="Z7" s="131">
        <v>1152</v>
      </c>
      <c r="AA7" s="132" t="s">
        <v>314</v>
      </c>
      <c r="AB7" s="129">
        <v>75.900000000000006</v>
      </c>
      <c r="AC7" s="131">
        <v>89</v>
      </c>
      <c r="AD7" s="133">
        <v>4</v>
      </c>
      <c r="AE7" s="129"/>
      <c r="AF7" s="134">
        <f t="shared" ref="AF7:AF37" si="4">IF(AY7=0,0,AE7/AY7*1000)</f>
        <v>0</v>
      </c>
      <c r="AG7" s="135"/>
      <c r="AH7" s="129">
        <v>72.5</v>
      </c>
      <c r="AI7" s="134">
        <f t="shared" ref="AI7:AI37" si="5">IF(AY7=0,0,AH7/AY7*1000)</f>
        <v>742.44751664106514</v>
      </c>
      <c r="AJ7" s="136">
        <v>13.86</v>
      </c>
      <c r="AK7" s="127"/>
      <c r="AL7" s="137">
        <v>5.42</v>
      </c>
      <c r="AM7" s="478">
        <f>AT7*0.2</f>
        <v>24.42</v>
      </c>
      <c r="AN7" s="126">
        <f>IF(AM7=0,0,AM7/AT7)</f>
        <v>0.2</v>
      </c>
      <c r="AO7" s="139" t="s">
        <v>117</v>
      </c>
      <c r="AP7" s="138">
        <v>9</v>
      </c>
      <c r="AQ7" s="138">
        <v>6.89</v>
      </c>
      <c r="AR7" s="129"/>
      <c r="AS7" s="129">
        <v>8.07</v>
      </c>
      <c r="AT7" s="129">
        <v>122.1</v>
      </c>
      <c r="AU7" s="129">
        <v>5.39</v>
      </c>
      <c r="AV7" s="129"/>
      <c r="AW7" s="129"/>
      <c r="AX7" s="140">
        <f t="shared" ref="AX7:AX37" si="6">IF(AY7=0,0,AW7/AY7*100)</f>
        <v>0</v>
      </c>
      <c r="AY7" s="125">
        <f t="shared" ref="AY7:AY37" si="7">AT7-AL7-AM7+AV7+AW7+AU7</f>
        <v>97.649999999999991</v>
      </c>
      <c r="AZ7" s="125">
        <f>IF(AB7=0,0,((D7*0.97)*(E7/100)*0.9)/(AB7/100))+DH7</f>
        <v>99.412025973395927</v>
      </c>
      <c r="BA7" s="141">
        <f t="shared" ref="BA7:BA37" si="8">(AH7*AS7)/100*(55/71)</f>
        <v>4.5322711267605635</v>
      </c>
      <c r="BB7" s="142">
        <f t="shared" ref="BB7:BB37" si="9">AY7*$BB$6</f>
        <v>3.9059999999999997</v>
      </c>
      <c r="BC7" s="122">
        <f t="shared" ref="BC7:BC37" si="10">IF((D7*E7)=0,0,(AY7*AB7)/(D7*E7))</f>
        <v>0.8757072539449402</v>
      </c>
      <c r="BD7" s="142">
        <f>BA7+BB7</f>
        <v>8.4382711267605632</v>
      </c>
      <c r="BE7" s="143">
        <v>0.876</v>
      </c>
      <c r="BF7" s="25">
        <f>AY7</f>
        <v>97.649999999999991</v>
      </c>
      <c r="BG7" s="25">
        <f t="shared" ref="BG7:BG38" si="11">IF(A7&lt;=$BE$43,$AT$43,0)</f>
        <v>107.74193548387096</v>
      </c>
      <c r="BH7" s="25">
        <f>BG7</f>
        <v>107.74193548387096</v>
      </c>
      <c r="BI7" s="26">
        <f t="shared" ref="BI7:BI37" si="12">IF(AY7&lt;&gt;0,1,0)</f>
        <v>1</v>
      </c>
      <c r="BJ7" s="27">
        <f>BG7*BI7</f>
        <v>107.74193548387096</v>
      </c>
      <c r="BK7" s="28">
        <v>86.100999999999999</v>
      </c>
      <c r="BL7" s="28">
        <v>9.9999999999999995E-7</v>
      </c>
      <c r="BM7" s="28">
        <v>9.9999999999999995E-7</v>
      </c>
      <c r="BN7" s="28">
        <v>105.33499999999999</v>
      </c>
      <c r="BO7" s="28">
        <v>9.9999999999999995E-7</v>
      </c>
      <c r="BP7" s="28">
        <v>22.303000000000001</v>
      </c>
      <c r="BQ7" s="28">
        <v>9.1240000000000006</v>
      </c>
      <c r="BR7" s="28">
        <v>0.52</v>
      </c>
      <c r="BS7" s="28">
        <v>9.9999999999999995E-7</v>
      </c>
      <c r="BT7" s="28">
        <v>9.9999999999999995E-7</v>
      </c>
      <c r="BU7" s="28">
        <v>9.9999999999999995E-7</v>
      </c>
      <c r="BV7" s="28">
        <v>9.9999999999999995E-7</v>
      </c>
      <c r="BW7" s="28">
        <v>1.24</v>
      </c>
      <c r="BX7" s="28">
        <v>9.9999999999999995E-7</v>
      </c>
      <c r="BY7" s="28">
        <v>35.36</v>
      </c>
      <c r="BZ7" s="28">
        <v>9.9999999999999995E-7</v>
      </c>
      <c r="CA7" s="28">
        <v>9.9999999999999995E-7</v>
      </c>
      <c r="CB7" s="28">
        <v>41.91</v>
      </c>
      <c r="CC7" s="28">
        <v>9.9999999999999995E-7</v>
      </c>
      <c r="CD7" s="28">
        <v>28.32</v>
      </c>
      <c r="CE7" s="28">
        <v>43.89</v>
      </c>
      <c r="CF7" s="28">
        <v>142.30500000000001</v>
      </c>
      <c r="CG7" s="28">
        <v>9.9999999999999995E-7</v>
      </c>
      <c r="CH7" s="28">
        <v>9.9999999999999995E-7</v>
      </c>
      <c r="CI7" s="28">
        <v>9.9999999999999995E-7</v>
      </c>
      <c r="CJ7" s="28">
        <v>1.55</v>
      </c>
      <c r="CK7" s="28">
        <v>9.9999999999999995E-7</v>
      </c>
      <c r="CL7" s="28">
        <v>9.9999999999999995E-7</v>
      </c>
      <c r="CM7" s="28">
        <v>9.9999999999999995E-7</v>
      </c>
      <c r="CN7" s="286"/>
      <c r="CO7" s="252">
        <f t="shared" ref="CO7:CU22" si="13">BK7*((100-BR7)/100)</f>
        <v>85.653274800000005</v>
      </c>
      <c r="CP7" s="11">
        <f t="shared" si="13"/>
        <v>9.9999998999999992E-7</v>
      </c>
      <c r="CQ7" s="11">
        <f t="shared" si="13"/>
        <v>9.9999998999999992E-7</v>
      </c>
      <c r="CR7" s="11">
        <f t="shared" si="13"/>
        <v>105.33499894665</v>
      </c>
      <c r="CS7" s="11">
        <f t="shared" si="13"/>
        <v>9.9999998999999992E-7</v>
      </c>
      <c r="CT7" s="11">
        <f t="shared" si="13"/>
        <v>22.026442800000002</v>
      </c>
      <c r="CU7" s="271">
        <f t="shared" si="13"/>
        <v>9.1239999087600019</v>
      </c>
      <c r="CV7" s="260">
        <f t="shared" ref="CV7:CY37" si="14">CF7*((100-CJ7)/100)</f>
        <v>140.09927250000001</v>
      </c>
      <c r="CW7" s="250">
        <f t="shared" si="14"/>
        <v>9.9999998999999992E-7</v>
      </c>
      <c r="CX7" s="260">
        <f t="shared" si="14"/>
        <v>9.9999998999999992E-7</v>
      </c>
      <c r="CY7" s="271">
        <f t="shared" si="14"/>
        <v>9.9999998999999992E-7</v>
      </c>
      <c r="CZ7" s="13"/>
      <c r="DA7" s="240">
        <f>(D7+'[2]август 20 '!D7)/(AY7+'[2]август 20 '!BA7)</f>
        <v>2.0584427874365088</v>
      </c>
      <c r="DB7" s="241">
        <f>(T7+'[2]август 20 '!T7)/(AY7+'[2]август 20 '!BA7)</f>
        <v>1.2951799086394178</v>
      </c>
      <c r="DD7" s="292">
        <f t="shared" ref="DD7:DD37" si="15">J7</f>
        <v>9.1289999999999996</v>
      </c>
      <c r="DE7" s="291">
        <v>0.06</v>
      </c>
      <c r="DF7" s="291">
        <v>17.170000000000002</v>
      </c>
      <c r="DG7" s="145">
        <f t="shared" ref="DG7:DG37" si="16">DD7*((100-DE7)/100)</f>
        <v>9.1235225999999994</v>
      </c>
      <c r="DH7" s="293">
        <f>IF(AB7=0,0,(DG7*DF7%)/(AB7/100))</f>
        <v>2.0639115025296442</v>
      </c>
      <c r="DJ7" s="322"/>
    </row>
    <row r="8" spans="1:114" s="76" customFormat="1" ht="16.5" customHeight="1" thickBot="1">
      <c r="A8" s="144">
        <v>2</v>
      </c>
      <c r="B8" s="122">
        <f>'[1]август 20'!K7</f>
        <v>182.32499999999999</v>
      </c>
      <c r="C8" s="123">
        <f t="shared" ref="C8:C37" si="17">IF(B8=0,0,(BK8*BR8+BL8*BS8+BM8*BT8+BN8*BU8+BQ8*BX8+BO8*BV8+BP8*BW8)/B8)</f>
        <v>0.56010042506513102</v>
      </c>
      <c r="D8" s="145">
        <f t="shared" ref="D8:D37" si="18">B8*((100-C8)/100)</f>
        <v>181.30379689999998</v>
      </c>
      <c r="E8" s="125">
        <f t="shared" ref="E8:E37" si="19">IF(B8=0,0,(BK8*BY8+BL8*BZ8+BM8*CA8+BQ8*CE8+BN8*CB8+BO8*CC8+BP8*CD8)/B8)</f>
        <v>39.427613053613058</v>
      </c>
      <c r="F8" s="146">
        <f t="shared" si="0"/>
        <v>1.9591938286146531</v>
      </c>
      <c r="G8" s="127"/>
      <c r="H8" s="126">
        <f t="shared" ref="H8:H37" si="20">IF(AY8=0,0,(CP8+CO8+CS8+CQ8+CT8)/AY8)</f>
        <v>0.69835527231467476</v>
      </c>
      <c r="I8" s="230">
        <f>'[1]июль 20'!AI7</f>
        <v>0</v>
      </c>
      <c r="J8" s="247">
        <f>'[1]август 20'!AA7</f>
        <v>7.2910000000000004</v>
      </c>
      <c r="K8" s="464">
        <f>'[1]сентябрь 20'!AM7</f>
        <v>0</v>
      </c>
      <c r="L8" s="247">
        <f>'[1]август 20'!AE7</f>
        <v>116.678</v>
      </c>
      <c r="M8" s="468">
        <f t="shared" ref="M8:M37" si="21">IF(AY8=0,0,(CR8+CU8)/AY8)</f>
        <v>1.2608385562999784</v>
      </c>
      <c r="N8" s="403">
        <f>'[1]август 20'!W7</f>
        <v>0</v>
      </c>
      <c r="O8" s="403">
        <f>'[1]август 20'!AU7</f>
        <v>0</v>
      </c>
      <c r="P8" s="401">
        <f t="shared" si="1"/>
        <v>117.52800000000001</v>
      </c>
      <c r="Q8" s="122">
        <f>'[1]август 20'!S7</f>
        <v>117.52800000000001</v>
      </c>
      <c r="R8" s="123">
        <f t="shared" ref="R8:R37" si="22">IF(Q8=0,0,(CI8*CM8+CG8*CK8+CH8*CL8+CF8*CJ8)/Q8)</f>
        <v>1.59</v>
      </c>
      <c r="S8" s="129">
        <v>3</v>
      </c>
      <c r="T8" s="125">
        <f t="shared" si="2"/>
        <v>115.6593048</v>
      </c>
      <c r="U8" s="147">
        <f t="shared" si="3"/>
        <v>1.2498303955046468</v>
      </c>
      <c r="V8" s="130">
        <v>20.72</v>
      </c>
      <c r="W8" s="130">
        <v>44.28</v>
      </c>
      <c r="X8" s="129">
        <v>0.96</v>
      </c>
      <c r="Y8" s="131">
        <v>617</v>
      </c>
      <c r="Z8" s="131">
        <v>1155</v>
      </c>
      <c r="AA8" s="148" t="s">
        <v>287</v>
      </c>
      <c r="AB8" s="149">
        <v>74.42</v>
      </c>
      <c r="AC8" s="150">
        <v>73</v>
      </c>
      <c r="AD8" s="151">
        <v>4</v>
      </c>
      <c r="AE8" s="149"/>
      <c r="AF8" s="134">
        <f t="shared" si="4"/>
        <v>0</v>
      </c>
      <c r="AG8" s="152"/>
      <c r="AH8" s="129">
        <v>57.35</v>
      </c>
      <c r="AI8" s="134">
        <f t="shared" si="5"/>
        <v>619.73200778041939</v>
      </c>
      <c r="AJ8" s="153">
        <v>14</v>
      </c>
      <c r="AK8" s="154"/>
      <c r="AL8" s="155">
        <v>6.74</v>
      </c>
      <c r="AM8" s="478">
        <f t="shared" ref="AM8:AM36" si="23">AT8*0.2</f>
        <v>24.46</v>
      </c>
      <c r="AN8" s="126">
        <f t="shared" ref="AN8:AN37" si="24">IF(AM8=0,0,AM8/AT8)</f>
        <v>0.2</v>
      </c>
      <c r="AO8" s="157" t="s">
        <v>193</v>
      </c>
      <c r="AP8" s="156">
        <v>10.15</v>
      </c>
      <c r="AQ8" s="156">
        <v>6.67</v>
      </c>
      <c r="AR8" s="149"/>
      <c r="AS8" s="149">
        <v>6.22</v>
      </c>
      <c r="AT8" s="149">
        <v>122.3</v>
      </c>
      <c r="AU8" s="149">
        <v>1.44</v>
      </c>
      <c r="AV8" s="149"/>
      <c r="AW8" s="149"/>
      <c r="AX8" s="158">
        <f t="shared" si="6"/>
        <v>0</v>
      </c>
      <c r="AY8" s="125">
        <f t="shared" si="7"/>
        <v>92.539999999999992</v>
      </c>
      <c r="AZ8" s="125">
        <f t="shared" ref="AZ8:AZ37" si="25">IF(AB8=0,0,((D8*0.97)*(E8/100)*0.9)/(AB8/100))+DH8</f>
        <v>85.331356364578014</v>
      </c>
      <c r="BA8" s="159">
        <f t="shared" si="8"/>
        <v>2.7633007042253519</v>
      </c>
      <c r="BB8" s="160">
        <f t="shared" si="9"/>
        <v>3.7015999999999996</v>
      </c>
      <c r="BC8" s="161">
        <f t="shared" si="10"/>
        <v>0.96341138865971621</v>
      </c>
      <c r="BD8" s="160">
        <f t="shared" ref="BD8:BD37" si="26">BA8+BB8</f>
        <v>6.4649007042253519</v>
      </c>
      <c r="BE8" s="162">
        <v>0.91600000000000004</v>
      </c>
      <c r="BF8" s="25">
        <f t="shared" ref="BF8:BF37" si="27">BF7+AY8</f>
        <v>190.19</v>
      </c>
      <c r="BG8" s="25">
        <f t="shared" si="11"/>
        <v>107.74193548387096</v>
      </c>
      <c r="BH8" s="25">
        <f t="shared" ref="BH8:BH37" si="28">BG8+BH7</f>
        <v>215.48387096774192</v>
      </c>
      <c r="BI8" s="26">
        <f t="shared" si="12"/>
        <v>1</v>
      </c>
      <c r="BJ8" s="27">
        <f t="shared" ref="BJ8:BJ37" si="29">BG8*BI8+BJ7</f>
        <v>215.48387096774192</v>
      </c>
      <c r="BK8" s="30">
        <v>45.496000000000002</v>
      </c>
      <c r="BL8" s="31"/>
      <c r="BM8" s="31"/>
      <c r="BN8" s="31">
        <v>91.251000000000005</v>
      </c>
      <c r="BO8" s="40"/>
      <c r="BP8" s="40">
        <v>20.151</v>
      </c>
      <c r="BQ8" s="32">
        <v>25.427</v>
      </c>
      <c r="BR8" s="33">
        <v>1</v>
      </c>
      <c r="BS8" s="34"/>
      <c r="BT8" s="35"/>
      <c r="BU8" s="28"/>
      <c r="BV8" s="287"/>
      <c r="BW8" s="28">
        <v>2.81</v>
      </c>
      <c r="BX8" s="36"/>
      <c r="BY8" s="33">
        <v>35.89</v>
      </c>
      <c r="BZ8" s="34"/>
      <c r="CA8" s="35"/>
      <c r="CB8" s="35">
        <v>41.63</v>
      </c>
      <c r="CC8" s="235"/>
      <c r="CD8" s="235">
        <v>32</v>
      </c>
      <c r="CE8" s="36">
        <v>43.74</v>
      </c>
      <c r="CF8" s="30">
        <v>117.52800000000001</v>
      </c>
      <c r="CG8" s="30"/>
      <c r="CH8" s="31"/>
      <c r="CI8" s="32"/>
      <c r="CJ8" s="33">
        <v>1.59</v>
      </c>
      <c r="CK8" s="33"/>
      <c r="CL8" s="35"/>
      <c r="CM8" s="28"/>
      <c r="CN8" s="286"/>
      <c r="CO8" s="249">
        <f t="shared" si="13"/>
        <v>45.041040000000002</v>
      </c>
      <c r="CP8" s="12">
        <f t="shared" si="13"/>
        <v>0</v>
      </c>
      <c r="CQ8" s="12">
        <f t="shared" si="13"/>
        <v>0</v>
      </c>
      <c r="CR8" s="12">
        <f t="shared" si="13"/>
        <v>91.251000000000005</v>
      </c>
      <c r="CS8" s="11">
        <f t="shared" si="13"/>
        <v>0</v>
      </c>
      <c r="CT8" s="11">
        <f t="shared" si="13"/>
        <v>19.584756899999999</v>
      </c>
      <c r="CU8" s="272">
        <f t="shared" si="13"/>
        <v>25.427</v>
      </c>
      <c r="CV8" s="249">
        <f t="shared" si="14"/>
        <v>115.6593048</v>
      </c>
      <c r="CW8" s="12">
        <f t="shared" si="14"/>
        <v>0</v>
      </c>
      <c r="CX8" s="254">
        <f t="shared" si="14"/>
        <v>0</v>
      </c>
      <c r="CY8" s="272">
        <f t="shared" si="14"/>
        <v>0</v>
      </c>
      <c r="CZ8" s="13"/>
      <c r="DA8" s="240">
        <f>(D8+'[2]август 20 '!D8)/(AY8+'[2]август 20 '!BA8)</f>
        <v>2.130236094442469</v>
      </c>
      <c r="DB8" s="241">
        <f>(T8+'[2]август 20 '!T8)/(AY8+'[2]август 20 '!BA8)</f>
        <v>1.343394286677835</v>
      </c>
      <c r="DD8" s="292">
        <f t="shared" si="15"/>
        <v>7.2910000000000004</v>
      </c>
      <c r="DE8" s="291">
        <v>0.11</v>
      </c>
      <c r="DF8" s="291">
        <v>15.08</v>
      </c>
      <c r="DG8" s="145">
        <f t="shared" si="16"/>
        <v>7.2829799000000008</v>
      </c>
      <c r="DH8" s="293">
        <f t="shared" ref="DH8:DH37" si="30">IF(AB8=0,0,(DG8*DF8%)/(AB8/100))</f>
        <v>1.4757771686643377</v>
      </c>
      <c r="DJ8" s="322"/>
    </row>
    <row r="9" spans="1:114" s="76" customFormat="1" ht="16.5" customHeight="1" thickBot="1">
      <c r="A9" s="144">
        <v>3</v>
      </c>
      <c r="B9" s="122">
        <f>'[1]август 20'!K8</f>
        <v>200.00200000000001</v>
      </c>
      <c r="C9" s="123">
        <f t="shared" si="17"/>
        <v>0.42263697363026365</v>
      </c>
      <c r="D9" s="145">
        <f>B9*((100-C9)/100)</f>
        <v>199.15671760000001</v>
      </c>
      <c r="E9" s="125">
        <f t="shared" si="19"/>
        <v>38.981889331106693</v>
      </c>
      <c r="F9" s="146">
        <f t="shared" si="0"/>
        <v>1.9871953462382759</v>
      </c>
      <c r="G9" s="127"/>
      <c r="H9" s="126">
        <f t="shared" si="20"/>
        <v>0.71038433047295957</v>
      </c>
      <c r="I9" s="230">
        <f>'[1]июль 20'!AI8</f>
        <v>0</v>
      </c>
      <c r="J9" s="247">
        <f>'[1]август 20'!AA8</f>
        <v>7.9909999999999997</v>
      </c>
      <c r="K9" s="465">
        <f>'[1]сентябрь 20'!AM8</f>
        <v>0</v>
      </c>
      <c r="L9" s="247">
        <f>'[1]август 20'!AE8</f>
        <v>127.962</v>
      </c>
      <c r="M9" s="469">
        <f t="shared" si="21"/>
        <v>1.2768110157653163</v>
      </c>
      <c r="N9" s="403">
        <f>'[1]август 20'!W8</f>
        <v>0</v>
      </c>
      <c r="O9" s="403">
        <f>'[1]август 20'!AU8</f>
        <v>0</v>
      </c>
      <c r="P9" s="401">
        <f t="shared" si="1"/>
        <v>128.565</v>
      </c>
      <c r="Q9" s="122">
        <f>'[1]август 20'!S8</f>
        <v>128.565</v>
      </c>
      <c r="R9" s="123">
        <f t="shared" si="22"/>
        <v>1.64</v>
      </c>
      <c r="S9" s="129">
        <v>4</v>
      </c>
      <c r="T9" s="125">
        <f t="shared" si="2"/>
        <v>126.456534</v>
      </c>
      <c r="U9" s="147">
        <f>IF(AY9=0,0,T9/AY9)</f>
        <v>1.2617894033127122</v>
      </c>
      <c r="V9" s="130">
        <v>24.63</v>
      </c>
      <c r="W9" s="130">
        <v>49.8</v>
      </c>
      <c r="X9" s="129">
        <v>0.89</v>
      </c>
      <c r="Y9" s="131">
        <v>656</v>
      </c>
      <c r="Z9" s="131">
        <v>1153</v>
      </c>
      <c r="AA9" s="148" t="s">
        <v>337</v>
      </c>
      <c r="AB9" s="149">
        <v>74.73</v>
      </c>
      <c r="AC9" s="150">
        <v>80</v>
      </c>
      <c r="AD9" s="151">
        <v>4</v>
      </c>
      <c r="AE9" s="149">
        <v>2</v>
      </c>
      <c r="AF9" s="134">
        <f t="shared" si="4"/>
        <v>19.956096587507485</v>
      </c>
      <c r="AG9" s="152"/>
      <c r="AH9" s="129">
        <v>71.349999999999994</v>
      </c>
      <c r="AI9" s="134">
        <f t="shared" si="5"/>
        <v>711.93374575932944</v>
      </c>
      <c r="AJ9" s="153">
        <v>17.22</v>
      </c>
      <c r="AK9" s="154"/>
      <c r="AL9" s="155">
        <v>5.57</v>
      </c>
      <c r="AM9" s="478">
        <f t="shared" si="23"/>
        <v>25.92</v>
      </c>
      <c r="AN9" s="126">
        <f t="shared" si="24"/>
        <v>0.2</v>
      </c>
      <c r="AO9" s="157" t="s">
        <v>373</v>
      </c>
      <c r="AP9" s="156">
        <v>9.31</v>
      </c>
      <c r="AQ9" s="156">
        <v>7.08</v>
      </c>
      <c r="AR9" s="149"/>
      <c r="AS9" s="149">
        <v>6.33</v>
      </c>
      <c r="AT9" s="149">
        <v>129.6</v>
      </c>
      <c r="AU9" s="149">
        <v>2.11</v>
      </c>
      <c r="AV9" s="149"/>
      <c r="AW9" s="149"/>
      <c r="AX9" s="158">
        <f t="shared" si="6"/>
        <v>0</v>
      </c>
      <c r="AY9" s="125">
        <f t="shared" si="7"/>
        <v>100.22</v>
      </c>
      <c r="AZ9" s="125">
        <f t="shared" si="25"/>
        <v>92.438688201912242</v>
      </c>
      <c r="BA9" s="159">
        <f t="shared" si="8"/>
        <v>3.4986623239436616</v>
      </c>
      <c r="BB9" s="160">
        <f t="shared" si="9"/>
        <v>4.0087999999999999</v>
      </c>
      <c r="BC9" s="161">
        <f t="shared" si="10"/>
        <v>0.96469835201807486</v>
      </c>
      <c r="BD9" s="160">
        <f t="shared" si="26"/>
        <v>7.5074623239436615</v>
      </c>
      <c r="BE9" s="162">
        <v>0.93200000000000005</v>
      </c>
      <c r="BF9" s="25">
        <f t="shared" si="27"/>
        <v>290.40999999999997</v>
      </c>
      <c r="BG9" s="25">
        <f t="shared" si="11"/>
        <v>107.74193548387096</v>
      </c>
      <c r="BH9" s="25">
        <f t="shared" si="28"/>
        <v>323.22580645161287</v>
      </c>
      <c r="BI9" s="26">
        <f t="shared" si="12"/>
        <v>1</v>
      </c>
      <c r="BJ9" s="37">
        <f t="shared" si="29"/>
        <v>323.22580645161287</v>
      </c>
      <c r="BK9" s="38">
        <v>48.026000000000003</v>
      </c>
      <c r="BL9" s="31"/>
      <c r="BM9" s="31"/>
      <c r="BN9" s="31">
        <v>99.984999999999999</v>
      </c>
      <c r="BO9" s="40"/>
      <c r="BP9" s="40">
        <v>24.013999999999999</v>
      </c>
      <c r="BQ9" s="32">
        <v>27.977</v>
      </c>
      <c r="BR9" s="33">
        <v>0.52</v>
      </c>
      <c r="BS9" s="34"/>
      <c r="BT9" s="35"/>
      <c r="BU9" s="28"/>
      <c r="BV9" s="287"/>
      <c r="BW9" s="287">
        <v>2.48</v>
      </c>
      <c r="BX9" s="36"/>
      <c r="BY9" s="33">
        <v>36.340000000000003</v>
      </c>
      <c r="BZ9" s="34"/>
      <c r="CA9" s="35"/>
      <c r="CB9" s="35">
        <v>41.63</v>
      </c>
      <c r="CC9" s="235"/>
      <c r="CD9" s="235">
        <v>27.51</v>
      </c>
      <c r="CE9" s="36">
        <v>43.9</v>
      </c>
      <c r="CF9" s="30">
        <v>128.565</v>
      </c>
      <c r="CG9" s="30"/>
      <c r="CH9" s="31"/>
      <c r="CI9" s="32"/>
      <c r="CJ9" s="33">
        <v>1.64</v>
      </c>
      <c r="CK9" s="33"/>
      <c r="CL9" s="35"/>
      <c r="CM9" s="36"/>
      <c r="CN9" s="286"/>
      <c r="CO9" s="249">
        <f t="shared" si="13"/>
        <v>47.776264800000007</v>
      </c>
      <c r="CP9" s="12">
        <f t="shared" si="13"/>
        <v>0</v>
      </c>
      <c r="CQ9" s="12">
        <f t="shared" si="13"/>
        <v>0</v>
      </c>
      <c r="CR9" s="12">
        <f t="shared" si="13"/>
        <v>99.984999999999999</v>
      </c>
      <c r="CS9" s="11">
        <f t="shared" si="13"/>
        <v>0</v>
      </c>
      <c r="CT9" s="11">
        <f t="shared" si="13"/>
        <v>23.418452799999997</v>
      </c>
      <c r="CU9" s="272">
        <f t="shared" si="13"/>
        <v>27.977</v>
      </c>
      <c r="CV9" s="249">
        <f t="shared" si="14"/>
        <v>126.456534</v>
      </c>
      <c r="CW9" s="251">
        <f t="shared" si="14"/>
        <v>0</v>
      </c>
      <c r="CX9" s="249">
        <f t="shared" si="14"/>
        <v>0</v>
      </c>
      <c r="CY9" s="272">
        <f t="shared" si="14"/>
        <v>0</v>
      </c>
      <c r="CZ9" s="13"/>
      <c r="DA9" s="240">
        <f>(D9+'[2]август 20 '!D9)/(AY9+'[2]август 20 '!BA9)</f>
        <v>2.0697061485915347</v>
      </c>
      <c r="DB9" s="241">
        <f>(T9+'[2]август 20 '!T9)/(AY9+'[2]август 20 '!BA9)</f>
        <v>1.3035485970325675</v>
      </c>
      <c r="DD9" s="292">
        <f t="shared" si="15"/>
        <v>7.9909999999999997</v>
      </c>
      <c r="DE9" s="291">
        <v>0.13</v>
      </c>
      <c r="DF9" s="291">
        <v>16.34</v>
      </c>
      <c r="DG9" s="145">
        <f t="shared" si="16"/>
        <v>7.9806116999999999</v>
      </c>
      <c r="DH9" s="293">
        <f t="shared" si="30"/>
        <v>1.7449912374949816</v>
      </c>
      <c r="DJ9" s="322"/>
    </row>
    <row r="10" spans="1:114" s="76" customFormat="1" ht="16.5" customHeight="1" thickBot="1">
      <c r="A10" s="144">
        <v>4</v>
      </c>
      <c r="B10" s="122">
        <f>'[1]август 20'!K9</f>
        <v>120.307</v>
      </c>
      <c r="C10" s="123">
        <f t="shared" si="17"/>
        <v>0.47911459848554105</v>
      </c>
      <c r="D10" s="145">
        <f t="shared" si="18"/>
        <v>119.7305916</v>
      </c>
      <c r="E10" s="125">
        <f>IF(B10=0,0,(BK10*BY10+BL10*BZ10+BM10*CA10+BQ10*CE10+BN10*CB10+BO10*CC10+BP10*CD10)/B10)</f>
        <v>39.375830999027485</v>
      </c>
      <c r="F10" s="146">
        <f t="shared" si="0"/>
        <v>1.8678719438377531</v>
      </c>
      <c r="G10" s="127"/>
      <c r="H10" s="126">
        <f t="shared" si="20"/>
        <v>0.66751312948517927</v>
      </c>
      <c r="I10" s="230">
        <f>'[1]июль 20'!AI9</f>
        <v>0</v>
      </c>
      <c r="J10" s="247">
        <f>'[1]август 20'!AA9</f>
        <v>4.8239999999999998</v>
      </c>
      <c r="K10" s="466">
        <f>'[1]сентябрь 20'!AM9</f>
        <v>0</v>
      </c>
      <c r="L10" s="247">
        <f>'[1]август 20'!AE9</f>
        <v>76.942999999999998</v>
      </c>
      <c r="M10" s="470">
        <f t="shared" si="21"/>
        <v>1.2003588143525739</v>
      </c>
      <c r="N10" s="403">
        <f>'[1]август 20'!W9</f>
        <v>0</v>
      </c>
      <c r="O10" s="403">
        <f>'[1]август 20'!AU9</f>
        <v>0</v>
      </c>
      <c r="P10" s="401">
        <f t="shared" si="1"/>
        <v>87.697999999999993</v>
      </c>
      <c r="Q10" s="122">
        <f>'[1]август 20'!S9</f>
        <v>87.697999999999993</v>
      </c>
      <c r="R10" s="123">
        <f t="shared" si="22"/>
        <v>1.31</v>
      </c>
      <c r="S10" s="129">
        <v>2.29</v>
      </c>
      <c r="T10" s="125">
        <f t="shared" si="2"/>
        <v>86.549156199999999</v>
      </c>
      <c r="U10" s="147">
        <f t="shared" si="3"/>
        <v>1.350220845553822</v>
      </c>
      <c r="V10" s="130"/>
      <c r="W10" s="130">
        <v>47.01</v>
      </c>
      <c r="X10" s="129">
        <v>0.53</v>
      </c>
      <c r="Y10" s="131">
        <v>638</v>
      </c>
      <c r="Z10" s="131">
        <v>1099</v>
      </c>
      <c r="AA10" s="148" t="s">
        <v>336</v>
      </c>
      <c r="AB10" s="149">
        <v>73.39</v>
      </c>
      <c r="AC10" s="150">
        <v>51</v>
      </c>
      <c r="AD10" s="151">
        <v>3</v>
      </c>
      <c r="AE10" s="149">
        <v>2.65</v>
      </c>
      <c r="AF10" s="134">
        <f t="shared" si="4"/>
        <v>41.341653666146634</v>
      </c>
      <c r="AG10" s="152"/>
      <c r="AH10" s="129">
        <v>45</v>
      </c>
      <c r="AI10" s="134">
        <f t="shared" si="5"/>
        <v>702.02808112324487</v>
      </c>
      <c r="AJ10" s="153">
        <v>11.4</v>
      </c>
      <c r="AK10" s="154"/>
      <c r="AL10" s="155">
        <v>3.35</v>
      </c>
      <c r="AM10" s="478">
        <f t="shared" si="23"/>
        <v>16.59</v>
      </c>
      <c r="AN10" s="126">
        <f t="shared" si="24"/>
        <v>0.19999999999999998</v>
      </c>
      <c r="AO10" s="157" t="s">
        <v>374</v>
      </c>
      <c r="AP10" s="156">
        <v>9.5500000000000007</v>
      </c>
      <c r="AQ10" s="156">
        <v>6.27</v>
      </c>
      <c r="AR10" s="149"/>
      <c r="AS10" s="149">
        <v>7.89</v>
      </c>
      <c r="AT10" s="149">
        <v>82.95</v>
      </c>
      <c r="AU10" s="149">
        <v>1.0900000000000001</v>
      </c>
      <c r="AV10" s="149"/>
      <c r="AW10" s="149"/>
      <c r="AX10" s="158">
        <f t="shared" si="6"/>
        <v>0</v>
      </c>
      <c r="AY10" s="125">
        <f>AT10-AL10-AM10+AV10+AW10+AU10</f>
        <v>64.100000000000009</v>
      </c>
      <c r="AZ10" s="125">
        <f t="shared" si="25"/>
        <v>56.939373953437411</v>
      </c>
      <c r="BA10" s="159">
        <f t="shared" si="8"/>
        <v>2.750387323943662</v>
      </c>
      <c r="BB10" s="160">
        <f t="shared" si="9"/>
        <v>2.5640000000000005</v>
      </c>
      <c r="BC10" s="161">
        <f t="shared" si="10"/>
        <v>0.99783804039775048</v>
      </c>
      <c r="BD10" s="160">
        <f t="shared" si="26"/>
        <v>5.314387323943663</v>
      </c>
      <c r="BE10" s="162">
        <v>0.94299999999999995</v>
      </c>
      <c r="BF10" s="25">
        <f t="shared" si="27"/>
        <v>354.51</v>
      </c>
      <c r="BG10" s="25">
        <f t="shared" si="11"/>
        <v>107.74193548387096</v>
      </c>
      <c r="BH10" s="25">
        <f t="shared" si="28"/>
        <v>430.96774193548384</v>
      </c>
      <c r="BI10" s="26">
        <f t="shared" si="12"/>
        <v>1</v>
      </c>
      <c r="BJ10" s="37">
        <f t="shared" si="29"/>
        <v>430.96774193548384</v>
      </c>
      <c r="BK10" s="38">
        <v>27.204999999999998</v>
      </c>
      <c r="BL10" s="31"/>
      <c r="BM10" s="31"/>
      <c r="BN10" s="31">
        <v>60.145000000000003</v>
      </c>
      <c r="BO10" s="40"/>
      <c r="BP10" s="40">
        <v>16.158999999999999</v>
      </c>
      <c r="BQ10" s="32">
        <v>16.797999999999998</v>
      </c>
      <c r="BR10" s="33">
        <v>0.42</v>
      </c>
      <c r="BS10" s="34"/>
      <c r="BT10" s="35"/>
      <c r="BU10" s="28"/>
      <c r="BV10" s="287"/>
      <c r="BW10" s="287">
        <v>2.86</v>
      </c>
      <c r="BX10" s="36"/>
      <c r="BY10" s="33">
        <v>36.24</v>
      </c>
      <c r="BZ10" s="34"/>
      <c r="CA10" s="35"/>
      <c r="CB10" s="35">
        <v>41.61</v>
      </c>
      <c r="CC10" s="235"/>
      <c r="CD10" s="235">
        <v>31.73</v>
      </c>
      <c r="CE10" s="36">
        <v>43.81</v>
      </c>
      <c r="CF10" s="30">
        <v>87.697999999999993</v>
      </c>
      <c r="CG10" s="30"/>
      <c r="CH10" s="31"/>
      <c r="CI10" s="32"/>
      <c r="CJ10" s="33">
        <v>1.31</v>
      </c>
      <c r="CK10" s="33"/>
      <c r="CL10" s="35"/>
      <c r="CM10" s="36"/>
      <c r="CN10" s="286"/>
      <c r="CO10" s="249">
        <f t="shared" si="13"/>
        <v>27.090738999999999</v>
      </c>
      <c r="CP10" s="12">
        <f t="shared" si="13"/>
        <v>0</v>
      </c>
      <c r="CQ10" s="12">
        <f t="shared" si="13"/>
        <v>0</v>
      </c>
      <c r="CR10" s="14">
        <f t="shared" si="13"/>
        <v>60.145000000000003</v>
      </c>
      <c r="CS10" s="11">
        <f t="shared" si="13"/>
        <v>0</v>
      </c>
      <c r="CT10" s="11">
        <f t="shared" si="13"/>
        <v>15.6968526</v>
      </c>
      <c r="CU10" s="272">
        <f t="shared" si="13"/>
        <v>16.797999999999998</v>
      </c>
      <c r="CV10" s="249">
        <f t="shared" si="14"/>
        <v>86.549156199999999</v>
      </c>
      <c r="CW10" s="12">
        <f t="shared" si="14"/>
        <v>0</v>
      </c>
      <c r="CX10" s="249">
        <f t="shared" si="14"/>
        <v>0</v>
      </c>
      <c r="CY10" s="272">
        <f t="shared" si="14"/>
        <v>0</v>
      </c>
      <c r="CZ10" s="13"/>
      <c r="DA10" s="240">
        <f>(D10+'[2]август 20 '!D10)/(AY10+'[2]август 20 '!BA10)</f>
        <v>2.0021522329583163</v>
      </c>
      <c r="DB10" s="241">
        <f>(T10+'[2]август 20 '!T10)/(AY10+'[2]август 20 '!BA10)</f>
        <v>1.2984067875997776</v>
      </c>
      <c r="DD10" s="292">
        <f t="shared" si="15"/>
        <v>4.8239999999999998</v>
      </c>
      <c r="DE10" s="291">
        <v>1.39</v>
      </c>
      <c r="DF10" s="291">
        <v>13.25</v>
      </c>
      <c r="DG10" s="145">
        <f t="shared" si="16"/>
        <v>4.7569463999999995</v>
      </c>
      <c r="DH10" s="293">
        <f t="shared" si="30"/>
        <v>0.85883008311759101</v>
      </c>
      <c r="DJ10" s="322"/>
    </row>
    <row r="11" spans="1:114" s="76" customFormat="1" ht="16.5" customHeight="1" thickBot="1">
      <c r="A11" s="144">
        <v>5</v>
      </c>
      <c r="B11" s="122">
        <f>'[1]август 20'!K10</f>
        <v>212.636</v>
      </c>
      <c r="C11" s="123">
        <f t="shared" si="17"/>
        <v>0.51290599898417943</v>
      </c>
      <c r="D11" s="145">
        <f t="shared" si="18"/>
        <v>211.54537719999999</v>
      </c>
      <c r="E11" s="125">
        <f t="shared" si="19"/>
        <v>39.028030107789839</v>
      </c>
      <c r="F11" s="146">
        <f t="shared" si="0"/>
        <v>2.3578396923762819</v>
      </c>
      <c r="G11" s="127"/>
      <c r="H11" s="126">
        <f t="shared" si="20"/>
        <v>0.86736934016941591</v>
      </c>
      <c r="I11" s="230">
        <f>'[1]июль 20'!AI10</f>
        <v>0</v>
      </c>
      <c r="J11" s="247">
        <f>'[1]август 20'!AA10</f>
        <v>8.8879999999999999</v>
      </c>
      <c r="K11" s="464">
        <f>'[1]сентябрь 20'!AM10</f>
        <v>0</v>
      </c>
      <c r="L11" s="247">
        <f>'[1]август 20'!AE10</f>
        <v>133.72499999999999</v>
      </c>
      <c r="M11" s="468">
        <f t="shared" si="21"/>
        <v>1.4904703522068659</v>
      </c>
      <c r="N11" s="403">
        <f>'[1]август 20'!W10</f>
        <v>0</v>
      </c>
      <c r="O11" s="403">
        <f>'[1]август 20'!AU10</f>
        <v>0</v>
      </c>
      <c r="P11" s="401">
        <f t="shared" si="1"/>
        <v>138.036</v>
      </c>
      <c r="Q11" s="122">
        <f>'[1]август 20'!S10</f>
        <v>138.036</v>
      </c>
      <c r="R11" s="123">
        <f t="shared" si="22"/>
        <v>1.47</v>
      </c>
      <c r="S11" s="129">
        <v>2</v>
      </c>
      <c r="T11" s="125">
        <f t="shared" si="2"/>
        <v>136.0068708</v>
      </c>
      <c r="U11" s="147">
        <f t="shared" si="3"/>
        <v>1.5159035978600091</v>
      </c>
      <c r="V11" s="130"/>
      <c r="W11" s="130"/>
      <c r="X11" s="129">
        <v>1.57</v>
      </c>
      <c r="Y11" s="131">
        <v>664</v>
      </c>
      <c r="Z11" s="131">
        <v>1154</v>
      </c>
      <c r="AA11" s="148" t="s">
        <v>375</v>
      </c>
      <c r="AB11" s="149">
        <v>74.13</v>
      </c>
      <c r="AC11" s="150">
        <v>85</v>
      </c>
      <c r="AD11" s="151">
        <v>4</v>
      </c>
      <c r="AE11" s="149">
        <v>3.35</v>
      </c>
      <c r="AF11" s="134">
        <f t="shared" si="4"/>
        <v>37.338386090057959</v>
      </c>
      <c r="AG11" s="152"/>
      <c r="AH11" s="129">
        <v>64.55</v>
      </c>
      <c r="AI11" s="134">
        <f t="shared" si="5"/>
        <v>719.46054391440032</v>
      </c>
      <c r="AJ11" s="163">
        <v>12.6</v>
      </c>
      <c r="AK11" s="154"/>
      <c r="AL11" s="155">
        <v>4.46</v>
      </c>
      <c r="AM11" s="478">
        <f t="shared" si="23"/>
        <v>23.37</v>
      </c>
      <c r="AN11" s="126">
        <f t="shared" si="24"/>
        <v>0.2</v>
      </c>
      <c r="AO11" s="157" t="s">
        <v>374</v>
      </c>
      <c r="AP11" s="156">
        <v>9.81</v>
      </c>
      <c r="AQ11" s="156">
        <v>6.28</v>
      </c>
      <c r="AR11" s="149"/>
      <c r="AS11" s="149">
        <v>6.61</v>
      </c>
      <c r="AT11" s="149">
        <v>116.85</v>
      </c>
      <c r="AU11" s="149">
        <v>0.7</v>
      </c>
      <c r="AV11" s="149"/>
      <c r="AW11" s="149"/>
      <c r="AX11" s="158">
        <f t="shared" si="6"/>
        <v>0</v>
      </c>
      <c r="AY11" s="125">
        <f t="shared" si="7"/>
        <v>89.72</v>
      </c>
      <c r="AZ11" s="125">
        <f t="shared" si="25"/>
        <v>98.876763794639658</v>
      </c>
      <c r="BA11" s="159">
        <f t="shared" si="8"/>
        <v>3.3052327464788731</v>
      </c>
      <c r="BB11" s="160">
        <f t="shared" si="9"/>
        <v>3.5888</v>
      </c>
      <c r="BC11" s="161">
        <f t="shared" si="10"/>
        <v>0.80556964744035486</v>
      </c>
      <c r="BD11" s="160">
        <f t="shared" si="26"/>
        <v>6.8940327464788727</v>
      </c>
      <c r="BE11" s="162">
        <v>0.91</v>
      </c>
      <c r="BF11" s="25">
        <f t="shared" si="27"/>
        <v>444.23</v>
      </c>
      <c r="BG11" s="25">
        <f t="shared" si="11"/>
        <v>107.74193548387096</v>
      </c>
      <c r="BH11" s="25">
        <f t="shared" si="28"/>
        <v>538.70967741935476</v>
      </c>
      <c r="BI11" s="26">
        <f t="shared" si="12"/>
        <v>1</v>
      </c>
      <c r="BJ11" s="37">
        <f t="shared" si="29"/>
        <v>538.70967741935476</v>
      </c>
      <c r="BK11" s="38">
        <v>47.960999999999999</v>
      </c>
      <c r="BL11" s="31"/>
      <c r="BM11" s="31"/>
      <c r="BN11" s="31">
        <v>103.946</v>
      </c>
      <c r="BO11" s="40"/>
      <c r="BP11" s="40">
        <v>30.95</v>
      </c>
      <c r="BQ11" s="32">
        <v>29.779</v>
      </c>
      <c r="BR11" s="33">
        <v>0.48</v>
      </c>
      <c r="BS11" s="34"/>
      <c r="BT11" s="35"/>
      <c r="BU11" s="28"/>
      <c r="BV11" s="287"/>
      <c r="BW11" s="287">
        <v>2.78</v>
      </c>
      <c r="BX11" s="36"/>
      <c r="BY11" s="33">
        <v>35.08</v>
      </c>
      <c r="BZ11" s="34"/>
      <c r="CA11" s="35"/>
      <c r="CB11" s="35">
        <v>41.66</v>
      </c>
      <c r="CC11" s="235"/>
      <c r="CD11" s="235">
        <v>31.59</v>
      </c>
      <c r="CE11" s="36">
        <v>43.93</v>
      </c>
      <c r="CF11" s="30">
        <v>138.036</v>
      </c>
      <c r="CG11" s="30"/>
      <c r="CH11" s="31"/>
      <c r="CI11" s="32"/>
      <c r="CJ11" s="33">
        <v>1.47</v>
      </c>
      <c r="CK11" s="33"/>
      <c r="CL11" s="35"/>
      <c r="CM11" s="36"/>
      <c r="CN11" s="286"/>
      <c r="CO11" s="249">
        <f t="shared" si="13"/>
        <v>47.730787199999995</v>
      </c>
      <c r="CP11" s="12">
        <f t="shared" si="13"/>
        <v>0</v>
      </c>
      <c r="CQ11" s="15">
        <f t="shared" si="13"/>
        <v>0</v>
      </c>
      <c r="CR11" s="16">
        <f t="shared" si="13"/>
        <v>103.946</v>
      </c>
      <c r="CS11" s="11">
        <f t="shared" si="13"/>
        <v>0</v>
      </c>
      <c r="CT11" s="11">
        <f t="shared" si="13"/>
        <v>30.089589999999998</v>
      </c>
      <c r="CU11" s="272">
        <f t="shared" si="13"/>
        <v>29.779</v>
      </c>
      <c r="CV11" s="249">
        <f t="shared" si="14"/>
        <v>136.0068708</v>
      </c>
      <c r="CW11" s="12">
        <f t="shared" si="14"/>
        <v>0</v>
      </c>
      <c r="CX11" s="249">
        <f t="shared" si="14"/>
        <v>0</v>
      </c>
      <c r="CY11" s="272">
        <f t="shared" si="14"/>
        <v>0</v>
      </c>
      <c r="CZ11" s="13"/>
      <c r="DA11" s="240">
        <f>(D11+'[2]август 20 '!D11)/(AY11+'[2]август 20 '!BA11)</f>
        <v>2.2073273126296056</v>
      </c>
      <c r="DB11" s="241">
        <f>(T11+'[2]август 20 '!T11)/(AY11+'[2]август 20 '!BA11)</f>
        <v>1.3839207756961809</v>
      </c>
      <c r="DD11" s="292">
        <f t="shared" si="15"/>
        <v>8.8879999999999999</v>
      </c>
      <c r="DE11" s="291">
        <v>0.33</v>
      </c>
      <c r="DF11" s="407">
        <v>13.78</v>
      </c>
      <c r="DG11" s="145">
        <f t="shared" si="16"/>
        <v>8.8586696000000007</v>
      </c>
      <c r="DH11" s="293">
        <f t="shared" si="30"/>
        <v>1.6467350207473361</v>
      </c>
      <c r="DJ11" s="322"/>
    </row>
    <row r="12" spans="1:114" s="76" customFormat="1" ht="16.5" customHeight="1" thickBot="1">
      <c r="A12" s="144">
        <v>6</v>
      </c>
      <c r="B12" s="122">
        <f>'[1]август 20'!K11</f>
        <v>200.13</v>
      </c>
      <c r="C12" s="123">
        <f t="shared" si="17"/>
        <v>0.56458122220556639</v>
      </c>
      <c r="D12" s="145">
        <f t="shared" si="18"/>
        <v>199.00010360000002</v>
      </c>
      <c r="E12" s="125">
        <f t="shared" si="19"/>
        <v>38.935719532303999</v>
      </c>
      <c r="F12" s="146">
        <f t="shared" si="0"/>
        <v>2.1031505347706618</v>
      </c>
      <c r="G12" s="127"/>
      <c r="H12" s="126">
        <f t="shared" si="20"/>
        <v>0.85931202282815478</v>
      </c>
      <c r="I12" s="230">
        <f>'[1]июль 20'!AI11</f>
        <v>0</v>
      </c>
      <c r="J12" s="247">
        <f>'[1]август 20'!AA11</f>
        <v>7.9619999999999997</v>
      </c>
      <c r="K12" s="465">
        <f>'[1]сентябрь 20'!AM11</f>
        <v>0</v>
      </c>
      <c r="L12" s="247">
        <f>'[1]август 20'!AE11</f>
        <v>117.69199999999999</v>
      </c>
      <c r="M12" s="469">
        <f t="shared" si="21"/>
        <v>1.2438385119425071</v>
      </c>
      <c r="N12" s="403">
        <f>'[1]август 20'!W11</f>
        <v>0</v>
      </c>
      <c r="O12" s="403">
        <f>'[1]август 20'!AU11</f>
        <v>0</v>
      </c>
      <c r="P12" s="401">
        <f t="shared" si="1"/>
        <v>129.23599999999999</v>
      </c>
      <c r="Q12" s="122">
        <f>'[1]август 20'!S11</f>
        <v>129.23599999999999</v>
      </c>
      <c r="R12" s="123">
        <f t="shared" si="22"/>
        <v>1.46</v>
      </c>
      <c r="S12" s="129">
        <v>2</v>
      </c>
      <c r="T12" s="125">
        <f t="shared" si="2"/>
        <v>127.3491544</v>
      </c>
      <c r="U12" s="147">
        <f t="shared" si="3"/>
        <v>1.3459010188120906</v>
      </c>
      <c r="V12" s="130"/>
      <c r="W12" s="130">
        <v>71.81</v>
      </c>
      <c r="X12" s="129">
        <v>0.52</v>
      </c>
      <c r="Y12" s="131">
        <v>680</v>
      </c>
      <c r="Z12" s="150">
        <v>1140</v>
      </c>
      <c r="AA12" s="148" t="s">
        <v>336</v>
      </c>
      <c r="AB12" s="149">
        <v>73.61</v>
      </c>
      <c r="AC12" s="150">
        <v>80</v>
      </c>
      <c r="AD12" s="151">
        <v>4</v>
      </c>
      <c r="AE12" s="149">
        <v>3.05</v>
      </c>
      <c r="AF12" s="134">
        <f t="shared" si="4"/>
        <v>32.234199957725643</v>
      </c>
      <c r="AG12" s="152"/>
      <c r="AH12" s="129">
        <v>73.05</v>
      </c>
      <c r="AI12" s="134">
        <f t="shared" si="5"/>
        <v>772.03551046290431</v>
      </c>
      <c r="AJ12" s="153">
        <v>12.41</v>
      </c>
      <c r="AK12" s="154"/>
      <c r="AL12" s="155">
        <v>5.5</v>
      </c>
      <c r="AM12" s="478">
        <f t="shared" si="23"/>
        <v>24.790000000000003</v>
      </c>
      <c r="AN12" s="126">
        <f t="shared" si="24"/>
        <v>0.2</v>
      </c>
      <c r="AO12" s="157" t="s">
        <v>376</v>
      </c>
      <c r="AP12" s="156">
        <v>8.76</v>
      </c>
      <c r="AQ12" s="156">
        <v>6.1</v>
      </c>
      <c r="AR12" s="149"/>
      <c r="AS12" s="149">
        <v>8.64</v>
      </c>
      <c r="AT12" s="149">
        <v>123.95</v>
      </c>
      <c r="AU12" s="149">
        <v>0.96</v>
      </c>
      <c r="AV12" s="164"/>
      <c r="AW12" s="164"/>
      <c r="AX12" s="158">
        <f t="shared" si="6"/>
        <v>0</v>
      </c>
      <c r="AY12" s="125">
        <f t="shared" si="7"/>
        <v>94.61999999999999</v>
      </c>
      <c r="AZ12" s="125">
        <f t="shared" si="25"/>
        <v>93.083288047576019</v>
      </c>
      <c r="BA12" s="159">
        <f t="shared" si="8"/>
        <v>4.8892056338028169</v>
      </c>
      <c r="BB12" s="160">
        <f t="shared" si="9"/>
        <v>3.7847999999999997</v>
      </c>
      <c r="BC12" s="161">
        <f t="shared" si="10"/>
        <v>0.89891422713233193</v>
      </c>
      <c r="BD12" s="160">
        <f t="shared" si="26"/>
        <v>8.6740056338028175</v>
      </c>
      <c r="BE12" s="162">
        <v>0.91</v>
      </c>
      <c r="BF12" s="25">
        <f t="shared" si="27"/>
        <v>538.85</v>
      </c>
      <c r="BG12" s="25">
        <f t="shared" si="11"/>
        <v>107.74193548387096</v>
      </c>
      <c r="BH12" s="25">
        <f t="shared" si="28"/>
        <v>646.45161290322574</v>
      </c>
      <c r="BI12" s="26">
        <f t="shared" si="12"/>
        <v>1</v>
      </c>
      <c r="BJ12" s="37">
        <f t="shared" si="29"/>
        <v>646.45161290322574</v>
      </c>
      <c r="BK12" s="38">
        <v>50.432000000000002</v>
      </c>
      <c r="BL12" s="31"/>
      <c r="BM12" s="31"/>
      <c r="BN12" s="31">
        <v>90.832999999999998</v>
      </c>
      <c r="BO12" s="40"/>
      <c r="BP12" s="40">
        <v>32.006</v>
      </c>
      <c r="BQ12" s="32">
        <v>26.859000000000002</v>
      </c>
      <c r="BR12" s="33">
        <v>0.73</v>
      </c>
      <c r="BS12" s="34"/>
      <c r="BT12" s="33"/>
      <c r="BU12" s="28"/>
      <c r="BV12" s="287"/>
      <c r="BW12" s="287">
        <v>2.38</v>
      </c>
      <c r="BX12" s="36"/>
      <c r="BY12" s="33">
        <v>36.520000000000003</v>
      </c>
      <c r="BZ12" s="34"/>
      <c r="CA12" s="33"/>
      <c r="CB12" s="35">
        <v>41.75</v>
      </c>
      <c r="CC12" s="235"/>
      <c r="CD12" s="235">
        <v>30.69</v>
      </c>
      <c r="CE12" s="36">
        <v>43.78</v>
      </c>
      <c r="CF12" s="30">
        <v>129.23599999999999</v>
      </c>
      <c r="CG12" s="30"/>
      <c r="CH12" s="31"/>
      <c r="CI12" s="32"/>
      <c r="CJ12" s="33">
        <v>1.46</v>
      </c>
      <c r="CK12" s="33"/>
      <c r="CL12" s="35"/>
      <c r="CM12" s="36"/>
      <c r="CN12" s="286"/>
      <c r="CO12" s="249">
        <f t="shared" si="13"/>
        <v>50.063846399999996</v>
      </c>
      <c r="CP12" s="12">
        <f t="shared" si="13"/>
        <v>0</v>
      </c>
      <c r="CQ12" s="12">
        <f t="shared" si="13"/>
        <v>0</v>
      </c>
      <c r="CR12" s="12">
        <f t="shared" si="13"/>
        <v>90.832999999999998</v>
      </c>
      <c r="CS12" s="11">
        <f t="shared" si="13"/>
        <v>0</v>
      </c>
      <c r="CT12" s="11">
        <f t="shared" si="13"/>
        <v>31.244257200000003</v>
      </c>
      <c r="CU12" s="272">
        <f t="shared" si="13"/>
        <v>26.859000000000002</v>
      </c>
      <c r="CV12" s="249">
        <f t="shared" si="14"/>
        <v>127.3491544</v>
      </c>
      <c r="CW12" s="12">
        <f t="shared" si="14"/>
        <v>0</v>
      </c>
      <c r="CX12" s="252">
        <f t="shared" si="14"/>
        <v>0</v>
      </c>
      <c r="CY12" s="272">
        <f t="shared" si="14"/>
        <v>0</v>
      </c>
      <c r="CZ12" s="13"/>
      <c r="DA12" s="240">
        <f>(D12+'[2]август 20 '!D12)/(AY12+'[2]август 20 '!BA12)</f>
        <v>2.1535656992864665</v>
      </c>
      <c r="DB12" s="241">
        <f>(T12+'[2]август 20 '!T12)/(AY12+'[2]август 20 '!BA12)</f>
        <v>1.3463827905015544</v>
      </c>
      <c r="DD12" s="292">
        <f t="shared" si="15"/>
        <v>7.9619999999999997</v>
      </c>
      <c r="DE12" s="291">
        <v>0.17</v>
      </c>
      <c r="DF12" s="291">
        <v>11.03</v>
      </c>
      <c r="DG12" s="145">
        <f t="shared" si="16"/>
        <v>7.9484645999999994</v>
      </c>
      <c r="DH12" s="293">
        <f t="shared" si="30"/>
        <v>1.1910279111262057</v>
      </c>
      <c r="DJ12" s="322"/>
    </row>
    <row r="13" spans="1:114" s="76" customFormat="1" ht="16.5" customHeight="1" thickBot="1">
      <c r="A13" s="144">
        <v>7</v>
      </c>
      <c r="B13" s="122">
        <f>'[1]август 20'!K12</f>
        <v>221.209</v>
      </c>
      <c r="C13" s="123">
        <f t="shared" si="17"/>
        <v>0.61695753789402774</v>
      </c>
      <c r="D13" s="145">
        <f t="shared" si="18"/>
        <v>219.8442344</v>
      </c>
      <c r="E13" s="125">
        <f t="shared" si="19"/>
        <v>39.009303464144772</v>
      </c>
      <c r="F13" s="146">
        <f t="shared" si="0"/>
        <v>2.3153684507635597</v>
      </c>
      <c r="G13" s="127"/>
      <c r="H13" s="126">
        <f t="shared" si="20"/>
        <v>1.048922953133228</v>
      </c>
      <c r="I13" s="230">
        <f>'[1]июль 20'!AI12</f>
        <v>0</v>
      </c>
      <c r="J13" s="247">
        <f>'[1]август 20'!AA12</f>
        <v>8.9969999999999999</v>
      </c>
      <c r="K13" s="464">
        <f>'[1]сентябрь 20'!AM12</f>
        <v>0</v>
      </c>
      <c r="L13" s="247">
        <f>'[1]август 20'!AE12</f>
        <v>120.249</v>
      </c>
      <c r="M13" s="468">
        <f t="shared" si="21"/>
        <v>1.2664454976303319</v>
      </c>
      <c r="N13" s="403">
        <f>'[1]август 20'!W12</f>
        <v>0</v>
      </c>
      <c r="O13" s="403">
        <f>'[1]август 20'!AU12</f>
        <v>0</v>
      </c>
      <c r="P13" s="401">
        <f t="shared" si="1"/>
        <v>140.33199999999999</v>
      </c>
      <c r="Q13" s="122">
        <f>'[1]август 20'!S12</f>
        <v>140.33199999999999</v>
      </c>
      <c r="R13" s="123">
        <f t="shared" si="22"/>
        <v>1.47</v>
      </c>
      <c r="S13" s="129">
        <v>11.95</v>
      </c>
      <c r="T13" s="125">
        <f t="shared" si="2"/>
        <v>138.26911960000001</v>
      </c>
      <c r="U13" s="147">
        <f t="shared" si="3"/>
        <v>1.4562308541337547</v>
      </c>
      <c r="V13" s="130">
        <v>23.66</v>
      </c>
      <c r="W13" s="130">
        <v>47.74</v>
      </c>
      <c r="X13" s="129">
        <v>1.1299999999999999</v>
      </c>
      <c r="Y13" s="165">
        <v>688</v>
      </c>
      <c r="Z13" s="166">
        <v>1142</v>
      </c>
      <c r="AA13" s="148" t="s">
        <v>377</v>
      </c>
      <c r="AB13" s="149">
        <v>74.05</v>
      </c>
      <c r="AC13" s="150">
        <v>87</v>
      </c>
      <c r="AD13" s="151">
        <v>4</v>
      </c>
      <c r="AE13" s="149">
        <v>4.05</v>
      </c>
      <c r="AF13" s="134">
        <f t="shared" si="4"/>
        <v>42.654028436018955</v>
      </c>
      <c r="AG13" s="152"/>
      <c r="AH13" s="129">
        <v>73.3</v>
      </c>
      <c r="AI13" s="134">
        <f t="shared" si="5"/>
        <v>771.9852553975777</v>
      </c>
      <c r="AJ13" s="136">
        <v>12.93</v>
      </c>
      <c r="AK13" s="154"/>
      <c r="AL13" s="155">
        <v>5.66</v>
      </c>
      <c r="AM13" s="478">
        <f t="shared" si="23"/>
        <v>24.840000000000003</v>
      </c>
      <c r="AN13" s="126">
        <f t="shared" si="24"/>
        <v>0.2</v>
      </c>
      <c r="AO13" s="157" t="s">
        <v>378</v>
      </c>
      <c r="AP13" s="156">
        <v>9.32</v>
      </c>
      <c r="AQ13" s="156">
        <v>6.14</v>
      </c>
      <c r="AR13" s="149"/>
      <c r="AS13" s="149">
        <v>8.6199999999999992</v>
      </c>
      <c r="AT13" s="149">
        <v>124.2</v>
      </c>
      <c r="AU13" s="149">
        <v>1.25</v>
      </c>
      <c r="AV13" s="149"/>
      <c r="AW13" s="149"/>
      <c r="AX13" s="158">
        <f t="shared" si="6"/>
        <v>0</v>
      </c>
      <c r="AY13" s="125">
        <f t="shared" si="7"/>
        <v>94.95</v>
      </c>
      <c r="AZ13" s="125">
        <f t="shared" si="25"/>
        <v>102.80362348601014</v>
      </c>
      <c r="BA13" s="159">
        <f t="shared" si="8"/>
        <v>4.8945816901408445</v>
      </c>
      <c r="BB13" s="160">
        <f t="shared" si="9"/>
        <v>3.798</v>
      </c>
      <c r="BC13" s="161">
        <f t="shared" si="10"/>
        <v>0.8198544453086215</v>
      </c>
      <c r="BD13" s="160">
        <f t="shared" si="26"/>
        <v>8.6925816901408446</v>
      </c>
      <c r="BE13" s="162">
        <v>0.89500000000000002</v>
      </c>
      <c r="BF13" s="25">
        <f t="shared" si="27"/>
        <v>633.80000000000007</v>
      </c>
      <c r="BG13" s="25">
        <f t="shared" si="11"/>
        <v>107.74193548387096</v>
      </c>
      <c r="BH13" s="25">
        <f t="shared" si="28"/>
        <v>754.19354838709671</v>
      </c>
      <c r="BI13" s="26">
        <f t="shared" si="12"/>
        <v>1</v>
      </c>
      <c r="BJ13" s="37">
        <f t="shared" si="29"/>
        <v>754.19354838709671</v>
      </c>
      <c r="BK13" s="39">
        <v>62.587000000000003</v>
      </c>
      <c r="BL13" s="40"/>
      <c r="BM13" s="325"/>
      <c r="BN13" s="31">
        <v>95.674000000000007</v>
      </c>
      <c r="BO13" s="40"/>
      <c r="BP13" s="40">
        <v>38.372999999999998</v>
      </c>
      <c r="BQ13" s="32">
        <v>24.574999999999999</v>
      </c>
      <c r="BR13" s="33">
        <v>0.47</v>
      </c>
      <c r="BS13" s="34"/>
      <c r="BT13" s="33"/>
      <c r="BU13" s="28"/>
      <c r="BV13" s="287"/>
      <c r="BW13" s="287">
        <v>2.79</v>
      </c>
      <c r="BX13" s="36"/>
      <c r="BY13" s="33">
        <v>35.96</v>
      </c>
      <c r="BZ13" s="34"/>
      <c r="CA13" s="33"/>
      <c r="CB13" s="35">
        <v>41.79</v>
      </c>
      <c r="CC13" s="235"/>
      <c r="CD13" s="235">
        <v>33.86</v>
      </c>
      <c r="CE13" s="36">
        <v>43.99</v>
      </c>
      <c r="CF13" s="30">
        <v>140.33199999999999</v>
      </c>
      <c r="CG13" s="30"/>
      <c r="CH13" s="30"/>
      <c r="CI13" s="32"/>
      <c r="CJ13" s="33">
        <v>1.47</v>
      </c>
      <c r="CK13" s="33"/>
      <c r="CL13" s="33"/>
      <c r="CM13" s="36"/>
      <c r="CN13" s="286"/>
      <c r="CO13" s="249">
        <f t="shared" si="13"/>
        <v>62.292841100000004</v>
      </c>
      <c r="CP13" s="12">
        <f t="shared" si="13"/>
        <v>0</v>
      </c>
      <c r="CQ13" s="12">
        <f t="shared" si="13"/>
        <v>0</v>
      </c>
      <c r="CR13" s="12">
        <f t="shared" si="13"/>
        <v>95.674000000000007</v>
      </c>
      <c r="CS13" s="11">
        <f t="shared" si="13"/>
        <v>0</v>
      </c>
      <c r="CT13" s="11">
        <f t="shared" si="13"/>
        <v>37.302393299999999</v>
      </c>
      <c r="CU13" s="272">
        <f t="shared" si="13"/>
        <v>24.574999999999999</v>
      </c>
      <c r="CV13" s="249">
        <f t="shared" si="14"/>
        <v>138.26911960000001</v>
      </c>
      <c r="CW13" s="251">
        <f t="shared" si="14"/>
        <v>0</v>
      </c>
      <c r="CX13" s="249">
        <f t="shared" si="14"/>
        <v>0</v>
      </c>
      <c r="CY13" s="272">
        <f t="shared" si="14"/>
        <v>0</v>
      </c>
      <c r="CZ13" s="13"/>
      <c r="DA13" s="240">
        <f>(D13+'[2]август 20 '!D13)/(AY13+'[2]август 20 '!BA13)</f>
        <v>2.2308587538390854</v>
      </c>
      <c r="DB13" s="241">
        <f>(T13+'[2]август 20 '!T13)/(AY13+'[2]август 20 '!BA13)</f>
        <v>1.374868845615393</v>
      </c>
      <c r="DD13" s="292">
        <f t="shared" si="15"/>
        <v>8.9969999999999999</v>
      </c>
      <c r="DE13" s="291">
        <v>0.35</v>
      </c>
      <c r="DF13" s="291">
        <v>14.03</v>
      </c>
      <c r="DG13" s="145">
        <f t="shared" si="16"/>
        <v>8.9655105000000006</v>
      </c>
      <c r="DH13" s="293">
        <f t="shared" si="30"/>
        <v>1.6986645822417286</v>
      </c>
      <c r="DJ13" s="322"/>
    </row>
    <row r="14" spans="1:114" s="76" customFormat="1" ht="16.5" customHeight="1" thickBot="1">
      <c r="A14" s="144">
        <v>8</v>
      </c>
      <c r="B14" s="122">
        <f>'[1]август 20'!K13</f>
        <v>182.51300000000001</v>
      </c>
      <c r="C14" s="123">
        <f t="shared" si="17"/>
        <v>0.55047739065162482</v>
      </c>
      <c r="D14" s="145">
        <f t="shared" si="18"/>
        <v>181.50830719999999</v>
      </c>
      <c r="E14" s="125">
        <f t="shared" si="19"/>
        <v>38.913709927512009</v>
      </c>
      <c r="F14" s="146">
        <f t="shared" si="0"/>
        <v>1.9737745454545454</v>
      </c>
      <c r="G14" s="127"/>
      <c r="H14" s="126">
        <f t="shared" si="20"/>
        <v>0.9352686733362332</v>
      </c>
      <c r="I14" s="230">
        <f>'[1]июль 20'!AI13</f>
        <v>0</v>
      </c>
      <c r="J14" s="247">
        <f>'[1]август 20'!AA13</f>
        <v>7.41</v>
      </c>
      <c r="K14" s="467">
        <f>'[1]сентябрь 20'!AM13</f>
        <v>0</v>
      </c>
      <c r="L14" s="247">
        <f>'[1]август 20'!AE13</f>
        <v>95.501000000000005</v>
      </c>
      <c r="M14" s="471">
        <f t="shared" si="21"/>
        <v>1.0385058721183122</v>
      </c>
      <c r="N14" s="403">
        <f>'[1]август 20'!W13</f>
        <v>0</v>
      </c>
      <c r="O14" s="403">
        <f>'[1]август 20'!AU13</f>
        <v>0</v>
      </c>
      <c r="P14" s="401">
        <f t="shared" si="1"/>
        <v>114.95</v>
      </c>
      <c r="Q14" s="122">
        <f>'[1]август 20'!S13</f>
        <v>114.95</v>
      </c>
      <c r="R14" s="123">
        <f t="shared" si="22"/>
        <v>1.56</v>
      </c>
      <c r="S14" s="129">
        <v>17.47</v>
      </c>
      <c r="T14" s="125">
        <f t="shared" si="2"/>
        <v>113.15678</v>
      </c>
      <c r="U14" s="147">
        <f t="shared" si="3"/>
        <v>1.2305000000000001</v>
      </c>
      <c r="V14" s="130">
        <v>46.84</v>
      </c>
      <c r="W14" s="130">
        <v>23.41</v>
      </c>
      <c r="X14" s="129">
        <v>1.55</v>
      </c>
      <c r="Y14" s="131">
        <v>654</v>
      </c>
      <c r="Z14" s="150">
        <v>1146</v>
      </c>
      <c r="AA14" s="148" t="s">
        <v>333</v>
      </c>
      <c r="AB14" s="149">
        <v>74.400000000000006</v>
      </c>
      <c r="AC14" s="150">
        <v>73</v>
      </c>
      <c r="AD14" s="151">
        <v>4</v>
      </c>
      <c r="AE14" s="149">
        <v>3.25</v>
      </c>
      <c r="AF14" s="134">
        <f t="shared" si="4"/>
        <v>35.341452805567641</v>
      </c>
      <c r="AG14" s="152"/>
      <c r="AH14" s="129">
        <v>69</v>
      </c>
      <c r="AI14" s="134">
        <f t="shared" si="5"/>
        <v>750.32622879512837</v>
      </c>
      <c r="AJ14" s="153">
        <v>12.98</v>
      </c>
      <c r="AK14" s="154"/>
      <c r="AL14" s="155">
        <v>4.6500000000000004</v>
      </c>
      <c r="AM14" s="478">
        <f t="shared" si="23"/>
        <v>23.78</v>
      </c>
      <c r="AN14" s="126">
        <f t="shared" si="24"/>
        <v>0.2</v>
      </c>
      <c r="AO14" s="157" t="s">
        <v>181</v>
      </c>
      <c r="AP14" s="156">
        <v>9.61</v>
      </c>
      <c r="AQ14" s="156">
        <v>6.28</v>
      </c>
      <c r="AR14" s="149"/>
      <c r="AS14" s="149">
        <v>7.31</v>
      </c>
      <c r="AT14" s="149">
        <v>118.9</v>
      </c>
      <c r="AU14" s="149">
        <v>1.49</v>
      </c>
      <c r="AV14" s="149"/>
      <c r="AW14" s="149"/>
      <c r="AX14" s="158">
        <f t="shared" si="6"/>
        <v>0</v>
      </c>
      <c r="AY14" s="125">
        <f t="shared" si="7"/>
        <v>91.96</v>
      </c>
      <c r="AZ14" s="125">
        <f t="shared" si="25"/>
        <v>84.12924427709801</v>
      </c>
      <c r="BA14" s="159">
        <f t="shared" si="8"/>
        <v>3.9072464788732391</v>
      </c>
      <c r="BB14" s="160">
        <f t="shared" si="9"/>
        <v>3.6783999999999999</v>
      </c>
      <c r="BC14" s="161">
        <f t="shared" si="10"/>
        <v>0.96866309623739022</v>
      </c>
      <c r="BD14" s="159">
        <f t="shared" si="26"/>
        <v>7.5856464788732385</v>
      </c>
      <c r="BE14" s="167">
        <v>0.90400000000000003</v>
      </c>
      <c r="BF14" s="25">
        <f t="shared" si="27"/>
        <v>725.7600000000001</v>
      </c>
      <c r="BG14" s="25">
        <f t="shared" si="11"/>
        <v>107.74193548387096</v>
      </c>
      <c r="BH14" s="25">
        <f t="shared" si="28"/>
        <v>861.93548387096769</v>
      </c>
      <c r="BI14" s="26">
        <f t="shared" si="12"/>
        <v>1</v>
      </c>
      <c r="BJ14" s="37">
        <f t="shared" si="29"/>
        <v>861.93548387096769</v>
      </c>
      <c r="BK14" s="39">
        <v>57.79</v>
      </c>
      <c r="BL14" s="40"/>
      <c r="BM14" s="325"/>
      <c r="BN14" s="31">
        <v>80.266999999999996</v>
      </c>
      <c r="BO14" s="40"/>
      <c r="BP14" s="40">
        <v>29.222000000000001</v>
      </c>
      <c r="BQ14" s="32">
        <v>15.234</v>
      </c>
      <c r="BR14" s="33">
        <v>0.53</v>
      </c>
      <c r="BS14" s="34"/>
      <c r="BT14" s="33"/>
      <c r="BU14" s="28"/>
      <c r="BV14" s="287"/>
      <c r="BW14" s="287">
        <v>2.39</v>
      </c>
      <c r="BX14" s="36"/>
      <c r="BY14" s="33">
        <v>36.75</v>
      </c>
      <c r="BZ14" s="34"/>
      <c r="CA14" s="33"/>
      <c r="CB14" s="35">
        <v>41.74</v>
      </c>
      <c r="CC14" s="235"/>
      <c r="CD14" s="235">
        <v>32.83</v>
      </c>
      <c r="CE14" s="36">
        <v>43.9</v>
      </c>
      <c r="CF14" s="30">
        <v>114.95</v>
      </c>
      <c r="CG14" s="30"/>
      <c r="CH14" s="30"/>
      <c r="CI14" s="32"/>
      <c r="CJ14" s="33">
        <v>1.56</v>
      </c>
      <c r="CK14" s="33"/>
      <c r="CL14" s="33"/>
      <c r="CM14" s="36"/>
      <c r="CN14" s="286"/>
      <c r="CO14" s="249">
        <f t="shared" si="13"/>
        <v>57.483713000000002</v>
      </c>
      <c r="CP14" s="12">
        <f t="shared" si="13"/>
        <v>0</v>
      </c>
      <c r="CQ14" s="12">
        <f t="shared" si="13"/>
        <v>0</v>
      </c>
      <c r="CR14" s="12">
        <f t="shared" si="13"/>
        <v>80.266999999999996</v>
      </c>
      <c r="CS14" s="11">
        <f t="shared" si="13"/>
        <v>0</v>
      </c>
      <c r="CT14" s="11">
        <f t="shared" si="13"/>
        <v>28.523594200000002</v>
      </c>
      <c r="CU14" s="272">
        <f t="shared" si="13"/>
        <v>15.234</v>
      </c>
      <c r="CV14" s="249">
        <f t="shared" si="14"/>
        <v>113.15678</v>
      </c>
      <c r="CW14" s="12">
        <f t="shared" si="14"/>
        <v>0</v>
      </c>
      <c r="CX14" s="252">
        <f t="shared" si="14"/>
        <v>0</v>
      </c>
      <c r="CY14" s="272">
        <f t="shared" si="14"/>
        <v>0</v>
      </c>
      <c r="CZ14" s="13"/>
      <c r="DA14" s="240">
        <f>(D14+'[2]август 20 '!D14)/(AY14+'[2]август 20 '!BA14)</f>
        <v>2.1511662006283823</v>
      </c>
      <c r="DB14" s="241">
        <f>(T14+'[2]август 20 '!T14)/(AY14+'[2]август 20 '!BA14)</f>
        <v>1.3153440358573616</v>
      </c>
      <c r="DD14" s="292">
        <f t="shared" si="15"/>
        <v>7.41</v>
      </c>
      <c r="DE14" s="291">
        <v>0.39</v>
      </c>
      <c r="DF14" s="291">
        <v>12.61</v>
      </c>
      <c r="DG14" s="145">
        <f t="shared" si="16"/>
        <v>7.3811010000000001</v>
      </c>
      <c r="DH14" s="293">
        <f t="shared" si="30"/>
        <v>1.2510172528225805</v>
      </c>
      <c r="DJ14" s="322"/>
    </row>
    <row r="15" spans="1:114" s="76" customFormat="1" ht="16.5" customHeight="1" thickBot="1">
      <c r="A15" s="144">
        <v>9</v>
      </c>
      <c r="B15" s="122">
        <f>'[1]август 20'!K14</f>
        <v>205.21899999999999</v>
      </c>
      <c r="C15" s="123">
        <f t="shared" si="17"/>
        <v>0.89331821127673372</v>
      </c>
      <c r="D15" s="145">
        <f t="shared" si="18"/>
        <v>203.38574129999998</v>
      </c>
      <c r="E15" s="125">
        <f t="shared" si="19"/>
        <v>38.515299996589015</v>
      </c>
      <c r="F15" s="146">
        <f t="shared" si="0"/>
        <v>2.2264448965517238</v>
      </c>
      <c r="G15" s="127"/>
      <c r="H15" s="126">
        <f t="shared" si="20"/>
        <v>1.0572604411603721</v>
      </c>
      <c r="I15" s="230">
        <f>'[1]июль 20'!AI14</f>
        <v>0</v>
      </c>
      <c r="J15" s="247">
        <f>'[1]август 20'!AA14</f>
        <v>8.3510000000000009</v>
      </c>
      <c r="K15" s="465">
        <f>'[1]сентябрь 20'!AM14</f>
        <v>0</v>
      </c>
      <c r="L15" s="247">
        <f>'[1]август 20'!AE14</f>
        <v>106.80500000000001</v>
      </c>
      <c r="M15" s="469">
        <f t="shared" si="21"/>
        <v>1.169184455391352</v>
      </c>
      <c r="N15" s="403">
        <f>'[1]август 20'!W14</f>
        <v>0</v>
      </c>
      <c r="O15" s="403">
        <f>'[1]август 20'!AU14</f>
        <v>0</v>
      </c>
      <c r="P15" s="401">
        <f t="shared" si="1"/>
        <v>128.80500000000001</v>
      </c>
      <c r="Q15" s="122">
        <f>'[1]август 20'!S14</f>
        <v>128.80500000000001</v>
      </c>
      <c r="R15" s="123">
        <f t="shared" si="22"/>
        <v>1.84</v>
      </c>
      <c r="S15" s="129">
        <v>2</v>
      </c>
      <c r="T15" s="125">
        <f t="shared" si="2"/>
        <v>126.43498799999999</v>
      </c>
      <c r="U15" s="147">
        <f t="shared" si="3"/>
        <v>1.3840721182266007</v>
      </c>
      <c r="V15" s="130">
        <v>91.35</v>
      </c>
      <c r="W15" s="130">
        <v>40.1</v>
      </c>
      <c r="X15" s="129">
        <v>0.92</v>
      </c>
      <c r="Y15" s="131">
        <v>603</v>
      </c>
      <c r="Z15" s="150">
        <v>1149</v>
      </c>
      <c r="AA15" s="148" t="s">
        <v>335</v>
      </c>
      <c r="AB15" s="149">
        <v>76.47</v>
      </c>
      <c r="AC15" s="150">
        <v>82</v>
      </c>
      <c r="AD15" s="151">
        <v>4</v>
      </c>
      <c r="AE15" s="149">
        <v>2</v>
      </c>
      <c r="AF15" s="134">
        <f t="shared" si="4"/>
        <v>21.89381499726327</v>
      </c>
      <c r="AG15" s="152"/>
      <c r="AH15" s="129">
        <v>81.099999999999994</v>
      </c>
      <c r="AI15" s="134">
        <f t="shared" si="5"/>
        <v>887.79419813902564</v>
      </c>
      <c r="AJ15" s="136">
        <v>10.47</v>
      </c>
      <c r="AK15" s="154"/>
      <c r="AL15" s="155">
        <v>7.52</v>
      </c>
      <c r="AM15" s="478">
        <f t="shared" si="23"/>
        <v>24.480000000000004</v>
      </c>
      <c r="AN15" s="126">
        <f t="shared" si="24"/>
        <v>0.2</v>
      </c>
      <c r="AO15" s="157" t="s">
        <v>379</v>
      </c>
      <c r="AP15" s="156">
        <v>8.3699999999999992</v>
      </c>
      <c r="AQ15" s="156">
        <v>6.5</v>
      </c>
      <c r="AR15" s="149"/>
      <c r="AS15" s="149">
        <v>8.34</v>
      </c>
      <c r="AT15" s="149">
        <v>122.4</v>
      </c>
      <c r="AU15" s="149">
        <v>0.95</v>
      </c>
      <c r="AV15" s="149"/>
      <c r="AW15" s="149"/>
      <c r="AX15" s="158">
        <f t="shared" si="6"/>
        <v>0</v>
      </c>
      <c r="AY15" s="125">
        <f t="shared" si="7"/>
        <v>91.350000000000009</v>
      </c>
      <c r="AZ15" s="125">
        <f t="shared" si="25"/>
        <v>90.140485256047839</v>
      </c>
      <c r="BA15" s="159">
        <f t="shared" si="8"/>
        <v>5.2395169014084502</v>
      </c>
      <c r="BB15" s="160">
        <f t="shared" si="9"/>
        <v>3.6540000000000004</v>
      </c>
      <c r="BC15" s="161">
        <f t="shared" si="10"/>
        <v>0.89175561837879991</v>
      </c>
      <c r="BD15" s="159">
        <f t="shared" si="26"/>
        <v>8.8935169014084501</v>
      </c>
      <c r="BE15" s="167">
        <v>0.90200000000000002</v>
      </c>
      <c r="BF15" s="25">
        <f t="shared" si="27"/>
        <v>817.11000000000013</v>
      </c>
      <c r="BG15" s="25">
        <f t="shared" si="11"/>
        <v>107.74193548387096</v>
      </c>
      <c r="BH15" s="25">
        <f t="shared" si="28"/>
        <v>969.67741935483866</v>
      </c>
      <c r="BI15" s="26">
        <f t="shared" si="12"/>
        <v>1</v>
      </c>
      <c r="BJ15" s="37">
        <f t="shared" si="29"/>
        <v>969.67741935483866</v>
      </c>
      <c r="BK15" s="38">
        <v>65.631</v>
      </c>
      <c r="BL15" s="42"/>
      <c r="BM15" s="31"/>
      <c r="BN15" s="31">
        <v>90.156000000000006</v>
      </c>
      <c r="BO15" s="40"/>
      <c r="BP15" s="40">
        <v>32.783000000000001</v>
      </c>
      <c r="BQ15" s="32">
        <v>16.649000000000001</v>
      </c>
      <c r="BR15" s="33">
        <v>1.06</v>
      </c>
      <c r="BS15" s="35"/>
      <c r="BT15" s="35"/>
      <c r="BU15" s="28"/>
      <c r="BV15" s="287"/>
      <c r="BW15" s="287">
        <v>3.47</v>
      </c>
      <c r="BX15" s="36"/>
      <c r="BY15" s="33">
        <v>35.770000000000003</v>
      </c>
      <c r="BZ15" s="34"/>
      <c r="CA15" s="35"/>
      <c r="CB15" s="35">
        <v>41.68</v>
      </c>
      <c r="CC15" s="35"/>
      <c r="CD15" s="35">
        <v>32.67</v>
      </c>
      <c r="CE15" s="35">
        <v>43.71</v>
      </c>
      <c r="CF15" s="38">
        <v>128.80500000000001</v>
      </c>
      <c r="CG15" s="30"/>
      <c r="CH15" s="30"/>
      <c r="CI15" s="32"/>
      <c r="CJ15" s="33">
        <v>1.84</v>
      </c>
      <c r="CK15" s="33"/>
      <c r="CL15" s="33"/>
      <c r="CM15" s="36"/>
      <c r="CN15" s="286"/>
      <c r="CO15" s="249">
        <f t="shared" si="13"/>
        <v>64.935311400000003</v>
      </c>
      <c r="CP15" s="12">
        <f t="shared" si="13"/>
        <v>0</v>
      </c>
      <c r="CQ15" s="12">
        <f t="shared" si="13"/>
        <v>0</v>
      </c>
      <c r="CR15" s="17">
        <f t="shared" si="13"/>
        <v>90.156000000000006</v>
      </c>
      <c r="CS15" s="11">
        <f t="shared" si="13"/>
        <v>0</v>
      </c>
      <c r="CT15" s="11">
        <f t="shared" si="13"/>
        <v>31.645429900000003</v>
      </c>
      <c r="CU15" s="272">
        <f t="shared" si="13"/>
        <v>16.649000000000001</v>
      </c>
      <c r="CV15" s="249">
        <f t="shared" si="14"/>
        <v>126.43498799999999</v>
      </c>
      <c r="CW15" s="12">
        <f t="shared" si="14"/>
        <v>0</v>
      </c>
      <c r="CX15" s="249">
        <f t="shared" si="14"/>
        <v>0</v>
      </c>
      <c r="CY15" s="274">
        <f t="shared" si="14"/>
        <v>0</v>
      </c>
      <c r="CZ15" s="13"/>
      <c r="DA15" s="240">
        <f>(D15+'[2]август 20 '!D15)/(AY15+'[2]август 20 '!BA15)</f>
        <v>2.2124728763502239</v>
      </c>
      <c r="DB15" s="241">
        <f>(T15+'[2]август 20 '!T15)/(AY15+'[2]август 20 '!BA15)</f>
        <v>1.3585677854566582</v>
      </c>
      <c r="DD15" s="292">
        <f t="shared" si="15"/>
        <v>8.3510000000000009</v>
      </c>
      <c r="DE15" s="291">
        <v>0.34</v>
      </c>
      <c r="DF15" s="291">
        <v>6.54</v>
      </c>
      <c r="DG15" s="145">
        <f t="shared" si="16"/>
        <v>8.3226066000000003</v>
      </c>
      <c r="DH15" s="293">
        <f t="shared" si="30"/>
        <v>0.71178039968615148</v>
      </c>
      <c r="DJ15" s="322"/>
    </row>
    <row r="16" spans="1:114" s="76" customFormat="1" ht="16.5" customHeight="1" thickBot="1">
      <c r="A16" s="144">
        <v>10</v>
      </c>
      <c r="B16" s="122">
        <f>'[1]август 20'!K15</f>
        <v>217.63200000000001</v>
      </c>
      <c r="C16" s="123">
        <f t="shared" si="17"/>
        <v>1.8007116141008674</v>
      </c>
      <c r="D16" s="145">
        <f t="shared" si="18"/>
        <v>213.71307530000001</v>
      </c>
      <c r="E16" s="125">
        <f t="shared" si="19"/>
        <v>39.414320734083219</v>
      </c>
      <c r="F16" s="146">
        <f t="shared" si="0"/>
        <v>2.193954165896725</v>
      </c>
      <c r="G16" s="127"/>
      <c r="H16" s="126">
        <f t="shared" si="20"/>
        <v>1.0288684457447901</v>
      </c>
      <c r="I16" s="230">
        <f>'[1]июль 20'!AI15</f>
        <v>0</v>
      </c>
      <c r="J16" s="247">
        <f>'[1]август 20'!AA15</f>
        <v>8.6760000000000002</v>
      </c>
      <c r="K16" s="464">
        <f>'[1]сентябрь 20'!AM15</f>
        <v>0</v>
      </c>
      <c r="L16" s="247">
        <f>'[1]август 20'!AE15</f>
        <v>113.491</v>
      </c>
      <c r="M16" s="468">
        <f t="shared" si="21"/>
        <v>1.1650857201519349</v>
      </c>
      <c r="N16" s="403">
        <f>'[1]август 20'!W15</f>
        <v>0</v>
      </c>
      <c r="O16" s="403">
        <f>'[1]август 20'!AU15</f>
        <v>0.24299999999999999</v>
      </c>
      <c r="P16" s="401">
        <f t="shared" si="1"/>
        <v>122.22</v>
      </c>
      <c r="Q16" s="122">
        <f>'[1]август 20'!S15</f>
        <v>122.22</v>
      </c>
      <c r="R16" s="123">
        <f t="shared" si="22"/>
        <v>2.02</v>
      </c>
      <c r="S16" s="501">
        <v>2.2610000000000001</v>
      </c>
      <c r="T16" s="125">
        <f t="shared" si="2"/>
        <v>119.75115599999999</v>
      </c>
      <c r="U16" s="147">
        <f t="shared" si="3"/>
        <v>1.229351770865414</v>
      </c>
      <c r="V16" s="130">
        <v>97.41</v>
      </c>
      <c r="W16" s="130">
        <v>97.41</v>
      </c>
      <c r="X16" s="129">
        <v>0.49</v>
      </c>
      <c r="Y16" s="131">
        <v>570</v>
      </c>
      <c r="Z16" s="150">
        <v>1153</v>
      </c>
      <c r="AA16" s="148" t="s">
        <v>337</v>
      </c>
      <c r="AB16" s="149">
        <v>76.77</v>
      </c>
      <c r="AC16" s="150">
        <v>87</v>
      </c>
      <c r="AD16" s="151">
        <v>4</v>
      </c>
      <c r="AE16" s="149">
        <v>2.2000000000000002</v>
      </c>
      <c r="AF16" s="134">
        <f t="shared" si="4"/>
        <v>22.584950210450671</v>
      </c>
      <c r="AG16" s="152"/>
      <c r="AH16" s="129">
        <v>79.099999999999994</v>
      </c>
      <c r="AI16" s="134">
        <f t="shared" si="5"/>
        <v>812.03161893029448</v>
      </c>
      <c r="AJ16" s="153">
        <v>10.86</v>
      </c>
      <c r="AK16" s="154"/>
      <c r="AL16" s="155">
        <v>6.38</v>
      </c>
      <c r="AM16" s="478">
        <f t="shared" si="23"/>
        <v>25.3</v>
      </c>
      <c r="AN16" s="126">
        <f t="shared" si="24"/>
        <v>0.2</v>
      </c>
      <c r="AO16" s="157" t="s">
        <v>380</v>
      </c>
      <c r="AP16" s="156">
        <v>8.27</v>
      </c>
      <c r="AQ16" s="156">
        <v>6.48</v>
      </c>
      <c r="AR16" s="149"/>
      <c r="AS16" s="149">
        <v>9.0399999999999991</v>
      </c>
      <c r="AT16" s="149">
        <v>126.5</v>
      </c>
      <c r="AU16" s="149">
        <v>2.59</v>
      </c>
      <c r="AV16" s="149"/>
      <c r="AW16" s="149"/>
      <c r="AX16" s="158">
        <f t="shared" si="6"/>
        <v>0</v>
      </c>
      <c r="AY16" s="125">
        <f t="shared" si="7"/>
        <v>97.410000000000011</v>
      </c>
      <c r="AZ16" s="125">
        <f t="shared" si="25"/>
        <v>96.850092843297006</v>
      </c>
      <c r="BA16" s="159">
        <f t="shared" si="8"/>
        <v>5.5392281690140832</v>
      </c>
      <c r="BB16" s="160">
        <f t="shared" si="9"/>
        <v>3.8964000000000003</v>
      </c>
      <c r="BC16" s="161">
        <f t="shared" si="10"/>
        <v>0.8877893764465985</v>
      </c>
      <c r="BD16" s="160">
        <f t="shared" si="26"/>
        <v>9.435628169014084</v>
      </c>
      <c r="BE16" s="162">
        <v>0.90100000000000002</v>
      </c>
      <c r="BF16" s="25">
        <f t="shared" si="27"/>
        <v>914.5200000000001</v>
      </c>
      <c r="BG16" s="25">
        <f t="shared" si="11"/>
        <v>107.74193548387096</v>
      </c>
      <c r="BH16" s="25">
        <f t="shared" si="28"/>
        <v>1077.4193548387095</v>
      </c>
      <c r="BI16" s="26">
        <f t="shared" si="12"/>
        <v>1</v>
      </c>
      <c r="BJ16" s="37">
        <f t="shared" si="29"/>
        <v>1077.4193548387095</v>
      </c>
      <c r="BK16" s="38">
        <v>70.224000000000004</v>
      </c>
      <c r="BL16" s="31"/>
      <c r="BM16" s="31"/>
      <c r="BN16" s="234">
        <v>95.56</v>
      </c>
      <c r="BO16" s="42"/>
      <c r="BP16" s="40">
        <v>33.917000000000002</v>
      </c>
      <c r="BQ16" s="32">
        <v>17.931000000000001</v>
      </c>
      <c r="BR16" s="33">
        <v>2.0499999999999998</v>
      </c>
      <c r="BS16" s="34"/>
      <c r="BT16" s="35"/>
      <c r="BU16" s="28"/>
      <c r="BV16" s="287"/>
      <c r="BW16" s="287">
        <v>7.31</v>
      </c>
      <c r="BX16" s="36"/>
      <c r="BY16" s="33">
        <v>35.94</v>
      </c>
      <c r="BZ16" s="34"/>
      <c r="CA16" s="35"/>
      <c r="CB16" s="405">
        <v>41.76</v>
      </c>
      <c r="CC16" s="404"/>
      <c r="CD16" s="235">
        <v>37.49</v>
      </c>
      <c r="CE16" s="36">
        <v>44.16</v>
      </c>
      <c r="CF16" s="38">
        <v>122.22</v>
      </c>
      <c r="CG16" s="30"/>
      <c r="CH16" s="30"/>
      <c r="CI16" s="32"/>
      <c r="CJ16" s="33">
        <v>2.02</v>
      </c>
      <c r="CK16" s="33"/>
      <c r="CL16" s="33"/>
      <c r="CM16" s="36"/>
      <c r="CN16" s="286"/>
      <c r="CO16" s="249">
        <f t="shared" si="13"/>
        <v>68.784408000000013</v>
      </c>
      <c r="CP16" s="12">
        <f t="shared" si="13"/>
        <v>0</v>
      </c>
      <c r="CQ16" s="12">
        <f t="shared" si="13"/>
        <v>0</v>
      </c>
      <c r="CR16" s="11">
        <f t="shared" si="13"/>
        <v>95.56</v>
      </c>
      <c r="CS16" s="11">
        <f t="shared" si="13"/>
        <v>0</v>
      </c>
      <c r="CT16" s="11">
        <f t="shared" si="13"/>
        <v>31.437667300000001</v>
      </c>
      <c r="CU16" s="272">
        <f t="shared" si="13"/>
        <v>17.931000000000001</v>
      </c>
      <c r="CV16" s="249">
        <f t="shared" si="14"/>
        <v>119.75115599999999</v>
      </c>
      <c r="CW16" s="12">
        <f t="shared" si="14"/>
        <v>0</v>
      </c>
      <c r="CX16" s="249">
        <f t="shared" si="14"/>
        <v>0</v>
      </c>
      <c r="CY16" s="272">
        <f t="shared" si="14"/>
        <v>0</v>
      </c>
      <c r="CZ16" s="13"/>
      <c r="DA16" s="240">
        <f>(D16+'[2]август 20 '!D16)/(AY16+'[2]август 20 '!BA16)</f>
        <v>2.2364637569140502</v>
      </c>
      <c r="DB16" s="241">
        <f>(T16+'[2]август 20 '!T16)/(AY16+'[2]август 20 '!BA16)</f>
        <v>1.3351043016259347</v>
      </c>
      <c r="DD16" s="292">
        <f t="shared" si="15"/>
        <v>8.6760000000000002</v>
      </c>
      <c r="DE16" s="291">
        <v>2.14</v>
      </c>
      <c r="DF16" s="291">
        <v>9.61</v>
      </c>
      <c r="DG16" s="145">
        <f t="shared" si="16"/>
        <v>8.4903335999999996</v>
      </c>
      <c r="DH16" s="293">
        <f t="shared" si="30"/>
        <v>1.0628123732708088</v>
      </c>
      <c r="DJ16" s="322"/>
    </row>
    <row r="17" spans="1:114" s="76" customFormat="1" ht="16.5" customHeight="1" thickBot="1">
      <c r="A17" s="144">
        <v>11</v>
      </c>
      <c r="B17" s="122">
        <f>'[1]август 20'!K16</f>
        <v>227.357</v>
      </c>
      <c r="C17" s="123">
        <f t="shared" si="17"/>
        <v>0.94236605866544676</v>
      </c>
      <c r="D17" s="145">
        <f t="shared" si="18"/>
        <v>225.2144648</v>
      </c>
      <c r="E17" s="125">
        <f t="shared" si="19"/>
        <v>39.384716239218506</v>
      </c>
      <c r="F17" s="146">
        <f t="shared" si="0"/>
        <v>2.4195795530726256</v>
      </c>
      <c r="G17" s="127"/>
      <c r="H17" s="126">
        <f t="shared" si="20"/>
        <v>1.0515305629565965</v>
      </c>
      <c r="I17" s="230">
        <f>'[1]июль 20'!AI16</f>
        <v>0</v>
      </c>
      <c r="J17" s="247">
        <f>'[1]август 20'!AA16</f>
        <v>9.0169999999999995</v>
      </c>
      <c r="K17" s="465">
        <f>'[1]сентябрь 20'!AM16</f>
        <v>0</v>
      </c>
      <c r="L17" s="247">
        <f>'[1]август 20'!AE16</f>
        <v>127.33799999999999</v>
      </c>
      <c r="M17" s="469">
        <f t="shared" si="21"/>
        <v>1.3680489901160291</v>
      </c>
      <c r="N17" s="403">
        <f>'[1]август 20'!W16</f>
        <v>0</v>
      </c>
      <c r="O17" s="403">
        <f>'[1]август 20'!AU16</f>
        <v>2.7869999999999999</v>
      </c>
      <c r="P17" s="401">
        <f t="shared" si="1"/>
        <v>148.834</v>
      </c>
      <c r="Q17" s="122">
        <f>'[1]август 20'!S16</f>
        <v>148.834</v>
      </c>
      <c r="R17" s="123">
        <f t="shared" si="22"/>
        <v>2.48</v>
      </c>
      <c r="S17" s="501">
        <v>7.2779999999999996</v>
      </c>
      <c r="T17" s="125">
        <f t="shared" si="2"/>
        <v>145.14291679999999</v>
      </c>
      <c r="U17" s="147">
        <f t="shared" si="3"/>
        <v>1.5593351611516975</v>
      </c>
      <c r="V17" s="130">
        <v>93.08</v>
      </c>
      <c r="W17" s="130">
        <v>69.58</v>
      </c>
      <c r="X17" s="129">
        <v>0.51</v>
      </c>
      <c r="Y17" s="131">
        <v>539</v>
      </c>
      <c r="Z17" s="150">
        <v>1158</v>
      </c>
      <c r="AA17" s="148" t="s">
        <v>381</v>
      </c>
      <c r="AB17" s="149">
        <v>76.12</v>
      </c>
      <c r="AC17" s="150">
        <v>91</v>
      </c>
      <c r="AD17" s="151">
        <v>4</v>
      </c>
      <c r="AE17" s="149">
        <v>1.35</v>
      </c>
      <c r="AF17" s="134">
        <f t="shared" si="4"/>
        <v>14.503652771809197</v>
      </c>
      <c r="AG17" s="152"/>
      <c r="AH17" s="129">
        <v>63.25</v>
      </c>
      <c r="AI17" s="134">
        <f t="shared" si="5"/>
        <v>679.52299097550497</v>
      </c>
      <c r="AJ17" s="136">
        <v>13.75</v>
      </c>
      <c r="AK17" s="154"/>
      <c r="AL17" s="155">
        <v>5.13</v>
      </c>
      <c r="AM17" s="478">
        <f t="shared" si="23"/>
        <v>24.17</v>
      </c>
      <c r="AN17" s="126">
        <f t="shared" si="24"/>
        <v>0.2</v>
      </c>
      <c r="AO17" s="157" t="s">
        <v>382</v>
      </c>
      <c r="AP17" s="156">
        <v>9.07</v>
      </c>
      <c r="AQ17" s="156">
        <v>6.44</v>
      </c>
      <c r="AR17" s="149"/>
      <c r="AS17" s="149">
        <v>7.16</v>
      </c>
      <c r="AT17" s="149">
        <v>120.85</v>
      </c>
      <c r="AU17" s="149">
        <v>1.53</v>
      </c>
      <c r="AV17" s="149"/>
      <c r="AW17" s="149"/>
      <c r="AX17" s="158">
        <f t="shared" si="6"/>
        <v>0</v>
      </c>
      <c r="AY17" s="125">
        <f t="shared" si="7"/>
        <v>93.08</v>
      </c>
      <c r="AZ17" s="125">
        <f t="shared" si="25"/>
        <v>102.80332660592222</v>
      </c>
      <c r="BA17" s="159">
        <f t="shared" si="8"/>
        <v>3.5081478873239433</v>
      </c>
      <c r="BB17" s="160">
        <f t="shared" si="9"/>
        <v>3.7231999999999998</v>
      </c>
      <c r="BC17" s="161">
        <f t="shared" si="10"/>
        <v>0.79878730306126999</v>
      </c>
      <c r="BD17" s="160">
        <f t="shared" si="26"/>
        <v>7.2313478873239436</v>
      </c>
      <c r="BE17" s="162">
        <v>0.89</v>
      </c>
      <c r="BF17" s="25">
        <f t="shared" si="27"/>
        <v>1007.6000000000001</v>
      </c>
      <c r="BG17" s="25">
        <f t="shared" si="11"/>
        <v>107.74193548387096</v>
      </c>
      <c r="BH17" s="25">
        <f t="shared" si="28"/>
        <v>1185.1612903225805</v>
      </c>
      <c r="BI17" s="26">
        <f t="shared" si="12"/>
        <v>1</v>
      </c>
      <c r="BJ17" s="37">
        <f t="shared" si="29"/>
        <v>1185.1612903225805</v>
      </c>
      <c r="BK17" s="39">
        <v>81.766999999999996</v>
      </c>
      <c r="BL17" s="31"/>
      <c r="BM17" s="31"/>
      <c r="BN17" s="234">
        <v>100.023</v>
      </c>
      <c r="BO17" s="42"/>
      <c r="BP17" s="40">
        <v>18.251999999999999</v>
      </c>
      <c r="BQ17" s="32">
        <v>27.315000000000001</v>
      </c>
      <c r="BR17" s="33">
        <v>1.56</v>
      </c>
      <c r="BS17" s="34"/>
      <c r="BT17" s="35"/>
      <c r="BU17" s="28"/>
      <c r="BV17" s="287"/>
      <c r="BW17" s="287">
        <v>4.75</v>
      </c>
      <c r="BX17" s="36"/>
      <c r="BY17" s="33">
        <v>35.74</v>
      </c>
      <c r="BZ17" s="34"/>
      <c r="CA17" s="35"/>
      <c r="CB17" s="405">
        <v>41.6</v>
      </c>
      <c r="CC17" s="404"/>
      <c r="CD17" s="235">
        <v>36.950000000000003</v>
      </c>
      <c r="CE17" s="36">
        <v>43.81</v>
      </c>
      <c r="CF17" s="38">
        <v>148.834</v>
      </c>
      <c r="CG17" s="42"/>
      <c r="CH17" s="234"/>
      <c r="CI17" s="233"/>
      <c r="CJ17" s="33">
        <v>2.48</v>
      </c>
      <c r="CK17" s="33"/>
      <c r="CL17" s="33"/>
      <c r="CM17" s="36"/>
      <c r="CN17" s="286"/>
      <c r="CO17" s="249">
        <f t="shared" si="13"/>
        <v>80.491434799999993</v>
      </c>
      <c r="CP17" s="12">
        <f t="shared" si="13"/>
        <v>0</v>
      </c>
      <c r="CQ17" s="12">
        <f t="shared" si="13"/>
        <v>0</v>
      </c>
      <c r="CR17" s="12">
        <f t="shared" si="13"/>
        <v>100.023</v>
      </c>
      <c r="CS17" s="11">
        <f t="shared" si="13"/>
        <v>0</v>
      </c>
      <c r="CT17" s="11">
        <f t="shared" si="13"/>
        <v>17.38503</v>
      </c>
      <c r="CU17" s="272">
        <f t="shared" si="13"/>
        <v>27.315000000000001</v>
      </c>
      <c r="CV17" s="249">
        <f t="shared" si="14"/>
        <v>145.14291679999999</v>
      </c>
      <c r="CW17" s="12">
        <f t="shared" si="14"/>
        <v>0</v>
      </c>
      <c r="CX17" s="254">
        <f t="shared" si="14"/>
        <v>0</v>
      </c>
      <c r="CY17" s="272">
        <f t="shared" si="14"/>
        <v>0</v>
      </c>
      <c r="CZ17" s="13"/>
      <c r="DA17" s="240">
        <f>(D17+'[2]август 20 '!D17)/(AY17+'[2]август 20 '!BA17)</f>
        <v>2.2355993841288937</v>
      </c>
      <c r="DB17" s="241">
        <f>(T17+'[2]август 20 '!T17)/(AY17+'[2]август 20 '!BA17)</f>
        <v>1.4041245961272151</v>
      </c>
      <c r="DD17" s="292">
        <f t="shared" si="15"/>
        <v>9.0169999999999995</v>
      </c>
      <c r="DE17" s="291">
        <v>0.55000000000000004</v>
      </c>
      <c r="DF17" s="291">
        <v>9.1300000000000008</v>
      </c>
      <c r="DG17" s="145">
        <f t="shared" si="16"/>
        <v>8.9674064999999992</v>
      </c>
      <c r="DH17" s="293">
        <f t="shared" si="30"/>
        <v>1.0755704328034681</v>
      </c>
      <c r="DJ17" s="322"/>
    </row>
    <row r="18" spans="1:114" s="76" customFormat="1" ht="16.5" customHeight="1" thickBot="1">
      <c r="A18" s="144">
        <v>12</v>
      </c>
      <c r="B18" s="122">
        <f>'[1]август 20'!K17</f>
        <v>207.643</v>
      </c>
      <c r="C18" s="123">
        <f t="shared" si="17"/>
        <v>0.96608438521886142</v>
      </c>
      <c r="D18" s="145">
        <f t="shared" si="18"/>
        <v>205.63699339999999</v>
      </c>
      <c r="E18" s="125">
        <f t="shared" si="19"/>
        <v>39.429911482689036</v>
      </c>
      <c r="F18" s="146">
        <f t="shared" si="0"/>
        <v>2.1467480258899676</v>
      </c>
      <c r="G18" s="127"/>
      <c r="H18" s="126">
        <f t="shared" si="20"/>
        <v>0.93429369871594115</v>
      </c>
      <c r="I18" s="230">
        <f>'[1]июль 20'!AI17</f>
        <v>0</v>
      </c>
      <c r="J18" s="247">
        <f>'[1]август 20'!AA17</f>
        <v>8.4760000000000009</v>
      </c>
      <c r="K18" s="464">
        <f>'[1]сентябрь 20'!AM17</f>
        <v>0</v>
      </c>
      <c r="L18" s="247">
        <f>'[1]август 20'!AE17</f>
        <v>116.14100000000001</v>
      </c>
      <c r="M18" s="468">
        <f t="shared" si="21"/>
        <v>1.2124543271740265</v>
      </c>
      <c r="N18" s="403">
        <f>'[1]август 20'!W17</f>
        <v>0</v>
      </c>
      <c r="O18" s="403">
        <f>'[1]август 20'!AU17</f>
        <v>3.2549999999999999</v>
      </c>
      <c r="P18" s="401">
        <f t="shared" si="1"/>
        <v>138.20500000000001</v>
      </c>
      <c r="Q18" s="122">
        <f>'[1]август 20'!S17</f>
        <v>138.20500000000001</v>
      </c>
      <c r="R18" s="123">
        <f t="shared" si="22"/>
        <v>3.44</v>
      </c>
      <c r="S18" s="502">
        <v>21.45</v>
      </c>
      <c r="T18" s="125">
        <f t="shared" si="2"/>
        <v>133.450748</v>
      </c>
      <c r="U18" s="147">
        <f t="shared" si="3"/>
        <v>1.393159494728051</v>
      </c>
      <c r="V18" s="130">
        <v>95.79</v>
      </c>
      <c r="W18" s="130">
        <v>45.85</v>
      </c>
      <c r="X18" s="129">
        <v>0.8</v>
      </c>
      <c r="Y18" s="131">
        <v>557</v>
      </c>
      <c r="Z18" s="150">
        <v>1151</v>
      </c>
      <c r="AA18" s="148" t="s">
        <v>310</v>
      </c>
      <c r="AB18" s="149">
        <v>76.290000000000006</v>
      </c>
      <c r="AC18" s="150">
        <v>84</v>
      </c>
      <c r="AD18" s="151">
        <v>4</v>
      </c>
      <c r="AE18" s="149">
        <v>1.1499999999999999</v>
      </c>
      <c r="AF18" s="134">
        <f t="shared" si="4"/>
        <v>12.005428541601418</v>
      </c>
      <c r="AG18" s="152"/>
      <c r="AH18" s="129">
        <v>67.25</v>
      </c>
      <c r="AI18" s="134">
        <f t="shared" si="5"/>
        <v>702.05658210669162</v>
      </c>
      <c r="AJ18" s="153">
        <v>22.09</v>
      </c>
      <c r="AK18" s="154"/>
      <c r="AL18" s="155">
        <v>8.44</v>
      </c>
      <c r="AM18" s="478">
        <f t="shared" si="23"/>
        <v>25.580000000000002</v>
      </c>
      <c r="AN18" s="126">
        <f t="shared" si="24"/>
        <v>0.2</v>
      </c>
      <c r="AO18" s="157" t="s">
        <v>203</v>
      </c>
      <c r="AP18" s="156">
        <v>8.3000000000000007</v>
      </c>
      <c r="AQ18" s="156">
        <v>6.93</v>
      </c>
      <c r="AR18" s="151"/>
      <c r="AS18" s="149">
        <v>7</v>
      </c>
      <c r="AT18" s="149">
        <v>127.9</v>
      </c>
      <c r="AU18" s="149">
        <v>1.91</v>
      </c>
      <c r="AV18" s="149"/>
      <c r="AW18" s="149"/>
      <c r="AX18" s="158">
        <f t="shared" si="6"/>
        <v>0</v>
      </c>
      <c r="AY18" s="125">
        <f t="shared" si="7"/>
        <v>95.79</v>
      </c>
      <c r="AZ18" s="125">
        <f t="shared" si="25"/>
        <v>94.003947034075424</v>
      </c>
      <c r="BA18" s="159">
        <f t="shared" si="8"/>
        <v>3.6466549295774642</v>
      </c>
      <c r="BB18" s="160">
        <f t="shared" si="9"/>
        <v>3.8316000000000003</v>
      </c>
      <c r="BC18" s="161">
        <f t="shared" si="10"/>
        <v>0.90128208915551278</v>
      </c>
      <c r="BD18" s="160">
        <f t="shared" si="26"/>
        <v>7.4782549295774645</v>
      </c>
      <c r="BE18" s="162">
        <v>0.89100000000000001</v>
      </c>
      <c r="BF18" s="25">
        <f t="shared" si="27"/>
        <v>1103.3900000000001</v>
      </c>
      <c r="BG18" s="25">
        <f t="shared" si="11"/>
        <v>107.74193548387096</v>
      </c>
      <c r="BH18" s="25">
        <f t="shared" si="28"/>
        <v>1292.9032258064515</v>
      </c>
      <c r="BI18" s="26">
        <f t="shared" si="12"/>
        <v>1</v>
      </c>
      <c r="BJ18" s="37">
        <f t="shared" si="29"/>
        <v>1292.9032258064515</v>
      </c>
      <c r="BK18" s="38">
        <v>74.885000000000005</v>
      </c>
      <c r="BL18" s="31"/>
      <c r="BM18" s="31"/>
      <c r="BN18" s="234">
        <v>91.271000000000001</v>
      </c>
      <c r="BO18" s="42"/>
      <c r="BP18" s="40">
        <v>16.617000000000001</v>
      </c>
      <c r="BQ18" s="411">
        <v>24.87</v>
      </c>
      <c r="BR18" s="41">
        <v>1.84</v>
      </c>
      <c r="BS18" s="34"/>
      <c r="BT18" s="35"/>
      <c r="BU18" s="28"/>
      <c r="BV18" s="287"/>
      <c r="BW18" s="287">
        <v>3.78</v>
      </c>
      <c r="BX18" s="36"/>
      <c r="BY18" s="34">
        <v>36.21</v>
      </c>
      <c r="BZ18" s="34"/>
      <c r="CA18" s="35"/>
      <c r="CB18" s="405">
        <v>41.44</v>
      </c>
      <c r="CC18" s="404"/>
      <c r="CD18" s="235">
        <v>36.06</v>
      </c>
      <c r="CE18" s="405">
        <v>44</v>
      </c>
      <c r="CF18" s="38">
        <v>138.20500000000001</v>
      </c>
      <c r="CG18" s="42"/>
      <c r="CH18" s="234"/>
      <c r="CI18" s="233"/>
      <c r="CJ18" s="33">
        <v>3.44</v>
      </c>
      <c r="CK18" s="33"/>
      <c r="CL18" s="33"/>
      <c r="CM18" s="36"/>
      <c r="CN18" s="286"/>
      <c r="CO18" s="249">
        <f t="shared" si="13"/>
        <v>73.507115999999996</v>
      </c>
      <c r="CP18" s="12">
        <f t="shared" si="13"/>
        <v>0</v>
      </c>
      <c r="CQ18" s="12">
        <f t="shared" si="13"/>
        <v>0</v>
      </c>
      <c r="CR18" s="12">
        <f t="shared" si="13"/>
        <v>91.271000000000001</v>
      </c>
      <c r="CS18" s="11">
        <f t="shared" si="13"/>
        <v>0</v>
      </c>
      <c r="CT18" s="11">
        <f t="shared" si="13"/>
        <v>15.9888774</v>
      </c>
      <c r="CU18" s="272">
        <f t="shared" si="13"/>
        <v>24.87</v>
      </c>
      <c r="CV18" s="249">
        <f t="shared" si="14"/>
        <v>133.450748</v>
      </c>
      <c r="CW18" s="11">
        <f t="shared" si="14"/>
        <v>0</v>
      </c>
      <c r="CX18" s="249">
        <f t="shared" si="14"/>
        <v>0</v>
      </c>
      <c r="CY18" s="272">
        <f t="shared" si="14"/>
        <v>0</v>
      </c>
      <c r="CZ18" s="13"/>
      <c r="DA18" s="240">
        <f>(D18+'[2]август 20 '!D18)/(AY18+'[2]август 20 '!BA18)</f>
        <v>2.0971357283825558</v>
      </c>
      <c r="DB18" s="241">
        <f>(T18+'[2]август 20 '!T18)/(AY18+'[2]август 20 '!BA18)</f>
        <v>1.3873747489389943</v>
      </c>
      <c r="DD18" s="292">
        <f t="shared" si="15"/>
        <v>8.4760000000000009</v>
      </c>
      <c r="DE18" s="291">
        <v>0.46</v>
      </c>
      <c r="DF18" s="291">
        <v>11.03</v>
      </c>
      <c r="DG18" s="145">
        <f t="shared" si="16"/>
        <v>8.4370104000000019</v>
      </c>
      <c r="DH18" s="293">
        <f t="shared" si="30"/>
        <v>1.2198220567833269</v>
      </c>
      <c r="DJ18" s="322"/>
    </row>
    <row r="19" spans="1:114" s="76" customFormat="1" ht="16.5" customHeight="1" thickBot="1">
      <c r="A19" s="144">
        <v>13</v>
      </c>
      <c r="B19" s="122">
        <f>'[1]август 20'!K18</f>
        <v>187.23699999999999</v>
      </c>
      <c r="C19" s="123">
        <f t="shared" si="17"/>
        <v>0.58876856604196826</v>
      </c>
      <c r="D19" s="145">
        <f t="shared" si="18"/>
        <v>186.13460739999999</v>
      </c>
      <c r="E19" s="125">
        <f t="shared" si="19"/>
        <v>39.144077612864983</v>
      </c>
      <c r="F19" s="146">
        <f t="shared" si="0"/>
        <v>1.9898931729741285</v>
      </c>
      <c r="G19" s="127"/>
      <c r="H19" s="126">
        <f t="shared" si="20"/>
        <v>0.86991241607868286</v>
      </c>
      <c r="I19" s="230">
        <f>'[1]июль 20'!AI18</f>
        <v>0</v>
      </c>
      <c r="J19" s="247">
        <f>'[1]август 20'!AA18</f>
        <v>7.5129999999999999</v>
      </c>
      <c r="K19" s="465">
        <f>'[1]сентябрь 20'!AM18</f>
        <v>0</v>
      </c>
      <c r="L19" s="247">
        <f>'[1]август 20'!AE18</f>
        <v>104.76300000000001</v>
      </c>
      <c r="M19" s="469">
        <f t="shared" si="21"/>
        <v>1.1199807568954459</v>
      </c>
      <c r="N19" s="403">
        <f>'[1]август 20'!W18</f>
        <v>0</v>
      </c>
      <c r="O19" s="403">
        <f>'[1]август 20'!AU18</f>
        <v>2.9780000000000002</v>
      </c>
      <c r="P19" s="401">
        <f t="shared" si="1"/>
        <v>122.651</v>
      </c>
      <c r="Q19" s="122">
        <f>'[1]август 20'!S18</f>
        <v>122.651</v>
      </c>
      <c r="R19" s="123">
        <f t="shared" si="22"/>
        <v>3.1</v>
      </c>
      <c r="S19" s="501">
        <v>2.129</v>
      </c>
      <c r="T19" s="125">
        <f t="shared" si="2"/>
        <v>118.84881900000001</v>
      </c>
      <c r="U19" s="147">
        <f t="shared" si="3"/>
        <v>1.270566805644644</v>
      </c>
      <c r="V19" s="130">
        <v>93.54</v>
      </c>
      <c r="W19" s="130">
        <v>45.14</v>
      </c>
      <c r="X19" s="129">
        <v>1.42</v>
      </c>
      <c r="Y19" s="131">
        <v>615</v>
      </c>
      <c r="Z19" s="150">
        <v>1160</v>
      </c>
      <c r="AA19" s="148">
        <v>371.7</v>
      </c>
      <c r="AB19" s="149">
        <v>76.25</v>
      </c>
      <c r="AC19" s="150">
        <v>75</v>
      </c>
      <c r="AD19" s="151">
        <v>4</v>
      </c>
      <c r="AE19" s="149">
        <v>2.9</v>
      </c>
      <c r="AF19" s="134">
        <f t="shared" si="4"/>
        <v>31.002779559546717</v>
      </c>
      <c r="AG19" s="152"/>
      <c r="AH19" s="129">
        <v>64.25</v>
      </c>
      <c r="AI19" s="134">
        <f t="shared" si="5"/>
        <v>686.87192644857805</v>
      </c>
      <c r="AJ19" s="136">
        <v>10.6</v>
      </c>
      <c r="AK19" s="154"/>
      <c r="AL19" s="155">
        <v>4.5599999999999996</v>
      </c>
      <c r="AM19" s="478">
        <f t="shared" si="23"/>
        <v>24.28</v>
      </c>
      <c r="AN19" s="126">
        <f t="shared" si="24"/>
        <v>0.2</v>
      </c>
      <c r="AO19" s="157" t="s">
        <v>383</v>
      </c>
      <c r="AP19" s="156">
        <v>8.9499999999999993</v>
      </c>
      <c r="AQ19" s="156">
        <v>6.34</v>
      </c>
      <c r="AR19" s="151"/>
      <c r="AS19" s="149">
        <v>5.65</v>
      </c>
      <c r="AT19" s="149">
        <v>121.4</v>
      </c>
      <c r="AU19" s="149">
        <v>0.98</v>
      </c>
      <c r="AV19" s="164"/>
      <c r="AW19" s="149"/>
      <c r="AX19" s="158">
        <f t="shared" si="6"/>
        <v>0</v>
      </c>
      <c r="AY19" s="125">
        <f t="shared" si="7"/>
        <v>93.54</v>
      </c>
      <c r="AZ19" s="125">
        <f t="shared" si="25"/>
        <v>84.081708248544558</v>
      </c>
      <c r="BA19" s="159">
        <f t="shared" si="8"/>
        <v>2.8120686619718311</v>
      </c>
      <c r="BB19" s="160">
        <f t="shared" si="9"/>
        <v>3.7416000000000005</v>
      </c>
      <c r="BC19" s="161">
        <f t="shared" si="10"/>
        <v>0.97891283355314529</v>
      </c>
      <c r="BD19" s="160">
        <f t="shared" si="26"/>
        <v>6.5536686619718321</v>
      </c>
      <c r="BE19" s="162">
        <v>0.89700000000000002</v>
      </c>
      <c r="BF19" s="25">
        <f t="shared" si="27"/>
        <v>1196.93</v>
      </c>
      <c r="BG19" s="25">
        <f t="shared" si="11"/>
        <v>107.74193548387096</v>
      </c>
      <c r="BH19" s="25">
        <f t="shared" si="28"/>
        <v>1400.6451612903224</v>
      </c>
      <c r="BI19" s="26">
        <f t="shared" si="12"/>
        <v>1</v>
      </c>
      <c r="BJ19" s="37">
        <f t="shared" si="29"/>
        <v>1400.6451612903224</v>
      </c>
      <c r="BK19" s="38">
        <v>67.463999999999999</v>
      </c>
      <c r="BL19" s="31"/>
      <c r="BM19" s="31"/>
      <c r="BN19" s="234">
        <v>82.334000000000003</v>
      </c>
      <c r="BO19" s="42"/>
      <c r="BP19" s="40">
        <v>15.01</v>
      </c>
      <c r="BQ19" s="411">
        <v>22.428999999999998</v>
      </c>
      <c r="BR19" s="33">
        <v>1.04</v>
      </c>
      <c r="BS19" s="34"/>
      <c r="BT19" s="35"/>
      <c r="BU19" s="28"/>
      <c r="BV19" s="287"/>
      <c r="BW19" s="287">
        <v>2.67</v>
      </c>
      <c r="BX19" s="36"/>
      <c r="BY19" s="33">
        <v>35.53</v>
      </c>
      <c r="BZ19" s="34"/>
      <c r="CA19" s="35"/>
      <c r="CB19" s="405">
        <v>41.37</v>
      </c>
      <c r="CC19" s="404"/>
      <c r="CD19" s="235">
        <v>36.46</v>
      </c>
      <c r="CE19" s="413">
        <v>43.64</v>
      </c>
      <c r="CF19" s="41">
        <v>122.651</v>
      </c>
      <c r="CG19" s="41"/>
      <c r="CH19" s="30"/>
      <c r="CI19" s="32"/>
      <c r="CJ19" s="33">
        <v>3.1</v>
      </c>
      <c r="CK19" s="33"/>
      <c r="CL19" s="33"/>
      <c r="CM19" s="36"/>
      <c r="CN19" s="286"/>
      <c r="CO19" s="249">
        <f t="shared" si="13"/>
        <v>66.762374399999999</v>
      </c>
      <c r="CP19" s="12">
        <f t="shared" si="13"/>
        <v>0</v>
      </c>
      <c r="CQ19" s="12">
        <f t="shared" si="13"/>
        <v>0</v>
      </c>
      <c r="CR19" s="12">
        <f t="shared" si="13"/>
        <v>82.334000000000003</v>
      </c>
      <c r="CS19" s="11">
        <f t="shared" si="13"/>
        <v>0</v>
      </c>
      <c r="CT19" s="11">
        <f t="shared" si="13"/>
        <v>14.609233</v>
      </c>
      <c r="CU19" s="272">
        <f t="shared" si="13"/>
        <v>22.428999999999998</v>
      </c>
      <c r="CV19" s="249">
        <f t="shared" si="14"/>
        <v>118.84881900000001</v>
      </c>
      <c r="CW19" s="251">
        <f t="shared" si="14"/>
        <v>0</v>
      </c>
      <c r="CX19" s="249">
        <f t="shared" si="14"/>
        <v>0</v>
      </c>
      <c r="CY19" s="272">
        <f t="shared" si="14"/>
        <v>0</v>
      </c>
      <c r="CZ19" s="13"/>
      <c r="DA19" s="240">
        <f>(D19+'[2]август 20 '!D19)/(AY19+'[2]август 20 '!BA19)</f>
        <v>1.946234011300578</v>
      </c>
      <c r="DB19" s="241">
        <f>(T19+'[2]август 20 '!T19)/(AY19+'[2]август 20 '!BA19)</f>
        <v>1.230956635043928</v>
      </c>
      <c r="DD19" s="292">
        <f t="shared" si="15"/>
        <v>7.5129999999999999</v>
      </c>
      <c r="DE19" s="291">
        <v>0.57999999999999996</v>
      </c>
      <c r="DF19" s="291">
        <v>6.76</v>
      </c>
      <c r="DG19" s="145">
        <f t="shared" si="16"/>
        <v>7.4694246</v>
      </c>
      <c r="DH19" s="293">
        <f t="shared" si="30"/>
        <v>0.6622073481442623</v>
      </c>
      <c r="DJ19" s="322"/>
    </row>
    <row r="20" spans="1:114" s="76" customFormat="1" ht="16.5" customHeight="1" thickBot="1">
      <c r="A20" s="144">
        <v>14</v>
      </c>
      <c r="B20" s="122">
        <f>'[1]август 20'!K19</f>
        <v>202.50800000000001</v>
      </c>
      <c r="C20" s="123">
        <f t="shared" si="17"/>
        <v>0.56626004898571902</v>
      </c>
      <c r="D20" s="145">
        <f t="shared" si="18"/>
        <v>201.36127809999999</v>
      </c>
      <c r="E20" s="125">
        <f t="shared" si="19"/>
        <v>39.71044225413317</v>
      </c>
      <c r="F20" s="146">
        <f t="shared" si="0"/>
        <v>2.1476245531143348</v>
      </c>
      <c r="G20" s="127"/>
      <c r="H20" s="126">
        <f t="shared" si="20"/>
        <v>0.93839887052047788</v>
      </c>
      <c r="I20" s="230">
        <f>'[1]июль 20'!AI19</f>
        <v>0</v>
      </c>
      <c r="J20" s="247">
        <f>'[1]август 20'!AA19</f>
        <v>8.2110000000000003</v>
      </c>
      <c r="K20" s="464">
        <f>'[1]сентябрь 20'!AM19</f>
        <v>0</v>
      </c>
      <c r="L20" s="247">
        <f>'[1]август 20'!AE19</f>
        <v>113.377</v>
      </c>
      <c r="M20" s="468">
        <f t="shared" si="21"/>
        <v>1.2092256825938568</v>
      </c>
      <c r="N20" s="403">
        <f>'[1]август 20'!W19</f>
        <v>0</v>
      </c>
      <c r="O20" s="403">
        <f>'[1]август 20'!AU19</f>
        <v>3.6240000000000001</v>
      </c>
      <c r="P20" s="401">
        <f t="shared" si="1"/>
        <v>131.107</v>
      </c>
      <c r="Q20" s="122">
        <f>'[1]август 20'!S19</f>
        <v>131.107</v>
      </c>
      <c r="R20" s="123">
        <f t="shared" si="22"/>
        <v>2.8</v>
      </c>
      <c r="S20" s="503">
        <v>11.041</v>
      </c>
      <c r="T20" s="125">
        <f t="shared" si="2"/>
        <v>127.436004</v>
      </c>
      <c r="U20" s="147">
        <f t="shared" si="3"/>
        <v>1.3591723976109216</v>
      </c>
      <c r="V20" s="130">
        <v>93.76</v>
      </c>
      <c r="W20" s="130">
        <v>48.71</v>
      </c>
      <c r="X20" s="129">
        <v>0.99</v>
      </c>
      <c r="Y20" s="131">
        <v>587</v>
      </c>
      <c r="Z20" s="150">
        <v>1157</v>
      </c>
      <c r="AA20" s="168" t="s">
        <v>310</v>
      </c>
      <c r="AB20" s="149">
        <v>76.13</v>
      </c>
      <c r="AC20" s="150">
        <v>81</v>
      </c>
      <c r="AD20" s="151">
        <v>4</v>
      </c>
      <c r="AE20" s="149">
        <v>5.25</v>
      </c>
      <c r="AF20" s="134">
        <f t="shared" si="4"/>
        <v>55.994027303754272</v>
      </c>
      <c r="AG20" s="152"/>
      <c r="AH20" s="129">
        <v>72.2</v>
      </c>
      <c r="AI20" s="134">
        <f t="shared" si="5"/>
        <v>770.05119453924931</v>
      </c>
      <c r="AJ20" s="153">
        <v>12.46</v>
      </c>
      <c r="AK20" s="154"/>
      <c r="AL20" s="155">
        <v>6.26</v>
      </c>
      <c r="AM20" s="478">
        <f t="shared" si="23"/>
        <v>24.61</v>
      </c>
      <c r="AN20" s="126">
        <f t="shared" si="24"/>
        <v>0.2</v>
      </c>
      <c r="AO20" s="157" t="s">
        <v>196</v>
      </c>
      <c r="AP20" s="156">
        <v>8.9</v>
      </c>
      <c r="AQ20" s="156">
        <v>6.82</v>
      </c>
      <c r="AR20" s="149"/>
      <c r="AS20" s="149">
        <v>6.39</v>
      </c>
      <c r="AT20" s="149">
        <v>123.05</v>
      </c>
      <c r="AU20" s="149">
        <v>1.58</v>
      </c>
      <c r="AV20" s="149"/>
      <c r="AW20" s="149"/>
      <c r="AX20" s="158">
        <f t="shared" si="6"/>
        <v>0</v>
      </c>
      <c r="AY20" s="125">
        <f t="shared" si="7"/>
        <v>93.759999999999991</v>
      </c>
      <c r="AZ20" s="125">
        <f t="shared" si="25"/>
        <v>92.637489307553139</v>
      </c>
      <c r="BA20" s="159">
        <f t="shared" si="8"/>
        <v>3.5738999999999996</v>
      </c>
      <c r="BB20" s="160">
        <f t="shared" si="9"/>
        <v>3.7503999999999995</v>
      </c>
      <c r="BC20" s="161">
        <f t="shared" si="10"/>
        <v>0.89267371181842625</v>
      </c>
      <c r="BD20" s="160">
        <f t="shared" si="26"/>
        <v>7.3242999999999991</v>
      </c>
      <c r="BE20" s="162">
        <v>0.89700000000000002</v>
      </c>
      <c r="BF20" s="25">
        <f t="shared" si="27"/>
        <v>1290.69</v>
      </c>
      <c r="BG20" s="25">
        <f t="shared" si="11"/>
        <v>107.74193548387096</v>
      </c>
      <c r="BH20" s="25">
        <f t="shared" si="28"/>
        <v>1508.3870967741934</v>
      </c>
      <c r="BI20" s="26">
        <f t="shared" si="12"/>
        <v>1</v>
      </c>
      <c r="BJ20" s="37">
        <f t="shared" si="29"/>
        <v>1508.3870967741934</v>
      </c>
      <c r="BK20" s="38">
        <v>72.917000000000002</v>
      </c>
      <c r="BL20" s="31"/>
      <c r="BM20" s="31"/>
      <c r="BN20" s="234">
        <v>89.048000000000002</v>
      </c>
      <c r="BO20" s="42"/>
      <c r="BP20" s="40">
        <v>16.213999999999999</v>
      </c>
      <c r="BQ20" s="411">
        <v>24.329000000000001</v>
      </c>
      <c r="BR20" s="33">
        <v>0.91</v>
      </c>
      <c r="BS20" s="34"/>
      <c r="BT20" s="35"/>
      <c r="BU20" s="28"/>
      <c r="BV20" s="287"/>
      <c r="BW20" s="287">
        <v>2.98</v>
      </c>
      <c r="BX20" s="36"/>
      <c r="BY20" s="33">
        <v>36.520000000000003</v>
      </c>
      <c r="BZ20" s="34"/>
      <c r="CA20" s="35"/>
      <c r="CB20" s="405">
        <v>41.67</v>
      </c>
      <c r="CC20" s="404"/>
      <c r="CD20" s="235">
        <v>37.01</v>
      </c>
      <c r="CE20" s="413">
        <v>43.9</v>
      </c>
      <c r="CF20" s="30">
        <v>131.107</v>
      </c>
      <c r="CG20" s="30"/>
      <c r="CH20" s="31"/>
      <c r="CI20" s="32"/>
      <c r="CJ20" s="33">
        <v>2.8</v>
      </c>
      <c r="CK20" s="33"/>
      <c r="CL20" s="35"/>
      <c r="CM20" s="36"/>
      <c r="CN20" s="286"/>
      <c r="CO20" s="249">
        <f t="shared" si="13"/>
        <v>72.253455299999999</v>
      </c>
      <c r="CP20" s="12">
        <f t="shared" si="13"/>
        <v>0</v>
      </c>
      <c r="CQ20" s="12">
        <f t="shared" si="13"/>
        <v>0</v>
      </c>
      <c r="CR20" s="12">
        <f t="shared" si="13"/>
        <v>89.048000000000002</v>
      </c>
      <c r="CS20" s="11">
        <f t="shared" si="13"/>
        <v>0</v>
      </c>
      <c r="CT20" s="11">
        <f t="shared" si="13"/>
        <v>15.730822799999999</v>
      </c>
      <c r="CU20" s="272">
        <f t="shared" si="13"/>
        <v>24.329000000000001</v>
      </c>
      <c r="CV20" s="249">
        <f t="shared" si="14"/>
        <v>127.436004</v>
      </c>
      <c r="CW20" s="12">
        <f t="shared" si="14"/>
        <v>0</v>
      </c>
      <c r="CX20" s="249">
        <f t="shared" si="14"/>
        <v>0</v>
      </c>
      <c r="CY20" s="272">
        <f t="shared" si="14"/>
        <v>0</v>
      </c>
      <c r="CZ20" s="13"/>
      <c r="DA20" s="240">
        <f>(D20+'[2]август 20 '!D20)/(AY20+'[2]август 20 '!BA20)</f>
        <v>2.2360329814010105</v>
      </c>
      <c r="DB20" s="241">
        <f>(T20+'[2]август 20 '!T20)/(AY20+'[2]август 20 '!BA20)</f>
        <v>1.4113863196177028</v>
      </c>
      <c r="DD20" s="292">
        <f t="shared" si="15"/>
        <v>8.2110000000000003</v>
      </c>
      <c r="DE20" s="291">
        <v>0.44</v>
      </c>
      <c r="DF20" s="407">
        <v>8.7899999999999991</v>
      </c>
      <c r="DG20" s="145">
        <f t="shared" si="16"/>
        <v>8.1748716000000012</v>
      </c>
      <c r="DH20" s="293">
        <f t="shared" si="30"/>
        <v>0.94387391782477359</v>
      </c>
      <c r="DJ20" s="322"/>
    </row>
    <row r="21" spans="1:114" s="76" customFormat="1" ht="16.5" customHeight="1" thickBot="1">
      <c r="A21" s="144">
        <v>15</v>
      </c>
      <c r="B21" s="122">
        <f>'[1]август 20'!K20</f>
        <v>197.50399999999999</v>
      </c>
      <c r="C21" s="123">
        <f t="shared" si="17"/>
        <v>0.69694968203175633</v>
      </c>
      <c r="D21" s="145">
        <f t="shared" si="18"/>
        <v>196.12749649999998</v>
      </c>
      <c r="E21" s="125">
        <f t="shared" si="19"/>
        <v>39.190827730071291</v>
      </c>
      <c r="F21" s="146">
        <f t="shared" si="0"/>
        <v>2.0459784738159819</v>
      </c>
      <c r="G21" s="127"/>
      <c r="H21" s="126">
        <f t="shared" si="20"/>
        <v>0.89243163467556863</v>
      </c>
      <c r="I21" s="230">
        <f>'[1]июль 20'!AI20</f>
        <v>0</v>
      </c>
      <c r="J21" s="247">
        <f>'[1]август 20'!AA20</f>
        <v>8.3940000000000001</v>
      </c>
      <c r="K21" s="465">
        <f>'[1]сентябрь 20'!AM20</f>
        <v>0</v>
      </c>
      <c r="L21" s="247">
        <f>'[1]август 20'!AE20</f>
        <v>110.57899999999999</v>
      </c>
      <c r="M21" s="469">
        <f t="shared" si="21"/>
        <v>1.1535468391404131</v>
      </c>
      <c r="N21" s="403">
        <f>'[1]август 20'!W20</f>
        <v>0</v>
      </c>
      <c r="O21" s="403">
        <f>'[1]август 20'!AU20</f>
        <v>3.51</v>
      </c>
      <c r="P21" s="401">
        <f t="shared" si="1"/>
        <v>128.38200000000001</v>
      </c>
      <c r="Q21" s="122">
        <f>'[1]август 20'!S20</f>
        <v>128.38200000000001</v>
      </c>
      <c r="R21" s="123">
        <f t="shared" si="22"/>
        <v>3.22</v>
      </c>
      <c r="S21" s="501"/>
      <c r="T21" s="125">
        <f t="shared" si="2"/>
        <v>124.2480996</v>
      </c>
      <c r="U21" s="147">
        <f t="shared" si="3"/>
        <v>1.2961412434800754</v>
      </c>
      <c r="V21" s="130">
        <v>95.86</v>
      </c>
      <c r="W21" s="130">
        <v>95.86</v>
      </c>
      <c r="X21" s="129">
        <v>0.25</v>
      </c>
      <c r="Y21" s="131">
        <v>627</v>
      </c>
      <c r="Z21" s="150">
        <v>1162</v>
      </c>
      <c r="AA21" s="168" t="s">
        <v>333</v>
      </c>
      <c r="AB21" s="149">
        <v>76.03</v>
      </c>
      <c r="AC21" s="150">
        <v>79</v>
      </c>
      <c r="AD21" s="151">
        <v>4</v>
      </c>
      <c r="AE21" s="149">
        <v>5.65</v>
      </c>
      <c r="AF21" s="134">
        <f t="shared" si="4"/>
        <v>58.940121009805978</v>
      </c>
      <c r="AG21" s="152"/>
      <c r="AH21" s="129">
        <v>76.2</v>
      </c>
      <c r="AI21" s="134">
        <f t="shared" si="5"/>
        <v>794.90924264552484</v>
      </c>
      <c r="AJ21" s="136">
        <v>14.07</v>
      </c>
      <c r="AK21" s="154"/>
      <c r="AL21" s="155">
        <v>6.01</v>
      </c>
      <c r="AM21" s="478">
        <f t="shared" si="23"/>
        <v>25.040000000000003</v>
      </c>
      <c r="AN21" s="126">
        <f t="shared" si="24"/>
        <v>0.2</v>
      </c>
      <c r="AO21" s="157" t="s">
        <v>183</v>
      </c>
      <c r="AP21" s="156">
        <v>7.81</v>
      </c>
      <c r="AQ21" s="156">
        <v>6.74</v>
      </c>
      <c r="AR21" s="149"/>
      <c r="AS21" s="149">
        <v>7.45</v>
      </c>
      <c r="AT21" s="149">
        <v>125.2</v>
      </c>
      <c r="AU21" s="149">
        <v>1.71</v>
      </c>
      <c r="AV21" s="149"/>
      <c r="AW21" s="149"/>
      <c r="AX21" s="158">
        <f t="shared" si="6"/>
        <v>0</v>
      </c>
      <c r="AY21" s="125">
        <f t="shared" si="7"/>
        <v>95.859999999999985</v>
      </c>
      <c r="AZ21" s="125">
        <f t="shared" si="25"/>
        <v>90.471562221636589</v>
      </c>
      <c r="BA21" s="159">
        <f t="shared" si="8"/>
        <v>4.3975985915492961</v>
      </c>
      <c r="BB21" s="160">
        <f t="shared" si="9"/>
        <v>3.8343999999999996</v>
      </c>
      <c r="BC21" s="161">
        <f t="shared" si="10"/>
        <v>0.94819900291834736</v>
      </c>
      <c r="BD21" s="160">
        <f t="shared" si="26"/>
        <v>8.2319985915492957</v>
      </c>
      <c r="BE21" s="162">
        <v>0.9</v>
      </c>
      <c r="BF21" s="25">
        <f t="shared" si="27"/>
        <v>1386.55</v>
      </c>
      <c r="BG21" s="25">
        <f t="shared" si="11"/>
        <v>107.74193548387096</v>
      </c>
      <c r="BH21" s="25">
        <f t="shared" si="28"/>
        <v>1616.1290322580644</v>
      </c>
      <c r="BI21" s="26">
        <f t="shared" si="12"/>
        <v>1</v>
      </c>
      <c r="BJ21" s="37">
        <f t="shared" si="29"/>
        <v>1616.1290322580644</v>
      </c>
      <c r="BK21" s="38">
        <v>71.094999999999999</v>
      </c>
      <c r="BL21" s="31"/>
      <c r="BM21" s="31"/>
      <c r="BN21" s="234">
        <v>86.906999999999996</v>
      </c>
      <c r="BO21" s="42"/>
      <c r="BP21" s="40">
        <v>15.83</v>
      </c>
      <c r="BQ21" s="411">
        <v>23.672000000000001</v>
      </c>
      <c r="BR21" s="33">
        <v>1.07</v>
      </c>
      <c r="BS21" s="34"/>
      <c r="BT21" s="35"/>
      <c r="BU21" s="35"/>
      <c r="BV21" s="235"/>
      <c r="BW21" s="235">
        <v>3.89</v>
      </c>
      <c r="BX21" s="36"/>
      <c r="BY21" s="33">
        <v>35.24</v>
      </c>
      <c r="BZ21" s="34"/>
      <c r="CA21" s="35"/>
      <c r="CB21" s="405">
        <v>41.58</v>
      </c>
      <c r="CC21" s="404"/>
      <c r="CD21" s="235">
        <v>37.090000000000003</v>
      </c>
      <c r="CE21" s="413">
        <v>43.69</v>
      </c>
      <c r="CF21" s="30">
        <v>128.38200000000001</v>
      </c>
      <c r="CG21" s="30"/>
      <c r="CH21" s="31"/>
      <c r="CI21" s="32"/>
      <c r="CJ21" s="33">
        <v>3.22</v>
      </c>
      <c r="CK21" s="33"/>
      <c r="CL21" s="35"/>
      <c r="CM21" s="36"/>
      <c r="CN21" s="286"/>
      <c r="CO21" s="249">
        <f t="shared" si="13"/>
        <v>70.334283499999998</v>
      </c>
      <c r="CP21" s="12">
        <f t="shared" si="13"/>
        <v>0</v>
      </c>
      <c r="CQ21" s="12">
        <f t="shared" si="13"/>
        <v>0</v>
      </c>
      <c r="CR21" s="12">
        <f t="shared" si="13"/>
        <v>86.906999999999996</v>
      </c>
      <c r="CS21" s="11">
        <f t="shared" si="13"/>
        <v>0</v>
      </c>
      <c r="CT21" s="11">
        <f t="shared" si="13"/>
        <v>15.214212999999999</v>
      </c>
      <c r="CU21" s="272">
        <f t="shared" si="13"/>
        <v>23.672000000000001</v>
      </c>
      <c r="CV21" s="249">
        <f t="shared" si="14"/>
        <v>124.2480996</v>
      </c>
      <c r="CW21" s="12">
        <f t="shared" si="14"/>
        <v>0</v>
      </c>
      <c r="CX21" s="249">
        <f t="shared" si="14"/>
        <v>0</v>
      </c>
      <c r="CY21" s="272">
        <f t="shared" si="14"/>
        <v>0</v>
      </c>
      <c r="CZ21" s="13"/>
      <c r="DA21" s="240">
        <f>(D21+'[2]август 20 '!D21)/(AY21+'[2]август 20 '!BA21)</f>
        <v>2.0417844968785377</v>
      </c>
      <c r="DB21" s="241">
        <f>(T21+'[2]август 20 '!T21)/(AY21+'[2]август 20 '!BA21)</f>
        <v>1.2837314375448399</v>
      </c>
      <c r="DD21" s="292">
        <f t="shared" si="15"/>
        <v>8.3940000000000001</v>
      </c>
      <c r="DE21" s="291">
        <v>1.41</v>
      </c>
      <c r="DF21" s="291">
        <v>20.34</v>
      </c>
      <c r="DG21" s="145">
        <f t="shared" si="16"/>
        <v>8.2756445999999997</v>
      </c>
      <c r="DH21" s="293">
        <f t="shared" si="30"/>
        <v>2.2139499035117716</v>
      </c>
      <c r="DJ21" s="322"/>
    </row>
    <row r="22" spans="1:114" s="76" customFormat="1" ht="16.5" customHeight="1" thickBot="1">
      <c r="A22" s="144">
        <v>16</v>
      </c>
      <c r="B22" s="122">
        <f>'[1]август 20'!K21</f>
        <v>194.76400000000001</v>
      </c>
      <c r="C22" s="123">
        <f t="shared" si="17"/>
        <v>0.70900238237045865</v>
      </c>
      <c r="D22" s="145">
        <f t="shared" si="18"/>
        <v>193.38311860000002</v>
      </c>
      <c r="E22" s="125">
        <f t="shared" si="19"/>
        <v>39.357707687252258</v>
      </c>
      <c r="F22" s="146">
        <f t="shared" si="0"/>
        <v>2.1130148448426573</v>
      </c>
      <c r="G22" s="127"/>
      <c r="H22" s="126">
        <f t="shared" si="20"/>
        <v>0.91999692526223764</v>
      </c>
      <c r="I22" s="230">
        <f>'[1]июль 20'!AI21</f>
        <v>0</v>
      </c>
      <c r="J22" s="247">
        <f>'[1]август 20'!AA21</f>
        <v>7.88</v>
      </c>
      <c r="K22" s="464">
        <f>'[1]сентябрь 20'!AM21</f>
        <v>0</v>
      </c>
      <c r="L22" s="247">
        <f>'[1]август 20'!AE21</f>
        <v>109.185</v>
      </c>
      <c r="M22" s="468">
        <f t="shared" si="21"/>
        <v>1.1930179195804194</v>
      </c>
      <c r="N22" s="403">
        <f>'[1]август 20'!W21</f>
        <v>0</v>
      </c>
      <c r="O22" s="403">
        <f>'[1]август 20'!AU21</f>
        <v>3.5169999999999999</v>
      </c>
      <c r="P22" s="401">
        <f t="shared" si="1"/>
        <v>126.471</v>
      </c>
      <c r="Q22" s="122">
        <f>'[1]август 20'!S21</f>
        <v>126.471</v>
      </c>
      <c r="R22" s="123">
        <f t="shared" si="22"/>
        <v>3.7</v>
      </c>
      <c r="S22" s="501"/>
      <c r="T22" s="125">
        <f t="shared" si="2"/>
        <v>121.791573</v>
      </c>
      <c r="U22" s="147">
        <f t="shared" si="3"/>
        <v>1.3307645651223774</v>
      </c>
      <c r="V22" s="130">
        <v>91.52</v>
      </c>
      <c r="W22" s="130">
        <v>25.47</v>
      </c>
      <c r="X22" s="129">
        <v>1.1399999999999999</v>
      </c>
      <c r="Y22" s="131">
        <v>569</v>
      </c>
      <c r="Z22" s="150">
        <v>1163</v>
      </c>
      <c r="AA22" s="148" t="s">
        <v>299</v>
      </c>
      <c r="AB22" s="149">
        <v>76.349999999999994</v>
      </c>
      <c r="AC22" s="150">
        <v>78</v>
      </c>
      <c r="AD22" s="151">
        <v>4</v>
      </c>
      <c r="AE22" s="149">
        <v>4.1500000000000004</v>
      </c>
      <c r="AF22" s="134">
        <f t="shared" si="4"/>
        <v>45.34527972027972</v>
      </c>
      <c r="AG22" s="152"/>
      <c r="AH22" s="129">
        <v>73.8</v>
      </c>
      <c r="AI22" s="134">
        <f t="shared" si="5"/>
        <v>806.38111888111871</v>
      </c>
      <c r="AJ22" s="153">
        <v>12.06</v>
      </c>
      <c r="AK22" s="154"/>
      <c r="AL22" s="155">
        <v>4.9400000000000004</v>
      </c>
      <c r="AM22" s="478">
        <f t="shared" si="23"/>
        <v>23.71</v>
      </c>
      <c r="AN22" s="126">
        <f t="shared" si="24"/>
        <v>0.2</v>
      </c>
      <c r="AO22" s="157" t="s">
        <v>382</v>
      </c>
      <c r="AP22" s="156">
        <v>8.2799999999999994</v>
      </c>
      <c r="AQ22" s="156">
        <v>6.36</v>
      </c>
      <c r="AR22" s="151"/>
      <c r="AS22" s="149">
        <v>6.97</v>
      </c>
      <c r="AT22" s="149">
        <v>118.55</v>
      </c>
      <c r="AU22" s="149">
        <v>1.62</v>
      </c>
      <c r="AV22" s="149"/>
      <c r="AW22" s="149"/>
      <c r="AX22" s="158">
        <f t="shared" si="6"/>
        <v>0</v>
      </c>
      <c r="AY22" s="125">
        <f t="shared" si="7"/>
        <v>91.52000000000001</v>
      </c>
      <c r="AZ22" s="125">
        <f t="shared" si="25"/>
        <v>88.945294883464527</v>
      </c>
      <c r="BA22" s="159">
        <f t="shared" si="8"/>
        <v>3.9846802816901405</v>
      </c>
      <c r="BB22" s="160">
        <f t="shared" si="9"/>
        <v>3.6608000000000005</v>
      </c>
      <c r="BC22" s="161">
        <f t="shared" si="10"/>
        <v>0.91807190525822957</v>
      </c>
      <c r="BD22" s="160">
        <f t="shared" si="26"/>
        <v>7.6454802816901406</v>
      </c>
      <c r="BE22" s="162">
        <v>0.90200000000000002</v>
      </c>
      <c r="BF22" s="25">
        <f t="shared" si="27"/>
        <v>1478.07</v>
      </c>
      <c r="BG22" s="25">
        <f t="shared" si="11"/>
        <v>107.74193548387096</v>
      </c>
      <c r="BH22" s="25">
        <f t="shared" si="28"/>
        <v>1723.8709677419354</v>
      </c>
      <c r="BI22" s="26">
        <f t="shared" si="12"/>
        <v>1</v>
      </c>
      <c r="BJ22" s="37">
        <f t="shared" si="29"/>
        <v>1723.8709677419354</v>
      </c>
      <c r="BK22" s="38">
        <v>69.977000000000004</v>
      </c>
      <c r="BL22" s="31"/>
      <c r="BM22" s="31"/>
      <c r="BN22" s="234">
        <v>85.796000000000006</v>
      </c>
      <c r="BO22" s="42"/>
      <c r="BP22" s="40">
        <v>15.602</v>
      </c>
      <c r="BQ22" s="411">
        <v>23.388999999999999</v>
      </c>
      <c r="BR22" s="33">
        <v>1.3</v>
      </c>
      <c r="BS22" s="34"/>
      <c r="BT22" s="35"/>
      <c r="BU22" s="35"/>
      <c r="BV22" s="235"/>
      <c r="BW22" s="235">
        <v>3.02</v>
      </c>
      <c r="BX22" s="36"/>
      <c r="BY22" s="33">
        <v>35.5</v>
      </c>
      <c r="BZ22" s="34"/>
      <c r="CA22" s="35"/>
      <c r="CB22" s="405">
        <v>41.62</v>
      </c>
      <c r="CC22" s="404"/>
      <c r="CD22" s="235">
        <v>37.799999999999997</v>
      </c>
      <c r="CE22" s="413">
        <v>43.64</v>
      </c>
      <c r="CF22" s="30">
        <v>126.471</v>
      </c>
      <c r="CG22" s="30"/>
      <c r="CH22" s="31"/>
      <c r="CI22" s="32"/>
      <c r="CJ22" s="33">
        <v>3.7</v>
      </c>
      <c r="CK22" s="33"/>
      <c r="CL22" s="35"/>
      <c r="CM22" s="36"/>
      <c r="CN22" s="286"/>
      <c r="CO22" s="249">
        <f t="shared" si="13"/>
        <v>69.067299000000006</v>
      </c>
      <c r="CP22" s="12">
        <f t="shared" si="13"/>
        <v>0</v>
      </c>
      <c r="CQ22" s="12">
        <f t="shared" si="13"/>
        <v>0</v>
      </c>
      <c r="CR22" s="12">
        <f t="shared" si="13"/>
        <v>85.796000000000006</v>
      </c>
      <c r="CS22" s="11">
        <f t="shared" si="13"/>
        <v>0</v>
      </c>
      <c r="CT22" s="11">
        <f t="shared" si="13"/>
        <v>15.130819600000001</v>
      </c>
      <c r="CU22" s="272">
        <f t="shared" si="13"/>
        <v>23.388999999999999</v>
      </c>
      <c r="CV22" s="249">
        <f t="shared" si="14"/>
        <v>121.791573</v>
      </c>
      <c r="CW22" s="12">
        <f t="shared" si="14"/>
        <v>0</v>
      </c>
      <c r="CX22" s="249">
        <f t="shared" si="14"/>
        <v>0</v>
      </c>
      <c r="CY22" s="272">
        <f t="shared" si="14"/>
        <v>0</v>
      </c>
      <c r="CZ22" s="13"/>
      <c r="DA22" s="240">
        <f>(D22+'[2]август 20 '!D22)/(AY22+'[2]август 20 '!BA22)</f>
        <v>2.164692738847747</v>
      </c>
      <c r="DB22" s="241">
        <f>(T22+'[2]август 20 '!T22)/(AY22+'[2]август 20 '!BA22)</f>
        <v>1.3649540144983201</v>
      </c>
      <c r="DD22" s="292">
        <f t="shared" si="15"/>
        <v>7.88</v>
      </c>
      <c r="DE22" s="291">
        <v>0.92</v>
      </c>
      <c r="DF22" s="291">
        <v>18.760000000000002</v>
      </c>
      <c r="DG22" s="145">
        <f t="shared" si="16"/>
        <v>7.8075039999999998</v>
      </c>
      <c r="DH22" s="293">
        <f t="shared" si="30"/>
        <v>1.9183860516044533</v>
      </c>
      <c r="DJ22" s="322"/>
    </row>
    <row r="23" spans="1:114" s="76" customFormat="1" ht="16.5" customHeight="1" thickBot="1">
      <c r="A23" s="144">
        <v>17</v>
      </c>
      <c r="B23" s="122">
        <f>'[1]август 20'!K22</f>
        <v>202.36199999999999</v>
      </c>
      <c r="C23" s="123">
        <f t="shared" si="17"/>
        <v>0.69989029560885929</v>
      </c>
      <c r="D23" s="145">
        <f t="shared" si="18"/>
        <v>200.94568800000002</v>
      </c>
      <c r="E23" s="125">
        <f t="shared" si="19"/>
        <v>39.67137921151204</v>
      </c>
      <c r="F23" s="146">
        <f t="shared" si="0"/>
        <v>2.1500715600256797</v>
      </c>
      <c r="G23" s="127"/>
      <c r="H23" s="126">
        <f t="shared" si="20"/>
        <v>0.93738163920393769</v>
      </c>
      <c r="I23" s="230">
        <f>'[1]июль 20'!AI22</f>
        <v>0</v>
      </c>
      <c r="J23" s="247">
        <f>'[1]август 20'!AA22</f>
        <v>8.0489999999999995</v>
      </c>
      <c r="K23" s="465">
        <f>'[1]сентябрь 20'!AM22</f>
        <v>0</v>
      </c>
      <c r="L23" s="247">
        <f>'[1]август 20'!AE22</f>
        <v>113.33799999999999</v>
      </c>
      <c r="M23" s="469">
        <f t="shared" si="21"/>
        <v>1.2126899208217421</v>
      </c>
      <c r="N23" s="403">
        <f>'[1]август 20'!W22</f>
        <v>0</v>
      </c>
      <c r="O23" s="403">
        <f>'[1]август 20'!AU22</f>
        <v>3.6930000000000001</v>
      </c>
      <c r="P23" s="401">
        <f t="shared" si="1"/>
        <v>131.387</v>
      </c>
      <c r="Q23" s="122">
        <f>'[1]август 20'!S22</f>
        <v>131.387</v>
      </c>
      <c r="R23" s="123">
        <f t="shared" si="22"/>
        <v>3.42</v>
      </c>
      <c r="S23" s="501">
        <v>11.071</v>
      </c>
      <c r="T23" s="125">
        <f t="shared" si="2"/>
        <v>126.8935646</v>
      </c>
      <c r="U23" s="147">
        <f t="shared" si="3"/>
        <v>1.3577312711320353</v>
      </c>
      <c r="V23" s="130">
        <v>93.46</v>
      </c>
      <c r="W23" s="130">
        <v>93.46</v>
      </c>
      <c r="X23" s="129">
        <v>0.72</v>
      </c>
      <c r="Y23" s="131">
        <v>553</v>
      </c>
      <c r="Z23" s="150">
        <v>1157</v>
      </c>
      <c r="AA23" s="148" t="s">
        <v>329</v>
      </c>
      <c r="AB23" s="149">
        <v>76.23</v>
      </c>
      <c r="AC23" s="150">
        <v>81</v>
      </c>
      <c r="AD23" s="151">
        <v>4</v>
      </c>
      <c r="AE23" s="149">
        <v>2.4</v>
      </c>
      <c r="AF23" s="134">
        <f t="shared" si="4"/>
        <v>25.679435052428847</v>
      </c>
      <c r="AG23" s="152"/>
      <c r="AH23" s="129">
        <v>69.45</v>
      </c>
      <c r="AI23" s="134">
        <f t="shared" si="5"/>
        <v>743.09865182965984</v>
      </c>
      <c r="AJ23" s="136">
        <v>12.87</v>
      </c>
      <c r="AK23" s="154"/>
      <c r="AL23" s="155">
        <v>5.15</v>
      </c>
      <c r="AM23" s="478">
        <f t="shared" si="23"/>
        <v>24.42</v>
      </c>
      <c r="AN23" s="126">
        <f t="shared" si="24"/>
        <v>0.2</v>
      </c>
      <c r="AO23" s="157" t="s">
        <v>217</v>
      </c>
      <c r="AP23" s="156">
        <v>8.0299999999999994</v>
      </c>
      <c r="AQ23" s="156">
        <v>6.65</v>
      </c>
      <c r="AR23" s="151"/>
      <c r="AS23" s="149">
        <v>7.3</v>
      </c>
      <c r="AT23" s="149">
        <v>122.1</v>
      </c>
      <c r="AU23" s="149">
        <v>0.93</v>
      </c>
      <c r="AV23" s="149"/>
      <c r="AW23" s="149"/>
      <c r="AX23" s="158">
        <f t="shared" si="6"/>
        <v>0</v>
      </c>
      <c r="AY23" s="125">
        <f t="shared" si="7"/>
        <v>93.46</v>
      </c>
      <c r="AZ23" s="125">
        <f t="shared" si="25"/>
        <v>93.173521481926798</v>
      </c>
      <c r="BA23" s="159">
        <f t="shared" si="8"/>
        <v>3.9273485915492956</v>
      </c>
      <c r="BB23" s="160">
        <f t="shared" si="9"/>
        <v>3.7383999999999999</v>
      </c>
      <c r="BC23" s="161">
        <f t="shared" si="10"/>
        <v>0.89370812398265165</v>
      </c>
      <c r="BD23" s="160">
        <f t="shared" si="26"/>
        <v>7.6657485915492956</v>
      </c>
      <c r="BE23" s="162">
        <v>0.90100000000000002</v>
      </c>
      <c r="BF23" s="25">
        <f t="shared" si="27"/>
        <v>1571.53</v>
      </c>
      <c r="BG23" s="25">
        <f t="shared" si="11"/>
        <v>107.74193548387096</v>
      </c>
      <c r="BH23" s="25">
        <f t="shared" si="28"/>
        <v>1831.6129032258063</v>
      </c>
      <c r="BI23" s="26">
        <f t="shared" si="12"/>
        <v>1</v>
      </c>
      <c r="BJ23" s="37">
        <f t="shared" si="29"/>
        <v>1831.6129032258063</v>
      </c>
      <c r="BK23" s="38">
        <v>72.835999999999999</v>
      </c>
      <c r="BL23" s="31"/>
      <c r="BM23" s="31"/>
      <c r="BN23" s="234">
        <v>89.037000000000006</v>
      </c>
      <c r="BO23" s="42"/>
      <c r="BP23" s="40">
        <v>16.187999999999999</v>
      </c>
      <c r="BQ23" s="411">
        <v>24.300999999999998</v>
      </c>
      <c r="BR23" s="33">
        <v>1.38</v>
      </c>
      <c r="BS23" s="34"/>
      <c r="BT23" s="35"/>
      <c r="BU23" s="35"/>
      <c r="BV23" s="235"/>
      <c r="BW23" s="235">
        <v>2.54</v>
      </c>
      <c r="BX23" s="36"/>
      <c r="BY23" s="33">
        <v>36.229999999999997</v>
      </c>
      <c r="BZ23" s="34"/>
      <c r="CA23" s="35"/>
      <c r="CB23" s="405">
        <v>41.69</v>
      </c>
      <c r="CC23" s="404"/>
      <c r="CD23" s="235">
        <v>37.99</v>
      </c>
      <c r="CE23" s="413">
        <v>43.71</v>
      </c>
      <c r="CF23" s="30">
        <v>131.387</v>
      </c>
      <c r="CG23" s="30"/>
      <c r="CH23" s="31"/>
      <c r="CI23" s="32"/>
      <c r="CJ23" s="33">
        <v>3.42</v>
      </c>
      <c r="CK23" s="33"/>
      <c r="CL23" s="35"/>
      <c r="CM23" s="36"/>
      <c r="CN23" s="286"/>
      <c r="CO23" s="249">
        <f t="shared" ref="CO23:CU37" si="31">BK23*((100-BR23)/100)</f>
        <v>71.83086320000001</v>
      </c>
      <c r="CP23" s="12">
        <f t="shared" si="31"/>
        <v>0</v>
      </c>
      <c r="CQ23" s="12">
        <f t="shared" si="31"/>
        <v>0</v>
      </c>
      <c r="CR23" s="12">
        <f t="shared" si="31"/>
        <v>89.037000000000006</v>
      </c>
      <c r="CS23" s="11">
        <f t="shared" si="31"/>
        <v>0</v>
      </c>
      <c r="CT23" s="11">
        <f t="shared" si="31"/>
        <v>15.776824799999998</v>
      </c>
      <c r="CU23" s="272">
        <f t="shared" si="31"/>
        <v>24.300999999999998</v>
      </c>
      <c r="CV23" s="249">
        <f t="shared" si="14"/>
        <v>126.8935646</v>
      </c>
      <c r="CW23" s="11">
        <f t="shared" si="14"/>
        <v>0</v>
      </c>
      <c r="CX23" s="249">
        <f t="shared" si="14"/>
        <v>0</v>
      </c>
      <c r="CY23" s="272">
        <f t="shared" si="14"/>
        <v>0</v>
      </c>
      <c r="CZ23" s="13"/>
      <c r="DA23" s="240">
        <f>(D23+'[2]август 20 '!D23)/(AY23+'[2]август 20 '!BA23)</f>
        <v>2.2091596441364345</v>
      </c>
      <c r="DB23" s="241">
        <f>(T23+'[2]август 20 '!T23)/(AY23+'[2]август 20 '!BA23)</f>
        <v>1.3998773935209659</v>
      </c>
      <c r="DD23" s="292">
        <f t="shared" si="15"/>
        <v>8.0489999999999995</v>
      </c>
      <c r="DE23" s="291">
        <v>1.46</v>
      </c>
      <c r="DF23" s="291">
        <v>18.059999999999999</v>
      </c>
      <c r="DG23" s="145">
        <f t="shared" si="16"/>
        <v>7.9314846000000001</v>
      </c>
      <c r="DH23" s="293">
        <f t="shared" si="30"/>
        <v>1.8790845057851235</v>
      </c>
      <c r="DJ23" s="322"/>
    </row>
    <row r="24" spans="1:114" s="76" customFormat="1" ht="16.5" customHeight="1" thickBot="1">
      <c r="A24" s="144">
        <v>18</v>
      </c>
      <c r="B24" s="122">
        <f>'[1]август 20'!K23</f>
        <v>192.518</v>
      </c>
      <c r="C24" s="123">
        <f t="shared" si="17"/>
        <v>0.69498841666753253</v>
      </c>
      <c r="D24" s="145">
        <f t="shared" si="18"/>
        <v>191.1800222</v>
      </c>
      <c r="E24" s="125">
        <f t="shared" si="19"/>
        <v>39.134519265731001</v>
      </c>
      <c r="F24" s="146">
        <f t="shared" si="0"/>
        <v>2.031236954951126</v>
      </c>
      <c r="G24" s="127"/>
      <c r="H24" s="126">
        <f t="shared" si="20"/>
        <v>0.88763304504887375</v>
      </c>
      <c r="I24" s="230">
        <f>'[1]июль 20'!AI23</f>
        <v>0</v>
      </c>
      <c r="J24" s="247">
        <f>'[1]август 20'!AA23</f>
        <v>7.8559999999999999</v>
      </c>
      <c r="K24" s="464">
        <f>'[1]сентябрь 20'!AM23</f>
        <v>0</v>
      </c>
      <c r="L24" s="247">
        <f>'[1]август 20'!AE23</f>
        <v>107.636</v>
      </c>
      <c r="M24" s="468">
        <f t="shared" si="21"/>
        <v>1.1436039099022524</v>
      </c>
      <c r="N24" s="403">
        <f>'[1]август 20'!W23</f>
        <v>0</v>
      </c>
      <c r="O24" s="403">
        <f>'[1]август 20'!AU23</f>
        <v>3.411</v>
      </c>
      <c r="P24" s="401">
        <f t="shared" si="1"/>
        <v>125.21599999999999</v>
      </c>
      <c r="Q24" s="122">
        <f>'[1]август 20'!S23</f>
        <v>125.21599999999999</v>
      </c>
      <c r="R24" s="123">
        <f t="shared" si="22"/>
        <v>3.68</v>
      </c>
      <c r="S24" s="129">
        <v>2.29</v>
      </c>
      <c r="T24" s="125">
        <f t="shared" si="2"/>
        <v>120.60805119999999</v>
      </c>
      <c r="U24" s="147">
        <f t="shared" si="3"/>
        <v>1.2814285082872927</v>
      </c>
      <c r="V24" s="130">
        <v>94.12</v>
      </c>
      <c r="W24" s="130">
        <v>49.09</v>
      </c>
      <c r="X24" s="129">
        <v>0.82</v>
      </c>
      <c r="Y24" s="150">
        <v>555</v>
      </c>
      <c r="Z24" s="150">
        <v>1153</v>
      </c>
      <c r="AA24" s="148" t="s">
        <v>280</v>
      </c>
      <c r="AB24" s="149">
        <v>76.45</v>
      </c>
      <c r="AC24" s="150">
        <v>77</v>
      </c>
      <c r="AD24" s="151">
        <v>4</v>
      </c>
      <c r="AE24" s="149">
        <v>4.05</v>
      </c>
      <c r="AF24" s="134">
        <f t="shared" si="4"/>
        <v>43.030174245643856</v>
      </c>
      <c r="AG24" s="152"/>
      <c r="AH24" s="129">
        <v>68.95</v>
      </c>
      <c r="AI24" s="134">
        <f t="shared" si="5"/>
        <v>732.57543561410967</v>
      </c>
      <c r="AJ24" s="153">
        <v>12.44</v>
      </c>
      <c r="AK24" s="154"/>
      <c r="AL24" s="155">
        <v>4.96</v>
      </c>
      <c r="AM24" s="478">
        <f t="shared" si="23"/>
        <v>24.450000000000003</v>
      </c>
      <c r="AN24" s="126">
        <f t="shared" si="24"/>
        <v>0.2</v>
      </c>
      <c r="AO24" s="157" t="s">
        <v>184</v>
      </c>
      <c r="AP24" s="156">
        <v>7.99</v>
      </c>
      <c r="AQ24" s="156">
        <v>6.9</v>
      </c>
      <c r="AR24" s="151"/>
      <c r="AS24" s="149">
        <v>8.01</v>
      </c>
      <c r="AT24" s="149">
        <v>122.25</v>
      </c>
      <c r="AU24" s="149">
        <v>1.28</v>
      </c>
      <c r="AV24" s="164"/>
      <c r="AW24" s="149"/>
      <c r="AX24" s="158">
        <f t="shared" si="6"/>
        <v>0</v>
      </c>
      <c r="AY24" s="125">
        <f t="shared" si="7"/>
        <v>94.12</v>
      </c>
      <c r="AZ24" s="125">
        <f t="shared" si="25"/>
        <v>86.569043417837335</v>
      </c>
      <c r="BA24" s="159">
        <f t="shared" si="8"/>
        <v>4.2782989436619721</v>
      </c>
      <c r="BB24" s="160">
        <f t="shared" si="9"/>
        <v>3.7648000000000001</v>
      </c>
      <c r="BC24" s="161">
        <f t="shared" si="10"/>
        <v>0.96173826830291709</v>
      </c>
      <c r="BD24" s="160">
        <f t="shared" si="26"/>
        <v>8.0430989436619722</v>
      </c>
      <c r="BE24" s="162">
        <v>0.90400000000000003</v>
      </c>
      <c r="BF24" s="25">
        <f t="shared" si="27"/>
        <v>1665.65</v>
      </c>
      <c r="BG24" s="25">
        <f t="shared" si="11"/>
        <v>107.74193548387096</v>
      </c>
      <c r="BH24" s="25">
        <f t="shared" si="28"/>
        <v>1939.3548387096773</v>
      </c>
      <c r="BI24" s="26">
        <f t="shared" si="12"/>
        <v>1</v>
      </c>
      <c r="BJ24" s="37">
        <f t="shared" si="29"/>
        <v>1939.3548387096773</v>
      </c>
      <c r="BK24" s="38">
        <v>69.305999999999997</v>
      </c>
      <c r="BL24" s="31"/>
      <c r="BM24" s="31"/>
      <c r="BN24" s="234">
        <v>84.539000000000001</v>
      </c>
      <c r="BO24" s="42"/>
      <c r="BP24" s="40">
        <v>15.576000000000001</v>
      </c>
      <c r="BQ24" s="411">
        <v>23.097000000000001</v>
      </c>
      <c r="BR24" s="33">
        <v>1.0900000000000001</v>
      </c>
      <c r="BS24" s="34"/>
      <c r="BT24" s="35"/>
      <c r="BU24" s="35"/>
      <c r="BV24" s="235"/>
      <c r="BW24" s="235">
        <v>3.74</v>
      </c>
      <c r="BX24" s="36"/>
      <c r="BY24" s="33">
        <v>35.1</v>
      </c>
      <c r="BZ24" s="34"/>
      <c r="CA24" s="35"/>
      <c r="CB24" s="405">
        <v>41.7</v>
      </c>
      <c r="CC24" s="404"/>
      <c r="CD24" s="235">
        <v>35.71</v>
      </c>
      <c r="CE24" s="413">
        <v>44.16</v>
      </c>
      <c r="CF24" s="30">
        <v>125.21599999999999</v>
      </c>
      <c r="CG24" s="30"/>
      <c r="CH24" s="31"/>
      <c r="CI24" s="32"/>
      <c r="CJ24" s="33">
        <v>3.68</v>
      </c>
      <c r="CK24" s="33"/>
      <c r="CL24" s="35"/>
      <c r="CM24" s="36"/>
      <c r="CN24" s="286"/>
      <c r="CO24" s="249">
        <f t="shared" si="31"/>
        <v>68.550564600000001</v>
      </c>
      <c r="CP24" s="12">
        <f t="shared" si="31"/>
        <v>0</v>
      </c>
      <c r="CQ24" s="12">
        <f t="shared" si="31"/>
        <v>0</v>
      </c>
      <c r="CR24" s="12">
        <f t="shared" si="31"/>
        <v>84.539000000000001</v>
      </c>
      <c r="CS24" s="11">
        <f t="shared" si="31"/>
        <v>0</v>
      </c>
      <c r="CT24" s="11">
        <f t="shared" si="31"/>
        <v>14.993457600000001</v>
      </c>
      <c r="CU24" s="272">
        <f t="shared" si="31"/>
        <v>23.097000000000001</v>
      </c>
      <c r="CV24" s="249">
        <f t="shared" si="14"/>
        <v>120.60805119999999</v>
      </c>
      <c r="CW24" s="12">
        <f t="shared" si="14"/>
        <v>0</v>
      </c>
      <c r="CX24" s="249">
        <f t="shared" si="14"/>
        <v>0</v>
      </c>
      <c r="CY24" s="272">
        <f t="shared" si="14"/>
        <v>0</v>
      </c>
      <c r="CZ24" s="13"/>
      <c r="DA24" s="240">
        <f>(D24+'[2]август 20 '!D24)/(AY24+'[2]август 20 '!BA24)</f>
        <v>2.0968410557409496</v>
      </c>
      <c r="DB24" s="241">
        <f>(T24+'[2]август 20 '!T24)/(AY24+'[2]август 20 '!BA24)</f>
        <v>1.3312653836990587</v>
      </c>
      <c r="DD24" s="292">
        <f t="shared" si="15"/>
        <v>7.8559999999999999</v>
      </c>
      <c r="DE24" s="291">
        <v>1.7</v>
      </c>
      <c r="DF24" s="291">
        <v>11.22</v>
      </c>
      <c r="DG24" s="145">
        <f t="shared" si="16"/>
        <v>7.722448</v>
      </c>
      <c r="DH24" s="293">
        <f t="shared" si="30"/>
        <v>1.1333664690647482</v>
      </c>
      <c r="DJ24" s="322"/>
    </row>
    <row r="25" spans="1:114" s="76" customFormat="1" ht="16.5" customHeight="1" thickBot="1">
      <c r="A25" s="144">
        <v>19</v>
      </c>
      <c r="B25" s="122">
        <f>'[1]август 20'!K24</f>
        <v>200.405</v>
      </c>
      <c r="C25" s="123">
        <f t="shared" si="17"/>
        <v>0.65058102342755919</v>
      </c>
      <c r="D25" s="145">
        <f t="shared" si="18"/>
        <v>199.10120309999999</v>
      </c>
      <c r="E25" s="125">
        <f t="shared" si="19"/>
        <v>39.413920361268438</v>
      </c>
      <c r="F25" s="146">
        <f t="shared" si="0"/>
        <v>3.0522950038325929</v>
      </c>
      <c r="G25" s="127"/>
      <c r="H25" s="126">
        <f t="shared" si="20"/>
        <v>1.3380530906024839</v>
      </c>
      <c r="I25" s="230">
        <f>'[1]июль 20'!AI24</f>
        <v>0</v>
      </c>
      <c r="J25" s="247">
        <f>'[1]август 20'!AA24</f>
        <v>8.1820000000000004</v>
      </c>
      <c r="K25" s="465">
        <f>'[1]сентябрь 20'!AM24</f>
        <v>0</v>
      </c>
      <c r="L25" s="247">
        <f>'[1]август 20'!AE24</f>
        <v>111.82</v>
      </c>
      <c r="M25" s="469">
        <f t="shared" si="21"/>
        <v>1.714241913230109</v>
      </c>
      <c r="N25" s="403">
        <f>'[1]август 20'!W24</f>
        <v>0</v>
      </c>
      <c r="O25" s="403">
        <f>'[1]август 20'!AU24</f>
        <v>3.9049999999999998</v>
      </c>
      <c r="P25" s="401">
        <f t="shared" si="1"/>
        <v>130.041</v>
      </c>
      <c r="Q25" s="122">
        <f>'[1]август 20'!S24</f>
        <v>130.041</v>
      </c>
      <c r="R25" s="123">
        <f>IF(Q25=0,0,(CI25*CM25+CG25*CK25+CH25*CL25+CF25*CJ25)/Q25)</f>
        <v>3.16</v>
      </c>
      <c r="S25" s="501">
        <v>16.72</v>
      </c>
      <c r="T25" s="125">
        <f t="shared" si="2"/>
        <v>125.9317044</v>
      </c>
      <c r="U25" s="147">
        <f t="shared" si="3"/>
        <v>1.9305795554192859</v>
      </c>
      <c r="V25" s="130">
        <v>65.239999999999995</v>
      </c>
      <c r="W25" s="130">
        <v>65.239999999999995</v>
      </c>
      <c r="X25" s="129">
        <v>0.56999999999999995</v>
      </c>
      <c r="Y25" s="150">
        <v>540</v>
      </c>
      <c r="Z25" s="150">
        <v>1156</v>
      </c>
      <c r="AA25" s="148" t="s">
        <v>287</v>
      </c>
      <c r="AB25" s="149">
        <v>75.97</v>
      </c>
      <c r="AC25" s="150">
        <v>80</v>
      </c>
      <c r="AD25" s="151">
        <v>4</v>
      </c>
      <c r="AE25" s="149">
        <v>4.4000000000000004</v>
      </c>
      <c r="AF25" s="134">
        <f t="shared" si="4"/>
        <v>67.453625632377751</v>
      </c>
      <c r="AG25" s="152"/>
      <c r="AH25" s="129">
        <v>70.3</v>
      </c>
      <c r="AI25" s="134">
        <f t="shared" si="5"/>
        <v>1077.7249731718537</v>
      </c>
      <c r="AJ25" s="136">
        <v>11.6</v>
      </c>
      <c r="AK25" s="154"/>
      <c r="AL25" s="155">
        <v>4.76</v>
      </c>
      <c r="AM25" s="478">
        <v>50.46</v>
      </c>
      <c r="AN25" s="126">
        <f t="shared" si="24"/>
        <v>0.4238555228895422</v>
      </c>
      <c r="AO25" s="157" t="s">
        <v>200</v>
      </c>
      <c r="AP25" s="156">
        <v>8.1300000000000008</v>
      </c>
      <c r="AQ25" s="156">
        <v>6.78</v>
      </c>
      <c r="AR25" s="152"/>
      <c r="AS25" s="149">
        <v>6.9</v>
      </c>
      <c r="AT25" s="149">
        <v>119.05</v>
      </c>
      <c r="AU25" s="149">
        <v>1.4</v>
      </c>
      <c r="AV25" s="164"/>
      <c r="AW25" s="149"/>
      <c r="AX25" s="158">
        <f t="shared" si="6"/>
        <v>0</v>
      </c>
      <c r="AY25" s="125">
        <f t="shared" si="7"/>
        <v>65.22999999999999</v>
      </c>
      <c r="AZ25" s="125">
        <f t="shared" si="25"/>
        <v>91.207452626069283</v>
      </c>
      <c r="BA25" s="159">
        <f t="shared" si="8"/>
        <v>3.7575845070422531</v>
      </c>
      <c r="BB25" s="160">
        <f t="shared" si="9"/>
        <v>2.6091999999999995</v>
      </c>
      <c r="BC25" s="161">
        <f t="shared" si="10"/>
        <v>0.63148928492773337</v>
      </c>
      <c r="BD25" s="160">
        <f t="shared" si="26"/>
        <v>6.3667845070422526</v>
      </c>
      <c r="BE25" s="162">
        <v>0.89</v>
      </c>
      <c r="BF25" s="25">
        <f t="shared" si="27"/>
        <v>1730.88</v>
      </c>
      <c r="BG25" s="25">
        <f t="shared" si="11"/>
        <v>107.74193548387096</v>
      </c>
      <c r="BH25" s="25">
        <f t="shared" si="28"/>
        <v>2047.0967741935483</v>
      </c>
      <c r="BI25" s="26">
        <f t="shared" si="12"/>
        <v>1</v>
      </c>
      <c r="BJ25" s="37">
        <f t="shared" si="29"/>
        <v>2047.0967741935483</v>
      </c>
      <c r="BK25" s="38">
        <v>76.183000000000007</v>
      </c>
      <c r="BL25" s="31"/>
      <c r="BM25" s="31"/>
      <c r="BN25" s="234">
        <v>87.981999999999999</v>
      </c>
      <c r="BO25" s="42"/>
      <c r="BP25" s="40">
        <v>12.401999999999999</v>
      </c>
      <c r="BQ25" s="411">
        <v>23.838000000000001</v>
      </c>
      <c r="BR25" s="33">
        <v>1.07</v>
      </c>
      <c r="BS25" s="34"/>
      <c r="BT25" s="35"/>
      <c r="BU25" s="35"/>
      <c r="BV25" s="235"/>
      <c r="BW25" s="235">
        <v>3.94</v>
      </c>
      <c r="BX25" s="36"/>
      <c r="BY25" s="33">
        <v>35.81</v>
      </c>
      <c r="BZ25" s="34"/>
      <c r="CA25" s="35"/>
      <c r="CB25" s="405">
        <v>41.56</v>
      </c>
      <c r="CC25" s="404"/>
      <c r="CD25" s="235">
        <v>37.82</v>
      </c>
      <c r="CE25" s="413">
        <v>43.84</v>
      </c>
      <c r="CF25" s="30">
        <v>130.041</v>
      </c>
      <c r="CG25" s="30"/>
      <c r="CH25" s="31"/>
      <c r="CI25" s="32"/>
      <c r="CJ25" s="33">
        <v>3.16</v>
      </c>
      <c r="CK25" s="33"/>
      <c r="CL25" s="35"/>
      <c r="CM25" s="36"/>
      <c r="CN25" s="286"/>
      <c r="CO25" s="249">
        <f t="shared" si="31"/>
        <v>75.367841900000016</v>
      </c>
      <c r="CP25" s="12">
        <f t="shared" si="31"/>
        <v>0</v>
      </c>
      <c r="CQ25" s="12">
        <f t="shared" si="31"/>
        <v>0</v>
      </c>
      <c r="CR25" s="12">
        <f t="shared" si="31"/>
        <v>87.981999999999999</v>
      </c>
      <c r="CS25" s="11">
        <f t="shared" si="31"/>
        <v>0</v>
      </c>
      <c r="CT25" s="11">
        <f t="shared" si="31"/>
        <v>11.913361199999999</v>
      </c>
      <c r="CU25" s="272">
        <f t="shared" si="31"/>
        <v>23.838000000000001</v>
      </c>
      <c r="CV25" s="249">
        <f t="shared" si="14"/>
        <v>125.9317044</v>
      </c>
      <c r="CW25" s="251">
        <f t="shared" si="14"/>
        <v>0</v>
      </c>
      <c r="CX25" s="249">
        <f t="shared" si="14"/>
        <v>0</v>
      </c>
      <c r="CY25" s="272">
        <f t="shared" si="14"/>
        <v>0</v>
      </c>
      <c r="CZ25" s="13"/>
      <c r="DA25" s="240">
        <f>(D25+'[2]август 20 '!D25)/(AY25+'[2]август 20 '!BA25)</f>
        <v>2.521225322965523</v>
      </c>
      <c r="DB25" s="241">
        <f>(T25+'[2]август 20 '!T25)/(AY25+'[2]август 20 '!BA25)</f>
        <v>1.6023685690775942</v>
      </c>
      <c r="DD25" s="292">
        <f t="shared" si="15"/>
        <v>8.1820000000000004</v>
      </c>
      <c r="DE25" s="291">
        <v>0.54</v>
      </c>
      <c r="DF25" s="291">
        <v>9.6199999999999992</v>
      </c>
      <c r="DG25" s="145">
        <f t="shared" si="16"/>
        <v>8.1378172000000006</v>
      </c>
      <c r="DH25" s="293">
        <f t="shared" si="30"/>
        <v>1.0304831046992233</v>
      </c>
      <c r="DJ25" s="322"/>
    </row>
    <row r="26" spans="1:114" s="76" customFormat="1" ht="16.5" customHeight="1" thickBot="1">
      <c r="A26" s="144">
        <v>20</v>
      </c>
      <c r="B26" s="122">
        <f>'[1]август 20'!K25</f>
        <v>194.85900000000001</v>
      </c>
      <c r="C26" s="123">
        <f t="shared" si="17"/>
        <v>0.7486130484093626</v>
      </c>
      <c r="D26" s="145">
        <f t="shared" si="18"/>
        <v>193.4002601</v>
      </c>
      <c r="E26" s="125">
        <f t="shared" si="19"/>
        <v>39.825986893086792</v>
      </c>
      <c r="F26" s="146">
        <f t="shared" si="0"/>
        <v>1.95571099302255</v>
      </c>
      <c r="G26" s="127"/>
      <c r="H26" s="126">
        <f t="shared" si="20"/>
        <v>0.85284922742441083</v>
      </c>
      <c r="I26" s="230">
        <f>'[1]июль 20'!AI25</f>
        <v>0</v>
      </c>
      <c r="J26" s="247">
        <f>'[1]август 20'!AA25</f>
        <v>7.6710000000000003</v>
      </c>
      <c r="K26" s="464">
        <f>'[1]сентябрь 20'!AM25</f>
        <v>0</v>
      </c>
      <c r="L26" s="247">
        <f>'[1]август 20'!AE25</f>
        <v>109.062</v>
      </c>
      <c r="M26" s="468">
        <f t="shared" si="21"/>
        <v>1.1028617655981392</v>
      </c>
      <c r="N26" s="403">
        <f>'[1]август 20'!W25</f>
        <v>0</v>
      </c>
      <c r="O26" s="403">
        <f>'[1]август 20'!AU25</f>
        <v>4.1790000000000003</v>
      </c>
      <c r="P26" s="401">
        <f t="shared" si="1"/>
        <v>127.61799999999999</v>
      </c>
      <c r="Q26" s="122">
        <f>'[1]август 20'!S25</f>
        <v>127.61799999999999</v>
      </c>
      <c r="R26" s="123">
        <f t="shared" si="22"/>
        <v>3.83</v>
      </c>
      <c r="S26" s="501">
        <v>13.69</v>
      </c>
      <c r="T26" s="125">
        <f t="shared" si="2"/>
        <v>122.7302306</v>
      </c>
      <c r="U26" s="147">
        <f t="shared" si="3"/>
        <v>1.2410782748508442</v>
      </c>
      <c r="V26" s="169">
        <v>98.89</v>
      </c>
      <c r="W26" s="169">
        <v>98.89</v>
      </c>
      <c r="X26" s="170">
        <v>0.45</v>
      </c>
      <c r="Y26" s="166">
        <v>595</v>
      </c>
      <c r="Z26" s="166">
        <v>1157</v>
      </c>
      <c r="AA26" s="148" t="s">
        <v>345</v>
      </c>
      <c r="AB26" s="164">
        <v>75.83</v>
      </c>
      <c r="AC26" s="166">
        <v>78</v>
      </c>
      <c r="AD26" s="171">
        <v>4</v>
      </c>
      <c r="AE26" s="164">
        <v>7.55</v>
      </c>
      <c r="AF26" s="172">
        <f t="shared" si="4"/>
        <v>76.347456770148639</v>
      </c>
      <c r="AG26" s="173"/>
      <c r="AH26" s="170">
        <v>73.75</v>
      </c>
      <c r="AI26" s="134">
        <f t="shared" si="5"/>
        <v>745.77813732429968</v>
      </c>
      <c r="AJ26" s="174">
        <v>12.21</v>
      </c>
      <c r="AK26" s="175"/>
      <c r="AL26" s="176">
        <v>4.84</v>
      </c>
      <c r="AM26" s="478">
        <f t="shared" si="23"/>
        <v>25.660000000000004</v>
      </c>
      <c r="AN26" s="126">
        <f t="shared" si="24"/>
        <v>0.2</v>
      </c>
      <c r="AO26" s="178" t="s">
        <v>222</v>
      </c>
      <c r="AP26" s="177">
        <v>7.85</v>
      </c>
      <c r="AQ26" s="177">
        <v>7.4</v>
      </c>
      <c r="AR26" s="171"/>
      <c r="AS26" s="164">
        <v>6.27</v>
      </c>
      <c r="AT26" s="149">
        <v>128.30000000000001</v>
      </c>
      <c r="AU26" s="164">
        <v>1.0900000000000001</v>
      </c>
      <c r="AV26" s="164"/>
      <c r="AW26" s="164"/>
      <c r="AX26" s="179">
        <f t="shared" si="6"/>
        <v>0</v>
      </c>
      <c r="AY26" s="125">
        <f t="shared" si="7"/>
        <v>98.890000000000015</v>
      </c>
      <c r="AZ26" s="125">
        <f t="shared" si="25"/>
        <v>89.598418318365816</v>
      </c>
      <c r="BA26" s="159">
        <f t="shared" si="8"/>
        <v>3.5820686619718303</v>
      </c>
      <c r="BB26" s="159">
        <f t="shared" si="9"/>
        <v>3.9556000000000009</v>
      </c>
      <c r="BC26" s="180">
        <f t="shared" si="10"/>
        <v>0.97357593988815527</v>
      </c>
      <c r="BD26" s="159">
        <f t="shared" si="26"/>
        <v>7.5376686619718312</v>
      </c>
      <c r="BE26" s="167">
        <v>0.89400000000000002</v>
      </c>
      <c r="BF26" s="25">
        <f t="shared" si="27"/>
        <v>1829.7700000000002</v>
      </c>
      <c r="BG26" s="25">
        <f t="shared" si="11"/>
        <v>107.74193548387096</v>
      </c>
      <c r="BH26" s="25">
        <f t="shared" si="28"/>
        <v>2154.838709677419</v>
      </c>
      <c r="BI26" s="26">
        <f t="shared" si="12"/>
        <v>1</v>
      </c>
      <c r="BJ26" s="37">
        <f t="shared" si="29"/>
        <v>2154.838709677419</v>
      </c>
      <c r="BK26" s="38">
        <v>83.424999999999997</v>
      </c>
      <c r="BL26" s="43"/>
      <c r="BM26" s="31"/>
      <c r="BN26" s="406">
        <v>85.706000000000003</v>
      </c>
      <c r="BO26" s="42"/>
      <c r="BP26" s="40">
        <v>2.3719999999999999</v>
      </c>
      <c r="BQ26" s="412">
        <v>23.356000000000002</v>
      </c>
      <c r="BR26" s="33">
        <v>1.63</v>
      </c>
      <c r="BS26" s="34"/>
      <c r="BT26" s="35"/>
      <c r="BU26" s="35"/>
      <c r="BV26" s="235"/>
      <c r="BW26" s="235">
        <v>4.17</v>
      </c>
      <c r="BX26" s="36"/>
      <c r="BY26" s="33">
        <v>36.94</v>
      </c>
      <c r="BZ26" s="34"/>
      <c r="CA26" s="35"/>
      <c r="CB26" s="405">
        <v>41.66</v>
      </c>
      <c r="CC26" s="404"/>
      <c r="CD26" s="235">
        <v>36.619999999999997</v>
      </c>
      <c r="CE26" s="413">
        <v>43.73</v>
      </c>
      <c r="CF26" s="30">
        <v>127.61799999999999</v>
      </c>
      <c r="CG26" s="30"/>
      <c r="CH26" s="43"/>
      <c r="CI26" s="32"/>
      <c r="CJ26" s="33">
        <v>3.83</v>
      </c>
      <c r="CK26" s="33"/>
      <c r="CL26" s="35"/>
      <c r="CM26" s="36"/>
      <c r="CN26" s="286"/>
      <c r="CO26" s="249">
        <f t="shared" si="31"/>
        <v>82.065172500000003</v>
      </c>
      <c r="CP26" s="12">
        <f t="shared" si="31"/>
        <v>0</v>
      </c>
      <c r="CQ26" s="12">
        <f t="shared" si="31"/>
        <v>0</v>
      </c>
      <c r="CR26" s="12">
        <f t="shared" si="31"/>
        <v>85.706000000000003</v>
      </c>
      <c r="CS26" s="11">
        <f t="shared" si="31"/>
        <v>0</v>
      </c>
      <c r="CT26" s="11">
        <f t="shared" si="31"/>
        <v>2.2730875999999998</v>
      </c>
      <c r="CU26" s="272">
        <f t="shared" si="31"/>
        <v>23.356000000000002</v>
      </c>
      <c r="CV26" s="249">
        <f t="shared" si="14"/>
        <v>122.7302306</v>
      </c>
      <c r="CW26" s="12">
        <f t="shared" si="14"/>
        <v>0</v>
      </c>
      <c r="CX26" s="249">
        <f t="shared" si="14"/>
        <v>0</v>
      </c>
      <c r="CY26" s="274">
        <f t="shared" si="14"/>
        <v>0</v>
      </c>
      <c r="CZ26" s="13"/>
      <c r="DA26" s="240">
        <f>(D26+'[2]август 20 '!D26)/(AY26+'[2]август 20 '!BA26)</f>
        <v>1.9820178511129964</v>
      </c>
      <c r="DB26" s="241">
        <f>(T26+'[2]август 20 '!T26)/(AY26+'[2]август 20 '!BA26)</f>
        <v>1.2604651797711257</v>
      </c>
      <c r="DD26" s="292">
        <f t="shared" si="15"/>
        <v>7.6710000000000003</v>
      </c>
      <c r="DE26" s="291">
        <v>1.22</v>
      </c>
      <c r="DF26" s="291">
        <v>9.25</v>
      </c>
      <c r="DG26" s="145">
        <f t="shared" si="16"/>
        <v>7.5774138000000004</v>
      </c>
      <c r="DH26" s="293">
        <f t="shared" si="30"/>
        <v>0.92431857642094162</v>
      </c>
      <c r="DJ26" s="322"/>
    </row>
    <row r="27" spans="1:114" s="76" customFormat="1" ht="16.5" customHeight="1" thickBot="1">
      <c r="A27" s="144">
        <v>21</v>
      </c>
      <c r="B27" s="122">
        <f>'[1]август 20'!K26</f>
        <v>212.512</v>
      </c>
      <c r="C27" s="123">
        <f t="shared" si="17"/>
        <v>0.71345345204035537</v>
      </c>
      <c r="D27" s="145">
        <f t="shared" si="18"/>
        <v>210.99582580000001</v>
      </c>
      <c r="E27" s="125">
        <f t="shared" si="19"/>
        <v>39.148663228429463</v>
      </c>
      <c r="F27" s="146">
        <f t="shared" si="0"/>
        <v>2.2203075428811956</v>
      </c>
      <c r="G27" s="127"/>
      <c r="H27" s="126">
        <f t="shared" si="20"/>
        <v>0.96890272335052086</v>
      </c>
      <c r="I27" s="230">
        <f>'[1]июль 20'!AI26</f>
        <v>0</v>
      </c>
      <c r="J27" s="247">
        <f>'[1]август 20'!AA26</f>
        <v>8.7530000000000001</v>
      </c>
      <c r="K27" s="465">
        <f>'[1]сентябрь 20'!AM26</f>
        <v>0</v>
      </c>
      <c r="L27" s="247">
        <f>'[1]август 20'!AE26</f>
        <v>118.92100000000001</v>
      </c>
      <c r="M27" s="469">
        <f t="shared" si="21"/>
        <v>1.2514048195306746</v>
      </c>
      <c r="N27" s="403">
        <f>'[1]август 20'!W26</f>
        <v>0</v>
      </c>
      <c r="O27" s="403">
        <f>'[1]август 20'!AU26</f>
        <v>4.7300000000000004</v>
      </c>
      <c r="P27" s="401">
        <f t="shared" si="1"/>
        <v>139.155</v>
      </c>
      <c r="Q27" s="122">
        <f>'[1]август 20'!S26</f>
        <v>139.155</v>
      </c>
      <c r="R27" s="123">
        <f t="shared" si="22"/>
        <v>3.45</v>
      </c>
      <c r="S27" s="501">
        <v>5.03</v>
      </c>
      <c r="T27" s="125">
        <f t="shared" si="2"/>
        <v>134.3541525</v>
      </c>
      <c r="U27" s="147">
        <f t="shared" si="3"/>
        <v>1.4138077712301378</v>
      </c>
      <c r="V27" s="130">
        <v>95.03</v>
      </c>
      <c r="W27" s="130">
        <v>72.319999999999993</v>
      </c>
      <c r="X27" s="129">
        <v>0.78</v>
      </c>
      <c r="Y27" s="150">
        <v>551</v>
      </c>
      <c r="Z27" s="150">
        <v>1160</v>
      </c>
      <c r="AA27" s="148" t="s">
        <v>314</v>
      </c>
      <c r="AB27" s="149">
        <v>76.23</v>
      </c>
      <c r="AC27" s="150">
        <v>85</v>
      </c>
      <c r="AD27" s="151">
        <v>4</v>
      </c>
      <c r="AE27" s="149">
        <v>4.3499999999999996</v>
      </c>
      <c r="AF27" s="134">
        <f t="shared" si="4"/>
        <v>45.775018415237291</v>
      </c>
      <c r="AG27" s="152"/>
      <c r="AH27" s="129">
        <v>70</v>
      </c>
      <c r="AI27" s="134">
        <f t="shared" si="5"/>
        <v>736.60949173945062</v>
      </c>
      <c r="AJ27" s="136">
        <v>10.94</v>
      </c>
      <c r="AK27" s="154"/>
      <c r="AL27" s="155">
        <v>5.83</v>
      </c>
      <c r="AM27" s="478">
        <f t="shared" si="23"/>
        <v>24.990000000000002</v>
      </c>
      <c r="AN27" s="126">
        <f t="shared" si="24"/>
        <v>0.2</v>
      </c>
      <c r="AO27" s="157" t="s">
        <v>197</v>
      </c>
      <c r="AP27" s="156">
        <v>8.07</v>
      </c>
      <c r="AQ27" s="156">
        <v>7.17</v>
      </c>
      <c r="AR27" s="151"/>
      <c r="AS27" s="149">
        <v>6.79</v>
      </c>
      <c r="AT27" s="149">
        <v>124.95</v>
      </c>
      <c r="AU27" s="149">
        <v>0.9</v>
      </c>
      <c r="AV27" s="164"/>
      <c r="AW27" s="149"/>
      <c r="AX27" s="158">
        <f t="shared" si="6"/>
        <v>0</v>
      </c>
      <c r="AY27" s="125">
        <f t="shared" si="7"/>
        <v>95.03</v>
      </c>
      <c r="AZ27" s="125">
        <f t="shared" si="25"/>
        <v>95.552402843589135</v>
      </c>
      <c r="BA27" s="159">
        <f t="shared" si="8"/>
        <v>3.6819014084507042</v>
      </c>
      <c r="BB27" s="160">
        <f t="shared" si="9"/>
        <v>3.8012000000000001</v>
      </c>
      <c r="BC27" s="161">
        <f t="shared" si="10"/>
        <v>0.87699243722767495</v>
      </c>
      <c r="BD27" s="160">
        <f t="shared" si="26"/>
        <v>7.4831014084507039</v>
      </c>
      <c r="BE27" s="162">
        <v>0.89300000000000002</v>
      </c>
      <c r="BF27" s="25">
        <f t="shared" si="27"/>
        <v>1924.8000000000002</v>
      </c>
      <c r="BG27" s="25">
        <f t="shared" si="11"/>
        <v>107.74193548387096</v>
      </c>
      <c r="BH27" s="25">
        <f t="shared" si="28"/>
        <v>2262.5806451612898</v>
      </c>
      <c r="BI27" s="26">
        <f t="shared" si="12"/>
        <v>1</v>
      </c>
      <c r="BJ27" s="37">
        <f t="shared" si="29"/>
        <v>2262.5806451612898</v>
      </c>
      <c r="BK27" s="38">
        <v>93.590999999999994</v>
      </c>
      <c r="BL27" s="31"/>
      <c r="BM27" s="31"/>
      <c r="BN27" s="234">
        <v>93.51</v>
      </c>
      <c r="BO27" s="42"/>
      <c r="BP27" s="40"/>
      <c r="BQ27" s="411">
        <v>25.411000000000001</v>
      </c>
      <c r="BR27" s="33">
        <v>1.62</v>
      </c>
      <c r="BS27" s="34"/>
      <c r="BT27" s="35"/>
      <c r="BU27" s="35"/>
      <c r="BV27" s="235"/>
      <c r="BW27" s="235"/>
      <c r="BX27" s="36"/>
      <c r="BY27" s="33">
        <v>35.479999999999997</v>
      </c>
      <c r="BZ27" s="34"/>
      <c r="CA27" s="35"/>
      <c r="CB27" s="405">
        <v>41.6</v>
      </c>
      <c r="CC27" s="404"/>
      <c r="CD27" s="235"/>
      <c r="CE27" s="413">
        <v>43.64</v>
      </c>
      <c r="CF27" s="30">
        <v>139.155</v>
      </c>
      <c r="CG27" s="30"/>
      <c r="CH27" s="31"/>
      <c r="CI27" s="32"/>
      <c r="CJ27" s="33">
        <v>3.45</v>
      </c>
      <c r="CK27" s="33"/>
      <c r="CL27" s="35"/>
      <c r="CM27" s="36"/>
      <c r="CN27" s="286"/>
      <c r="CO27" s="249">
        <f t="shared" si="31"/>
        <v>92.074825799999999</v>
      </c>
      <c r="CP27" s="12">
        <f t="shared" si="31"/>
        <v>0</v>
      </c>
      <c r="CQ27" s="12">
        <f t="shared" si="31"/>
        <v>0</v>
      </c>
      <c r="CR27" s="12">
        <f t="shared" si="31"/>
        <v>93.51</v>
      </c>
      <c r="CS27" s="11">
        <f t="shared" si="31"/>
        <v>0</v>
      </c>
      <c r="CT27" s="11">
        <f t="shared" si="31"/>
        <v>0</v>
      </c>
      <c r="CU27" s="272">
        <f t="shared" si="31"/>
        <v>25.411000000000001</v>
      </c>
      <c r="CV27" s="249">
        <f t="shared" si="14"/>
        <v>134.3541525</v>
      </c>
      <c r="CW27" s="11">
        <f t="shared" si="14"/>
        <v>0</v>
      </c>
      <c r="CX27" s="249">
        <f t="shared" si="14"/>
        <v>0</v>
      </c>
      <c r="CY27" s="272">
        <f t="shared" si="14"/>
        <v>0</v>
      </c>
      <c r="CZ27" s="13"/>
      <c r="DA27" s="240">
        <f>(D27+'[2]август 20 '!D27)/(AY27+'[2]август 20 '!BA27)</f>
        <v>2.2148285852382679</v>
      </c>
      <c r="DB27" s="241">
        <f>(T27+'[2]август 20 '!T27)/(AY27+'[2]август 20 '!BA27)</f>
        <v>1.4070616886966072</v>
      </c>
      <c r="DD27" s="292">
        <f t="shared" si="15"/>
        <v>8.7530000000000001</v>
      </c>
      <c r="DE27" s="291">
        <v>1.22</v>
      </c>
      <c r="DF27" s="291">
        <v>8.42</v>
      </c>
      <c r="DG27" s="145">
        <f t="shared" si="16"/>
        <v>8.6462134000000006</v>
      </c>
      <c r="DH27" s="293">
        <f t="shared" si="30"/>
        <v>0.95501924213564204</v>
      </c>
      <c r="DJ27" s="322"/>
    </row>
    <row r="28" spans="1:114" s="76" customFormat="1" ht="16.5" customHeight="1" thickBot="1">
      <c r="A28" s="144">
        <v>22</v>
      </c>
      <c r="B28" s="122">
        <f>'[1]август 20'!K27</f>
        <v>205.05</v>
      </c>
      <c r="C28" s="123">
        <f t="shared" si="17"/>
        <v>1.0664392099487927</v>
      </c>
      <c r="D28" s="145">
        <f t="shared" si="18"/>
        <v>202.86326639999999</v>
      </c>
      <c r="E28" s="125">
        <f t="shared" si="19"/>
        <v>39.821517581077785</v>
      </c>
      <c r="F28" s="146">
        <f t="shared" si="0"/>
        <v>2.0985131519602769</v>
      </c>
      <c r="G28" s="127"/>
      <c r="H28" s="126">
        <f t="shared" si="20"/>
        <v>0.91109202855073945</v>
      </c>
      <c r="I28" s="230">
        <f>'[1]июль 20'!AI27</f>
        <v>0</v>
      </c>
      <c r="J28" s="247">
        <f>'[1]август 20'!AA27</f>
        <v>8.1020000000000003</v>
      </c>
      <c r="K28" s="464">
        <f>'[1]сентябрь 20'!AM27</f>
        <v>0</v>
      </c>
      <c r="L28" s="247">
        <f>'[1]август 20'!AE27</f>
        <v>114.788</v>
      </c>
      <c r="M28" s="468">
        <f t="shared" si="21"/>
        <v>1.1874211234095378</v>
      </c>
      <c r="N28" s="403">
        <f>'[1]август 20'!W27</f>
        <v>0</v>
      </c>
      <c r="O28" s="403">
        <f>'[1]август 20'!AU27</f>
        <v>4.5129999999999999</v>
      </c>
      <c r="P28" s="401">
        <f t="shared" si="1"/>
        <v>134.89599999999999</v>
      </c>
      <c r="Q28" s="122">
        <f>'[1]август 20'!S27</f>
        <v>134.89599999999999</v>
      </c>
      <c r="R28" s="123">
        <f t="shared" si="22"/>
        <v>3.35</v>
      </c>
      <c r="S28" s="501">
        <v>6.22</v>
      </c>
      <c r="T28" s="125">
        <f t="shared" si="2"/>
        <v>130.37698399999999</v>
      </c>
      <c r="U28" s="147">
        <f t="shared" si="3"/>
        <v>1.3486809144512257</v>
      </c>
      <c r="V28" s="130">
        <v>96.67</v>
      </c>
      <c r="W28" s="130">
        <v>48.87</v>
      </c>
      <c r="X28" s="129">
        <v>0.74</v>
      </c>
      <c r="Y28" s="150">
        <v>600</v>
      </c>
      <c r="Z28" s="150">
        <v>1165</v>
      </c>
      <c r="AA28" s="148" t="s">
        <v>314</v>
      </c>
      <c r="AB28" s="149">
        <v>76.650000000000006</v>
      </c>
      <c r="AC28" s="150">
        <v>82</v>
      </c>
      <c r="AD28" s="151">
        <v>4</v>
      </c>
      <c r="AE28" s="149">
        <v>2.5499999999999998</v>
      </c>
      <c r="AF28" s="134">
        <f t="shared" si="4"/>
        <v>26.378400744801901</v>
      </c>
      <c r="AG28" s="152"/>
      <c r="AH28" s="129">
        <v>70.599999999999994</v>
      </c>
      <c r="AI28" s="134">
        <f t="shared" si="5"/>
        <v>730.31964415020173</v>
      </c>
      <c r="AJ28" s="153">
        <v>10.55</v>
      </c>
      <c r="AK28" s="154"/>
      <c r="AL28" s="155">
        <v>6.67</v>
      </c>
      <c r="AM28" s="478">
        <f t="shared" si="23"/>
        <v>25.53</v>
      </c>
      <c r="AN28" s="126">
        <f t="shared" si="24"/>
        <v>0.2</v>
      </c>
      <c r="AO28" s="157" t="s">
        <v>151</v>
      </c>
      <c r="AP28" s="156">
        <v>7.78</v>
      </c>
      <c r="AQ28" s="156">
        <v>7.26</v>
      </c>
      <c r="AR28" s="151"/>
      <c r="AS28" s="149">
        <v>6.55</v>
      </c>
      <c r="AT28" s="149">
        <v>127.65</v>
      </c>
      <c r="AU28" s="149">
        <v>1.22</v>
      </c>
      <c r="AV28" s="164"/>
      <c r="AW28" s="149"/>
      <c r="AX28" s="158">
        <f t="shared" si="6"/>
        <v>0</v>
      </c>
      <c r="AY28" s="125">
        <f t="shared" si="7"/>
        <v>96.67</v>
      </c>
      <c r="AZ28" s="125">
        <f t="shared" si="25"/>
        <v>92.979450612911307</v>
      </c>
      <c r="BA28" s="159">
        <f t="shared" si="8"/>
        <v>3.5822042253521125</v>
      </c>
      <c r="BB28" s="160">
        <f t="shared" si="9"/>
        <v>3.8668</v>
      </c>
      <c r="BC28" s="161">
        <f t="shared" si="10"/>
        <v>0.91723930588257596</v>
      </c>
      <c r="BD28" s="160">
        <f t="shared" si="26"/>
        <v>7.4490042253521125</v>
      </c>
      <c r="BE28" s="162">
        <v>0.89400000000000002</v>
      </c>
      <c r="BF28" s="25">
        <f t="shared" si="27"/>
        <v>2021.4700000000003</v>
      </c>
      <c r="BG28" s="25">
        <f t="shared" si="11"/>
        <v>107.74193548387096</v>
      </c>
      <c r="BH28" s="25">
        <f t="shared" si="28"/>
        <v>2370.3225806451605</v>
      </c>
      <c r="BI28" s="26">
        <f t="shared" si="12"/>
        <v>1</v>
      </c>
      <c r="BJ28" s="37">
        <f t="shared" si="29"/>
        <v>2370.3225806451605</v>
      </c>
      <c r="BK28" s="38">
        <v>84.855999999999995</v>
      </c>
      <c r="BL28" s="31"/>
      <c r="BM28" s="31"/>
      <c r="BN28" s="234">
        <v>90.197000000000003</v>
      </c>
      <c r="BO28" s="42"/>
      <c r="BP28" s="40">
        <v>5.4059999999999997</v>
      </c>
      <c r="BQ28" s="411">
        <v>24.591000000000001</v>
      </c>
      <c r="BR28" s="33">
        <v>2.34</v>
      </c>
      <c r="BS28" s="34"/>
      <c r="BT28" s="35"/>
      <c r="BU28" s="35"/>
      <c r="BV28" s="235"/>
      <c r="BW28" s="235">
        <v>3.72</v>
      </c>
      <c r="BX28" s="36"/>
      <c r="BY28" s="33">
        <v>36.97</v>
      </c>
      <c r="BZ28" s="34"/>
      <c r="CA28" s="35"/>
      <c r="CB28" s="405">
        <v>41.6</v>
      </c>
      <c r="CC28" s="404"/>
      <c r="CD28" s="235">
        <v>36.81</v>
      </c>
      <c r="CE28" s="36">
        <v>43.8</v>
      </c>
      <c r="CF28" s="30">
        <v>134.89599999999999</v>
      </c>
      <c r="CG28" s="30"/>
      <c r="CH28" s="31"/>
      <c r="CI28" s="32"/>
      <c r="CJ28" s="33">
        <v>3.35</v>
      </c>
      <c r="CK28" s="33"/>
      <c r="CL28" s="35"/>
      <c r="CM28" s="36"/>
      <c r="CN28" s="286"/>
      <c r="CO28" s="249">
        <f t="shared" si="31"/>
        <v>82.870369599999989</v>
      </c>
      <c r="CP28" s="12">
        <f t="shared" si="31"/>
        <v>0</v>
      </c>
      <c r="CQ28" s="12">
        <f t="shared" si="31"/>
        <v>0</v>
      </c>
      <c r="CR28" s="12">
        <f t="shared" si="31"/>
        <v>90.197000000000003</v>
      </c>
      <c r="CS28" s="11">
        <f t="shared" si="31"/>
        <v>0</v>
      </c>
      <c r="CT28" s="11">
        <f t="shared" si="31"/>
        <v>5.2048967999999993</v>
      </c>
      <c r="CU28" s="272">
        <f t="shared" si="31"/>
        <v>24.591000000000001</v>
      </c>
      <c r="CV28" s="249">
        <f t="shared" si="14"/>
        <v>130.37698399999999</v>
      </c>
      <c r="CW28" s="12">
        <f t="shared" si="14"/>
        <v>0</v>
      </c>
      <c r="CX28" s="249">
        <f t="shared" si="14"/>
        <v>0</v>
      </c>
      <c r="CY28" s="272">
        <f t="shared" si="14"/>
        <v>0</v>
      </c>
      <c r="CZ28" s="13"/>
      <c r="DA28" s="240">
        <f>(D28+'[2]август 20 '!D28)/(AY28+'[2]август 20 '!BA28)</f>
        <v>2.1360046950195359</v>
      </c>
      <c r="DB28" s="241">
        <f>(T28+'[2]август 20 '!T28)/(AY28+'[2]август 20 '!BA28)</f>
        <v>1.3713818080567659</v>
      </c>
      <c r="DD28" s="292">
        <f t="shared" si="15"/>
        <v>8.1020000000000003</v>
      </c>
      <c r="DE28" s="305">
        <v>1.34</v>
      </c>
      <c r="DF28" s="291">
        <v>9.32</v>
      </c>
      <c r="DG28" s="145">
        <f t="shared" si="16"/>
        <v>7.9934331999999992</v>
      </c>
      <c r="DH28" s="293">
        <f t="shared" si="30"/>
        <v>0.97193473482061299</v>
      </c>
      <c r="DJ28" s="322"/>
    </row>
    <row r="29" spans="1:114" s="76" customFormat="1" ht="16.5" customHeight="1" thickBot="1">
      <c r="A29" s="144">
        <v>23</v>
      </c>
      <c r="B29" s="122">
        <f>'[1]август 20'!K28</f>
        <v>205.096</v>
      </c>
      <c r="C29" s="123">
        <f t="shared" si="17"/>
        <v>1.0223269103249211</v>
      </c>
      <c r="D29" s="145">
        <f t="shared" si="18"/>
        <v>202.9992484</v>
      </c>
      <c r="E29" s="125">
        <f t="shared" si="19"/>
        <v>39.944816817490349</v>
      </c>
      <c r="F29" s="146">
        <f t="shared" si="0"/>
        <v>2.0769311274810724</v>
      </c>
      <c r="G29" s="127"/>
      <c r="H29" s="126">
        <f t="shared" si="20"/>
        <v>0.90282635972989578</v>
      </c>
      <c r="I29" s="230">
        <f>'[1]июль 20'!AI28</f>
        <v>0</v>
      </c>
      <c r="J29" s="247">
        <f>'[1]август 20'!AA28</f>
        <v>8.5950000000000006</v>
      </c>
      <c r="K29" s="465">
        <f>'[1]сентябрь 20'!AM28</f>
        <v>0</v>
      </c>
      <c r="L29" s="247">
        <f>'[1]август 20'!AE28</f>
        <v>114.75700000000001</v>
      </c>
      <c r="M29" s="469">
        <f t="shared" si="21"/>
        <v>1.1741047677511767</v>
      </c>
      <c r="N29" s="403">
        <f>'[1]август 20'!W28</f>
        <v>0</v>
      </c>
      <c r="O29" s="403">
        <f>'[1]август 20'!AU28</f>
        <v>5.2569999999999997</v>
      </c>
      <c r="P29" s="401">
        <f t="shared" si="1"/>
        <v>135.12700000000001</v>
      </c>
      <c r="Q29" s="122">
        <f>'[1]август 20'!S28</f>
        <v>135.12700000000001</v>
      </c>
      <c r="R29" s="123">
        <f t="shared" si="22"/>
        <v>3.41</v>
      </c>
      <c r="S29" s="501">
        <v>19.100000000000001</v>
      </c>
      <c r="T29" s="125">
        <f t="shared" si="2"/>
        <v>130.51916930000002</v>
      </c>
      <c r="U29" s="147">
        <f t="shared" si="3"/>
        <v>1.3353710793943117</v>
      </c>
      <c r="V29" s="130">
        <v>97.74</v>
      </c>
      <c r="W29" s="130">
        <v>97.74</v>
      </c>
      <c r="X29" s="129">
        <v>0.54</v>
      </c>
      <c r="Y29" s="150">
        <v>608</v>
      </c>
      <c r="Z29" s="150">
        <v>1160</v>
      </c>
      <c r="AA29" s="148" t="s">
        <v>307</v>
      </c>
      <c r="AB29" s="149">
        <v>76.34</v>
      </c>
      <c r="AC29" s="150">
        <v>82</v>
      </c>
      <c r="AD29" s="151">
        <v>4</v>
      </c>
      <c r="AE29" s="149">
        <v>5.2</v>
      </c>
      <c r="AF29" s="134">
        <f t="shared" si="4"/>
        <v>53.202373644362602</v>
      </c>
      <c r="AG29" s="152"/>
      <c r="AH29" s="129">
        <v>66.8</v>
      </c>
      <c r="AI29" s="134">
        <f t="shared" si="5"/>
        <v>683.44587681604253</v>
      </c>
      <c r="AJ29" s="136">
        <v>11.17</v>
      </c>
      <c r="AK29" s="154"/>
      <c r="AL29" s="155">
        <v>6.83</v>
      </c>
      <c r="AM29" s="478">
        <f t="shared" si="23"/>
        <v>25.75</v>
      </c>
      <c r="AN29" s="126">
        <f t="shared" si="24"/>
        <v>0.2</v>
      </c>
      <c r="AO29" s="157" t="s">
        <v>193</v>
      </c>
      <c r="AP29" s="156">
        <v>8.15</v>
      </c>
      <c r="AQ29" s="156">
        <v>7</v>
      </c>
      <c r="AR29" s="149"/>
      <c r="AS29" s="149">
        <v>6.34</v>
      </c>
      <c r="AT29" s="149">
        <v>128.75</v>
      </c>
      <c r="AU29" s="149">
        <v>1.57</v>
      </c>
      <c r="AV29" s="164"/>
      <c r="AW29" s="149"/>
      <c r="AX29" s="158">
        <f t="shared" si="6"/>
        <v>0</v>
      </c>
      <c r="AY29" s="125">
        <f t="shared" si="7"/>
        <v>97.74</v>
      </c>
      <c r="AZ29" s="125">
        <f t="shared" si="25"/>
        <v>93.719642396975246</v>
      </c>
      <c r="BA29" s="159">
        <f t="shared" si="8"/>
        <v>3.2807267605633803</v>
      </c>
      <c r="BB29" s="160">
        <f t="shared" si="9"/>
        <v>3.9095999999999997</v>
      </c>
      <c r="BC29" s="161">
        <f t="shared" si="10"/>
        <v>0.92017329783316315</v>
      </c>
      <c r="BD29" s="160">
        <f t="shared" si="26"/>
        <v>7.19032676056338</v>
      </c>
      <c r="BE29" s="162">
        <v>0.89500000000000002</v>
      </c>
      <c r="BF29" s="25">
        <f t="shared" si="27"/>
        <v>2119.21</v>
      </c>
      <c r="BG29" s="25">
        <f t="shared" si="11"/>
        <v>107.74193548387096</v>
      </c>
      <c r="BH29" s="25">
        <f t="shared" si="28"/>
        <v>2478.0645161290313</v>
      </c>
      <c r="BI29" s="26">
        <f t="shared" si="12"/>
        <v>1</v>
      </c>
      <c r="BJ29" s="37">
        <f t="shared" si="29"/>
        <v>2478.0645161290313</v>
      </c>
      <c r="BK29" s="328">
        <v>82.119</v>
      </c>
      <c r="BL29" s="31"/>
      <c r="BM29" s="31"/>
      <c r="BN29" s="31">
        <v>90.168999999999997</v>
      </c>
      <c r="BO29" s="40"/>
      <c r="BP29" s="40">
        <v>8.2200000000000006</v>
      </c>
      <c r="BQ29" s="32">
        <v>24.588000000000001</v>
      </c>
      <c r="BR29" s="33">
        <v>2.2400000000000002</v>
      </c>
      <c r="BS29" s="34"/>
      <c r="BT29" s="35"/>
      <c r="BU29" s="35"/>
      <c r="BV29" s="235"/>
      <c r="BW29" s="235">
        <v>3.13</v>
      </c>
      <c r="BX29" s="36"/>
      <c r="BY29" s="33">
        <v>37.24</v>
      </c>
      <c r="BZ29" s="34"/>
      <c r="CA29" s="35"/>
      <c r="CB29" s="35">
        <v>41.39</v>
      </c>
      <c r="CC29" s="235"/>
      <c r="CD29" s="235">
        <v>40.15</v>
      </c>
      <c r="CE29" s="36">
        <v>43.61</v>
      </c>
      <c r="CF29" s="30">
        <v>135.12700000000001</v>
      </c>
      <c r="CG29" s="30"/>
      <c r="CH29" s="31"/>
      <c r="CI29" s="32"/>
      <c r="CJ29" s="33">
        <v>3.41</v>
      </c>
      <c r="CK29" s="33"/>
      <c r="CL29" s="35"/>
      <c r="CM29" s="36"/>
      <c r="CN29" s="286"/>
      <c r="CO29" s="249">
        <f t="shared" si="31"/>
        <v>80.279534400000003</v>
      </c>
      <c r="CP29" s="12">
        <f t="shared" si="31"/>
        <v>0</v>
      </c>
      <c r="CQ29" s="12">
        <f t="shared" si="31"/>
        <v>0</v>
      </c>
      <c r="CR29" s="12">
        <f t="shared" si="31"/>
        <v>90.168999999999997</v>
      </c>
      <c r="CS29" s="11">
        <f t="shared" si="31"/>
        <v>0</v>
      </c>
      <c r="CT29" s="11">
        <f t="shared" si="31"/>
        <v>7.962714000000001</v>
      </c>
      <c r="CU29" s="272">
        <f t="shared" si="31"/>
        <v>24.588000000000001</v>
      </c>
      <c r="CV29" s="249">
        <f t="shared" si="14"/>
        <v>130.51916930000002</v>
      </c>
      <c r="CW29" s="12">
        <f t="shared" si="14"/>
        <v>0</v>
      </c>
      <c r="CX29" s="249">
        <f t="shared" si="14"/>
        <v>0</v>
      </c>
      <c r="CY29" s="272">
        <f t="shared" si="14"/>
        <v>0</v>
      </c>
      <c r="CZ29" s="13"/>
      <c r="DA29" s="240">
        <f>(D29+'[2]август 20 '!D29)/(AY29+'[2]август 20 '!BA29)</f>
        <v>2.0830583330709072</v>
      </c>
      <c r="DB29" s="241">
        <f>(T29+'[2]август 20 '!T29)/(AY29+'[2]август 20 '!BA29)</f>
        <v>1.3388588649206601</v>
      </c>
      <c r="DD29" s="292">
        <f t="shared" si="15"/>
        <v>8.5950000000000006</v>
      </c>
      <c r="DE29" s="291">
        <v>0.27</v>
      </c>
      <c r="DF29" s="291">
        <v>8.82</v>
      </c>
      <c r="DG29" s="145">
        <f t="shared" si="16"/>
        <v>8.5717935000000018</v>
      </c>
      <c r="DH29" s="293">
        <f t="shared" si="30"/>
        <v>0.99034868574796975</v>
      </c>
      <c r="DJ29" s="322"/>
    </row>
    <row r="30" spans="1:114" s="76" customFormat="1" ht="16.5" customHeight="1" thickBot="1">
      <c r="A30" s="144">
        <v>24</v>
      </c>
      <c r="B30" s="122">
        <f>'[1]август 20'!K29</f>
        <v>172.334</v>
      </c>
      <c r="C30" s="123">
        <f t="shared" si="17"/>
        <v>0.74321346919354281</v>
      </c>
      <c r="D30" s="145">
        <f t="shared" si="18"/>
        <v>171.0531905</v>
      </c>
      <c r="E30" s="125">
        <f t="shared" si="19"/>
        <v>39.74377081713417</v>
      </c>
      <c r="F30" s="146">
        <f t="shared" si="0"/>
        <v>1.8828089212988444</v>
      </c>
      <c r="G30" s="127"/>
      <c r="H30" s="126">
        <f t="shared" si="20"/>
        <v>0.77580837094111177</v>
      </c>
      <c r="I30" s="230">
        <f>'[1]июль 20'!AI29</f>
        <v>0</v>
      </c>
      <c r="J30" s="247">
        <f>'[1]август 20'!AA29</f>
        <v>6.976</v>
      </c>
      <c r="K30" s="464">
        <f>'[1]сентябрь 20'!AM29</f>
        <v>0</v>
      </c>
      <c r="L30" s="247">
        <f>'[1]август 20'!AE29</f>
        <v>100.571</v>
      </c>
      <c r="M30" s="468">
        <f t="shared" si="21"/>
        <v>1.1070005503577325</v>
      </c>
      <c r="N30" s="403">
        <f>'[1]август 20'!W29</f>
        <v>0</v>
      </c>
      <c r="O30" s="403">
        <f>'[1]август 20'!AU29</f>
        <v>5.6589999999999998</v>
      </c>
      <c r="P30" s="401">
        <f t="shared" si="1"/>
        <v>124.90300000000001</v>
      </c>
      <c r="Q30" s="122">
        <f>'[1]август 20'!S29</f>
        <v>124.90300000000001</v>
      </c>
      <c r="R30" s="123">
        <f t="shared" si="22"/>
        <v>2.93</v>
      </c>
      <c r="S30" s="501">
        <v>12.56</v>
      </c>
      <c r="T30" s="125">
        <f t="shared" si="2"/>
        <v>121.24334209999999</v>
      </c>
      <c r="U30" s="147">
        <f t="shared" si="3"/>
        <v>1.3345442168409467</v>
      </c>
      <c r="V30" s="169">
        <v>90.85</v>
      </c>
      <c r="W30" s="169">
        <v>68.08</v>
      </c>
      <c r="X30" s="170">
        <v>0.74</v>
      </c>
      <c r="Y30" s="166">
        <v>637</v>
      </c>
      <c r="Z30" s="166">
        <v>1157</v>
      </c>
      <c r="AA30" s="148" t="s">
        <v>310</v>
      </c>
      <c r="AB30" s="164">
        <v>75.75</v>
      </c>
      <c r="AC30" s="166">
        <v>72</v>
      </c>
      <c r="AD30" s="171">
        <v>4</v>
      </c>
      <c r="AE30" s="164">
        <v>8.0500000000000007</v>
      </c>
      <c r="AF30" s="172">
        <f t="shared" si="4"/>
        <v>88.607594936708878</v>
      </c>
      <c r="AG30" s="173"/>
      <c r="AH30" s="170">
        <v>58.3</v>
      </c>
      <c r="AI30" s="134">
        <f t="shared" si="5"/>
        <v>641.71711612548154</v>
      </c>
      <c r="AJ30" s="174">
        <v>13.28</v>
      </c>
      <c r="AK30" s="175"/>
      <c r="AL30" s="176">
        <v>4.79</v>
      </c>
      <c r="AM30" s="478">
        <f t="shared" si="23"/>
        <v>23.540000000000003</v>
      </c>
      <c r="AN30" s="126">
        <f t="shared" si="24"/>
        <v>0.2</v>
      </c>
      <c r="AO30" s="178" t="s">
        <v>384</v>
      </c>
      <c r="AP30" s="177">
        <v>8.67</v>
      </c>
      <c r="AQ30" s="177">
        <v>6.65</v>
      </c>
      <c r="AR30" s="171"/>
      <c r="AS30" s="164">
        <v>5.48</v>
      </c>
      <c r="AT30" s="149">
        <v>117.7</v>
      </c>
      <c r="AU30" s="164">
        <v>1.48</v>
      </c>
      <c r="AV30" s="164"/>
      <c r="AW30" s="164"/>
      <c r="AX30" s="179">
        <f t="shared" si="6"/>
        <v>0</v>
      </c>
      <c r="AY30" s="125">
        <f t="shared" si="7"/>
        <v>90.85</v>
      </c>
      <c r="AZ30" s="125">
        <f t="shared" si="25"/>
        <v>79.311668946608577</v>
      </c>
      <c r="BA30" s="159">
        <f t="shared" si="8"/>
        <v>2.4748760563380285</v>
      </c>
      <c r="BB30" s="159">
        <f t="shared" si="9"/>
        <v>3.6339999999999999</v>
      </c>
      <c r="BC30" s="180">
        <f t="shared" si="10"/>
        <v>1.0122955318202431</v>
      </c>
      <c r="BD30" s="159">
        <f t="shared" si="26"/>
        <v>6.108876056338028</v>
      </c>
      <c r="BE30" s="167">
        <v>0.9</v>
      </c>
      <c r="BF30" s="25">
        <f t="shared" si="27"/>
        <v>2210.06</v>
      </c>
      <c r="BG30" s="25">
        <f t="shared" si="11"/>
        <v>107.74193548387096</v>
      </c>
      <c r="BH30" s="25">
        <f t="shared" si="28"/>
        <v>2585.806451612902</v>
      </c>
      <c r="BI30" s="26">
        <f t="shared" si="12"/>
        <v>1</v>
      </c>
      <c r="BJ30" s="37">
        <f t="shared" si="29"/>
        <v>2585.806451612902</v>
      </c>
      <c r="BK30" s="38">
        <v>60.966999999999999</v>
      </c>
      <c r="BL30" s="31"/>
      <c r="BM30" s="31"/>
      <c r="BN30" s="31">
        <v>79.882999999999996</v>
      </c>
      <c r="BO30" s="40"/>
      <c r="BP30" s="40">
        <v>10.795999999999999</v>
      </c>
      <c r="BQ30" s="44">
        <v>20.687999999999999</v>
      </c>
      <c r="BR30" s="45">
        <v>1.69</v>
      </c>
      <c r="BS30" s="46"/>
      <c r="BT30" s="47"/>
      <c r="BU30" s="47"/>
      <c r="BV30" s="283"/>
      <c r="BW30" s="283">
        <v>2.3199999999999998</v>
      </c>
      <c r="BX30" s="48"/>
      <c r="BY30" s="45">
        <v>36.58</v>
      </c>
      <c r="BZ30" s="46"/>
      <c r="CA30" s="47"/>
      <c r="CB30" s="47">
        <v>41.5</v>
      </c>
      <c r="CC30" s="283"/>
      <c r="CD30" s="283">
        <v>36.67</v>
      </c>
      <c r="CE30" s="48">
        <v>43.89</v>
      </c>
      <c r="CF30" s="49">
        <v>124.90300000000001</v>
      </c>
      <c r="CG30" s="49"/>
      <c r="CH30" s="43"/>
      <c r="CI30" s="32"/>
      <c r="CJ30" s="33">
        <v>2.93</v>
      </c>
      <c r="CK30" s="33"/>
      <c r="CL30" s="35"/>
      <c r="CM30" s="36"/>
      <c r="CN30" s="286"/>
      <c r="CO30" s="249">
        <f t="shared" si="31"/>
        <v>59.936657699999998</v>
      </c>
      <c r="CP30" s="12">
        <f t="shared" si="31"/>
        <v>0</v>
      </c>
      <c r="CQ30" s="12">
        <f t="shared" si="31"/>
        <v>0</v>
      </c>
      <c r="CR30" s="12">
        <f t="shared" si="31"/>
        <v>79.882999999999996</v>
      </c>
      <c r="CS30" s="11">
        <f t="shared" si="31"/>
        <v>0</v>
      </c>
      <c r="CT30" s="11">
        <f t="shared" si="31"/>
        <v>10.5455328</v>
      </c>
      <c r="CU30" s="272">
        <f t="shared" si="31"/>
        <v>20.687999999999999</v>
      </c>
      <c r="CV30" s="249">
        <f t="shared" si="14"/>
        <v>121.24334209999999</v>
      </c>
      <c r="CW30" s="11">
        <f t="shared" si="14"/>
        <v>0</v>
      </c>
      <c r="CX30" s="252">
        <f t="shared" si="14"/>
        <v>0</v>
      </c>
      <c r="CY30" s="272">
        <f t="shared" si="14"/>
        <v>0</v>
      </c>
      <c r="CZ30" s="13"/>
      <c r="DA30" s="240">
        <f>(D30+'[2]август 20 '!D30)/(AY30+'[2]август 20 '!BA30)</f>
        <v>2.0097540820791742</v>
      </c>
      <c r="DB30" s="241">
        <f>(T30+'[2]август 20 '!T30)/(AY30+'[2]август 20 '!BA30)</f>
        <v>1.3644075864329308</v>
      </c>
      <c r="DD30" s="292">
        <f t="shared" si="15"/>
        <v>6.976</v>
      </c>
      <c r="DE30" s="291">
        <v>0.32</v>
      </c>
      <c r="DF30" s="291">
        <v>10.49</v>
      </c>
      <c r="DG30" s="145">
        <f t="shared" si="16"/>
        <v>6.9536768000000002</v>
      </c>
      <c r="DH30" s="293">
        <f t="shared" si="30"/>
        <v>0.96295801494389455</v>
      </c>
      <c r="DJ30" s="322"/>
    </row>
    <row r="31" spans="1:114" s="76" customFormat="1" ht="16.5" customHeight="1" thickBot="1">
      <c r="A31" s="144">
        <v>25</v>
      </c>
      <c r="B31" s="122">
        <f>'[1]август 20'!K30</f>
        <v>52.44</v>
      </c>
      <c r="C31" s="123">
        <f t="shared" si="17"/>
        <v>0.83239836003051115</v>
      </c>
      <c r="D31" s="145">
        <f t="shared" si="18"/>
        <v>52.003490300000003</v>
      </c>
      <c r="E31" s="125">
        <f t="shared" si="19"/>
        <v>39.920605072463772</v>
      </c>
      <c r="F31" s="146">
        <f t="shared" si="0"/>
        <v>1.5504916607036372</v>
      </c>
      <c r="G31" s="127"/>
      <c r="H31" s="126">
        <f t="shared" si="20"/>
        <v>0.61146363446630869</v>
      </c>
      <c r="I31" s="230">
        <f>'[1]июль 20'!AI30</f>
        <v>0</v>
      </c>
      <c r="J31" s="247">
        <f>'[1]август 20'!AA30</f>
        <v>2.2040000000000002</v>
      </c>
      <c r="K31" s="465">
        <f>'[1]сентябрь 20'!AM30</f>
        <v>0</v>
      </c>
      <c r="L31" s="247">
        <f>'[1]август 20'!AE30</f>
        <v>31.495000000000001</v>
      </c>
      <c r="M31" s="469">
        <f t="shared" si="21"/>
        <v>0.93902802623732828</v>
      </c>
      <c r="N31" s="403">
        <f>'[1]август 20'!W30</f>
        <v>0</v>
      </c>
      <c r="O31" s="403">
        <f>'[1]август 20'!AU30</f>
        <v>1.9850000000000001</v>
      </c>
      <c r="P31" s="401">
        <f t="shared" si="1"/>
        <v>42.319000000000003</v>
      </c>
      <c r="Q31" s="122">
        <f>'[1]август 20'!S30</f>
        <v>42.319000000000003</v>
      </c>
      <c r="R31" s="123">
        <f t="shared" si="22"/>
        <v>2.38</v>
      </c>
      <c r="S31" s="501">
        <v>23</v>
      </c>
      <c r="T31" s="125">
        <f t="shared" si="2"/>
        <v>41.311807800000004</v>
      </c>
      <c r="U31" s="147">
        <f t="shared" si="3"/>
        <v>1.2317175849731663</v>
      </c>
      <c r="V31" s="130">
        <v>21.25</v>
      </c>
      <c r="W31" s="130">
        <v>21.25</v>
      </c>
      <c r="X31" s="129">
        <v>0.93</v>
      </c>
      <c r="Y31" s="150">
        <v>627</v>
      </c>
      <c r="Z31" s="150">
        <v>1169</v>
      </c>
      <c r="AA31" s="148" t="s">
        <v>385</v>
      </c>
      <c r="AB31" s="149">
        <v>74.86</v>
      </c>
      <c r="AC31" s="150">
        <v>23</v>
      </c>
      <c r="AD31" s="151">
        <v>2</v>
      </c>
      <c r="AE31" s="149">
        <v>1.8</v>
      </c>
      <c r="AF31" s="134">
        <f t="shared" si="4"/>
        <v>53.667262969588542</v>
      </c>
      <c r="AG31" s="152"/>
      <c r="AH31" s="129">
        <v>26.8</v>
      </c>
      <c r="AI31" s="134">
        <f t="shared" si="5"/>
        <v>799.04591532498489</v>
      </c>
      <c r="AJ31" s="136">
        <v>6.11</v>
      </c>
      <c r="AK31" s="154"/>
      <c r="AL31" s="155">
        <v>6.91</v>
      </c>
      <c r="AM31" s="478">
        <f t="shared" si="23"/>
        <v>9.8400000000000016</v>
      </c>
      <c r="AN31" s="126">
        <f t="shared" si="24"/>
        <v>0.2</v>
      </c>
      <c r="AO31" s="157" t="s">
        <v>119</v>
      </c>
      <c r="AP31" s="156">
        <v>7.77</v>
      </c>
      <c r="AQ31" s="156">
        <v>6.78</v>
      </c>
      <c r="AR31" s="151"/>
      <c r="AS31" s="149">
        <v>8.27</v>
      </c>
      <c r="AT31" s="149">
        <v>49.2</v>
      </c>
      <c r="AU31" s="149">
        <v>1.0900000000000001</v>
      </c>
      <c r="AV31" s="164"/>
      <c r="AW31" s="149"/>
      <c r="AX31" s="158">
        <f t="shared" si="6"/>
        <v>0</v>
      </c>
      <c r="AY31" s="125">
        <f t="shared" si="7"/>
        <v>33.540000000000006</v>
      </c>
      <c r="AZ31" s="125">
        <f t="shared" si="25"/>
        <v>24.534676947190604</v>
      </c>
      <c r="BA31" s="159">
        <f t="shared" si="8"/>
        <v>1.7168985915492956</v>
      </c>
      <c r="BB31" s="160">
        <f t="shared" si="9"/>
        <v>1.3416000000000003</v>
      </c>
      <c r="BC31" s="161">
        <f t="shared" si="10"/>
        <v>1.209437061515038</v>
      </c>
      <c r="BD31" s="160">
        <f t="shared" si="26"/>
        <v>3.0584985915492959</v>
      </c>
      <c r="BE31" s="162">
        <v>0.90300000000000002</v>
      </c>
      <c r="BF31" s="25">
        <f t="shared" si="27"/>
        <v>2243.6</v>
      </c>
      <c r="BG31" s="25">
        <f t="shared" si="11"/>
        <v>107.74193548387096</v>
      </c>
      <c r="BH31" s="25">
        <f t="shared" si="28"/>
        <v>2693.5483870967728</v>
      </c>
      <c r="BI31" s="26">
        <f t="shared" si="12"/>
        <v>1</v>
      </c>
      <c r="BJ31" s="37">
        <f t="shared" si="29"/>
        <v>2693.5483870967728</v>
      </c>
      <c r="BK31" s="38"/>
      <c r="BL31" s="31">
        <v>16.809000000000001</v>
      </c>
      <c r="BM31" s="31"/>
      <c r="BN31" s="31">
        <v>25.196999999999999</v>
      </c>
      <c r="BO31" s="40"/>
      <c r="BP31" s="40">
        <v>4.1360000000000001</v>
      </c>
      <c r="BQ31" s="32">
        <v>6.298</v>
      </c>
      <c r="BR31" s="33"/>
      <c r="BS31" s="34">
        <v>2.09</v>
      </c>
      <c r="BT31" s="35"/>
      <c r="BU31" s="35"/>
      <c r="BV31" s="235"/>
      <c r="BW31" s="235">
        <v>2.06</v>
      </c>
      <c r="BX31" s="36"/>
      <c r="BY31" s="33"/>
      <c r="BZ31" s="34">
        <v>37.54</v>
      </c>
      <c r="CA31" s="35"/>
      <c r="CB31" s="35">
        <v>41.37</v>
      </c>
      <c r="CC31" s="235"/>
      <c r="CD31" s="235">
        <v>35.299999999999997</v>
      </c>
      <c r="CE31" s="36">
        <v>43.51</v>
      </c>
      <c r="CF31" s="30">
        <v>42.319000000000003</v>
      </c>
      <c r="CG31" s="30"/>
      <c r="CH31" s="31"/>
      <c r="CI31" s="32"/>
      <c r="CJ31" s="33">
        <v>2.38</v>
      </c>
      <c r="CK31" s="33"/>
      <c r="CL31" s="35"/>
      <c r="CM31" s="36"/>
      <c r="CN31" s="286"/>
      <c r="CO31" s="249">
        <f t="shared" si="31"/>
        <v>0</v>
      </c>
      <c r="CP31" s="12">
        <f t="shared" si="31"/>
        <v>16.4576919</v>
      </c>
      <c r="CQ31" s="12">
        <f t="shared" si="31"/>
        <v>0</v>
      </c>
      <c r="CR31" s="12">
        <f t="shared" si="31"/>
        <v>25.196999999999999</v>
      </c>
      <c r="CS31" s="11">
        <f t="shared" si="31"/>
        <v>0</v>
      </c>
      <c r="CT31" s="11">
        <f t="shared" si="31"/>
        <v>4.0507983999999997</v>
      </c>
      <c r="CU31" s="272">
        <f t="shared" si="31"/>
        <v>6.298</v>
      </c>
      <c r="CV31" s="249">
        <f t="shared" si="14"/>
        <v>41.311807800000004</v>
      </c>
      <c r="CW31" s="12">
        <f t="shared" si="14"/>
        <v>0</v>
      </c>
      <c r="CX31" s="249">
        <f t="shared" si="14"/>
        <v>0</v>
      </c>
      <c r="CY31" s="272">
        <f t="shared" si="14"/>
        <v>0</v>
      </c>
      <c r="CZ31" s="13"/>
      <c r="DA31" s="240">
        <f>(D31+'[2]август 20 '!D31)/(AY31+'[2]август 20 '!BA31)</f>
        <v>1.468460059085726</v>
      </c>
      <c r="DB31" s="241">
        <f>(T31+'[2]август 20 '!T31)/(AY31+'[2]август 20 '!BA31)</f>
        <v>1.1030559531460555</v>
      </c>
      <c r="DD31" s="292">
        <f t="shared" si="15"/>
        <v>2.2040000000000002</v>
      </c>
      <c r="DE31" s="291">
        <v>1.7</v>
      </c>
      <c r="DF31" s="291">
        <v>11.22</v>
      </c>
      <c r="DG31" s="145">
        <f t="shared" si="16"/>
        <v>2.1665320000000001</v>
      </c>
      <c r="DH31" s="293">
        <f t="shared" si="30"/>
        <v>0.32471932994923858</v>
      </c>
      <c r="DJ31" s="322"/>
    </row>
    <row r="32" spans="1:114" s="76" customFormat="1" ht="16.5" customHeight="1" thickBot="1">
      <c r="A32" s="144">
        <v>26</v>
      </c>
      <c r="B32" s="122">
        <f>'[1]август 20'!K31</f>
        <v>137.53200000000001</v>
      </c>
      <c r="C32" s="123">
        <f t="shared" si="17"/>
        <v>0.575271500450804</v>
      </c>
      <c r="D32" s="145">
        <f t="shared" si="18"/>
        <v>136.74081759999999</v>
      </c>
      <c r="E32" s="125">
        <f t="shared" si="19"/>
        <v>40.172874312887174</v>
      </c>
      <c r="F32" s="146">
        <f t="shared" si="0"/>
        <v>2.8909263763213531</v>
      </c>
      <c r="G32" s="127"/>
      <c r="H32" s="126">
        <f t="shared" si="20"/>
        <v>1.0884950866807612</v>
      </c>
      <c r="I32" s="230">
        <f>'[1]июль 20'!AI31</f>
        <v>0</v>
      </c>
      <c r="J32" s="247">
        <f>'[1]август 20'!AA31</f>
        <v>5.1459999999999999</v>
      </c>
      <c r="K32" s="464">
        <f>'[1]сентябрь 20'!AM31</f>
        <v>0</v>
      </c>
      <c r="L32" s="247">
        <f>'[1]август 20'!AE31</f>
        <v>85.254999999999995</v>
      </c>
      <c r="M32" s="468">
        <f t="shared" si="21"/>
        <v>1.8024312896405921</v>
      </c>
      <c r="N32" s="403">
        <f>'[1]август 20'!W31</f>
        <v>0</v>
      </c>
      <c r="O32" s="403">
        <f>'[1]август 20'!AU31</f>
        <v>0</v>
      </c>
      <c r="P32" s="401">
        <f t="shared" si="1"/>
        <v>93.555000000000007</v>
      </c>
      <c r="Q32" s="122">
        <f>'[1]август 20'!S31</f>
        <v>93.555000000000007</v>
      </c>
      <c r="R32" s="123">
        <f t="shared" si="22"/>
        <v>3.01</v>
      </c>
      <c r="S32" s="501"/>
      <c r="T32" s="125">
        <f t="shared" si="2"/>
        <v>90.738994500000004</v>
      </c>
      <c r="U32" s="147">
        <f t="shared" si="3"/>
        <v>1.9183719767441862</v>
      </c>
      <c r="V32" s="130">
        <v>31.79</v>
      </c>
      <c r="W32" s="130">
        <v>13.49</v>
      </c>
      <c r="X32" s="129">
        <v>1.21</v>
      </c>
      <c r="Y32" s="150">
        <v>616</v>
      </c>
      <c r="Z32" s="150">
        <v>978</v>
      </c>
      <c r="AA32" s="148" t="s">
        <v>387</v>
      </c>
      <c r="AB32" s="149">
        <v>75.27</v>
      </c>
      <c r="AC32" s="150">
        <v>55</v>
      </c>
      <c r="AD32" s="151">
        <v>3</v>
      </c>
      <c r="AE32" s="149">
        <v>3.5</v>
      </c>
      <c r="AF32" s="134">
        <f t="shared" si="4"/>
        <v>73.99577167019028</v>
      </c>
      <c r="AG32" s="152"/>
      <c r="AH32" s="129">
        <v>39.15</v>
      </c>
      <c r="AI32" s="134">
        <f t="shared" si="5"/>
        <v>827.6955602536998</v>
      </c>
      <c r="AJ32" s="153">
        <v>9.82</v>
      </c>
      <c r="AK32" s="154"/>
      <c r="AL32" s="155">
        <v>13.49</v>
      </c>
      <c r="AM32" s="478">
        <f t="shared" si="23"/>
        <v>13.8</v>
      </c>
      <c r="AN32" s="126">
        <f t="shared" si="24"/>
        <v>0.2</v>
      </c>
      <c r="AO32" s="157" t="s">
        <v>386</v>
      </c>
      <c r="AP32" s="156">
        <v>7.77</v>
      </c>
      <c r="AQ32" s="156">
        <v>6.66</v>
      </c>
      <c r="AR32" s="151"/>
      <c r="AS32" s="149">
        <v>8.89</v>
      </c>
      <c r="AT32" s="149">
        <v>69</v>
      </c>
      <c r="AU32" s="149">
        <v>5.59</v>
      </c>
      <c r="AV32" s="149"/>
      <c r="AW32" s="149"/>
      <c r="AX32" s="158">
        <f t="shared" si="6"/>
        <v>0</v>
      </c>
      <c r="AY32" s="125">
        <f t="shared" si="7"/>
        <v>47.3</v>
      </c>
      <c r="AZ32" s="125">
        <f t="shared" si="25"/>
        <v>64.30221593487019</v>
      </c>
      <c r="BA32" s="159">
        <f t="shared" si="8"/>
        <v>2.6961116197183097</v>
      </c>
      <c r="BB32" s="160">
        <f t="shared" si="9"/>
        <v>1.8919999999999999</v>
      </c>
      <c r="BC32" s="161">
        <f t="shared" si="10"/>
        <v>0.6481148590709882</v>
      </c>
      <c r="BD32" s="160">
        <f t="shared" si="26"/>
        <v>4.5881116197183101</v>
      </c>
      <c r="BE32" s="162">
        <v>0.89600000000000002</v>
      </c>
      <c r="BF32" s="25">
        <f t="shared" si="27"/>
        <v>2290.9</v>
      </c>
      <c r="BG32" s="25">
        <f t="shared" si="11"/>
        <v>107.74193548387096</v>
      </c>
      <c r="BH32" s="25">
        <f t="shared" si="28"/>
        <v>2801.2903225806435</v>
      </c>
      <c r="BI32" s="26">
        <f t="shared" si="12"/>
        <v>1</v>
      </c>
      <c r="BJ32" s="37">
        <f t="shared" si="29"/>
        <v>2801.2903225806435</v>
      </c>
      <c r="BK32" s="38"/>
      <c r="BL32" s="31">
        <v>38.564999999999998</v>
      </c>
      <c r="BM32" s="31"/>
      <c r="BN32" s="31">
        <v>60.502000000000002</v>
      </c>
      <c r="BO32" s="40"/>
      <c r="BP32" s="40">
        <v>13.712</v>
      </c>
      <c r="BQ32" s="32">
        <v>24.753</v>
      </c>
      <c r="BR32" s="33"/>
      <c r="BS32" s="34">
        <v>1.44</v>
      </c>
      <c r="BT32" s="35"/>
      <c r="BU32" s="35"/>
      <c r="BV32" s="235"/>
      <c r="BW32" s="235">
        <v>1.72</v>
      </c>
      <c r="BX32" s="36"/>
      <c r="BY32" s="33"/>
      <c r="BZ32" s="34">
        <v>37.39</v>
      </c>
      <c r="CA32" s="35"/>
      <c r="CB32" s="35">
        <v>41.53</v>
      </c>
      <c r="CC32" s="235"/>
      <c r="CD32" s="235">
        <v>35.5</v>
      </c>
      <c r="CE32" s="36">
        <v>43.78</v>
      </c>
      <c r="CF32" s="30">
        <v>93.555000000000007</v>
      </c>
      <c r="CG32" s="30"/>
      <c r="CH32" s="31"/>
      <c r="CI32" s="50"/>
      <c r="CJ32" s="33">
        <v>3.01</v>
      </c>
      <c r="CK32" s="33"/>
      <c r="CL32" s="35"/>
      <c r="CM32" s="36"/>
      <c r="CN32" s="286"/>
      <c r="CO32" s="249">
        <f t="shared" si="31"/>
        <v>0</v>
      </c>
      <c r="CP32" s="12">
        <f t="shared" si="31"/>
        <v>38.009664000000001</v>
      </c>
      <c r="CQ32" s="12">
        <f t="shared" si="31"/>
        <v>0</v>
      </c>
      <c r="CR32" s="12">
        <f t="shared" si="31"/>
        <v>60.502000000000002</v>
      </c>
      <c r="CS32" s="11">
        <f t="shared" si="31"/>
        <v>0</v>
      </c>
      <c r="CT32" s="11">
        <f t="shared" si="31"/>
        <v>13.4761536</v>
      </c>
      <c r="CU32" s="272">
        <f t="shared" si="31"/>
        <v>24.753</v>
      </c>
      <c r="CV32" s="249">
        <f t="shared" si="14"/>
        <v>90.738994500000004</v>
      </c>
      <c r="CW32" s="11">
        <f t="shared" si="14"/>
        <v>0</v>
      </c>
      <c r="CX32" s="249">
        <f t="shared" si="14"/>
        <v>0</v>
      </c>
      <c r="CY32" s="272">
        <f t="shared" si="14"/>
        <v>0</v>
      </c>
      <c r="CZ32" s="13"/>
      <c r="DA32" s="240">
        <f>(D32+'[2]август 20 '!D32)/(AY32+'[2]август 20 '!BA32)</f>
        <v>5.2883721606765333</v>
      </c>
      <c r="DB32" s="241">
        <f>(T32+'[2]август 20 '!T32)/(AY32+'[2]август 20 '!BA32)</f>
        <v>3.5242916384778016</v>
      </c>
      <c r="DD32" s="292">
        <f t="shared" si="15"/>
        <v>5.1459999999999999</v>
      </c>
      <c r="DE32" s="291">
        <v>0.25</v>
      </c>
      <c r="DF32" s="291">
        <v>8.65</v>
      </c>
      <c r="DG32" s="145">
        <f t="shared" si="16"/>
        <v>5.1331350000000002</v>
      </c>
      <c r="DH32" s="293">
        <f t="shared" si="30"/>
        <v>0.58989793742526919</v>
      </c>
      <c r="DJ32" s="322"/>
    </row>
    <row r="33" spans="1:114" s="76" customFormat="1" ht="16.5" customHeight="1" thickBot="1">
      <c r="A33" s="144">
        <v>27</v>
      </c>
      <c r="B33" s="122">
        <f>'[1]август 20'!K32</f>
        <v>224.95699999999999</v>
      </c>
      <c r="C33" s="123">
        <f t="shared" si="17"/>
        <v>1.2054460185724383</v>
      </c>
      <c r="D33" s="145">
        <f t="shared" si="18"/>
        <v>222.24526479999997</v>
      </c>
      <c r="E33" s="125">
        <f t="shared" si="19"/>
        <v>39.697137986370727</v>
      </c>
      <c r="F33" s="146">
        <f t="shared" si="0"/>
        <v>2.0968512576658171</v>
      </c>
      <c r="G33" s="127"/>
      <c r="H33" s="126">
        <f t="shared" si="20"/>
        <v>0.7812743164449476</v>
      </c>
      <c r="I33" s="230">
        <f>'[1]июль 20'!AI32</f>
        <v>0</v>
      </c>
      <c r="J33" s="247">
        <f>'[1]август 20'!AA32</f>
        <v>9.1319999999999997</v>
      </c>
      <c r="K33" s="465">
        <f>'[1]сентябрь 20'!AM32</f>
        <v>0</v>
      </c>
      <c r="L33" s="247">
        <f>'[1]август 20'!AE32</f>
        <v>139.43799999999999</v>
      </c>
      <c r="M33" s="469">
        <f t="shared" si="21"/>
        <v>1.3155769412208698</v>
      </c>
      <c r="N33" s="403">
        <f>'[1]август 20'!W32</f>
        <v>0</v>
      </c>
      <c r="O33" s="403">
        <f>'[1]август 20'!AU32</f>
        <v>0</v>
      </c>
      <c r="P33" s="401">
        <f t="shared" si="1"/>
        <v>154.15700000000001</v>
      </c>
      <c r="Q33" s="122">
        <f>'[1]август 20'!S32</f>
        <v>154.15700000000001</v>
      </c>
      <c r="R33" s="123">
        <f t="shared" si="22"/>
        <v>3.04</v>
      </c>
      <c r="S33" s="501">
        <v>3.25</v>
      </c>
      <c r="T33" s="125">
        <f t="shared" si="2"/>
        <v>149.4706272</v>
      </c>
      <c r="U33" s="147">
        <f t="shared" si="3"/>
        <v>1.4102332974808942</v>
      </c>
      <c r="V33" s="130">
        <v>105.99</v>
      </c>
      <c r="W33" s="130">
        <v>57.31</v>
      </c>
      <c r="X33" s="129">
        <v>0.93</v>
      </c>
      <c r="Y33" s="150">
        <v>633</v>
      </c>
      <c r="Z33" s="150">
        <v>1114</v>
      </c>
      <c r="AA33" s="148" t="s">
        <v>249</v>
      </c>
      <c r="AB33" s="149">
        <v>76.099999999999994</v>
      </c>
      <c r="AC33" s="150">
        <v>90</v>
      </c>
      <c r="AD33" s="151">
        <v>4</v>
      </c>
      <c r="AE33" s="149">
        <v>7.4</v>
      </c>
      <c r="AF33" s="134">
        <f t="shared" si="4"/>
        <v>69.817907349749973</v>
      </c>
      <c r="AG33" s="152"/>
      <c r="AH33" s="129">
        <v>76.900000000000006</v>
      </c>
      <c r="AI33" s="134">
        <f t="shared" si="5"/>
        <v>725.54014529672611</v>
      </c>
      <c r="AJ33" s="136">
        <v>13.94</v>
      </c>
      <c r="AK33" s="154"/>
      <c r="AL33" s="155">
        <v>4.88</v>
      </c>
      <c r="AM33" s="478">
        <f t="shared" si="23"/>
        <v>27.28</v>
      </c>
      <c r="AN33" s="126">
        <f t="shared" si="24"/>
        <v>0.2</v>
      </c>
      <c r="AO33" s="157" t="s">
        <v>191</v>
      </c>
      <c r="AP33" s="156">
        <v>8.9600000000000009</v>
      </c>
      <c r="AQ33" s="156">
        <v>6.52</v>
      </c>
      <c r="AR33" s="151"/>
      <c r="AS33" s="149">
        <v>7.85</v>
      </c>
      <c r="AT33" s="149">
        <v>136.4</v>
      </c>
      <c r="AU33" s="149">
        <v>1.75</v>
      </c>
      <c r="AV33" s="149"/>
      <c r="AW33" s="149"/>
      <c r="AX33" s="158">
        <f t="shared" si="6"/>
        <v>0</v>
      </c>
      <c r="AY33" s="125">
        <f t="shared" si="7"/>
        <v>105.99000000000001</v>
      </c>
      <c r="AZ33" s="125">
        <f t="shared" si="25"/>
        <v>103.65383291127527</v>
      </c>
      <c r="BA33" s="159">
        <f t="shared" si="8"/>
        <v>4.6762781690140844</v>
      </c>
      <c r="BB33" s="160">
        <f t="shared" si="9"/>
        <v>4.2396000000000003</v>
      </c>
      <c r="BC33" s="161">
        <f t="shared" si="10"/>
        <v>0.9142349829802574</v>
      </c>
      <c r="BD33" s="160">
        <f t="shared" si="26"/>
        <v>8.9158781690140856</v>
      </c>
      <c r="BE33" s="162">
        <v>0.89700000000000002</v>
      </c>
      <c r="BF33" s="25">
        <f t="shared" si="27"/>
        <v>2396.8900000000003</v>
      </c>
      <c r="BG33" s="25">
        <f t="shared" si="11"/>
        <v>107.74193548387096</v>
      </c>
      <c r="BH33" s="25">
        <f t="shared" si="28"/>
        <v>2909.0322580645143</v>
      </c>
      <c r="BI33" s="26">
        <f t="shared" si="12"/>
        <v>1</v>
      </c>
      <c r="BJ33" s="37">
        <f t="shared" si="29"/>
        <v>2909.0322580645143</v>
      </c>
      <c r="BK33" s="38"/>
      <c r="BL33" s="31">
        <v>63.103999999999999</v>
      </c>
      <c r="BM33" s="31"/>
      <c r="BN33" s="31">
        <v>98.957999999999998</v>
      </c>
      <c r="BO33" s="40"/>
      <c r="BP33" s="40">
        <v>22.414999999999999</v>
      </c>
      <c r="BQ33" s="32">
        <v>40.479999999999997</v>
      </c>
      <c r="BR33" s="33"/>
      <c r="BS33" s="34">
        <v>3.53</v>
      </c>
      <c r="BT33" s="35"/>
      <c r="BU33" s="35"/>
      <c r="BV33" s="235"/>
      <c r="BW33" s="235">
        <v>2.16</v>
      </c>
      <c r="BX33" s="36"/>
      <c r="BY33" s="33"/>
      <c r="BZ33" s="34">
        <v>36.270000000000003</v>
      </c>
      <c r="CA33" s="35"/>
      <c r="CB33" s="35">
        <v>41.53</v>
      </c>
      <c r="CC33" s="235"/>
      <c r="CD33" s="235">
        <v>33.79</v>
      </c>
      <c r="CE33" s="36">
        <v>43.83</v>
      </c>
      <c r="CF33" s="30">
        <v>154.15700000000001</v>
      </c>
      <c r="CG33" s="30"/>
      <c r="CH33" s="31"/>
      <c r="CI33" s="32"/>
      <c r="CJ33" s="33">
        <v>3.04</v>
      </c>
      <c r="CK33" s="33"/>
      <c r="CL33" s="35"/>
      <c r="CM33" s="36"/>
      <c r="CN33" s="270"/>
      <c r="CO33" s="249">
        <f t="shared" si="31"/>
        <v>0</v>
      </c>
      <c r="CP33" s="12">
        <f t="shared" si="31"/>
        <v>60.876428799999999</v>
      </c>
      <c r="CQ33" s="12">
        <f t="shared" si="31"/>
        <v>0</v>
      </c>
      <c r="CR33" s="12">
        <f t="shared" si="31"/>
        <v>98.957999999999998</v>
      </c>
      <c r="CS33" s="11">
        <f t="shared" si="31"/>
        <v>0</v>
      </c>
      <c r="CT33" s="11">
        <f t="shared" si="31"/>
        <v>21.930835999999999</v>
      </c>
      <c r="CU33" s="272">
        <f t="shared" si="31"/>
        <v>40.479999999999997</v>
      </c>
      <c r="CV33" s="249">
        <f t="shared" si="14"/>
        <v>149.4706272</v>
      </c>
      <c r="CW33" s="12">
        <f t="shared" si="14"/>
        <v>0</v>
      </c>
      <c r="CX33" s="254">
        <f t="shared" si="14"/>
        <v>0</v>
      </c>
      <c r="CY33" s="275">
        <f t="shared" si="14"/>
        <v>0</v>
      </c>
      <c r="CZ33" s="13"/>
      <c r="DA33" s="240">
        <f>(D33+'[2]август 20 '!D33)/(AY33+'[2]август 20 '!BA33)</f>
        <v>2.3969685031514776</v>
      </c>
      <c r="DB33" s="241">
        <f>(T33+'[2]август 20 '!T33)/(AY33+'[2]август 20 '!BA33)</f>
        <v>1.5866834647406869</v>
      </c>
      <c r="DD33" s="292">
        <f t="shared" si="15"/>
        <v>9.1319999999999997</v>
      </c>
      <c r="DE33" s="291">
        <v>0.15</v>
      </c>
      <c r="DF33" s="291">
        <v>20.399999999999999</v>
      </c>
      <c r="DG33" s="145">
        <f t="shared" si="16"/>
        <v>9.1183019999999999</v>
      </c>
      <c r="DH33" s="293">
        <f t="shared" si="30"/>
        <v>2.4443280000000001</v>
      </c>
      <c r="DJ33" s="322"/>
    </row>
    <row r="34" spans="1:114" s="76" customFormat="1" ht="16.5" customHeight="1" thickBot="1">
      <c r="A34" s="144">
        <v>28</v>
      </c>
      <c r="B34" s="122">
        <f>'[1]август 20'!K33</f>
        <v>227.87899999999999</v>
      </c>
      <c r="C34" s="123">
        <f t="shared" si="17"/>
        <v>0.63012001983508803</v>
      </c>
      <c r="D34" s="145">
        <f t="shared" si="18"/>
        <v>226.4430888</v>
      </c>
      <c r="E34" s="125">
        <f t="shared" si="19"/>
        <v>39.42732309690669</v>
      </c>
      <c r="F34" s="146">
        <f t="shared" si="0"/>
        <v>1.9455545046825331</v>
      </c>
      <c r="G34" s="127"/>
      <c r="H34" s="126">
        <f t="shared" si="20"/>
        <v>0.85924983933327626</v>
      </c>
      <c r="I34" s="230">
        <f>'[1]июль 20'!AI33</f>
        <v>0</v>
      </c>
      <c r="J34" s="247">
        <f>'[1]август 20'!AA33</f>
        <v>9.0109999999999992</v>
      </c>
      <c r="K34" s="464">
        <f>'[1]сентябрь 20'!AM33</f>
        <v>0</v>
      </c>
      <c r="L34" s="247">
        <f>'[1]август 20'!AE33</f>
        <v>126.435</v>
      </c>
      <c r="M34" s="468">
        <f t="shared" si="21"/>
        <v>1.086304665349257</v>
      </c>
      <c r="N34" s="403">
        <f>'[1]август 20'!W33</f>
        <v>0</v>
      </c>
      <c r="O34" s="403">
        <f>'[1]август 20'!AU33</f>
        <v>0</v>
      </c>
      <c r="P34" s="401">
        <f t="shared" si="1"/>
        <v>155.73599999999999</v>
      </c>
      <c r="Q34" s="122">
        <f>'[1]август 20'!S33</f>
        <v>155.73599999999999</v>
      </c>
      <c r="R34" s="123">
        <f t="shared" si="22"/>
        <v>2.89</v>
      </c>
      <c r="S34" s="501">
        <v>15.8</v>
      </c>
      <c r="T34" s="125">
        <f t="shared" si="2"/>
        <v>151.2352296</v>
      </c>
      <c r="U34" s="147">
        <f t="shared" si="3"/>
        <v>1.2993833628318585</v>
      </c>
      <c r="V34" s="169">
        <v>116.39</v>
      </c>
      <c r="W34" s="169">
        <v>116.39</v>
      </c>
      <c r="X34" s="170">
        <v>0.5</v>
      </c>
      <c r="Y34" s="166">
        <v>671</v>
      </c>
      <c r="Z34" s="166">
        <v>1147</v>
      </c>
      <c r="AA34" s="148" t="s">
        <v>141</v>
      </c>
      <c r="AB34" s="164">
        <v>75.19</v>
      </c>
      <c r="AC34" s="166">
        <v>91</v>
      </c>
      <c r="AD34" s="171">
        <v>4</v>
      </c>
      <c r="AE34" s="164">
        <v>6.25</v>
      </c>
      <c r="AF34" s="172">
        <f t="shared" si="4"/>
        <v>53.698771372111018</v>
      </c>
      <c r="AG34" s="173"/>
      <c r="AH34" s="170">
        <v>64.75</v>
      </c>
      <c r="AI34" s="134">
        <f t="shared" si="5"/>
        <v>556.31927141507015</v>
      </c>
      <c r="AJ34" s="174">
        <v>13.99</v>
      </c>
      <c r="AK34" s="175"/>
      <c r="AL34" s="176">
        <v>6.33</v>
      </c>
      <c r="AM34" s="478">
        <f t="shared" si="23"/>
        <v>30.200000000000003</v>
      </c>
      <c r="AN34" s="126">
        <f t="shared" si="24"/>
        <v>0.2</v>
      </c>
      <c r="AO34" s="178" t="s">
        <v>389</v>
      </c>
      <c r="AP34" s="177">
        <v>9.6199999999999992</v>
      </c>
      <c r="AQ34" s="177">
        <v>5.99</v>
      </c>
      <c r="AR34" s="171"/>
      <c r="AS34" s="164">
        <v>6.16</v>
      </c>
      <c r="AT34" s="149">
        <v>151</v>
      </c>
      <c r="AU34" s="164">
        <v>1.92</v>
      </c>
      <c r="AV34" s="164"/>
      <c r="AW34" s="164"/>
      <c r="AX34" s="179">
        <f t="shared" si="6"/>
        <v>0</v>
      </c>
      <c r="AY34" s="125">
        <f t="shared" si="7"/>
        <v>116.38999999999999</v>
      </c>
      <c r="AZ34" s="125">
        <f t="shared" si="25"/>
        <v>105.78617182688367</v>
      </c>
      <c r="BA34" s="159">
        <f t="shared" si="8"/>
        <v>3.0897605633802816</v>
      </c>
      <c r="BB34" s="159">
        <f t="shared" si="9"/>
        <v>4.6555999999999997</v>
      </c>
      <c r="BC34" s="180">
        <f t="shared" si="10"/>
        <v>0.98021059160894286</v>
      </c>
      <c r="BD34" s="159">
        <f t="shared" si="26"/>
        <v>7.7453605633802809</v>
      </c>
      <c r="BE34" s="167">
        <v>0.9</v>
      </c>
      <c r="BF34" s="25">
        <f t="shared" si="27"/>
        <v>2513.2800000000002</v>
      </c>
      <c r="BG34" s="25">
        <f t="shared" si="11"/>
        <v>107.74193548387096</v>
      </c>
      <c r="BH34" s="25">
        <f t="shared" si="28"/>
        <v>3016.774193548385</v>
      </c>
      <c r="BI34" s="26">
        <f t="shared" si="12"/>
        <v>1</v>
      </c>
      <c r="BJ34" s="37">
        <f t="shared" si="29"/>
        <v>3016.774193548385</v>
      </c>
      <c r="BK34" s="38"/>
      <c r="BL34" s="30">
        <v>77.997</v>
      </c>
      <c r="BM34" s="43"/>
      <c r="BN34" s="43">
        <v>90.295000000000002</v>
      </c>
      <c r="BO34" s="281"/>
      <c r="BP34" s="281">
        <v>23.446999999999999</v>
      </c>
      <c r="BQ34" s="44">
        <v>36.14</v>
      </c>
      <c r="BR34" s="45"/>
      <c r="BS34" s="46">
        <v>1.36</v>
      </c>
      <c r="BT34" s="47"/>
      <c r="BU34" s="47"/>
      <c r="BV34" s="283"/>
      <c r="BW34" s="283">
        <v>1.6</v>
      </c>
      <c r="BX34" s="48"/>
      <c r="BY34" s="45"/>
      <c r="BZ34" s="46">
        <v>36.229999999999997</v>
      </c>
      <c r="CA34" s="47"/>
      <c r="CB34" s="47">
        <v>41.42</v>
      </c>
      <c r="CC34" s="283"/>
      <c r="CD34" s="283">
        <v>35.85</v>
      </c>
      <c r="CE34" s="48">
        <v>43.67</v>
      </c>
      <c r="CF34" s="49">
        <v>155.73599999999999</v>
      </c>
      <c r="CG34" s="49"/>
      <c r="CH34" s="43"/>
      <c r="CI34" s="32"/>
      <c r="CJ34" s="33">
        <v>2.89</v>
      </c>
      <c r="CK34" s="33"/>
      <c r="CL34" s="35"/>
      <c r="CM34" s="36"/>
      <c r="CN34" s="270"/>
      <c r="CO34" s="249">
        <f t="shared" si="31"/>
        <v>0</v>
      </c>
      <c r="CP34" s="12">
        <f t="shared" si="31"/>
        <v>76.936240800000007</v>
      </c>
      <c r="CQ34" s="12">
        <f t="shared" si="31"/>
        <v>0</v>
      </c>
      <c r="CR34" s="12">
        <f t="shared" si="31"/>
        <v>90.295000000000002</v>
      </c>
      <c r="CS34" s="11">
        <f t="shared" si="31"/>
        <v>0</v>
      </c>
      <c r="CT34" s="11">
        <f t="shared" si="31"/>
        <v>23.071848000000003</v>
      </c>
      <c r="CU34" s="272">
        <f t="shared" si="31"/>
        <v>36.14</v>
      </c>
      <c r="CV34" s="249">
        <f t="shared" si="14"/>
        <v>151.2352296</v>
      </c>
      <c r="CW34" s="12">
        <f t="shared" si="14"/>
        <v>0</v>
      </c>
      <c r="CX34" s="249">
        <f t="shared" si="14"/>
        <v>0</v>
      </c>
      <c r="CY34" s="272">
        <f t="shared" si="14"/>
        <v>0</v>
      </c>
      <c r="CZ34" s="13"/>
      <c r="DA34" s="240">
        <f>(D34+'[2]август 20 '!D34)/(AY34+'[2]август 20 '!BA34)</f>
        <v>2.0629609370385755</v>
      </c>
      <c r="DB34" s="241">
        <f>(T34+'[2]август 20 '!T34)/(AY34+'[2]август 20 '!BA34)</f>
        <v>1.3513128097418157</v>
      </c>
      <c r="DD34" s="292">
        <f t="shared" si="15"/>
        <v>9.0109999999999992</v>
      </c>
      <c r="DE34" s="291">
        <v>0.21</v>
      </c>
      <c r="DF34" s="291">
        <v>17.78</v>
      </c>
      <c r="DG34" s="145">
        <f t="shared" si="16"/>
        <v>8.9920768999999989</v>
      </c>
      <c r="DH34" s="293">
        <f t="shared" si="30"/>
        <v>2.126334981806091</v>
      </c>
      <c r="DJ34" s="322"/>
    </row>
    <row r="35" spans="1:114" s="76" customFormat="1" ht="16.5" customHeight="1" thickBot="1">
      <c r="A35" s="144">
        <v>29</v>
      </c>
      <c r="B35" s="122">
        <f>'[1]август 20'!K34</f>
        <v>243.56700000000001</v>
      </c>
      <c r="C35" s="123">
        <f t="shared" si="17"/>
        <v>1.0936589932133662</v>
      </c>
      <c r="D35" s="145">
        <f t="shared" si="18"/>
        <v>240.9032076</v>
      </c>
      <c r="E35" s="125">
        <f t="shared" si="19"/>
        <v>37.23810429984357</v>
      </c>
      <c r="F35" s="146">
        <f t="shared" si="0"/>
        <v>1.9644720508847755</v>
      </c>
      <c r="G35" s="127">
        <v>12.99</v>
      </c>
      <c r="H35" s="126">
        <f t="shared" si="20"/>
        <v>1.5620012036206474</v>
      </c>
      <c r="I35" s="230">
        <f>'[1]июль 20'!AI34</f>
        <v>0</v>
      </c>
      <c r="J35" s="247">
        <f>'[1]август 20'!AA34</f>
        <v>9.7669999999999995</v>
      </c>
      <c r="K35" s="465">
        <f>'[1]сентябрь 20'!AM34</f>
        <v>0</v>
      </c>
      <c r="L35" s="247">
        <f>'[1]август 20'!AE34</f>
        <v>49.354999999999997</v>
      </c>
      <c r="M35" s="469">
        <f t="shared" si="21"/>
        <v>0.40247084726412791</v>
      </c>
      <c r="N35" s="403">
        <f>'[1]август 20'!W34</f>
        <v>0</v>
      </c>
      <c r="O35" s="403">
        <f>'[1]август 20'!AU34</f>
        <v>0</v>
      </c>
      <c r="P35" s="401">
        <f t="shared" si="1"/>
        <v>165.32599999999999</v>
      </c>
      <c r="Q35" s="122">
        <f>'[1]август 20'!S34</f>
        <v>165.32599999999999</v>
      </c>
      <c r="R35" s="123">
        <f t="shared" si="22"/>
        <v>2.92</v>
      </c>
      <c r="S35" s="501"/>
      <c r="T35" s="125">
        <f t="shared" si="2"/>
        <v>160.49848079999998</v>
      </c>
      <c r="U35" s="147">
        <f t="shared" si="3"/>
        <v>1.3088027464731304</v>
      </c>
      <c r="V35" s="130">
        <v>63.76</v>
      </c>
      <c r="W35" s="130">
        <v>63.76</v>
      </c>
      <c r="X35" s="129">
        <v>1.18</v>
      </c>
      <c r="Y35" s="150">
        <v>630</v>
      </c>
      <c r="Z35" s="150">
        <v>1151</v>
      </c>
      <c r="AA35" s="148" t="s">
        <v>187</v>
      </c>
      <c r="AB35" s="149">
        <v>75.2</v>
      </c>
      <c r="AC35" s="150">
        <v>97</v>
      </c>
      <c r="AD35" s="151">
        <v>4</v>
      </c>
      <c r="AE35" s="181">
        <v>5</v>
      </c>
      <c r="AF35" s="134">
        <f t="shared" si="4"/>
        <v>40.773057163826145</v>
      </c>
      <c r="AG35" s="182"/>
      <c r="AH35" s="129">
        <v>70.150000000000006</v>
      </c>
      <c r="AI35" s="134">
        <f t="shared" si="5"/>
        <v>572.04599200848088</v>
      </c>
      <c r="AJ35" s="136">
        <v>15.27</v>
      </c>
      <c r="AK35" s="154"/>
      <c r="AL35" s="155">
        <v>5.52</v>
      </c>
      <c r="AM35" s="478">
        <f t="shared" si="23"/>
        <v>31.580000000000002</v>
      </c>
      <c r="AN35" s="126">
        <f t="shared" si="24"/>
        <v>0.2</v>
      </c>
      <c r="AO35" s="184" t="s">
        <v>390</v>
      </c>
      <c r="AP35" s="183">
        <v>9.93</v>
      </c>
      <c r="AQ35" s="183">
        <v>6.86</v>
      </c>
      <c r="AR35" s="185"/>
      <c r="AS35" s="181">
        <v>5.17</v>
      </c>
      <c r="AT35" s="149">
        <v>157.9</v>
      </c>
      <c r="AU35" s="181">
        <v>1.83</v>
      </c>
      <c r="AV35" s="149"/>
      <c r="AW35" s="149"/>
      <c r="AX35" s="158">
        <f t="shared" si="6"/>
        <v>0</v>
      </c>
      <c r="AY35" s="125">
        <f t="shared" si="7"/>
        <v>122.63</v>
      </c>
      <c r="AZ35" s="125">
        <f t="shared" si="25"/>
        <v>105.42296361583989</v>
      </c>
      <c r="BA35" s="159">
        <f t="shared" si="8"/>
        <v>2.8094580985915494</v>
      </c>
      <c r="BB35" s="160">
        <f t="shared" si="9"/>
        <v>4.9051999999999998</v>
      </c>
      <c r="BC35" s="161">
        <f t="shared" si="10"/>
        <v>1.0279794247119336</v>
      </c>
      <c r="BD35" s="160">
        <f t="shared" si="26"/>
        <v>7.7146580985915492</v>
      </c>
      <c r="BE35" s="162">
        <v>0.90500000000000003</v>
      </c>
      <c r="BF35" s="25">
        <f t="shared" si="27"/>
        <v>2635.9100000000003</v>
      </c>
      <c r="BG35" s="25">
        <f t="shared" si="11"/>
        <v>107.74193548387096</v>
      </c>
      <c r="BH35" s="25">
        <f t="shared" si="28"/>
        <v>3124.5161290322558</v>
      </c>
      <c r="BI35" s="26">
        <f t="shared" si="12"/>
        <v>1</v>
      </c>
      <c r="BJ35" s="37">
        <f t="shared" si="29"/>
        <v>3124.5161290322558</v>
      </c>
      <c r="BK35" s="38"/>
      <c r="BL35" s="31">
        <v>164.55199999999999</v>
      </c>
      <c r="BM35" s="31"/>
      <c r="BN35" s="31">
        <v>39.442</v>
      </c>
      <c r="BO35" s="40"/>
      <c r="BP35" s="40">
        <v>29.66</v>
      </c>
      <c r="BQ35" s="32">
        <v>9.9130000000000003</v>
      </c>
      <c r="BR35" s="33"/>
      <c r="BS35" s="34">
        <v>1.17</v>
      </c>
      <c r="BT35" s="35"/>
      <c r="BU35" s="35"/>
      <c r="BV35" s="235"/>
      <c r="BW35" s="235">
        <v>2.4900000000000002</v>
      </c>
      <c r="BX35" s="36"/>
      <c r="BY35" s="33"/>
      <c r="BZ35" s="34">
        <v>35.97</v>
      </c>
      <c r="CA35" s="35"/>
      <c r="CB35" s="35">
        <v>43.52</v>
      </c>
      <c r="CC35" s="235"/>
      <c r="CD35" s="235">
        <v>33.729999999999997</v>
      </c>
      <c r="CE35" s="36">
        <v>43.79</v>
      </c>
      <c r="CF35" s="30">
        <v>165.32599999999999</v>
      </c>
      <c r="CG35" s="30"/>
      <c r="CH35" s="31"/>
      <c r="CI35" s="50"/>
      <c r="CJ35" s="33">
        <v>2.92</v>
      </c>
      <c r="CK35" s="33"/>
      <c r="CL35" s="35"/>
      <c r="CM35" s="36"/>
      <c r="CN35" s="270"/>
      <c r="CO35" s="249">
        <f t="shared" si="31"/>
        <v>0</v>
      </c>
      <c r="CP35" s="12">
        <f t="shared" si="31"/>
        <v>162.62674159999997</v>
      </c>
      <c r="CQ35" s="12">
        <f t="shared" si="31"/>
        <v>0</v>
      </c>
      <c r="CR35" s="12">
        <f t="shared" si="31"/>
        <v>39.442</v>
      </c>
      <c r="CS35" s="11">
        <f t="shared" si="31"/>
        <v>0</v>
      </c>
      <c r="CT35" s="11">
        <f t="shared" si="31"/>
        <v>28.921466000000002</v>
      </c>
      <c r="CU35" s="272">
        <f t="shared" si="31"/>
        <v>9.9130000000000003</v>
      </c>
      <c r="CV35" s="249">
        <f t="shared" si="14"/>
        <v>160.49848079999998</v>
      </c>
      <c r="CW35" s="12">
        <f t="shared" si="14"/>
        <v>0</v>
      </c>
      <c r="CX35" s="249">
        <f t="shared" si="14"/>
        <v>0</v>
      </c>
      <c r="CY35" s="272">
        <f t="shared" si="14"/>
        <v>0</v>
      </c>
      <c r="CZ35" s="13"/>
      <c r="DA35" s="240">
        <f>(D35+'[2]август 20 '!D35)/(AY35+'[2]август 20 '!BA35)</f>
        <v>2.0386073559597691</v>
      </c>
      <c r="DB35" s="241">
        <f>(T35+'[2]август 20 '!T35)/(AY35+'[2]август 20 '!BA35)</f>
        <v>1.3293766216334686</v>
      </c>
      <c r="DD35" s="292">
        <f t="shared" si="15"/>
        <v>9.7669999999999995</v>
      </c>
      <c r="DE35" s="291">
        <v>0.59</v>
      </c>
      <c r="DF35" s="291">
        <v>9.92</v>
      </c>
      <c r="DG35" s="145">
        <f t="shared" si="16"/>
        <v>9.7093746999999997</v>
      </c>
      <c r="DH35" s="293">
        <f t="shared" si="30"/>
        <v>1.2808111306382979</v>
      </c>
      <c r="DJ35" s="322"/>
    </row>
    <row r="36" spans="1:114" s="76" customFormat="1" ht="16.5" customHeight="1" thickBot="1">
      <c r="A36" s="144">
        <v>30</v>
      </c>
      <c r="B36" s="122">
        <f>'[1]август 20'!K35</f>
        <v>260.07400000000001</v>
      </c>
      <c r="C36" s="123">
        <f t="shared" si="17"/>
        <v>0.8777021155517275</v>
      </c>
      <c r="D36" s="145">
        <f t="shared" si="18"/>
        <v>257.79132500000003</v>
      </c>
      <c r="E36" s="125">
        <f t="shared" si="19"/>
        <v>37.259054576774304</v>
      </c>
      <c r="F36" s="146">
        <f t="shared" si="0"/>
        <v>2.188195611577965</v>
      </c>
      <c r="G36" s="127">
        <v>19.850000000000001</v>
      </c>
      <c r="H36" s="126">
        <f t="shared" si="20"/>
        <v>1.7466286817757408</v>
      </c>
      <c r="I36" s="230">
        <f>'[1]июль 20'!AI35</f>
        <v>0</v>
      </c>
      <c r="J36" s="247">
        <f>'[1]август 20'!AA35</f>
        <v>10.497</v>
      </c>
      <c r="K36" s="464">
        <f>'[1]сентябрь 20'!AM35</f>
        <v>0</v>
      </c>
      <c r="L36" s="247">
        <f>'[1]август 20'!AE35</f>
        <v>52.021000000000001</v>
      </c>
      <c r="M36" s="468">
        <f t="shared" si="21"/>
        <v>0.44156692980222395</v>
      </c>
      <c r="N36" s="403">
        <f>'[1]август 20'!W35</f>
        <v>0</v>
      </c>
      <c r="O36" s="403">
        <f>'[1]август 20'!AU35</f>
        <v>0</v>
      </c>
      <c r="P36" s="401">
        <f t="shared" si="1"/>
        <v>173.548</v>
      </c>
      <c r="Q36" s="122">
        <f>'[1]август 20'!S35</f>
        <v>173.548</v>
      </c>
      <c r="R36" s="123">
        <f t="shared" si="22"/>
        <v>3.1000000000000005</v>
      </c>
      <c r="S36" s="501">
        <v>7.48</v>
      </c>
      <c r="T36" s="125">
        <f t="shared" si="2"/>
        <v>168.168012</v>
      </c>
      <c r="U36" s="147">
        <f t="shared" si="3"/>
        <v>1.4274510822510824</v>
      </c>
      <c r="V36" s="130">
        <v>117.81</v>
      </c>
      <c r="W36" s="130">
        <v>29.24</v>
      </c>
      <c r="X36" s="129">
        <v>1.25</v>
      </c>
      <c r="Y36" s="150">
        <v>613</v>
      </c>
      <c r="Z36" s="150">
        <v>1168</v>
      </c>
      <c r="AA36" s="148" t="s">
        <v>391</v>
      </c>
      <c r="AB36" s="149">
        <v>75.739999999999995</v>
      </c>
      <c r="AC36" s="150">
        <v>104</v>
      </c>
      <c r="AD36" s="151">
        <v>4</v>
      </c>
      <c r="AE36" s="149">
        <v>4.9000000000000004</v>
      </c>
      <c r="AF36" s="134">
        <f t="shared" si="4"/>
        <v>41.59239453357101</v>
      </c>
      <c r="AG36" s="152"/>
      <c r="AH36" s="129">
        <v>71.75</v>
      </c>
      <c r="AI36" s="134">
        <f t="shared" si="5"/>
        <v>609.03149138443257</v>
      </c>
      <c r="AJ36" s="153">
        <v>16.690000000000001</v>
      </c>
      <c r="AK36" s="154"/>
      <c r="AL36" s="155">
        <v>5.75</v>
      </c>
      <c r="AM36" s="478">
        <f t="shared" si="23"/>
        <v>30.89</v>
      </c>
      <c r="AN36" s="126">
        <f t="shared" si="24"/>
        <v>0.2</v>
      </c>
      <c r="AO36" s="157" t="s">
        <v>392</v>
      </c>
      <c r="AP36" s="156">
        <v>9.73</v>
      </c>
      <c r="AQ36" s="156">
        <v>7.13</v>
      </c>
      <c r="AR36" s="151"/>
      <c r="AS36" s="149">
        <v>8.5500000000000007</v>
      </c>
      <c r="AT36" s="149">
        <v>154.44999999999999</v>
      </c>
      <c r="AU36" s="149"/>
      <c r="AV36" s="149"/>
      <c r="AW36" s="149"/>
      <c r="AX36" s="158">
        <f t="shared" si="6"/>
        <v>0</v>
      </c>
      <c r="AY36" s="125">
        <f t="shared" si="7"/>
        <v>117.80999999999999</v>
      </c>
      <c r="AZ36" s="125">
        <f t="shared" si="25"/>
        <v>112.24799224510866</v>
      </c>
      <c r="BA36" s="159">
        <f t="shared" si="8"/>
        <v>4.7521742957746484</v>
      </c>
      <c r="BB36" s="160">
        <f t="shared" si="9"/>
        <v>4.7123999999999997</v>
      </c>
      <c r="BC36" s="161">
        <f t="shared" si="10"/>
        <v>0.92898206016453844</v>
      </c>
      <c r="BD36" s="160">
        <f t="shared" si="26"/>
        <v>9.4645742957746481</v>
      </c>
      <c r="BE36" s="162">
        <v>0.90600000000000003</v>
      </c>
      <c r="BF36" s="25">
        <f t="shared" si="27"/>
        <v>2753.7200000000003</v>
      </c>
      <c r="BG36" s="25">
        <f t="shared" si="11"/>
        <v>107.74193548387096</v>
      </c>
      <c r="BH36" s="25">
        <f t="shared" si="28"/>
        <v>3232.2580645161265</v>
      </c>
      <c r="BI36" s="26">
        <f t="shared" si="12"/>
        <v>1</v>
      </c>
      <c r="BJ36" s="37">
        <f t="shared" si="29"/>
        <v>3232.2580645161265</v>
      </c>
      <c r="BK36" s="38"/>
      <c r="BL36" s="31">
        <v>169.49</v>
      </c>
      <c r="BM36" s="31"/>
      <c r="BN36" s="31">
        <v>41.619</v>
      </c>
      <c r="BO36" s="40"/>
      <c r="BP36" s="40">
        <v>38.563000000000002</v>
      </c>
      <c r="BQ36" s="32">
        <v>10.401999999999999</v>
      </c>
      <c r="BR36" s="33"/>
      <c r="BS36" s="34">
        <v>0.96</v>
      </c>
      <c r="BT36" s="35"/>
      <c r="BU36" s="35"/>
      <c r="BV36" s="235"/>
      <c r="BW36" s="235">
        <v>1.7</v>
      </c>
      <c r="BX36" s="36"/>
      <c r="BY36" s="33"/>
      <c r="BZ36" s="34">
        <v>36.06</v>
      </c>
      <c r="CA36" s="35"/>
      <c r="CB36" s="35">
        <v>42.13</v>
      </c>
      <c r="CC36" s="235"/>
      <c r="CD36" s="235">
        <v>35.47</v>
      </c>
      <c r="CE36" s="36">
        <v>43.94</v>
      </c>
      <c r="CF36" s="30">
        <v>173.548</v>
      </c>
      <c r="CG36" s="30"/>
      <c r="CH36" s="34"/>
      <c r="CI36" s="50"/>
      <c r="CJ36" s="33">
        <v>3.1</v>
      </c>
      <c r="CK36" s="33"/>
      <c r="CL36" s="35"/>
      <c r="CM36" s="36"/>
      <c r="CN36" s="270"/>
      <c r="CO36" s="249">
        <f t="shared" si="31"/>
        <v>0</v>
      </c>
      <c r="CP36" s="12">
        <f t="shared" si="31"/>
        <v>167.86289600000001</v>
      </c>
      <c r="CQ36" s="12">
        <f t="shared" si="31"/>
        <v>0</v>
      </c>
      <c r="CR36" s="12">
        <f t="shared" si="31"/>
        <v>41.619</v>
      </c>
      <c r="CS36" s="11">
        <f t="shared" si="31"/>
        <v>0</v>
      </c>
      <c r="CT36" s="11">
        <f t="shared" si="31"/>
        <v>37.907429</v>
      </c>
      <c r="CU36" s="272">
        <f t="shared" si="31"/>
        <v>10.401999999999999</v>
      </c>
      <c r="CV36" s="249">
        <f t="shared" si="14"/>
        <v>168.168012</v>
      </c>
      <c r="CW36" s="12">
        <f t="shared" si="14"/>
        <v>0</v>
      </c>
      <c r="CX36" s="249">
        <f t="shared" si="14"/>
        <v>0</v>
      </c>
      <c r="CY36" s="274">
        <f t="shared" si="14"/>
        <v>0</v>
      </c>
      <c r="CZ36" s="13"/>
      <c r="DA36" s="240">
        <f>(D36+'[2]август 20 '!D36)/(AY36+'[2]август 20 '!BA36)</f>
        <v>2.1443581376692529</v>
      </c>
      <c r="DB36" s="241">
        <f>(T36+'[2]август 20 '!T36)/(AY36+'[2]август 20 '!BA36)</f>
        <v>1.3751686507967238</v>
      </c>
      <c r="DD36" s="292">
        <f t="shared" si="15"/>
        <v>10.497</v>
      </c>
      <c r="DE36" s="291">
        <v>0.51</v>
      </c>
      <c r="DF36" s="291">
        <v>11.15</v>
      </c>
      <c r="DG36" s="145">
        <f t="shared" si="16"/>
        <v>10.443465299999998</v>
      </c>
      <c r="DH36" s="293">
        <f t="shared" si="30"/>
        <v>1.537425905664114</v>
      </c>
      <c r="DJ36" s="322"/>
    </row>
    <row r="37" spans="1:114" s="76" customFormat="1" ht="16.5" customHeight="1" thickBot="1">
      <c r="A37" s="186">
        <v>31</v>
      </c>
      <c r="B37" s="122">
        <f>'[1]август 20'!K36</f>
        <v>257.30099999999999</v>
      </c>
      <c r="C37" s="123">
        <f t="shared" si="17"/>
        <v>1.0718087376263599</v>
      </c>
      <c r="D37" s="187">
        <f t="shared" si="18"/>
        <v>254.54322539999998</v>
      </c>
      <c r="E37" s="285">
        <f t="shared" si="19"/>
        <v>37.437164332824203</v>
      </c>
      <c r="F37" s="189">
        <f t="shared" si="0"/>
        <v>2.1404576639757815</v>
      </c>
      <c r="G37" s="127"/>
      <c r="H37" s="126">
        <f t="shared" si="20"/>
        <v>1.7078138698284557</v>
      </c>
      <c r="I37" s="230">
        <f>'[1]июль 20'!AI36</f>
        <v>0</v>
      </c>
      <c r="J37" s="277">
        <f>'[1]август 20'!AA36</f>
        <v>10.077</v>
      </c>
      <c r="K37" s="276">
        <f>'[1]сентябрь 20'!AM36</f>
        <v>0</v>
      </c>
      <c r="L37" s="438">
        <f>'[1]август 20'!AE36</f>
        <v>51.45</v>
      </c>
      <c r="M37" s="128">
        <f t="shared" si="21"/>
        <v>0.43264379414732584</v>
      </c>
      <c r="N37" s="399">
        <f>'[1]август 20'!W36</f>
        <v>0</v>
      </c>
      <c r="O37" s="399">
        <f>'[1]август 20'!AU36</f>
        <v>0.69599999999999995</v>
      </c>
      <c r="P37" s="125">
        <f t="shared" si="1"/>
        <v>170.09700000000001</v>
      </c>
      <c r="Q37" s="122">
        <f>'[1]август 20'!S36</f>
        <v>170.09700000000001</v>
      </c>
      <c r="R37" s="123">
        <f t="shared" si="22"/>
        <v>3.09</v>
      </c>
      <c r="S37" s="501"/>
      <c r="T37" s="125">
        <f t="shared" si="2"/>
        <v>164.84100269999999</v>
      </c>
      <c r="U37" s="191">
        <f t="shared" si="3"/>
        <v>1.3861503758829463</v>
      </c>
      <c r="V37" s="192">
        <v>118.92</v>
      </c>
      <c r="W37" s="192">
        <v>118.92</v>
      </c>
      <c r="X37" s="190">
        <v>0.75</v>
      </c>
      <c r="Y37" s="193">
        <v>617</v>
      </c>
      <c r="Z37" s="194">
        <v>1166</v>
      </c>
      <c r="AA37" s="195" t="s">
        <v>395</v>
      </c>
      <c r="AB37" s="196">
        <v>76</v>
      </c>
      <c r="AC37" s="194">
        <v>103</v>
      </c>
      <c r="AD37" s="193">
        <v>4</v>
      </c>
      <c r="AE37" s="196">
        <v>4.8</v>
      </c>
      <c r="AF37" s="134">
        <f t="shared" si="4"/>
        <v>40.363269424823407</v>
      </c>
      <c r="AG37" s="197"/>
      <c r="AH37" s="190">
        <v>80.849999999999994</v>
      </c>
      <c r="AI37" s="134">
        <f t="shared" si="5"/>
        <v>679.8688193743692</v>
      </c>
      <c r="AJ37" s="196"/>
      <c r="AK37" s="198"/>
      <c r="AL37" s="199">
        <v>6.7</v>
      </c>
      <c r="AM37" s="478">
        <v>35.130000000000003</v>
      </c>
      <c r="AN37" s="126">
        <f t="shared" si="24"/>
        <v>0.21853810264385692</v>
      </c>
      <c r="AO37" s="201" t="s">
        <v>207</v>
      </c>
      <c r="AP37" s="200">
        <v>9.3000000000000007</v>
      </c>
      <c r="AQ37" s="201">
        <v>7.06</v>
      </c>
      <c r="AR37" s="193"/>
      <c r="AS37" s="196">
        <v>7.39</v>
      </c>
      <c r="AT37" s="242">
        <v>160.75</v>
      </c>
      <c r="AU37" s="196"/>
      <c r="AV37" s="196"/>
      <c r="AW37" s="196"/>
      <c r="AX37" s="202">
        <f t="shared" si="6"/>
        <v>0</v>
      </c>
      <c r="AY37" s="188">
        <f t="shared" si="7"/>
        <v>118.92000000000002</v>
      </c>
      <c r="AZ37" s="125">
        <f t="shared" si="25"/>
        <v>111.09584895782018</v>
      </c>
      <c r="BA37" s="203">
        <f t="shared" si="8"/>
        <v>4.6283778169014083</v>
      </c>
      <c r="BB37" s="204">
        <f t="shared" si="9"/>
        <v>4.756800000000001</v>
      </c>
      <c r="BC37" s="205">
        <f t="shared" si="10"/>
        <v>0.94842720758712795</v>
      </c>
      <c r="BD37" s="206">
        <f t="shared" si="26"/>
        <v>9.3851778169014093</v>
      </c>
      <c r="BE37" s="207">
        <v>0.90800000000000003</v>
      </c>
      <c r="BF37" s="25">
        <f t="shared" si="27"/>
        <v>2872.6400000000003</v>
      </c>
      <c r="BG37" s="25">
        <f t="shared" si="11"/>
        <v>107.74193548387096</v>
      </c>
      <c r="BH37" s="25">
        <f t="shared" si="28"/>
        <v>3339.9999999999973</v>
      </c>
      <c r="BI37" s="26">
        <f t="shared" si="12"/>
        <v>1</v>
      </c>
      <c r="BJ37" s="37">
        <f t="shared" si="29"/>
        <v>3339.9999999999973</v>
      </c>
      <c r="BK37" s="51"/>
      <c r="BL37" s="53">
        <v>176.55600000000001</v>
      </c>
      <c r="BM37" s="53"/>
      <c r="BN37" s="53">
        <v>41.232999999999997</v>
      </c>
      <c r="BO37" s="282"/>
      <c r="BP37" s="282">
        <v>29.295000000000002</v>
      </c>
      <c r="BQ37" s="54">
        <v>10.217000000000001</v>
      </c>
      <c r="BR37" s="55"/>
      <c r="BS37" s="52">
        <v>1.26</v>
      </c>
      <c r="BT37" s="56"/>
      <c r="BU37" s="56"/>
      <c r="BV37" s="284"/>
      <c r="BW37" s="284">
        <v>1.82</v>
      </c>
      <c r="BX37" s="57"/>
      <c r="BY37" s="55"/>
      <c r="BZ37" s="52">
        <v>36.29</v>
      </c>
      <c r="CA37" s="56"/>
      <c r="CB37" s="56">
        <v>43.24</v>
      </c>
      <c r="CC37" s="284"/>
      <c r="CD37" s="284">
        <v>34.32</v>
      </c>
      <c r="CE37" s="57">
        <v>42.78</v>
      </c>
      <c r="CF37" s="58">
        <v>170.09700000000001</v>
      </c>
      <c r="CG37" s="58"/>
      <c r="CH37" s="52"/>
      <c r="CI37" s="54"/>
      <c r="CJ37" s="33">
        <v>3.09</v>
      </c>
      <c r="CK37" s="265"/>
      <c r="CL37" s="59"/>
      <c r="CM37" s="60"/>
      <c r="CN37" s="270"/>
      <c r="CO37" s="269">
        <f t="shared" si="31"/>
        <v>0</v>
      </c>
      <c r="CP37" s="18">
        <f t="shared" si="31"/>
        <v>174.33139439999999</v>
      </c>
      <c r="CQ37" s="18">
        <f t="shared" si="31"/>
        <v>0</v>
      </c>
      <c r="CR37" s="18">
        <f t="shared" si="31"/>
        <v>41.232999999999997</v>
      </c>
      <c r="CS37" s="251">
        <f t="shared" si="31"/>
        <v>0</v>
      </c>
      <c r="CT37" s="11">
        <f t="shared" si="31"/>
        <v>28.761831000000004</v>
      </c>
      <c r="CU37" s="273">
        <f t="shared" si="31"/>
        <v>10.217000000000001</v>
      </c>
      <c r="CV37" s="269">
        <f t="shared" si="14"/>
        <v>164.84100269999999</v>
      </c>
      <c r="CW37" s="18">
        <f t="shared" si="14"/>
        <v>0</v>
      </c>
      <c r="CX37" s="261">
        <f t="shared" si="14"/>
        <v>0</v>
      </c>
      <c r="CY37" s="273">
        <f t="shared" si="14"/>
        <v>0</v>
      </c>
      <c r="CZ37" s="13"/>
      <c r="DA37" s="240">
        <f>(D37+'[2]август 20 '!D37)/(AY37+'[2]август 20 '!BA37)</f>
        <v>2.3873529261641022</v>
      </c>
      <c r="DB37" s="241">
        <f>(T37+'[2]август 20 '!T37)/(AY37+'[2]август 20 '!BA37)</f>
        <v>1.516585309248847</v>
      </c>
      <c r="DD37" s="292">
        <f t="shared" si="15"/>
        <v>10.077</v>
      </c>
      <c r="DE37" s="294">
        <v>0.17</v>
      </c>
      <c r="DF37" s="294">
        <v>12.34</v>
      </c>
      <c r="DG37" s="323">
        <f t="shared" si="16"/>
        <v>10.0598691</v>
      </c>
      <c r="DH37" s="293">
        <f t="shared" si="30"/>
        <v>1.6334050617631577</v>
      </c>
      <c r="DJ37" s="322"/>
    </row>
    <row r="38" spans="1:114" s="214" customFormat="1" ht="16.5" customHeight="1" thickBot="1">
      <c r="A38" s="91" t="s">
        <v>56</v>
      </c>
      <c r="B38" s="92">
        <f>SUM(B7:B37)</f>
        <v>6170.7349999999997</v>
      </c>
      <c r="C38" s="330"/>
      <c r="D38" s="331">
        <f>SUM(D7:D37)</f>
        <v>6122.3937443554087</v>
      </c>
      <c r="E38" s="332"/>
      <c r="F38" s="331"/>
      <c r="G38" s="333">
        <f>SUM(G7:G37)</f>
        <v>32.840000000000003</v>
      </c>
      <c r="H38" s="329"/>
      <c r="I38" s="334">
        <f>SUM(I7:I37)</f>
        <v>0</v>
      </c>
      <c r="J38" s="329">
        <f>SUM(J7:J37)</f>
        <v>249.02799999999996</v>
      </c>
      <c r="K38" s="329">
        <f>SUM(K7:K37)</f>
        <v>0</v>
      </c>
      <c r="L38" s="396">
        <f>SUM(L7:L37)</f>
        <v>3231.2299999999996</v>
      </c>
      <c r="M38" s="335"/>
      <c r="N38" s="329">
        <f>SUM(N7:N37)</f>
        <v>0</v>
      </c>
      <c r="O38" s="396">
        <f>SUM(O7:O37)</f>
        <v>57.942</v>
      </c>
      <c r="P38" s="330">
        <f>SUM(P7:P37)</f>
        <v>4048.4060030000005</v>
      </c>
      <c r="Q38" s="396">
        <f>SUM(Q7:Q37)</f>
        <v>4048.4060000000004</v>
      </c>
      <c r="R38" s="336">
        <f>IF(Q38=0,0,(CA38*CH38+CE38*CI38+CF38*CJ38)/Q38)</f>
        <v>0</v>
      </c>
      <c r="S38" s="396">
        <f>SUM(S7:S37)</f>
        <v>237.42000000000002</v>
      </c>
      <c r="T38" s="331">
        <f>SUM(T7:T37)</f>
        <v>3939.5718500000003</v>
      </c>
      <c r="U38" s="337"/>
      <c r="V38" s="229">
        <f>SUM(V7:V37)</f>
        <v>2273.7200000000003</v>
      </c>
      <c r="W38" s="229">
        <f>SUM(W7:W37)</f>
        <v>1863.8700000000001</v>
      </c>
      <c r="X38" s="338"/>
      <c r="Y38" s="337"/>
      <c r="Z38" s="339"/>
      <c r="AA38" s="340"/>
      <c r="AB38" s="338"/>
      <c r="AC38" s="339"/>
      <c r="AD38" s="339">
        <f>SUM(AD7:AD37)</f>
        <v>120</v>
      </c>
      <c r="AE38" s="90">
        <f>SUM(AE7:AE37)</f>
        <v>115.19999999999999</v>
      </c>
      <c r="AF38" s="341"/>
      <c r="AG38" s="342">
        <f>SUM(AG7:AG37)</f>
        <v>0</v>
      </c>
      <c r="AH38" s="90">
        <f>SUM(AH7:AH37)</f>
        <v>2081.75</v>
      </c>
      <c r="AI38" s="341"/>
      <c r="AJ38" s="332">
        <f>SUM(AJ7:AJ37)</f>
        <v>384.64</v>
      </c>
      <c r="AK38" s="343"/>
      <c r="AL38" s="397">
        <f>SUM(AL7:AL37)</f>
        <v>184.00000000000003</v>
      </c>
      <c r="AM38" s="344">
        <f>SUM(AM7:AM37)</f>
        <v>788.86</v>
      </c>
      <c r="AN38" s="345"/>
      <c r="AO38" s="342"/>
      <c r="AP38" s="332"/>
      <c r="AQ38" s="342"/>
      <c r="AR38" s="342"/>
      <c r="AS38" s="346"/>
      <c r="AT38" s="332">
        <f>SUM(AT7:AT37)</f>
        <v>3796.15</v>
      </c>
      <c r="AU38" s="332">
        <f>SUM(AU7:AU37)</f>
        <v>49.349999999999994</v>
      </c>
      <c r="AV38" s="347">
        <f>SUM(AV7:AV37)</f>
        <v>0</v>
      </c>
      <c r="AW38" s="332">
        <f>SUM(AW7:AW37)</f>
        <v>0</v>
      </c>
      <c r="AX38" s="331"/>
      <c r="AY38" s="90">
        <f>SUM(AY7:AY37)</f>
        <v>2872.6400000000003</v>
      </c>
      <c r="AZ38" s="330">
        <f>SUM(AZ7:AZ37)</f>
        <v>2802.1035735824612</v>
      </c>
      <c r="BA38" s="342">
        <f>SUM(BA7:BA37)</f>
        <v>116.17675176056336</v>
      </c>
      <c r="BB38" s="342">
        <f>SUM(BB7:BB37)</f>
        <v>114.90559999999998</v>
      </c>
      <c r="BC38" s="332"/>
      <c r="BD38" s="89">
        <f>SUM(BD7:BD37)</f>
        <v>231.08235176056331</v>
      </c>
      <c r="BE38" s="348"/>
      <c r="BF38" s="19"/>
      <c r="BG38" s="19">
        <f t="shared" si="11"/>
        <v>0</v>
      </c>
      <c r="BH38" s="19"/>
      <c r="BI38" s="208">
        <f>SUM(BI7:BI37)</f>
        <v>31</v>
      </c>
      <c r="BJ38" s="209"/>
      <c r="BK38" s="278">
        <f t="shared" ref="BK38:BQ38" si="32">SUM(BK7:BK37)</f>
        <v>1622.8409999999999</v>
      </c>
      <c r="BL38" s="61">
        <f>SUM(BL7:BL37)</f>
        <v>707.07300100000009</v>
      </c>
      <c r="BM38" s="61">
        <f t="shared" si="32"/>
        <v>9.9999999999999995E-7</v>
      </c>
      <c r="BN38" s="61">
        <f t="shared" si="32"/>
        <v>2546.8000000000002</v>
      </c>
      <c r="BO38" s="61">
        <f t="shared" si="32"/>
        <v>9.9999999999999995E-7</v>
      </c>
      <c r="BP38" s="61">
        <f t="shared" si="32"/>
        <v>609.59100000000001</v>
      </c>
      <c r="BQ38" s="64">
        <f t="shared" si="32"/>
        <v>684.43000000000006</v>
      </c>
      <c r="BR38" s="63"/>
      <c r="BS38" s="24"/>
      <c r="BT38" s="24"/>
      <c r="BU38" s="24"/>
      <c r="BV38" s="62"/>
      <c r="BW38" s="62"/>
      <c r="BX38" s="65"/>
      <c r="BY38" s="63"/>
      <c r="BZ38" s="24"/>
      <c r="CA38" s="24"/>
      <c r="CB38" s="24"/>
      <c r="CC38" s="62"/>
      <c r="CD38" s="62"/>
      <c r="CE38" s="62"/>
      <c r="CF38" s="66">
        <f>SUM(CF7:CF37)</f>
        <v>4048.4060000000004</v>
      </c>
      <c r="CG38" s="66">
        <f>SUM(CG7:CG37)</f>
        <v>9.9999999999999995E-7</v>
      </c>
      <c r="CH38" s="61">
        <f>SUM(CH7:CH37)</f>
        <v>9.9999999999999995E-7</v>
      </c>
      <c r="CI38" s="67">
        <f>SUM(CI7:CI37)</f>
        <v>9.9999999999999995E-7</v>
      </c>
      <c r="CJ38" s="210"/>
      <c r="CK38" s="266"/>
      <c r="CL38" s="211"/>
      <c r="CM38" s="212"/>
      <c r="CN38" s="213"/>
      <c r="CO38" s="68">
        <f t="shared" ref="CO38:CY38" si="33">SUM(CO7:CO37)</f>
        <v>1602.2440184000002</v>
      </c>
      <c r="CP38" s="69">
        <f t="shared" si="33"/>
        <v>697.10105850000002</v>
      </c>
      <c r="CQ38" s="70">
        <f t="shared" si="33"/>
        <v>9.9999998999999992E-7</v>
      </c>
      <c r="CR38" s="69">
        <f t="shared" si="33"/>
        <v>2546.7999989466502</v>
      </c>
      <c r="CS38" s="72">
        <f t="shared" si="33"/>
        <v>9.9999998999999992E-7</v>
      </c>
      <c r="CT38" s="72">
        <f t="shared" si="33"/>
        <v>591.81866959999991</v>
      </c>
      <c r="CU38" s="71">
        <f t="shared" si="33"/>
        <v>684.42999990876012</v>
      </c>
      <c r="CV38" s="72">
        <f t="shared" si="33"/>
        <v>3939.5718500000003</v>
      </c>
      <c r="CW38" s="72">
        <f t="shared" si="33"/>
        <v>9.9999998999999992E-7</v>
      </c>
      <c r="CX38" s="72">
        <f t="shared" si="33"/>
        <v>9.9999998999999992E-7</v>
      </c>
      <c r="CY38" s="72">
        <f t="shared" si="33"/>
        <v>9.9999998999999992E-7</v>
      </c>
      <c r="CZ38" s="70"/>
      <c r="DA38" s="240">
        <f>(D38+'[2]август 20 '!D38)/(AY38+'[2]август 20 '!BA38)</f>
        <v>2.1590106131182587</v>
      </c>
      <c r="DB38" s="241">
        <f>(T38+'[2]август 20 '!T38)/(AY38+'[2]август 20 '!BA38)</f>
        <v>1.3735141336063268</v>
      </c>
      <c r="DD38" s="295">
        <f>SUM(DD7:DD37)</f>
        <v>249.02799999999996</v>
      </c>
      <c r="DE38" s="296">
        <f>(SUMPRODUCT(DD7:DD37,DE7:DE37))/DD38</f>
        <v>0.65388482419647587</v>
      </c>
      <c r="DF38" s="296">
        <f>(SUMPRODUCT(DD7:DD37,DF7:DF37))/DD38</f>
        <v>12.375663780779677</v>
      </c>
      <c r="DG38" s="296">
        <f>(SUMPRODUCT(DE7:DE37,DG7:DG37))/DE38</f>
        <v>246.24472029743703</v>
      </c>
      <c r="DH38" s="324">
        <f>IF(J38=0,0,(DG38*DF38%)/(AB39/100))</f>
        <v>40.29991256052655</v>
      </c>
    </row>
    <row r="39" spans="1:114" s="214" customFormat="1" ht="16.5" customHeight="1" thickBot="1">
      <c r="A39" s="93" t="s">
        <v>57</v>
      </c>
      <c r="B39" s="349">
        <f>B38/AU2</f>
        <v>199.05596774193546</v>
      </c>
      <c r="C39" s="349">
        <f>(BK38*BR39+BM38*BT39+BQ38*BX39+BL38*BS39+BN38*BU39+BO38*BV39+BP38*BW39)/B38</f>
        <v>0.78339542444441435</v>
      </c>
      <c r="D39" s="350">
        <f>D38/AU2</f>
        <v>197.49657239856157</v>
      </c>
      <c r="E39" s="349">
        <f>(BK38*BY39+BM38*CA39+BQ38*CE39+BL38*BZ39+BN38*CB39+BO38*CC39+BP38*CD39)/B38</f>
        <v>39.073177162850136</v>
      </c>
      <c r="F39" s="351">
        <f>IF($AY$38=0,0,$D$38/$AY$38)</f>
        <v>2.1312777599544002</v>
      </c>
      <c r="G39" s="352">
        <f>G38/AU2</f>
        <v>1.0593548387096776</v>
      </c>
      <c r="H39" s="353">
        <f>IF($AY$38=0,0,(CP38+CO38+CS38+CQ38+CT38)/AY38)</f>
        <v>1.0064483361994538</v>
      </c>
      <c r="I39" s="349">
        <f>I38/AU2</f>
        <v>0</v>
      </c>
      <c r="J39" s="349">
        <f>J38/AU2</f>
        <v>8.03316129032258</v>
      </c>
      <c r="K39" s="349">
        <f>K38/AU2</f>
        <v>0</v>
      </c>
      <c r="L39" s="349">
        <f>L38/AU2</f>
        <v>104.2332258064516</v>
      </c>
      <c r="M39" s="354">
        <f>IF($AY$38=0,0,(CR38+CU38)/$AY$38)</f>
        <v>1.1248294247992823</v>
      </c>
      <c r="N39" s="349">
        <f>N38/AU2</f>
        <v>0</v>
      </c>
      <c r="O39" s="349">
        <f>O38/AU2</f>
        <v>1.8690967741935485</v>
      </c>
      <c r="P39" s="349">
        <f>P38/AU2</f>
        <v>130.59374203225809</v>
      </c>
      <c r="Q39" s="349">
        <f>Q38/AU2</f>
        <v>130.59374193548388</v>
      </c>
      <c r="R39" s="349">
        <f>(SUMPRODUCT(R7:R37,Q7:Q37))/Q38</f>
        <v>2.6883210330189224</v>
      </c>
      <c r="S39" s="355">
        <f>S38/AU2</f>
        <v>7.6587096774193553</v>
      </c>
      <c r="T39" s="356"/>
      <c r="U39" s="354">
        <f>IF($AY$38=0,0,$T$38/$AY$38)</f>
        <v>1.3714116109223571</v>
      </c>
      <c r="V39" s="349">
        <f>V38/AU2</f>
        <v>73.345806451612916</v>
      </c>
      <c r="W39" s="349">
        <f>W38/AU2</f>
        <v>60.124838709677427</v>
      </c>
      <c r="X39" s="349">
        <f>(SUMPRODUCT(X7:X37,AY7:AY37))/AY38</f>
        <v>0.84682417567115953</v>
      </c>
      <c r="Y39" s="357">
        <f>AVERAGE(Y7:Y37)</f>
        <v>611.06451612903231</v>
      </c>
      <c r="Z39" s="357">
        <f>AVERAGE(Z7:Z37)</f>
        <v>1146.8387096774193</v>
      </c>
      <c r="AA39" s="357"/>
      <c r="AB39" s="349">
        <f>(SUMPRODUCT(AB7:AB37,AY7:AY37))/AY38</f>
        <v>75.619068940069084</v>
      </c>
      <c r="AC39" s="358">
        <f>AVERAGE(AC7:AC37)</f>
        <v>79.838709677419359</v>
      </c>
      <c r="AD39" s="358">
        <f>AVERAGE(AD7:AD37)</f>
        <v>3.870967741935484</v>
      </c>
      <c r="AE39" s="349">
        <f>AE38/AU2</f>
        <v>3.7161290322580642</v>
      </c>
      <c r="AF39" s="355">
        <f>IF(AY38=0,0,AE38/AY38*1000)</f>
        <v>40.10248412610003</v>
      </c>
      <c r="AG39" s="356" t="e">
        <f>AG38/$AW$2</f>
        <v>#DIV/0!</v>
      </c>
      <c r="AH39" s="349">
        <f>AH38/AU2</f>
        <v>67.153225806451616</v>
      </c>
      <c r="AI39" s="355">
        <f>IF(AY38=0,0,AH38/AY38*1000)</f>
        <v>724.68182577698553</v>
      </c>
      <c r="AJ39" s="349">
        <f>AJ38/AU2</f>
        <v>12.407741935483871</v>
      </c>
      <c r="AK39" s="359"/>
      <c r="AL39" s="349">
        <f>AL38/AU2</f>
        <v>5.9354838709677429</v>
      </c>
      <c r="AM39" s="349">
        <f>AM38/AU2</f>
        <v>25.44709677419355</v>
      </c>
      <c r="AN39" s="360">
        <f>IF(AM39=0,0,AM39/AT39)</f>
        <v>0.20780527639845636</v>
      </c>
      <c r="AO39" s="356"/>
      <c r="AP39" s="349">
        <f>AVERAGE(AP7:AP37)</f>
        <v>8.748709677419356</v>
      </c>
      <c r="AQ39" s="349">
        <f>AVERAGE(AQ7:AQ37)</f>
        <v>6.6816129032258074</v>
      </c>
      <c r="AR39" s="356"/>
      <c r="AS39" s="349">
        <f>AVERAGE(AS7:AS37)</f>
        <v>7.2132258064516126</v>
      </c>
      <c r="AT39" s="349">
        <f>AT38/AU2</f>
        <v>122.45645161290322</v>
      </c>
      <c r="AU39" s="349">
        <f>AU38/AU2</f>
        <v>1.5919354838709676</v>
      </c>
      <c r="AV39" s="349" t="e">
        <f>AV38/$AW$2</f>
        <v>#DIV/0!</v>
      </c>
      <c r="AW39" s="349" t="e">
        <f>AW38/$AW$2</f>
        <v>#DIV/0!</v>
      </c>
      <c r="AX39" s="349" t="e">
        <f>IF(AY39=0,0,AW39/AY39*100)</f>
        <v>#DIV/0!</v>
      </c>
      <c r="AY39" s="349">
        <f>AY38/AU2</f>
        <v>92.665806451612909</v>
      </c>
      <c r="AZ39" s="349">
        <f>AZ38/AU2</f>
        <v>90.390437857498753</v>
      </c>
      <c r="BA39" s="356"/>
      <c r="BB39" s="356"/>
      <c r="BC39" s="351">
        <f>(AY38*AB39)/(D38*E39)</f>
        <v>0.908055819869661</v>
      </c>
      <c r="BD39" s="349">
        <f>BD38/AU2</f>
        <v>7.454269411631075</v>
      </c>
      <c r="BE39" s="361"/>
      <c r="BF39" s="19"/>
      <c r="BG39" s="19"/>
      <c r="BH39" s="19"/>
      <c r="BI39" s="19"/>
      <c r="BJ39" s="215"/>
      <c r="BK39" s="73"/>
      <c r="BL39" s="216"/>
      <c r="BM39" s="216"/>
      <c r="BN39" s="216"/>
      <c r="BO39" s="219"/>
      <c r="BP39" s="219"/>
      <c r="BQ39" s="217"/>
      <c r="BR39" s="73">
        <f>(SUMPRODUCT(BK7:BK37,BR7:BR37))/BK38</f>
        <v>1.2691928291188108</v>
      </c>
      <c r="BS39" s="29">
        <f>(SUMPRODUCT(BL7:BL37,BS7:BS37))/BL38</f>
        <v>1.4103130067046652</v>
      </c>
      <c r="BT39" s="29">
        <f t="shared" ref="BT39:BX39" si="34">(SUMPRODUCT(BM7:BM37,BT7:BT37))/BM38</f>
        <v>9.9999999999999995E-7</v>
      </c>
      <c r="BU39" s="29">
        <f t="shared" si="34"/>
        <v>4.1359745563059523E-8</v>
      </c>
      <c r="BV39" s="29">
        <f t="shared" si="34"/>
        <v>9.9999999999999995E-7</v>
      </c>
      <c r="BW39" s="29">
        <f t="shared" si="34"/>
        <v>2.915451573267978</v>
      </c>
      <c r="BX39" s="74">
        <f t="shared" si="34"/>
        <v>1.3330800812354804E-8</v>
      </c>
      <c r="BY39" s="73">
        <f t="shared" ref="BY39:CE39" si="35">(SUMPRODUCT(BK7:BK37,BY7:BY37))/BK38</f>
        <v>36.041401055309791</v>
      </c>
      <c r="BZ39" s="29">
        <f t="shared" si="35"/>
        <v>36.241704383788232</v>
      </c>
      <c r="CA39" s="29">
        <f t="shared" si="35"/>
        <v>9.9999999999999995E-7</v>
      </c>
      <c r="CB39" s="29">
        <f t="shared" si="35"/>
        <v>41.681202807444635</v>
      </c>
      <c r="CC39" s="29">
        <f t="shared" si="35"/>
        <v>9.9999999999999995E-7</v>
      </c>
      <c r="CD39" s="29">
        <f t="shared" si="35"/>
        <v>34.228384605415755</v>
      </c>
      <c r="CE39" s="74">
        <f t="shared" si="35"/>
        <v>43.797357450725421</v>
      </c>
      <c r="CF39" s="218"/>
      <c r="CG39" s="218"/>
      <c r="CH39" s="216"/>
      <c r="CI39" s="219"/>
      <c r="CJ39" s="75">
        <f>(SUMPRODUCT(CF7:CF37,CJ7:CJ37))/CF38</f>
        <v>2.6883210330189216</v>
      </c>
      <c r="CK39" s="75">
        <f>(SUMPRODUCT(CG7:CG37,CK7:CK37))/CG38</f>
        <v>9.9999999999999995E-7</v>
      </c>
      <c r="CL39" s="29">
        <f>(SUMPRODUCT(CH7:CH37,CL7:CL37))/CH38</f>
        <v>9.9999999999999995E-7</v>
      </c>
      <c r="CM39" s="74">
        <f>(SUMPRODUCT(CI7:CI37,CM7:CM37))/CI38</f>
        <v>9.9999999999999995E-7</v>
      </c>
      <c r="CN39" s="19"/>
      <c r="CO39" s="596">
        <f>CO38+CP38</f>
        <v>2299.3450769000001</v>
      </c>
      <c r="CP39" s="596"/>
      <c r="CQ39" s="597">
        <f>CQ38+CR38+CU38+CS38+CT38</f>
        <v>3823.04867045541</v>
      </c>
      <c r="CR39" s="597"/>
      <c r="CS39" s="597"/>
      <c r="CT39" s="597"/>
      <c r="CU39" s="597"/>
      <c r="CV39" s="597">
        <f>CV38+CX38+CY38+CW38</f>
        <v>3939.5718529999999</v>
      </c>
      <c r="CW39" s="597"/>
      <c r="CX39" s="597"/>
      <c r="CY39" s="597"/>
      <c r="DA39" s="236"/>
      <c r="DB39" s="238"/>
      <c r="DD39" s="297"/>
      <c r="DE39" s="298"/>
      <c r="DF39" s="298"/>
      <c r="DG39" s="299"/>
      <c r="DH39" s="300"/>
    </row>
    <row r="40" spans="1:114" s="214" customFormat="1" ht="16.5" customHeight="1" thickBot="1">
      <c r="A40" s="94" t="s">
        <v>58</v>
      </c>
      <c r="B40" s="362"/>
      <c r="C40" s="362"/>
      <c r="D40" s="363"/>
      <c r="E40" s="364">
        <v>38.299999999999997</v>
      </c>
      <c r="F40" s="363">
        <v>2.2200000000000002</v>
      </c>
      <c r="G40" s="365"/>
      <c r="H40" s="410">
        <v>0.75480000000000003</v>
      </c>
      <c r="I40" s="363"/>
      <c r="J40" s="363">
        <v>8.6193600000000004</v>
      </c>
      <c r="K40" s="363"/>
      <c r="L40" s="363"/>
      <c r="M40" s="410">
        <v>1.4652000000000001</v>
      </c>
      <c r="N40" s="363"/>
      <c r="O40" s="363"/>
      <c r="P40" s="366"/>
      <c r="Q40" s="362"/>
      <c r="R40" s="367"/>
      <c r="S40" s="368">
        <v>12.82</v>
      </c>
      <c r="T40" s="362"/>
      <c r="U40" s="369">
        <v>1.32</v>
      </c>
      <c r="V40" s="370">
        <v>3340</v>
      </c>
      <c r="W40" s="370">
        <v>3340</v>
      </c>
      <c r="X40" s="371"/>
      <c r="Y40" s="371"/>
      <c r="Z40" s="372">
        <v>1190</v>
      </c>
      <c r="AA40" s="372"/>
      <c r="AB40" s="362">
        <v>76</v>
      </c>
      <c r="AC40" s="362"/>
      <c r="AD40" s="362"/>
      <c r="AE40" s="362"/>
      <c r="AF40" s="362"/>
      <c r="AG40" s="362"/>
      <c r="AH40" s="362"/>
      <c r="AI40" s="362">
        <v>680</v>
      </c>
      <c r="AJ40" s="373"/>
      <c r="AK40" s="374"/>
      <c r="AL40" s="375"/>
      <c r="AM40" s="362"/>
      <c r="AN40" s="362"/>
      <c r="AO40" s="362"/>
      <c r="AP40" s="362"/>
      <c r="AQ40" s="362"/>
      <c r="AR40" s="362"/>
      <c r="AS40" s="362"/>
      <c r="AT40" s="376">
        <v>3340</v>
      </c>
      <c r="AU40" s="377">
        <v>23.4</v>
      </c>
      <c r="AV40" s="377"/>
      <c r="AW40" s="378"/>
      <c r="AX40" s="362"/>
      <c r="AY40" s="379">
        <v>107.74</v>
      </c>
      <c r="AZ40" s="362"/>
      <c r="BA40" s="362"/>
      <c r="BB40" s="362"/>
      <c r="BC40" s="363">
        <v>0.9</v>
      </c>
      <c r="BD40" s="362"/>
      <c r="BE40" s="380"/>
      <c r="BF40" s="19"/>
      <c r="BG40" s="19"/>
      <c r="BH40" s="19"/>
      <c r="BI40" s="19"/>
      <c r="BJ40" s="215"/>
      <c r="BK40" s="220"/>
      <c r="BL40" s="221"/>
      <c r="BM40" s="216"/>
      <c r="BN40" s="216"/>
      <c r="BO40" s="219"/>
      <c r="BP40" s="219"/>
      <c r="BQ40" s="217"/>
      <c r="BR40" s="218"/>
      <c r="BS40" s="216"/>
      <c r="BT40" s="216"/>
      <c r="BU40" s="216"/>
      <c r="BV40" s="219"/>
      <c r="BW40" s="219"/>
      <c r="BX40" s="217"/>
      <c r="BY40" s="218"/>
      <c r="BZ40" s="216"/>
      <c r="CA40" s="216"/>
      <c r="CB40" s="216"/>
      <c r="CC40" s="219"/>
      <c r="CD40" s="219"/>
      <c r="CE40" s="217"/>
      <c r="CF40" s="218"/>
      <c r="CG40" s="218"/>
      <c r="CH40" s="216"/>
      <c r="CI40" s="219"/>
      <c r="CJ40" s="220"/>
      <c r="CK40" s="218"/>
      <c r="CL40" s="216"/>
      <c r="CM40" s="217"/>
      <c r="CN40" s="213"/>
      <c r="CO40" s="604">
        <f>CO39+CQ39</f>
        <v>6122.3937473554106</v>
      </c>
      <c r="CP40" s="604"/>
      <c r="CQ40" s="604"/>
      <c r="CR40" s="604"/>
      <c r="CS40" s="604"/>
      <c r="CT40" s="604"/>
      <c r="CU40" s="604"/>
      <c r="DA40" s="237"/>
      <c r="DB40" s="239"/>
      <c r="DD40" s="301"/>
      <c r="DE40" s="302"/>
      <c r="DF40" s="302"/>
      <c r="DG40" s="303"/>
      <c r="DH40" s="304"/>
    </row>
    <row r="41" spans="1:114" s="214" customFormat="1" ht="16.5" customHeight="1" thickBot="1">
      <c r="A41" s="95" t="s">
        <v>59</v>
      </c>
      <c r="B41" s="381"/>
      <c r="C41" s="381"/>
      <c r="D41" s="382"/>
      <c r="E41" s="381"/>
      <c r="F41" s="383">
        <f>F39-F40</f>
        <v>-8.8722240045600032E-2</v>
      </c>
      <c r="G41" s="384">
        <f>G39-G40</f>
        <v>1.0593548387096776</v>
      </c>
      <c r="H41" s="383"/>
      <c r="I41" s="385">
        <f>I39-I40</f>
        <v>0</v>
      </c>
      <c r="J41" s="385"/>
      <c r="K41" s="385"/>
      <c r="L41" s="385"/>
      <c r="M41" s="385"/>
      <c r="N41" s="385"/>
      <c r="O41" s="385"/>
      <c r="P41" s="383"/>
      <c r="Q41" s="386"/>
      <c r="R41" s="385">
        <f>R39-R40</f>
        <v>2.6883210330189224</v>
      </c>
      <c r="S41" s="386"/>
      <c r="T41" s="386"/>
      <c r="U41" s="383">
        <f>U39-U40</f>
        <v>5.1411610922357021E-2</v>
      </c>
      <c r="V41" s="383"/>
      <c r="W41" s="383"/>
      <c r="X41" s="383"/>
      <c r="Y41" s="383"/>
      <c r="Z41" s="387">
        <f>Z39-Z40</f>
        <v>-43.161290322580726</v>
      </c>
      <c r="AA41" s="388"/>
      <c r="AB41" s="381"/>
      <c r="AC41" s="381"/>
      <c r="AD41" s="381"/>
      <c r="AE41" s="381"/>
      <c r="AF41" s="381"/>
      <c r="AG41" s="381"/>
      <c r="AH41" s="381"/>
      <c r="AI41" s="381"/>
      <c r="AJ41" s="381"/>
      <c r="AK41" s="389"/>
      <c r="AL41" s="390"/>
      <c r="AM41" s="381"/>
      <c r="AN41" s="381"/>
      <c r="AO41" s="381"/>
      <c r="AP41" s="381"/>
      <c r="AQ41" s="381"/>
      <c r="AR41" s="381"/>
      <c r="AS41" s="381"/>
      <c r="AT41" s="391">
        <f>AT38+AV38-AT40</f>
        <v>456.15000000000009</v>
      </c>
      <c r="AU41" s="392"/>
      <c r="AV41" s="393"/>
      <c r="AW41" s="390"/>
      <c r="AX41" s="381"/>
      <c r="AY41" s="385"/>
      <c r="AZ41" s="381"/>
      <c r="BA41" s="381"/>
      <c r="BB41" s="381"/>
      <c r="BC41" s="394"/>
      <c r="BD41" s="381"/>
      <c r="BE41" s="395"/>
      <c r="BF41" s="222"/>
      <c r="BG41" s="222"/>
      <c r="BH41" s="222"/>
      <c r="BI41" s="222"/>
      <c r="BJ41" s="222"/>
      <c r="BK41" s="223"/>
      <c r="BL41" s="224"/>
      <c r="BM41" s="225"/>
      <c r="BN41" s="225"/>
      <c r="BO41" s="224"/>
      <c r="BP41" s="224"/>
      <c r="BQ41" s="226"/>
      <c r="BR41" s="227"/>
      <c r="BS41" s="225"/>
      <c r="BT41" s="225"/>
      <c r="BU41" s="225"/>
      <c r="BV41" s="224"/>
      <c r="BW41" s="224"/>
      <c r="BX41" s="224"/>
      <c r="BY41" s="228"/>
      <c r="BZ41" s="225"/>
      <c r="CA41" s="225"/>
      <c r="CB41" s="225"/>
      <c r="CC41" s="224"/>
      <c r="CD41" s="224"/>
      <c r="CE41" s="226"/>
      <c r="CF41" s="227"/>
      <c r="CG41" s="227"/>
      <c r="CH41" s="225"/>
      <c r="CI41" s="224"/>
      <c r="CJ41" s="228"/>
      <c r="CK41" s="227"/>
      <c r="CL41" s="225"/>
      <c r="CM41" s="226"/>
      <c r="CN41" s="213"/>
      <c r="CO41" s="213"/>
      <c r="CP41" s="213"/>
      <c r="CQ41" s="213"/>
      <c r="DA41" s="21"/>
      <c r="DH41" s="309"/>
    </row>
    <row r="42" spans="1:114" ht="15" hidden="1" customHeight="1">
      <c r="A42" s="96"/>
      <c r="B42" s="96"/>
      <c r="C42" s="96"/>
      <c r="D42" s="97"/>
      <c r="E42" s="96"/>
      <c r="F42" s="98"/>
      <c r="G42" s="99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1"/>
      <c r="AF42" s="101"/>
      <c r="AG42" s="100"/>
      <c r="AH42" s="100"/>
      <c r="AI42" s="100"/>
      <c r="AJ42" s="100"/>
      <c r="AK42" s="100"/>
      <c r="AL42" s="100"/>
      <c r="AM42" s="100"/>
      <c r="AN42" s="100"/>
      <c r="AO42" s="100"/>
      <c r="AP42" s="100"/>
      <c r="AQ42" s="100"/>
      <c r="AR42" s="100"/>
      <c r="AS42" s="96"/>
      <c r="AT42" s="612"/>
      <c r="AU42" s="612"/>
      <c r="AV42" s="612"/>
      <c r="AW42" s="96"/>
      <c r="AX42" s="96"/>
      <c r="AY42" s="100"/>
      <c r="AZ42" s="100"/>
      <c r="BA42" s="100"/>
      <c r="BB42" s="100"/>
      <c r="BC42" s="100"/>
      <c r="BD42" s="100"/>
      <c r="BE42" s="100"/>
      <c r="BK42" s="20"/>
      <c r="BL42" s="20"/>
      <c r="BM42" s="20"/>
    </row>
    <row r="43" spans="1:114" ht="13.5" thickBot="1">
      <c r="A43" s="100"/>
      <c r="B43" s="100"/>
      <c r="C43" s="100"/>
      <c r="D43" s="102"/>
      <c r="E43" s="100"/>
      <c r="F43" s="100"/>
      <c r="G43" s="96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1"/>
      <c r="AF43" s="101"/>
      <c r="AG43" s="100"/>
      <c r="AH43" s="100"/>
      <c r="AI43" s="100"/>
      <c r="AJ43" s="100"/>
      <c r="AK43" s="100"/>
      <c r="AL43" s="100"/>
      <c r="AM43" s="100"/>
      <c r="AN43" s="100"/>
      <c r="AO43" s="100"/>
      <c r="AP43" s="100"/>
      <c r="AQ43" s="100"/>
      <c r="AR43" s="100"/>
      <c r="AS43" s="96" t="s">
        <v>60</v>
      </c>
      <c r="AT43" s="103">
        <f>AT40/BE43</f>
        <v>107.74193548387096</v>
      </c>
      <c r="AU43" s="104"/>
      <c r="AV43" s="96"/>
      <c r="AW43" s="96" t="s">
        <v>61</v>
      </c>
      <c r="AX43" s="96"/>
      <c r="AY43" s="100"/>
      <c r="AZ43" s="100"/>
      <c r="BA43" s="100"/>
      <c r="BB43" s="100"/>
      <c r="BC43" s="100"/>
      <c r="BD43" s="105" t="s">
        <v>62</v>
      </c>
      <c r="BE43" s="100">
        <v>31</v>
      </c>
    </row>
    <row r="44" spans="1:114" ht="16.5" customHeight="1" thickBot="1">
      <c r="A44" s="100"/>
      <c r="B44" s="100"/>
      <c r="C44" s="100"/>
      <c r="D44" s="102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489" t="s">
        <v>343</v>
      </c>
      <c r="AG44" s="488"/>
      <c r="AH44" s="488"/>
      <c r="AI44" s="488"/>
      <c r="AJ44" s="488"/>
      <c r="AK44" s="488"/>
      <c r="AL44" s="488"/>
      <c r="AM44" s="490">
        <f>AM38/AT38</f>
        <v>0.20780527639845633</v>
      </c>
      <c r="AN44" s="479"/>
      <c r="AO44" s="480" t="s">
        <v>88</v>
      </c>
      <c r="AP44" s="100"/>
      <c r="AQ44" s="100"/>
      <c r="AR44" s="100"/>
      <c r="AS44" s="100"/>
      <c r="AT44" s="100"/>
      <c r="AU44" s="100"/>
      <c r="AV44" s="100"/>
      <c r="AW44" s="100"/>
      <c r="AX44" s="100"/>
      <c r="AY44" s="100"/>
      <c r="AZ44" s="100"/>
      <c r="BA44" s="100"/>
      <c r="BB44" s="100"/>
      <c r="BC44" s="100"/>
      <c r="BD44" s="96"/>
      <c r="BE44" s="96"/>
      <c r="CR44">
        <v>6122.3940000000002</v>
      </c>
    </row>
    <row r="45" spans="1:114" ht="13.5" thickBot="1">
      <c r="A45" s="100"/>
      <c r="B45" s="100"/>
      <c r="C45" s="100"/>
      <c r="D45" s="102"/>
      <c r="E45" s="100"/>
      <c r="F45" s="100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101"/>
      <c r="AE45" s="101"/>
      <c r="AF45" s="101"/>
      <c r="AG45" s="100"/>
      <c r="AH45" s="100"/>
      <c r="AI45" s="100"/>
      <c r="AJ45" s="100"/>
      <c r="AK45" s="100"/>
      <c r="AL45" s="100"/>
      <c r="AM45" s="106" t="s">
        <v>63</v>
      </c>
      <c r="AN45" s="106"/>
      <c r="AO45" s="106"/>
      <c r="AP45" s="106"/>
      <c r="AQ45" s="106"/>
      <c r="AR45" s="106"/>
      <c r="AS45" s="107" t="s">
        <v>64</v>
      </c>
      <c r="AT45" s="108">
        <v>30</v>
      </c>
      <c r="AU45" s="108"/>
      <c r="AV45" s="100"/>
      <c r="AW45" s="100"/>
      <c r="AX45" s="100"/>
      <c r="AY45" s="100"/>
      <c r="AZ45" s="100"/>
      <c r="BA45" s="100"/>
      <c r="BB45" s="100"/>
      <c r="BC45" s="100"/>
      <c r="BD45" s="96"/>
      <c r="BE45" s="96"/>
      <c r="BM45" s="1"/>
      <c r="BS45" s="1"/>
    </row>
    <row r="46" spans="1:114" ht="12.75" customHeight="1" thickBot="1">
      <c r="A46" s="100"/>
      <c r="B46" s="100"/>
      <c r="C46" s="109" t="s">
        <v>65</v>
      </c>
      <c r="D46" s="102"/>
      <c r="E46" s="100"/>
      <c r="F46" s="100"/>
      <c r="G46" s="100"/>
      <c r="H46" s="100"/>
      <c r="I46" s="100"/>
      <c r="J46" s="100"/>
      <c r="K46" s="100"/>
      <c r="L46" s="110">
        <f>AT38/AD38</f>
        <v>31.634583333333335</v>
      </c>
      <c r="M46" s="109" t="s">
        <v>88</v>
      </c>
      <c r="N46" s="606"/>
      <c r="O46" s="606"/>
      <c r="P46" s="111"/>
      <c r="Q46" s="100"/>
      <c r="R46" s="100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101"/>
      <c r="AE46" s="101"/>
      <c r="AF46" s="101"/>
      <c r="AG46" s="100"/>
      <c r="AH46" s="100"/>
      <c r="AI46" s="100"/>
      <c r="AJ46" s="100"/>
      <c r="AK46" s="100"/>
      <c r="AL46" s="100"/>
      <c r="AM46" s="100"/>
      <c r="AN46" s="100"/>
      <c r="AO46" s="106"/>
      <c r="AP46" s="106"/>
      <c r="AQ46" s="106"/>
      <c r="AR46" s="106"/>
      <c r="AS46" s="107" t="s">
        <v>66</v>
      </c>
      <c r="AT46" s="112">
        <f>AT40/AT45</f>
        <v>111.33333333333333</v>
      </c>
      <c r="AU46" s="112"/>
      <c r="AV46" s="100"/>
      <c r="AW46" s="100"/>
      <c r="AX46" s="100">
        <v>0</v>
      </c>
      <c r="AY46" s="100"/>
      <c r="AZ46" s="607" t="s">
        <v>67</v>
      </c>
      <c r="BA46" s="607"/>
      <c r="BB46" s="607"/>
      <c r="BC46" s="607"/>
      <c r="BD46" s="607"/>
      <c r="BE46" s="607"/>
    </row>
    <row r="47" spans="1:114">
      <c r="A47" s="100"/>
      <c r="B47" s="100"/>
      <c r="C47" s="100"/>
      <c r="D47" s="102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100"/>
      <c r="AI47" s="100"/>
      <c r="AJ47" s="100"/>
      <c r="AK47" s="100"/>
      <c r="AL47" s="100"/>
      <c r="AM47" s="100"/>
      <c r="AN47" s="100"/>
      <c r="AO47" s="100"/>
      <c r="AP47" s="100"/>
      <c r="AQ47" s="100"/>
      <c r="AR47" s="100"/>
      <c r="AS47" s="100"/>
      <c r="AT47" s="100"/>
      <c r="AU47" s="100"/>
      <c r="AV47" s="100"/>
      <c r="AW47" s="100"/>
      <c r="AX47" s="100"/>
      <c r="AY47" s="100"/>
      <c r="AZ47" s="607"/>
      <c r="BA47" s="607"/>
      <c r="BB47" s="607"/>
      <c r="BC47" s="607"/>
      <c r="BD47" s="607"/>
      <c r="BE47" s="607"/>
    </row>
    <row r="48" spans="1:114">
      <c r="A48" s="100"/>
      <c r="B48" s="100"/>
      <c r="C48" s="100"/>
      <c r="D48" s="102"/>
      <c r="E48" s="100"/>
      <c r="F48" s="100"/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13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  <c r="AE48" s="100"/>
      <c r="AF48" s="100"/>
      <c r="AG48" s="100"/>
      <c r="AH48" s="100"/>
      <c r="AI48" s="100"/>
      <c r="AJ48" s="100"/>
      <c r="AK48" s="100"/>
      <c r="AL48" s="100"/>
      <c r="AM48" s="100"/>
      <c r="AN48" s="100"/>
      <c r="AO48" s="100"/>
      <c r="AP48" s="100"/>
      <c r="AQ48" s="100"/>
      <c r="AR48" s="100"/>
      <c r="AS48" s="100"/>
      <c r="AT48" s="100"/>
      <c r="AU48" s="100"/>
      <c r="AV48" s="100"/>
      <c r="AW48" s="100"/>
      <c r="AX48" s="100"/>
      <c r="AY48" s="100"/>
      <c r="AZ48" s="608">
        <f>BF37-BJ37</f>
        <v>-467.35999999999694</v>
      </c>
      <c r="BA48" s="608"/>
      <c r="BB48" s="608"/>
      <c r="BC48" s="608"/>
      <c r="BD48" s="609" t="s">
        <v>68</v>
      </c>
      <c r="BE48" s="114"/>
    </row>
    <row r="49" spans="1:57" ht="12" customHeight="1">
      <c r="A49" s="100"/>
      <c r="B49" s="100"/>
      <c r="C49" s="100"/>
      <c r="D49" s="102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15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100"/>
      <c r="AI49" s="100"/>
      <c r="AJ49" s="100"/>
      <c r="AK49" s="100"/>
      <c r="AL49" s="100"/>
      <c r="AM49" s="100"/>
      <c r="AN49" s="100"/>
      <c r="AO49" s="100"/>
      <c r="AP49" s="100"/>
      <c r="AQ49" s="100"/>
      <c r="AR49" s="100"/>
      <c r="AS49" s="100"/>
      <c r="AT49" s="100"/>
      <c r="AU49" s="100"/>
      <c r="AV49" s="100"/>
      <c r="AW49" s="100"/>
      <c r="AX49" s="100"/>
      <c r="AY49" s="100"/>
      <c r="AZ49" s="608"/>
      <c r="BA49" s="608"/>
      <c r="BB49" s="608"/>
      <c r="BC49" s="608"/>
      <c r="BD49" s="609"/>
      <c r="BE49" s="114"/>
    </row>
    <row r="50" spans="1:57" ht="13.5" customHeight="1">
      <c r="A50" s="100"/>
      <c r="B50" s="100"/>
      <c r="C50" s="100"/>
      <c r="D50" s="102"/>
      <c r="E50" s="100"/>
      <c r="F50" s="100"/>
      <c r="G50" s="100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100"/>
      <c r="AC50" s="100"/>
      <c r="AD50" s="100"/>
      <c r="AE50" s="100"/>
      <c r="AF50" s="100"/>
      <c r="AG50" s="100"/>
      <c r="AH50" s="100"/>
      <c r="AI50" s="100"/>
      <c r="AJ50" s="100"/>
      <c r="AK50" s="100"/>
      <c r="AL50" s="100"/>
      <c r="AM50" s="100"/>
      <c r="AN50" s="100"/>
      <c r="AO50" s="100"/>
      <c r="AP50" s="100"/>
      <c r="AQ50" s="100"/>
      <c r="AR50" s="100"/>
      <c r="AS50" s="100"/>
      <c r="AT50" s="100"/>
      <c r="AU50" s="100"/>
      <c r="AV50" s="100"/>
      <c r="AW50" s="100"/>
      <c r="AX50" s="100"/>
      <c r="AY50" s="100"/>
      <c r="AZ50" s="116"/>
      <c r="BA50" s="96"/>
      <c r="BB50" s="96"/>
      <c r="BC50" s="96"/>
      <c r="BD50" s="96"/>
      <c r="BE50" s="114"/>
    </row>
    <row r="51" spans="1:57" ht="13.5" customHeight="1" thickBot="1">
      <c r="A51" s="100"/>
      <c r="B51" s="100"/>
      <c r="C51" s="100"/>
      <c r="D51" s="102"/>
      <c r="E51" s="100"/>
      <c r="F51" s="100"/>
      <c r="G51" s="100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0"/>
      <c r="AC51" s="100"/>
      <c r="AD51" s="100"/>
      <c r="AE51" s="100"/>
      <c r="AF51" s="100"/>
      <c r="AG51" s="100"/>
      <c r="AH51" s="100"/>
      <c r="AI51" s="100"/>
      <c r="AJ51" s="100"/>
      <c r="AK51" s="100"/>
      <c r="AL51" s="100"/>
      <c r="AM51" s="100"/>
      <c r="AN51" s="100"/>
      <c r="AO51" s="100"/>
      <c r="AP51" s="100"/>
      <c r="AQ51" s="100"/>
      <c r="AR51" s="100"/>
      <c r="AS51" s="100"/>
      <c r="AT51" s="100"/>
      <c r="AU51" s="100"/>
      <c r="AV51" s="100"/>
      <c r="AW51" s="100"/>
      <c r="AX51" s="100"/>
      <c r="AY51" s="100"/>
      <c r="AZ51" s="610">
        <f>AZ48/AT40*100</f>
        <v>-13.992814371257396</v>
      </c>
      <c r="BA51" s="610"/>
      <c r="BB51" s="610"/>
      <c r="BC51" s="610"/>
      <c r="BD51" s="611" t="s">
        <v>69</v>
      </c>
      <c r="BE51" s="114"/>
    </row>
    <row r="52" spans="1:57" ht="13.5" thickBot="1">
      <c r="A52" s="100"/>
      <c r="B52" s="100"/>
      <c r="C52" s="100"/>
      <c r="D52" s="102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  <c r="AF52" s="100"/>
      <c r="AG52" s="100"/>
      <c r="AH52" s="100"/>
      <c r="AI52" s="100"/>
      <c r="AJ52" s="100"/>
      <c r="AK52" s="100"/>
      <c r="AL52" s="100"/>
      <c r="AM52" s="100"/>
      <c r="AN52" s="100"/>
      <c r="AO52" s="100"/>
      <c r="AP52" s="100"/>
      <c r="AQ52" s="100"/>
      <c r="AR52" s="100"/>
      <c r="AS52" s="100"/>
      <c r="AT52" s="100"/>
      <c r="AU52" s="100"/>
      <c r="AV52" s="100"/>
      <c r="AW52" s="100"/>
      <c r="AX52" s="100"/>
      <c r="AY52" s="100"/>
      <c r="AZ52" s="610"/>
      <c r="BA52" s="610"/>
      <c r="BB52" s="610"/>
      <c r="BC52" s="610"/>
      <c r="BD52" s="611"/>
      <c r="BE52" s="117"/>
    </row>
    <row r="53" spans="1:57">
      <c r="A53" s="100"/>
      <c r="B53" s="100"/>
      <c r="C53" s="100"/>
      <c r="D53" s="102"/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100"/>
      <c r="AI53" s="100"/>
      <c r="AJ53" s="100"/>
      <c r="AK53" s="100"/>
      <c r="AL53" s="100"/>
      <c r="AM53" s="100"/>
      <c r="AN53" s="100"/>
      <c r="AO53" s="100"/>
      <c r="AP53" s="100"/>
      <c r="AQ53" s="100"/>
      <c r="AR53" s="100"/>
      <c r="AS53" s="100"/>
      <c r="AT53" s="100"/>
      <c r="AU53" s="100"/>
      <c r="AV53" s="100"/>
      <c r="AW53" s="100"/>
      <c r="AX53" s="100"/>
      <c r="AY53" s="100"/>
      <c r="AZ53" s="100"/>
      <c r="BA53" s="100"/>
      <c r="BB53" s="100"/>
      <c r="BC53" s="100"/>
      <c r="BD53" s="100"/>
      <c r="BE53" s="100"/>
    </row>
    <row r="54" spans="1:57">
      <c r="A54" s="100"/>
      <c r="B54" s="100"/>
      <c r="C54" s="100"/>
      <c r="D54" s="102"/>
      <c r="E54" s="100"/>
      <c r="F54" s="100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100"/>
      <c r="AI54" s="100"/>
      <c r="AJ54" s="100"/>
      <c r="AK54" s="100"/>
      <c r="AL54" s="100"/>
      <c r="AM54" s="100"/>
      <c r="AN54" s="100"/>
      <c r="AO54" s="100"/>
      <c r="AP54" s="100"/>
      <c r="AQ54" s="100"/>
      <c r="AR54" s="100"/>
      <c r="AS54" s="100"/>
      <c r="AT54" s="100"/>
      <c r="AU54" s="100"/>
      <c r="AV54" s="100"/>
      <c r="AW54" s="100"/>
      <c r="AX54" s="100"/>
      <c r="AY54" s="100"/>
      <c r="AZ54" s="100"/>
      <c r="BA54" s="100"/>
      <c r="BB54" s="100"/>
      <c r="BC54" s="100"/>
      <c r="BD54" s="100"/>
      <c r="BE54" s="100"/>
    </row>
    <row r="55" spans="1:57">
      <c r="A55" s="100"/>
      <c r="B55" s="100"/>
      <c r="C55" s="100"/>
      <c r="D55" s="102"/>
      <c r="E55" s="100"/>
      <c r="F55" s="100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  <c r="AH55" s="100"/>
      <c r="AI55" s="100"/>
      <c r="AJ55" s="100"/>
      <c r="AK55" s="100"/>
      <c r="AL55" s="100"/>
      <c r="AM55" s="100"/>
      <c r="AN55" s="100"/>
      <c r="AO55" s="100"/>
      <c r="AP55" s="100"/>
      <c r="AQ55" s="100"/>
      <c r="AR55" s="100"/>
      <c r="AS55" s="100"/>
      <c r="AT55" s="100"/>
      <c r="AU55" s="100"/>
      <c r="AV55" s="100"/>
      <c r="AW55" s="100"/>
      <c r="AX55" s="100"/>
      <c r="AY55" s="100"/>
      <c r="AZ55" s="100"/>
      <c r="BA55" s="100"/>
      <c r="BB55" s="100"/>
      <c r="BC55" s="100"/>
      <c r="BD55" s="100"/>
      <c r="BE55" s="100"/>
    </row>
    <row r="56" spans="1:57" ht="13.5" thickBot="1">
      <c r="A56" s="100"/>
      <c r="B56" s="100"/>
      <c r="C56" s="100"/>
      <c r="D56" s="102"/>
      <c r="E56" s="100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/>
      <c r="AE56" s="100"/>
      <c r="AF56" s="100"/>
      <c r="AG56" s="100"/>
      <c r="AH56" s="100"/>
      <c r="AI56" s="100"/>
      <c r="AJ56" s="100"/>
      <c r="AK56" s="100"/>
      <c r="AL56" s="100"/>
      <c r="AM56" s="100"/>
      <c r="AN56" s="100"/>
      <c r="AO56" s="100"/>
      <c r="AP56" s="100"/>
      <c r="AQ56" s="100"/>
      <c r="AR56" s="100"/>
      <c r="AS56" s="100"/>
      <c r="AT56" s="100"/>
      <c r="AU56" s="100"/>
      <c r="AV56" s="100"/>
      <c r="AW56" s="100"/>
      <c r="AX56" s="100"/>
      <c r="AY56" s="100"/>
      <c r="AZ56" s="100"/>
      <c r="BA56" s="100"/>
      <c r="BB56" s="100"/>
      <c r="BC56" s="100"/>
      <c r="BD56" s="100"/>
      <c r="BE56" s="100"/>
    </row>
    <row r="57" spans="1:57" ht="15.75">
      <c r="A57" s="100"/>
      <c r="B57" s="100"/>
      <c r="C57" s="100"/>
      <c r="D57" s="102"/>
      <c r="E57" s="100"/>
      <c r="F57" s="100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100"/>
      <c r="AI57" s="100"/>
      <c r="AJ57" s="100"/>
      <c r="AK57" s="100"/>
      <c r="AL57" s="100"/>
      <c r="AM57" s="100"/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X57" s="100"/>
      <c r="AY57" s="100"/>
      <c r="AZ57" s="481" t="s">
        <v>344</v>
      </c>
      <c r="BA57" s="482"/>
      <c r="BB57" s="482"/>
      <c r="BC57" s="482"/>
      <c r="BD57" s="482"/>
      <c r="BE57" s="483"/>
    </row>
    <row r="58" spans="1:57" ht="15.75">
      <c r="A58" s="100"/>
      <c r="B58" s="100"/>
      <c r="C58" s="100"/>
      <c r="D58" s="102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  <c r="AA58" s="100"/>
      <c r="AB58" s="100"/>
      <c r="AC58" s="100"/>
      <c r="AD58" s="100"/>
      <c r="AE58" s="100"/>
      <c r="AF58" s="100"/>
      <c r="AG58" s="100"/>
      <c r="AH58" s="100"/>
      <c r="AI58" s="100"/>
      <c r="AJ58" s="100"/>
      <c r="AK58" s="100"/>
      <c r="AL58" s="100"/>
      <c r="AM58" s="100"/>
      <c r="AN58" s="100"/>
      <c r="AO58" s="100"/>
      <c r="AP58" s="100"/>
      <c r="AQ58" s="100"/>
      <c r="AR58" s="100"/>
      <c r="AS58" s="100"/>
      <c r="AT58" s="100"/>
      <c r="AU58" s="100"/>
      <c r="AV58" s="100"/>
      <c r="AW58" s="100"/>
      <c r="AX58" s="100"/>
      <c r="AY58" s="100"/>
      <c r="AZ58" s="484" t="s">
        <v>340</v>
      </c>
      <c r="BA58" s="485"/>
      <c r="BB58" s="485"/>
      <c r="BC58" s="485"/>
      <c r="BD58" s="617">
        <f>'[5]август 20'!$F$38</f>
        <v>788.86</v>
      </c>
      <c r="BE58" s="618"/>
    </row>
    <row r="59" spans="1:57" ht="16.5" thickBot="1">
      <c r="A59" s="100"/>
      <c r="B59" s="100"/>
      <c r="C59" s="100"/>
      <c r="D59" s="102"/>
      <c r="E59" s="100"/>
      <c r="F59" s="100"/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  <c r="AE59" s="100"/>
      <c r="AF59" s="100"/>
      <c r="AG59" s="100"/>
      <c r="AH59" s="100"/>
      <c r="AI59" s="100"/>
      <c r="AJ59" s="100"/>
      <c r="AK59" s="100"/>
      <c r="AL59" s="100"/>
      <c r="AM59" s="100"/>
      <c r="AN59" s="100"/>
      <c r="AO59" s="100"/>
      <c r="AP59" s="100"/>
      <c r="AQ59" s="100"/>
      <c r="AR59" s="100"/>
      <c r="AS59" s="100"/>
      <c r="AT59" s="100"/>
      <c r="AU59" s="100"/>
      <c r="AV59" s="100"/>
      <c r="AW59" s="100"/>
      <c r="AX59" s="100"/>
      <c r="AY59" s="100"/>
      <c r="AZ59" s="484" t="s">
        <v>341</v>
      </c>
      <c r="BA59" s="485"/>
      <c r="BB59" s="485"/>
      <c r="BC59" s="485"/>
      <c r="BD59" s="619">
        <f>'[5]август 20'!$B$38</f>
        <v>788.86</v>
      </c>
      <c r="BE59" s="620"/>
    </row>
    <row r="60" spans="1:57" ht="16.5" thickBot="1">
      <c r="A60" s="100"/>
      <c r="B60" s="100"/>
      <c r="C60" s="100"/>
      <c r="D60" s="102"/>
      <c r="E60" s="100"/>
      <c r="F60" s="100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  <c r="AE60" s="100"/>
      <c r="AF60" s="100"/>
      <c r="AG60" s="100"/>
      <c r="AH60" s="100"/>
      <c r="AI60" s="100"/>
      <c r="AJ60" s="100"/>
      <c r="AK60" s="100"/>
      <c r="AL60" s="100"/>
      <c r="AM60" s="100"/>
      <c r="AN60" s="100"/>
      <c r="AO60" s="100"/>
      <c r="AP60" s="100"/>
      <c r="AQ60" s="100"/>
      <c r="AR60" s="100"/>
      <c r="AS60" s="100"/>
      <c r="AT60" s="100"/>
      <c r="AU60" s="100"/>
      <c r="AV60" s="100"/>
      <c r="AW60" s="100"/>
      <c r="AX60" s="100"/>
      <c r="AY60" s="100"/>
      <c r="AZ60" s="486" t="s">
        <v>342</v>
      </c>
      <c r="BA60" s="487"/>
      <c r="BB60" s="487"/>
      <c r="BC60" s="487"/>
      <c r="BD60" s="621">
        <f>BD59-BD58</f>
        <v>0</v>
      </c>
      <c r="BE60" s="622"/>
    </row>
    <row r="61" spans="1:57">
      <c r="A61" s="100"/>
      <c r="B61" s="100"/>
      <c r="C61" s="100"/>
      <c r="D61" s="102"/>
      <c r="E61" s="100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/>
      <c r="AE61" s="100"/>
      <c r="AF61" s="100"/>
      <c r="AG61" s="100"/>
      <c r="AH61" s="100"/>
      <c r="AI61" s="100"/>
      <c r="AJ61" s="100"/>
      <c r="AK61" s="100"/>
      <c r="AL61" s="100"/>
      <c r="AM61" s="100"/>
      <c r="AN61" s="100"/>
      <c r="AO61" s="100"/>
      <c r="AP61" s="100"/>
      <c r="AQ61" s="100"/>
      <c r="AR61" s="100"/>
      <c r="AS61" s="100"/>
      <c r="AT61" s="100"/>
      <c r="AU61" s="100"/>
      <c r="AV61" s="100"/>
      <c r="AW61" s="100"/>
      <c r="AX61" s="100"/>
      <c r="AY61" s="100"/>
      <c r="AZ61" s="100"/>
      <c r="BA61" s="100"/>
      <c r="BB61" s="100"/>
      <c r="BC61" s="100"/>
      <c r="BD61" s="100"/>
      <c r="BE61" s="100"/>
    </row>
    <row r="62" spans="1:57">
      <c r="A62" s="100"/>
      <c r="B62" s="100"/>
      <c r="C62" s="100"/>
      <c r="D62" s="102"/>
      <c r="E62" s="100"/>
      <c r="F62" s="100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100"/>
      <c r="AC62" s="100"/>
      <c r="AD62" s="100"/>
      <c r="AE62" s="100"/>
      <c r="AF62" s="100"/>
      <c r="AG62" s="100"/>
      <c r="AH62" s="100"/>
      <c r="AI62" s="100"/>
      <c r="AJ62" s="100"/>
      <c r="AK62" s="100"/>
      <c r="AL62" s="100"/>
      <c r="AM62" s="100"/>
      <c r="AN62" s="100"/>
      <c r="AO62" s="100"/>
      <c r="AP62" s="100"/>
      <c r="AQ62" s="100"/>
      <c r="AR62" s="100"/>
      <c r="AS62" s="100"/>
      <c r="AT62" s="100"/>
      <c r="AU62" s="100"/>
      <c r="AV62" s="100"/>
      <c r="AW62" s="100"/>
      <c r="AX62" s="100"/>
      <c r="AY62" s="100"/>
      <c r="AZ62" s="100"/>
      <c r="BA62" s="100"/>
      <c r="BB62" s="100"/>
      <c r="BC62" s="100"/>
      <c r="BD62" s="100"/>
      <c r="BE62" s="100"/>
    </row>
    <row r="63" spans="1:57">
      <c r="A63" s="100"/>
      <c r="B63" s="100"/>
      <c r="C63" s="100"/>
      <c r="D63" s="102"/>
      <c r="E63" s="100"/>
      <c r="F63" s="100"/>
      <c r="G63" s="100"/>
      <c r="H63" s="100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  <c r="AA63" s="100"/>
      <c r="AB63" s="100"/>
      <c r="AC63" s="100"/>
      <c r="AD63" s="100"/>
      <c r="AE63" s="100"/>
      <c r="AF63" s="100"/>
      <c r="AG63" s="100"/>
      <c r="AH63" s="100"/>
      <c r="AI63" s="100"/>
      <c r="AJ63" s="100"/>
      <c r="AK63" s="100"/>
      <c r="AL63" s="100"/>
      <c r="AM63" s="100"/>
      <c r="AN63" s="100"/>
      <c r="AO63" s="100"/>
      <c r="AP63" s="100"/>
      <c r="AQ63" s="100"/>
      <c r="AR63" s="100"/>
      <c r="AS63" s="100"/>
      <c r="AT63" s="100"/>
      <c r="AU63" s="100"/>
      <c r="AV63" s="100"/>
      <c r="AW63" s="100"/>
      <c r="AX63" s="100"/>
      <c r="AY63" s="100"/>
      <c r="AZ63" s="100"/>
      <c r="BA63" s="100"/>
      <c r="BB63" s="100"/>
      <c r="BC63" s="100"/>
      <c r="BD63" s="100"/>
      <c r="BE63" s="100"/>
    </row>
    <row r="64" spans="1:57">
      <c r="A64" s="100"/>
      <c r="B64" s="100"/>
      <c r="C64" s="100"/>
      <c r="D64" s="102"/>
      <c r="E64" s="100"/>
      <c r="F64" s="100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  <c r="AE64" s="100"/>
      <c r="AF64" s="100"/>
      <c r="AG64" s="100"/>
      <c r="AH64" s="100"/>
      <c r="AI64" s="100"/>
      <c r="AJ64" s="100"/>
      <c r="AK64" s="100"/>
      <c r="AL64" s="100"/>
      <c r="AM64" s="100"/>
      <c r="AN64" s="100"/>
      <c r="AO64" s="100"/>
      <c r="AP64" s="100"/>
      <c r="AQ64" s="100"/>
      <c r="AR64" s="100"/>
      <c r="AS64" s="100"/>
      <c r="AT64" s="100"/>
      <c r="AU64" s="100"/>
      <c r="AV64" s="100"/>
      <c r="AW64" s="100"/>
      <c r="AX64" s="100"/>
      <c r="AY64" s="100"/>
      <c r="AZ64" s="100"/>
      <c r="BA64" s="100"/>
      <c r="BB64" s="100"/>
      <c r="BC64" s="100"/>
      <c r="BD64" s="100"/>
      <c r="BE64" s="100"/>
    </row>
    <row r="65" spans="1:57">
      <c r="A65" s="100"/>
      <c r="B65" s="100"/>
      <c r="C65" s="100"/>
      <c r="D65" s="102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/>
      <c r="AE65" s="100"/>
      <c r="AF65" s="100"/>
      <c r="AG65" s="100"/>
      <c r="AH65" s="100"/>
      <c r="AI65" s="100"/>
      <c r="AJ65" s="100"/>
      <c r="AK65" s="100"/>
      <c r="AL65" s="100"/>
      <c r="AM65" s="100"/>
      <c r="AN65" s="100"/>
      <c r="AO65" s="100"/>
      <c r="AP65" s="100"/>
      <c r="AQ65" s="100"/>
      <c r="AR65" s="100"/>
      <c r="AS65" s="100"/>
      <c r="AT65" s="100"/>
      <c r="AU65" s="100"/>
      <c r="AV65" s="100"/>
      <c r="AW65" s="100"/>
      <c r="AX65" s="100"/>
      <c r="AY65" s="100"/>
      <c r="AZ65" s="100"/>
      <c r="BA65" s="100"/>
      <c r="BB65" s="100"/>
      <c r="BC65" s="100"/>
      <c r="BD65" s="100"/>
      <c r="BE65" s="100"/>
    </row>
    <row r="66" spans="1:57">
      <c r="A66" s="100"/>
      <c r="B66" s="100"/>
      <c r="C66" s="100"/>
      <c r="D66" s="102"/>
      <c r="E66" s="100"/>
      <c r="F66" s="100"/>
      <c r="G66" s="100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/>
      <c r="AE66" s="100"/>
      <c r="AF66" s="100"/>
      <c r="AG66" s="100"/>
      <c r="AH66" s="100"/>
      <c r="AI66" s="100"/>
      <c r="AJ66" s="100"/>
      <c r="AK66" s="100"/>
      <c r="AL66" s="100"/>
      <c r="AM66" s="100"/>
      <c r="AN66" s="100"/>
      <c r="AO66" s="100"/>
      <c r="AP66" s="100"/>
      <c r="AQ66" s="100"/>
      <c r="AR66" s="100"/>
      <c r="AS66" s="100"/>
      <c r="AT66" s="100"/>
      <c r="AU66" s="100"/>
      <c r="AV66" s="100"/>
      <c r="AW66" s="100"/>
      <c r="AX66" s="100"/>
      <c r="AY66" s="100"/>
      <c r="AZ66" s="100"/>
      <c r="BA66" s="100"/>
      <c r="BB66" s="100"/>
      <c r="BC66" s="100"/>
      <c r="BD66" s="100"/>
      <c r="BE66" s="100"/>
    </row>
    <row r="67" spans="1:57">
      <c r="A67" s="100"/>
      <c r="B67" s="100"/>
      <c r="C67" s="100"/>
      <c r="D67" s="102"/>
      <c r="E67" s="100"/>
      <c r="F67" s="100"/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  <c r="AD67" s="100"/>
      <c r="AE67" s="100"/>
      <c r="AF67" s="100"/>
      <c r="AG67" s="100"/>
      <c r="AH67" s="100"/>
      <c r="AI67" s="100"/>
      <c r="AJ67" s="100"/>
      <c r="AK67" s="100"/>
      <c r="AL67" s="100"/>
      <c r="AM67" s="100"/>
      <c r="AN67" s="100"/>
      <c r="AO67" s="100"/>
      <c r="AP67" s="100"/>
      <c r="AQ67" s="100"/>
      <c r="AR67" s="100"/>
      <c r="AS67" s="100"/>
      <c r="AT67" s="100"/>
      <c r="AU67" s="100"/>
      <c r="AV67" s="100"/>
      <c r="AW67" s="100"/>
      <c r="AX67" s="100"/>
      <c r="AY67" s="100"/>
      <c r="AZ67" s="100"/>
      <c r="BA67" s="100"/>
      <c r="BB67" s="100"/>
      <c r="BC67" s="100"/>
      <c r="BD67" s="100"/>
      <c r="BE67" s="100"/>
    </row>
    <row r="68" spans="1:57">
      <c r="A68" s="100"/>
      <c r="B68" s="100"/>
      <c r="C68" s="100"/>
      <c r="D68" s="102"/>
      <c r="E68" s="100"/>
      <c r="F68" s="100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  <c r="AI68" s="100"/>
      <c r="AJ68" s="100"/>
      <c r="AK68" s="100"/>
      <c r="AL68" s="100"/>
      <c r="AM68" s="100"/>
      <c r="AN68" s="100"/>
      <c r="AO68" s="100"/>
      <c r="AP68" s="100"/>
      <c r="AQ68" s="100"/>
      <c r="AR68" s="100"/>
      <c r="AS68" s="100"/>
      <c r="AT68" s="100"/>
      <c r="AU68" s="100"/>
      <c r="AV68" s="100"/>
      <c r="AW68" s="100"/>
      <c r="AX68" s="100"/>
      <c r="AY68" s="100"/>
      <c r="AZ68" s="100"/>
      <c r="BA68" s="100"/>
      <c r="BB68" s="100"/>
      <c r="BC68" s="100"/>
      <c r="BD68" s="100"/>
      <c r="BE68" s="100"/>
    </row>
    <row r="69" spans="1:57">
      <c r="A69" s="100"/>
      <c r="B69" s="100"/>
      <c r="C69" s="100"/>
      <c r="D69" s="102"/>
      <c r="E69" s="100"/>
      <c r="F69" s="100"/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100"/>
      <c r="AC69" s="100"/>
      <c r="AD69" s="100"/>
      <c r="AE69" s="100"/>
      <c r="AF69" s="100"/>
      <c r="AG69" s="100"/>
      <c r="AH69" s="100"/>
      <c r="AI69" s="100"/>
      <c r="AJ69" s="100"/>
      <c r="AK69" s="100"/>
      <c r="AL69" s="100"/>
      <c r="AM69" s="100"/>
      <c r="AN69" s="100"/>
      <c r="AO69" s="100"/>
      <c r="AP69" s="100"/>
      <c r="AQ69" s="100"/>
      <c r="AR69" s="100"/>
      <c r="AS69" s="100"/>
      <c r="AT69" s="100"/>
      <c r="AU69" s="100"/>
      <c r="AV69" s="100"/>
      <c r="AW69" s="100"/>
      <c r="AX69" s="100"/>
      <c r="AY69" s="100"/>
      <c r="AZ69" s="100"/>
      <c r="BA69" s="100"/>
      <c r="BB69" s="100"/>
      <c r="BC69" s="100"/>
      <c r="BD69" s="100"/>
      <c r="BE69" s="100"/>
    </row>
    <row r="70" spans="1:57">
      <c r="A70" s="100"/>
      <c r="B70" s="100"/>
      <c r="C70" s="100"/>
      <c r="D70" s="102"/>
      <c r="E70" s="100"/>
      <c r="F70" s="100"/>
      <c r="G70" s="100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  <c r="AE70" s="100"/>
      <c r="AF70" s="100"/>
      <c r="AG70" s="100"/>
      <c r="AH70" s="100"/>
      <c r="AI70" s="100"/>
      <c r="AJ70" s="100"/>
      <c r="AK70" s="100"/>
      <c r="AL70" s="100"/>
      <c r="AM70" s="100"/>
      <c r="AN70" s="100"/>
      <c r="AO70" s="100"/>
      <c r="AP70" s="100"/>
      <c r="AQ70" s="100"/>
      <c r="AR70" s="100"/>
      <c r="AS70" s="100"/>
      <c r="AT70" s="100"/>
      <c r="AU70" s="100"/>
      <c r="AV70" s="100"/>
      <c r="AW70" s="100"/>
      <c r="AX70" s="100"/>
      <c r="AY70" s="100"/>
      <c r="AZ70" s="100"/>
      <c r="BA70" s="100"/>
      <c r="BB70" s="100"/>
      <c r="BC70" s="100"/>
      <c r="BD70" s="100"/>
      <c r="BE70" s="100"/>
    </row>
    <row r="71" spans="1:57" ht="18" customHeight="1">
      <c r="A71" s="318" t="s">
        <v>70</v>
      </c>
      <c r="B71" s="319"/>
      <c r="C71" s="318"/>
      <c r="D71" s="318"/>
      <c r="E71" s="318"/>
      <c r="F71" s="318"/>
      <c r="G71" s="318"/>
      <c r="H71" s="318"/>
      <c r="I71" s="318"/>
      <c r="J71" s="320"/>
      <c r="K71" s="320"/>
      <c r="L71" s="605" t="s">
        <v>194</v>
      </c>
      <c r="M71" s="605"/>
      <c r="N71" s="605"/>
      <c r="O71" s="605"/>
      <c r="P71" s="605"/>
      <c r="Q71" s="605"/>
      <c r="R71" s="109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/>
      <c r="AE71" s="100"/>
      <c r="AF71" s="100"/>
      <c r="AG71" s="100"/>
      <c r="AH71" s="100"/>
      <c r="AI71" s="100"/>
      <c r="AJ71" s="100"/>
      <c r="AK71" s="100"/>
      <c r="AL71" s="100"/>
      <c r="AM71" s="100"/>
      <c r="AN71" s="100"/>
      <c r="AO71" s="100"/>
      <c r="AP71" s="100"/>
      <c r="AQ71" s="100"/>
      <c r="AR71" s="100"/>
      <c r="AS71" s="100"/>
      <c r="AT71" s="100"/>
      <c r="AU71" s="100"/>
      <c r="AV71" s="100"/>
      <c r="AW71" s="100"/>
      <c r="AX71" s="100"/>
      <c r="AY71" s="100"/>
      <c r="AZ71" s="100"/>
      <c r="BA71" s="100"/>
      <c r="BB71" s="100"/>
      <c r="BC71" s="100"/>
      <c r="BD71" s="100"/>
      <c r="BE71" s="100"/>
    </row>
    <row r="72" spans="1:57" ht="15">
      <c r="A72" s="118"/>
      <c r="B72" s="118"/>
      <c r="C72" s="119"/>
      <c r="D72" s="120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  <c r="AE72" s="100"/>
      <c r="AF72" s="100"/>
      <c r="AG72" s="100"/>
      <c r="AH72" s="100"/>
      <c r="AI72" s="100"/>
      <c r="AJ72" s="100"/>
      <c r="AK72" s="100"/>
      <c r="AL72" s="100"/>
      <c r="AM72" s="100"/>
      <c r="AN72" s="100"/>
      <c r="AO72" s="100"/>
      <c r="AP72" s="100"/>
      <c r="AQ72" s="100"/>
      <c r="AR72" s="100"/>
      <c r="AS72" s="100"/>
      <c r="AT72" s="100"/>
      <c r="AU72" s="100"/>
      <c r="AV72" s="100"/>
      <c r="AW72" s="100"/>
      <c r="AX72" s="100"/>
      <c r="AY72" s="100"/>
      <c r="AZ72" s="100"/>
      <c r="BA72" s="100"/>
      <c r="BB72" s="100"/>
      <c r="BC72" s="100"/>
      <c r="BD72" s="100"/>
      <c r="BE72" s="100"/>
    </row>
    <row r="73" spans="1:57" ht="15.75">
      <c r="A73" s="100"/>
      <c r="B73" s="100"/>
      <c r="C73" s="100"/>
      <c r="D73" s="102"/>
      <c r="E73" s="100"/>
      <c r="F73" s="100"/>
      <c r="G73" s="100"/>
      <c r="H73" s="100"/>
      <c r="I73" s="100"/>
      <c r="J73" s="100"/>
      <c r="K73" s="100"/>
      <c r="L73" s="111"/>
      <c r="M73" s="111"/>
      <c r="N73" s="111"/>
      <c r="O73" s="111"/>
      <c r="P73" s="111"/>
      <c r="Q73" s="111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00"/>
      <c r="AK73" s="100"/>
      <c r="AL73" s="100"/>
      <c r="AM73" s="100"/>
      <c r="AN73" s="100"/>
      <c r="AO73" s="100"/>
      <c r="AP73" s="100"/>
      <c r="AQ73" s="100"/>
      <c r="AR73" s="100"/>
      <c r="AS73" s="100"/>
      <c r="AT73" s="100"/>
      <c r="AU73" s="100"/>
      <c r="AV73" s="100"/>
      <c r="AW73" s="100"/>
      <c r="AX73" s="100"/>
      <c r="AY73" s="100"/>
      <c r="AZ73" s="100"/>
      <c r="BA73" s="100"/>
      <c r="BB73" s="100"/>
      <c r="BC73" s="100"/>
      <c r="BD73" s="100"/>
      <c r="BE73" s="100"/>
    </row>
    <row r="74" spans="1:57">
      <c r="A74" s="100"/>
      <c r="B74" s="100"/>
      <c r="C74" s="100"/>
      <c r="D74" s="102"/>
      <c r="E74" s="100"/>
      <c r="F74" s="100"/>
      <c r="G74" s="100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00"/>
      <c r="AK74" s="100"/>
      <c r="AL74" s="100"/>
      <c r="AM74" s="100"/>
      <c r="AN74" s="100"/>
      <c r="AO74" s="100"/>
      <c r="AP74" s="100"/>
      <c r="AQ74" s="100"/>
      <c r="AR74" s="100"/>
      <c r="AS74" s="100"/>
      <c r="AT74" s="100"/>
      <c r="AU74" s="100"/>
      <c r="AV74" s="100"/>
      <c r="AW74" s="100"/>
      <c r="AX74" s="100"/>
      <c r="AY74" s="100"/>
      <c r="AZ74" s="100"/>
      <c r="BA74" s="100"/>
      <c r="BB74" s="100"/>
      <c r="BC74" s="100"/>
      <c r="BD74" s="100"/>
      <c r="BE74" s="100"/>
    </row>
    <row r="75" spans="1:57">
      <c r="A75" s="100"/>
      <c r="B75" s="100"/>
      <c r="C75" s="100"/>
      <c r="D75" s="102"/>
      <c r="E75" s="100"/>
      <c r="F75" s="100"/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  <c r="AD75" s="100"/>
      <c r="AE75" s="100"/>
      <c r="AF75" s="100"/>
      <c r="AG75" s="100"/>
      <c r="AH75" s="100"/>
      <c r="AI75" s="100"/>
      <c r="AJ75" s="100"/>
      <c r="AK75" s="100"/>
      <c r="AL75" s="100"/>
      <c r="AM75" s="100"/>
      <c r="AN75" s="100"/>
      <c r="AO75" s="100"/>
      <c r="AP75" s="100"/>
      <c r="AQ75" s="100"/>
      <c r="AR75" s="100"/>
      <c r="AS75" s="100"/>
      <c r="AT75" s="100"/>
      <c r="AU75" s="100"/>
      <c r="AV75" s="100"/>
      <c r="AW75" s="100"/>
      <c r="AX75" s="100"/>
      <c r="AY75" s="100"/>
      <c r="AZ75" s="100"/>
      <c r="BA75" s="100"/>
      <c r="BB75" s="100"/>
      <c r="BC75" s="100"/>
      <c r="BD75" s="100"/>
      <c r="BE75" s="100"/>
    </row>
    <row r="77" spans="1:57">
      <c r="AY77" t="s">
        <v>302</v>
      </c>
    </row>
  </sheetData>
  <sheetProtection selectLockedCells="1" selectUnlockedCells="1"/>
  <mergeCells count="81">
    <mergeCell ref="CO40:CU40"/>
    <mergeCell ref="BD58:BE58"/>
    <mergeCell ref="BD59:BE59"/>
    <mergeCell ref="BD60:BE60"/>
    <mergeCell ref="L71:Q71"/>
    <mergeCell ref="N46:O46"/>
    <mergeCell ref="AZ46:BE47"/>
    <mergeCell ref="AZ48:BC49"/>
    <mergeCell ref="BD48:BD49"/>
    <mergeCell ref="AZ51:BC52"/>
    <mergeCell ref="BD51:BD52"/>
    <mergeCell ref="AT42:AV42"/>
    <mergeCell ref="AC3:AC6"/>
    <mergeCell ref="AD3:AD6"/>
    <mergeCell ref="DA5:DB5"/>
    <mergeCell ref="CO39:CP39"/>
    <mergeCell ref="CQ39:CU39"/>
    <mergeCell ref="CV39:CY39"/>
    <mergeCell ref="AX5:AX6"/>
    <mergeCell ref="AY5:AY6"/>
    <mergeCell ref="AJ3:AK6"/>
    <mergeCell ref="AL3:AL6"/>
    <mergeCell ref="AM3:AM6"/>
    <mergeCell ref="AN3:AN6"/>
    <mergeCell ref="AO3:AO6"/>
    <mergeCell ref="AP3:AP6"/>
    <mergeCell ref="AT5:AT6"/>
    <mergeCell ref="AW5:AW6"/>
    <mergeCell ref="Q4:Q6"/>
    <mergeCell ref="R4:R6"/>
    <mergeCell ref="S4:S6"/>
    <mergeCell ref="T4:T6"/>
    <mergeCell ref="U4:U6"/>
    <mergeCell ref="AA3:AA6"/>
    <mergeCell ref="AB3:AB6"/>
    <mergeCell ref="N4:N6"/>
    <mergeCell ref="O4:O6"/>
    <mergeCell ref="DD4:DH4"/>
    <mergeCell ref="AE5:AE6"/>
    <mergeCell ref="AF5:AF6"/>
    <mergeCell ref="AG5:AG6"/>
    <mergeCell ref="AH5:AH6"/>
    <mergeCell ref="CF3:CI5"/>
    <mergeCell ref="AQ3:AQ6"/>
    <mergeCell ref="AS3:AS6"/>
    <mergeCell ref="AT3:AY4"/>
    <mergeCell ref="AZ3:AZ6"/>
    <mergeCell ref="BA3:BB4"/>
    <mergeCell ref="BC3:BC6"/>
    <mergeCell ref="CJ3:CM5"/>
    <mergeCell ref="B4:B6"/>
    <mergeCell ref="C4:C6"/>
    <mergeCell ref="D4:D6"/>
    <mergeCell ref="E4:E6"/>
    <mergeCell ref="F4:F6"/>
    <mergeCell ref="G4:G6"/>
    <mergeCell ref="H4:H6"/>
    <mergeCell ref="I4:I6"/>
    <mergeCell ref="J4:J6"/>
    <mergeCell ref="BD3:BD6"/>
    <mergeCell ref="BE3:BE6"/>
    <mergeCell ref="BK3:BQ5"/>
    <mergeCell ref="BR3:BX5"/>
    <mergeCell ref="BY3:CE5"/>
    <mergeCell ref="K4:K6"/>
    <mergeCell ref="AE3:AF4"/>
    <mergeCell ref="AG3:AI4"/>
    <mergeCell ref="AI5:AI6"/>
    <mergeCell ref="AY2:BC2"/>
    <mergeCell ref="A3:A6"/>
    <mergeCell ref="B3:G3"/>
    <mergeCell ref="H3:P3"/>
    <mergeCell ref="Q3:U3"/>
    <mergeCell ref="V3:V6"/>
    <mergeCell ref="W3:W6"/>
    <mergeCell ref="X3:X6"/>
    <mergeCell ref="Y3:Y6"/>
    <mergeCell ref="Z3:Z6"/>
    <mergeCell ref="P4:P6"/>
    <mergeCell ref="L4:L6"/>
    <mergeCell ref="M4:M6"/>
  </mergeCells>
  <printOptions horizontalCentered="1" verticalCentered="1"/>
  <pageMargins left="0" right="0" top="0" bottom="0" header="0" footer="0"/>
  <pageSetup paperSize="9" scale="46" firstPageNumber="0" orientation="landscape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>
  <dimension ref="A1:DN77"/>
  <sheetViews>
    <sheetView showZeros="0" zoomScale="90" zoomScaleNormal="90" workbookViewId="0">
      <pane xSplit="1" ySplit="6" topLeftCell="CK23" activePane="bottomRight" state="frozen"/>
      <selection pane="topRight" activeCell="B1" sqref="B1"/>
      <selection pane="bottomLeft" activeCell="A7" sqref="A7"/>
      <selection pane="bottomRight" activeCell="X47" sqref="X47"/>
    </sheetView>
  </sheetViews>
  <sheetFormatPr defaultColWidth="8.7109375" defaultRowHeight="12.75"/>
  <cols>
    <col min="1" max="1" width="3.5703125" customWidth="1"/>
    <col min="2" max="2" width="9.7109375" customWidth="1"/>
    <col min="3" max="3" width="6" customWidth="1"/>
    <col min="4" max="4" width="12" style="1" hidden="1" customWidth="1"/>
    <col min="5" max="5" width="7.140625" customWidth="1"/>
    <col min="6" max="6" width="7.5703125" customWidth="1"/>
    <col min="7" max="7" width="6.85546875" customWidth="1"/>
    <col min="8" max="8" width="7.28515625" customWidth="1"/>
    <col min="9" max="9" width="7.42578125" hidden="1" customWidth="1"/>
    <col min="10" max="10" width="9.140625" customWidth="1"/>
    <col min="11" max="11" width="5.5703125" hidden="1" customWidth="1"/>
    <col min="12" max="12" width="8.42578125" customWidth="1"/>
    <col min="13" max="13" width="7.42578125" customWidth="1"/>
    <col min="14" max="14" width="6.140625" customWidth="1"/>
    <col min="15" max="15" width="8.140625" customWidth="1"/>
    <col min="16" max="16" width="9.85546875" hidden="1" customWidth="1"/>
    <col min="17" max="17" width="9.28515625" customWidth="1"/>
    <col min="18" max="18" width="6" customWidth="1"/>
    <col min="19" max="19" width="8.140625" customWidth="1"/>
    <col min="20" max="20" width="9.140625" hidden="1" customWidth="1"/>
    <col min="21" max="21" width="7.140625" customWidth="1"/>
    <col min="22" max="22" width="7.85546875" customWidth="1"/>
    <col min="23" max="23" width="8.28515625" customWidth="1"/>
    <col min="24" max="24" width="6" customWidth="1"/>
    <col min="25" max="25" width="5.42578125" customWidth="1"/>
    <col min="26" max="26" width="6.85546875" customWidth="1"/>
    <col min="27" max="27" width="6.5703125" customWidth="1"/>
    <col min="28" max="28" width="7.5703125" customWidth="1"/>
    <col min="29" max="29" width="6.5703125" customWidth="1"/>
    <col min="30" max="30" width="4.28515625" customWidth="1"/>
    <col min="31" max="32" width="6.85546875" customWidth="1"/>
    <col min="33" max="33" width="0" hidden="1" customWidth="1"/>
    <col min="34" max="34" width="8.42578125" customWidth="1"/>
    <col min="35" max="35" width="7" customWidth="1"/>
    <col min="36" max="36" width="7.85546875" customWidth="1"/>
    <col min="37" max="37" width="0" hidden="1" customWidth="1"/>
    <col min="38" max="38" width="6.7109375" customWidth="1"/>
    <col min="39" max="39" width="7.7109375" customWidth="1"/>
    <col min="40" max="40" width="7" hidden="1" customWidth="1"/>
    <col min="41" max="41" width="9.42578125" customWidth="1"/>
    <col min="42" max="42" width="6.28515625" customWidth="1"/>
    <col min="43" max="43" width="6.85546875" customWidth="1"/>
    <col min="44" max="44" width="0" hidden="1" customWidth="1"/>
    <col min="45" max="45" width="6.7109375" customWidth="1"/>
    <col min="46" max="46" width="9.7109375" customWidth="1"/>
    <col min="47" max="47" width="7" customWidth="1"/>
    <col min="48" max="48" width="0" hidden="1" customWidth="1"/>
    <col min="49" max="49" width="6.140625" hidden="1" customWidth="1"/>
    <col min="50" max="50" width="5.140625" hidden="1" customWidth="1"/>
    <col min="51" max="51" width="8.42578125" customWidth="1"/>
    <col min="52" max="52" width="10" customWidth="1"/>
    <col min="53" max="53" width="8.7109375" hidden="1" customWidth="1"/>
    <col min="54" max="54" width="3.85546875" hidden="1" customWidth="1"/>
    <col min="55" max="55" width="6.5703125" customWidth="1"/>
    <col min="56" max="56" width="6.140625" customWidth="1"/>
    <col min="57" max="57" width="6.7109375" customWidth="1"/>
    <col min="58" max="58" width="8.85546875" customWidth="1"/>
    <col min="59" max="59" width="7.85546875" customWidth="1"/>
    <col min="60" max="60" width="9.85546875" customWidth="1"/>
    <col min="61" max="62" width="8.7109375" customWidth="1"/>
    <col min="63" max="63" width="10.28515625" customWidth="1"/>
    <col min="64" max="64" width="10.85546875" customWidth="1"/>
    <col min="65" max="65" width="10.7109375" customWidth="1"/>
    <col min="66" max="66" width="11.28515625" customWidth="1"/>
    <col min="67" max="68" width="8.85546875" customWidth="1"/>
    <col min="69" max="69" width="11.28515625" customWidth="1"/>
    <col min="70" max="70" width="7.7109375" customWidth="1"/>
    <col min="71" max="71" width="10" customWidth="1"/>
    <col min="72" max="72" width="8.85546875" customWidth="1"/>
    <col min="73" max="73" width="10.140625" customWidth="1"/>
    <col min="74" max="75" width="8.85546875" customWidth="1"/>
    <col min="76" max="76" width="10.85546875" customWidth="1"/>
    <col min="77" max="78" width="8.7109375" customWidth="1"/>
    <col min="79" max="79" width="10" customWidth="1"/>
    <col min="80" max="80" width="10.42578125" customWidth="1"/>
    <col min="81" max="82" width="8.42578125" customWidth="1"/>
    <col min="83" max="83" width="9.85546875" customWidth="1"/>
    <col min="84" max="85" width="11.42578125" customWidth="1"/>
    <col min="86" max="86" width="11.140625" customWidth="1"/>
    <col min="87" max="87" width="11.28515625" customWidth="1"/>
    <col min="88" max="89" width="10" customWidth="1"/>
    <col min="90" max="90" width="8.7109375" customWidth="1"/>
    <col min="91" max="91" width="11.85546875" customWidth="1"/>
    <col min="92" max="92" width="8.7109375" customWidth="1"/>
    <col min="93" max="93" width="12.140625" customWidth="1"/>
    <col min="94" max="94" width="12.5703125" customWidth="1"/>
    <col min="95" max="95" width="11.7109375" customWidth="1"/>
    <col min="96" max="98" width="12.28515625" customWidth="1"/>
    <col min="99" max="99" width="13.28515625" customWidth="1"/>
    <col min="100" max="100" width="12.85546875" customWidth="1"/>
    <col min="101" max="101" width="13.42578125" customWidth="1"/>
    <col min="102" max="103" width="12.5703125" customWidth="1"/>
    <col min="104" max="104" width="9.5703125" customWidth="1"/>
    <col min="105" max="105" width="19.140625" customWidth="1"/>
    <col min="106" max="106" width="19.42578125" customWidth="1"/>
    <col min="111" max="111" width="8.7109375" hidden="1" customWidth="1"/>
    <col min="112" max="112" width="9" bestFit="1" customWidth="1"/>
    <col min="114" max="114" width="9.5703125" bestFit="1" customWidth="1"/>
    <col min="115" max="115" width="12.85546875" customWidth="1"/>
  </cols>
  <sheetData>
    <row r="1" spans="1:118" ht="17.25" customHeight="1">
      <c r="A1" s="310" t="s">
        <v>0</v>
      </c>
      <c r="B1" s="310"/>
      <c r="C1" s="310"/>
      <c r="D1" s="311"/>
      <c r="E1" s="310"/>
      <c r="F1" s="310"/>
      <c r="G1" s="310"/>
      <c r="H1" s="310"/>
      <c r="I1" s="310"/>
      <c r="J1" s="310"/>
      <c r="K1" s="310"/>
      <c r="L1" s="310"/>
      <c r="M1" s="310"/>
      <c r="N1" s="310"/>
      <c r="O1" s="310"/>
      <c r="P1" s="77"/>
      <c r="Q1" s="77"/>
      <c r="R1" s="77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</row>
    <row r="2" spans="1:118" ht="19.5" customHeight="1" thickBot="1">
      <c r="A2" s="22"/>
      <c r="B2" s="78"/>
      <c r="C2" s="78"/>
      <c r="D2" s="79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80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80"/>
      <c r="AT2" s="312" t="s">
        <v>1</v>
      </c>
      <c r="AU2" s="313">
        <v>31</v>
      </c>
      <c r="AV2" s="314"/>
      <c r="AW2" s="314"/>
      <c r="AX2" s="315" t="s">
        <v>81</v>
      </c>
      <c r="AY2" s="556" t="s">
        <v>81</v>
      </c>
      <c r="AZ2" s="556"/>
      <c r="BA2" s="556"/>
      <c r="BB2" s="556"/>
      <c r="BC2" s="556"/>
      <c r="BD2" s="316" t="s">
        <v>107</v>
      </c>
      <c r="BE2" s="317"/>
    </row>
    <row r="3" spans="1:118" ht="39.75" customHeight="1" thickBot="1">
      <c r="A3" s="557" t="s">
        <v>3</v>
      </c>
      <c r="B3" s="558" t="s">
        <v>71</v>
      </c>
      <c r="C3" s="558"/>
      <c r="D3" s="558"/>
      <c r="E3" s="558"/>
      <c r="F3" s="558"/>
      <c r="G3" s="558"/>
      <c r="H3" s="554" t="s">
        <v>4</v>
      </c>
      <c r="I3" s="554"/>
      <c r="J3" s="554"/>
      <c r="K3" s="554"/>
      <c r="L3" s="554"/>
      <c r="M3" s="554"/>
      <c r="N3" s="554"/>
      <c r="O3" s="554"/>
      <c r="P3" s="559"/>
      <c r="Q3" s="560" t="s">
        <v>5</v>
      </c>
      <c r="R3" s="561"/>
      <c r="S3" s="561"/>
      <c r="T3" s="561"/>
      <c r="U3" s="562"/>
      <c r="V3" s="563" t="s">
        <v>6</v>
      </c>
      <c r="W3" s="563" t="s">
        <v>7</v>
      </c>
      <c r="X3" s="564" t="s">
        <v>8</v>
      </c>
      <c r="Y3" s="564" t="s">
        <v>9</v>
      </c>
      <c r="Z3" s="564" t="s">
        <v>10</v>
      </c>
      <c r="AA3" s="564" t="s">
        <v>11</v>
      </c>
      <c r="AB3" s="564" t="s">
        <v>12</v>
      </c>
      <c r="AC3" s="564" t="s">
        <v>13</v>
      </c>
      <c r="AD3" s="564" t="s">
        <v>14</v>
      </c>
      <c r="AE3" s="554" t="s">
        <v>15</v>
      </c>
      <c r="AF3" s="554"/>
      <c r="AG3" s="554" t="s">
        <v>16</v>
      </c>
      <c r="AH3" s="554"/>
      <c r="AI3" s="554"/>
      <c r="AJ3" s="593" t="s">
        <v>17</v>
      </c>
      <c r="AK3" s="593"/>
      <c r="AL3" s="564" t="s">
        <v>18</v>
      </c>
      <c r="AM3" s="599" t="s">
        <v>19</v>
      </c>
      <c r="AN3" s="600" t="s">
        <v>95</v>
      </c>
      <c r="AO3" s="603" t="s">
        <v>20</v>
      </c>
      <c r="AP3" s="564" t="s">
        <v>105</v>
      </c>
      <c r="AQ3" s="564" t="s">
        <v>21</v>
      </c>
      <c r="AR3" s="81"/>
      <c r="AS3" s="593" t="s">
        <v>22</v>
      </c>
      <c r="AT3" s="554" t="s">
        <v>23</v>
      </c>
      <c r="AU3" s="554"/>
      <c r="AV3" s="554"/>
      <c r="AW3" s="554"/>
      <c r="AX3" s="554"/>
      <c r="AY3" s="554"/>
      <c r="AZ3" s="564" t="s">
        <v>24</v>
      </c>
      <c r="BA3" s="594" t="s">
        <v>25</v>
      </c>
      <c r="BB3" s="594"/>
      <c r="BC3" s="564" t="s">
        <v>26</v>
      </c>
      <c r="BD3" s="564" t="s">
        <v>27</v>
      </c>
      <c r="BE3" s="572" t="s">
        <v>28</v>
      </c>
      <c r="BF3" s="3"/>
      <c r="BG3" s="3"/>
      <c r="BH3" s="3"/>
      <c r="BI3" s="3"/>
      <c r="BJ3" s="3"/>
      <c r="BK3" s="573" t="s">
        <v>29</v>
      </c>
      <c r="BL3" s="574"/>
      <c r="BM3" s="574"/>
      <c r="BN3" s="574"/>
      <c r="BO3" s="575"/>
      <c r="BP3" s="575"/>
      <c r="BQ3" s="576"/>
      <c r="BR3" s="573" t="s">
        <v>30</v>
      </c>
      <c r="BS3" s="585"/>
      <c r="BT3" s="585"/>
      <c r="BU3" s="585"/>
      <c r="BV3" s="585"/>
      <c r="BW3" s="585"/>
      <c r="BX3" s="586"/>
      <c r="BY3" s="566" t="s">
        <v>31</v>
      </c>
      <c r="BZ3" s="566"/>
      <c r="CA3" s="566"/>
      <c r="CB3" s="566"/>
      <c r="CC3" s="566"/>
      <c r="CD3" s="566"/>
      <c r="CE3" s="566"/>
      <c r="CF3" s="566" t="s">
        <v>87</v>
      </c>
      <c r="CG3" s="566"/>
      <c r="CH3" s="566"/>
      <c r="CI3" s="566"/>
      <c r="CJ3" s="566" t="s">
        <v>32</v>
      </c>
      <c r="CK3" s="566"/>
      <c r="CL3" s="566"/>
      <c r="CM3" s="566"/>
      <c r="CN3" s="4"/>
      <c r="CO3" s="5"/>
      <c r="CP3" s="6"/>
      <c r="CQ3" s="6"/>
    </row>
    <row r="4" spans="1:118" s="7" customFormat="1" ht="30.75" customHeight="1" thickBot="1">
      <c r="A4" s="557"/>
      <c r="B4" s="565" t="s">
        <v>72</v>
      </c>
      <c r="C4" s="613" t="s">
        <v>73</v>
      </c>
      <c r="D4" s="615" t="s">
        <v>33</v>
      </c>
      <c r="E4" s="613" t="s">
        <v>74</v>
      </c>
      <c r="F4" s="569" t="s">
        <v>75</v>
      </c>
      <c r="G4" s="569" t="s">
        <v>34</v>
      </c>
      <c r="H4" s="555" t="s">
        <v>76</v>
      </c>
      <c r="I4" s="570" t="s">
        <v>101</v>
      </c>
      <c r="J4" s="555" t="s">
        <v>89</v>
      </c>
      <c r="K4" s="565" t="s">
        <v>35</v>
      </c>
      <c r="L4" s="565" t="s">
        <v>77</v>
      </c>
      <c r="M4" s="565" t="s">
        <v>78</v>
      </c>
      <c r="N4" s="565" t="s">
        <v>101</v>
      </c>
      <c r="O4" s="565" t="s">
        <v>96</v>
      </c>
      <c r="P4" s="555" t="s">
        <v>79</v>
      </c>
      <c r="Q4" s="555" t="s">
        <v>36</v>
      </c>
      <c r="R4" s="555" t="s">
        <v>32</v>
      </c>
      <c r="S4" s="555" t="s">
        <v>37</v>
      </c>
      <c r="T4" s="555" t="s">
        <v>38</v>
      </c>
      <c r="U4" s="555" t="s">
        <v>39</v>
      </c>
      <c r="V4" s="563"/>
      <c r="W4" s="563"/>
      <c r="X4" s="564"/>
      <c r="Y4" s="564"/>
      <c r="Z4" s="564"/>
      <c r="AA4" s="564"/>
      <c r="AB4" s="564"/>
      <c r="AC4" s="564"/>
      <c r="AD4" s="564"/>
      <c r="AE4" s="554"/>
      <c r="AF4" s="554"/>
      <c r="AG4" s="554"/>
      <c r="AH4" s="554"/>
      <c r="AI4" s="554"/>
      <c r="AJ4" s="593"/>
      <c r="AK4" s="593"/>
      <c r="AL4" s="564"/>
      <c r="AM4" s="599"/>
      <c r="AN4" s="601"/>
      <c r="AO4" s="603"/>
      <c r="AP4" s="564"/>
      <c r="AQ4" s="564"/>
      <c r="AR4" s="82"/>
      <c r="AS4" s="593"/>
      <c r="AT4" s="554"/>
      <c r="AU4" s="554"/>
      <c r="AV4" s="554"/>
      <c r="AW4" s="554"/>
      <c r="AX4" s="554"/>
      <c r="AY4" s="554"/>
      <c r="AZ4" s="564"/>
      <c r="BA4" s="594"/>
      <c r="BB4" s="594"/>
      <c r="BC4" s="564"/>
      <c r="BD4" s="564"/>
      <c r="BE4" s="572"/>
      <c r="BF4" s="3"/>
      <c r="BG4" s="3"/>
      <c r="BH4" s="3"/>
      <c r="BI4" s="3"/>
      <c r="BJ4" s="3"/>
      <c r="BK4" s="577"/>
      <c r="BL4" s="578"/>
      <c r="BM4" s="578"/>
      <c r="BN4" s="578"/>
      <c r="BO4" s="579"/>
      <c r="BP4" s="579"/>
      <c r="BQ4" s="580"/>
      <c r="BR4" s="577"/>
      <c r="BS4" s="566"/>
      <c r="BT4" s="566"/>
      <c r="BU4" s="566"/>
      <c r="BV4" s="566"/>
      <c r="BW4" s="566"/>
      <c r="BX4" s="587"/>
      <c r="BY4" s="566"/>
      <c r="BZ4" s="566"/>
      <c r="CA4" s="566"/>
      <c r="CB4" s="566"/>
      <c r="CC4" s="566"/>
      <c r="CD4" s="566"/>
      <c r="CE4" s="566"/>
      <c r="CF4" s="566"/>
      <c r="CG4" s="566"/>
      <c r="CH4" s="566"/>
      <c r="CI4" s="566"/>
      <c r="CJ4" s="566"/>
      <c r="CK4" s="566"/>
      <c r="CL4" s="566"/>
      <c r="CM4" s="566"/>
      <c r="CN4" s="4"/>
      <c r="CO4" s="6"/>
      <c r="CP4" s="6"/>
      <c r="CQ4" s="262"/>
      <c r="CR4" s="231"/>
      <c r="CS4" s="231"/>
      <c r="CT4" s="231"/>
      <c r="CU4" s="231"/>
      <c r="CV4" s="231"/>
      <c r="CW4" s="231"/>
      <c r="CX4" s="231"/>
      <c r="CY4" s="231"/>
      <c r="DD4" s="590" t="s">
        <v>90</v>
      </c>
      <c r="DE4" s="591"/>
      <c r="DF4" s="591"/>
      <c r="DG4" s="591"/>
      <c r="DH4" s="592"/>
    </row>
    <row r="5" spans="1:118" s="7" customFormat="1" ht="8.25" hidden="1" customHeight="1">
      <c r="A5" s="557"/>
      <c r="B5" s="565"/>
      <c r="C5" s="614"/>
      <c r="D5" s="616"/>
      <c r="E5" s="614"/>
      <c r="F5" s="569"/>
      <c r="G5" s="569"/>
      <c r="H5" s="555"/>
      <c r="I5" s="570"/>
      <c r="J5" s="565"/>
      <c r="K5" s="565"/>
      <c r="L5" s="565"/>
      <c r="M5" s="565"/>
      <c r="N5" s="565"/>
      <c r="O5" s="565"/>
      <c r="P5" s="555"/>
      <c r="Q5" s="555"/>
      <c r="R5" s="555"/>
      <c r="S5" s="555"/>
      <c r="T5" s="555"/>
      <c r="U5" s="555"/>
      <c r="V5" s="563"/>
      <c r="W5" s="563"/>
      <c r="X5" s="564"/>
      <c r="Y5" s="564"/>
      <c r="Z5" s="564"/>
      <c r="AA5" s="564"/>
      <c r="AB5" s="564"/>
      <c r="AC5" s="564"/>
      <c r="AD5" s="564"/>
      <c r="AE5" s="555" t="s">
        <v>40</v>
      </c>
      <c r="AF5" s="555" t="s">
        <v>41</v>
      </c>
      <c r="AG5" s="555" t="s">
        <v>42</v>
      </c>
      <c r="AH5" s="555" t="s">
        <v>40</v>
      </c>
      <c r="AI5" s="555" t="s">
        <v>41</v>
      </c>
      <c r="AJ5" s="593"/>
      <c r="AK5" s="593"/>
      <c r="AL5" s="564"/>
      <c r="AM5" s="599"/>
      <c r="AN5" s="601"/>
      <c r="AO5" s="603"/>
      <c r="AP5" s="564"/>
      <c r="AQ5" s="564"/>
      <c r="AR5" s="83"/>
      <c r="AS5" s="593"/>
      <c r="AT5" s="555" t="s">
        <v>43</v>
      </c>
      <c r="AU5" s="84"/>
      <c r="AV5" s="85"/>
      <c r="AW5" s="598" t="s">
        <v>44</v>
      </c>
      <c r="AX5" s="598" t="s">
        <v>45</v>
      </c>
      <c r="AY5" s="555" t="s">
        <v>46</v>
      </c>
      <c r="AZ5" s="564"/>
      <c r="BA5" s="86" t="s">
        <v>47</v>
      </c>
      <c r="BB5" s="86" t="s">
        <v>48</v>
      </c>
      <c r="BC5" s="564"/>
      <c r="BD5" s="564"/>
      <c r="BE5" s="572"/>
      <c r="BF5" s="3"/>
      <c r="BG5" s="3"/>
      <c r="BH5" s="3"/>
      <c r="BI5" s="3"/>
      <c r="BJ5" s="3"/>
      <c r="BK5" s="581"/>
      <c r="BL5" s="582"/>
      <c r="BM5" s="582"/>
      <c r="BN5" s="582"/>
      <c r="BO5" s="583"/>
      <c r="BP5" s="583"/>
      <c r="BQ5" s="584"/>
      <c r="BR5" s="581"/>
      <c r="BS5" s="588"/>
      <c r="BT5" s="588"/>
      <c r="BU5" s="588"/>
      <c r="BV5" s="588"/>
      <c r="BW5" s="588"/>
      <c r="BX5" s="589"/>
      <c r="BY5" s="567"/>
      <c r="BZ5" s="566"/>
      <c r="CA5" s="566"/>
      <c r="CB5" s="566"/>
      <c r="CC5" s="566"/>
      <c r="CD5" s="566"/>
      <c r="CE5" s="566"/>
      <c r="CF5" s="567"/>
      <c r="CG5" s="567"/>
      <c r="CH5" s="567"/>
      <c r="CI5" s="567"/>
      <c r="CJ5" s="567"/>
      <c r="CK5" s="567"/>
      <c r="CL5" s="567"/>
      <c r="CM5" s="567"/>
      <c r="CN5" s="4"/>
      <c r="CO5"/>
      <c r="CP5"/>
      <c r="CQ5" s="255"/>
      <c r="CR5" s="256"/>
      <c r="CS5" s="256"/>
      <c r="CT5" s="256"/>
      <c r="CU5" s="256"/>
      <c r="CV5" s="257"/>
      <c r="CW5" s="257"/>
      <c r="CX5" s="257"/>
      <c r="CY5" s="258"/>
      <c r="DA5" s="595" t="s">
        <v>49</v>
      </c>
      <c r="DB5" s="595"/>
    </row>
    <row r="6" spans="1:118" s="7" customFormat="1" ht="106.5" customHeight="1" thickBot="1">
      <c r="A6" s="557"/>
      <c r="B6" s="565"/>
      <c r="C6" s="565"/>
      <c r="D6" s="568"/>
      <c r="E6" s="565"/>
      <c r="F6" s="569"/>
      <c r="G6" s="569"/>
      <c r="H6" s="555"/>
      <c r="I6" s="570"/>
      <c r="J6" s="571"/>
      <c r="K6" s="565"/>
      <c r="L6" s="565"/>
      <c r="M6" s="565"/>
      <c r="N6" s="565"/>
      <c r="O6" s="565"/>
      <c r="P6" s="565"/>
      <c r="Q6" s="565"/>
      <c r="R6" s="565"/>
      <c r="S6" s="565"/>
      <c r="T6" s="555"/>
      <c r="U6" s="555"/>
      <c r="V6" s="563"/>
      <c r="W6" s="563"/>
      <c r="X6" s="564"/>
      <c r="Y6" s="564"/>
      <c r="Z6" s="564"/>
      <c r="AA6" s="564"/>
      <c r="AB6" s="564"/>
      <c r="AC6" s="564"/>
      <c r="AD6" s="564"/>
      <c r="AE6" s="555"/>
      <c r="AF6" s="555"/>
      <c r="AG6" s="555"/>
      <c r="AH6" s="555"/>
      <c r="AI6" s="555"/>
      <c r="AJ6" s="593"/>
      <c r="AK6" s="593"/>
      <c r="AL6" s="564"/>
      <c r="AM6" s="599"/>
      <c r="AN6" s="602"/>
      <c r="AO6" s="603"/>
      <c r="AP6" s="564"/>
      <c r="AQ6" s="564"/>
      <c r="AR6" s="507"/>
      <c r="AS6" s="593"/>
      <c r="AT6" s="555"/>
      <c r="AU6" s="506" t="s">
        <v>50</v>
      </c>
      <c r="AV6" s="506" t="s">
        <v>51</v>
      </c>
      <c r="AW6" s="598"/>
      <c r="AX6" s="598"/>
      <c r="AY6" s="555"/>
      <c r="AZ6" s="555"/>
      <c r="BA6" s="87"/>
      <c r="BB6" s="88">
        <v>0.04</v>
      </c>
      <c r="BC6" s="564"/>
      <c r="BD6" s="564"/>
      <c r="BE6" s="572"/>
      <c r="BF6" s="8" t="s">
        <v>52</v>
      </c>
      <c r="BG6" s="8" t="s">
        <v>53</v>
      </c>
      <c r="BH6" s="8" t="s">
        <v>54</v>
      </c>
      <c r="BI6" s="3"/>
      <c r="BJ6" s="3"/>
      <c r="BK6" s="308" t="s">
        <v>364</v>
      </c>
      <c r="BL6" s="280" t="s">
        <v>82</v>
      </c>
      <c r="BM6" s="279" t="s">
        <v>262</v>
      </c>
      <c r="BN6" s="307" t="s">
        <v>365</v>
      </c>
      <c r="BO6" s="308" t="s">
        <v>97</v>
      </c>
      <c r="BP6" s="326" t="s">
        <v>99</v>
      </c>
      <c r="BQ6" s="495" t="s">
        <v>366</v>
      </c>
      <c r="BR6" s="308" t="s">
        <v>364</v>
      </c>
      <c r="BS6" s="280" t="s">
        <v>82</v>
      </c>
      <c r="BT6" s="279" t="s">
        <v>262</v>
      </c>
      <c r="BU6" s="327"/>
      <c r="BV6" s="308" t="s">
        <v>97</v>
      </c>
      <c r="BW6" s="326" t="s">
        <v>99</v>
      </c>
      <c r="BX6" s="306"/>
      <c r="BY6" s="308" t="s">
        <v>364</v>
      </c>
      <c r="BZ6" s="280" t="s">
        <v>82</v>
      </c>
      <c r="CA6" s="279" t="s">
        <v>262</v>
      </c>
      <c r="CB6" s="307" t="s">
        <v>365</v>
      </c>
      <c r="CC6" s="308" t="s">
        <v>97</v>
      </c>
      <c r="CD6" s="326" t="s">
        <v>99</v>
      </c>
      <c r="CE6" s="495" t="s">
        <v>366</v>
      </c>
      <c r="CF6" s="267" t="s">
        <v>106</v>
      </c>
      <c r="CG6" s="268" t="s">
        <v>85</v>
      </c>
      <c r="CH6" s="244" t="s">
        <v>109</v>
      </c>
      <c r="CI6" s="245" t="s">
        <v>103</v>
      </c>
      <c r="CJ6" s="267" t="s">
        <v>106</v>
      </c>
      <c r="CK6" s="268" t="s">
        <v>85</v>
      </c>
      <c r="CL6" s="244" t="s">
        <v>109</v>
      </c>
      <c r="CM6" s="245" t="s">
        <v>103</v>
      </c>
      <c r="CN6" s="243"/>
      <c r="CO6" s="248" t="s">
        <v>364</v>
      </c>
      <c r="CP6" s="10" t="s">
        <v>82</v>
      </c>
      <c r="CQ6" s="264" t="s">
        <v>263</v>
      </c>
      <c r="CR6" s="23" t="s">
        <v>367</v>
      </c>
      <c r="CS6" s="248" t="s">
        <v>98</v>
      </c>
      <c r="CT6" s="248" t="s">
        <v>99</v>
      </c>
      <c r="CU6" s="496" t="s">
        <v>369</v>
      </c>
      <c r="CV6" s="259" t="s">
        <v>106</v>
      </c>
      <c r="CW6" s="248" t="s">
        <v>84</v>
      </c>
      <c r="CX6" s="232" t="s">
        <v>108</v>
      </c>
      <c r="CY6" s="263" t="s">
        <v>103</v>
      </c>
      <c r="CZ6" s="253"/>
      <c r="DA6" s="321" t="s">
        <v>80</v>
      </c>
      <c r="DB6" s="321" t="s">
        <v>55</v>
      </c>
      <c r="DD6" s="288" t="s">
        <v>91</v>
      </c>
      <c r="DE6" s="289" t="s">
        <v>92</v>
      </c>
      <c r="DF6" s="290" t="s">
        <v>93</v>
      </c>
      <c r="DG6" s="290"/>
      <c r="DH6" s="289" t="s">
        <v>94</v>
      </c>
    </row>
    <row r="7" spans="1:118" s="76" customFormat="1" ht="16.5" customHeight="1" thickBot="1">
      <c r="A7" s="121">
        <v>1</v>
      </c>
      <c r="B7" s="122">
        <f>BK7+BL7+BM7+BN7+BO7+BP7+BQ7</f>
        <v>230.15300299999998</v>
      </c>
      <c r="C7" s="123">
        <f>IF(B7=0,0,(BK7*BR7+BL7*BS7+BM7*BT7+BN7*BU7+BQ7*BX7+BO7*BV7+BP7*BW7)/B7)</f>
        <v>0.31469657490848824</v>
      </c>
      <c r="D7" s="124">
        <f>B7*((100-C7)/100)</f>
        <v>229.42871938250997</v>
      </c>
      <c r="E7" s="125">
        <f>IF(B7=0,0,(BK7*BY7+BL7*BZ7+BM7*CA7+BQ7*CE7+BN7*CB7+BO7*CC7+BP7*CD7)/B7)</f>
        <v>38.22117598005012</v>
      </c>
      <c r="F7" s="126">
        <f t="shared" ref="F7:F37" si="0">IF(AY7=0,0,D7/AY7)</f>
        <v>2.3495004545059905</v>
      </c>
      <c r="G7" s="127"/>
      <c r="H7" s="126">
        <f>IF(AY7=0,0,(CP7+CO7+CS7+CQ7+CT7)/AY7)</f>
        <v>1.1027109124423959</v>
      </c>
      <c r="I7" s="230">
        <f>'[1]июль 20'!AI6</f>
        <v>0</v>
      </c>
      <c r="J7" s="246">
        <f>'[1]август 20'!AA6</f>
        <v>9.1289999999999996</v>
      </c>
      <c r="K7" s="437">
        <f>'[1]сентябрь 20'!AM6</f>
        <v>0</v>
      </c>
      <c r="L7" s="438">
        <f>BN7+BQ7</f>
        <v>121.749</v>
      </c>
      <c r="M7" s="399">
        <f>IF(AY7=0,0,(CR7+CU7)/AY7)</f>
        <v>1.2467895420635946</v>
      </c>
      <c r="N7" s="399">
        <f>'[1]август 20'!W6</f>
        <v>0</v>
      </c>
      <c r="O7" s="402">
        <f>'[1]август 20'!AU6</f>
        <v>0</v>
      </c>
      <c r="P7" s="125">
        <f t="shared" ref="P7:P37" si="1">CF7+CH7+CI7+CG7</f>
        <v>154.305003</v>
      </c>
      <c r="Q7" s="122">
        <f>CF7</f>
        <v>154.30500000000001</v>
      </c>
      <c r="R7" s="123">
        <f>IF(Q7=0,0,(CI7*CM7+CG7*CK7+CH7*CL7+CF7*CJ7)/Q7)</f>
        <v>1.5500000000000196</v>
      </c>
      <c r="S7" s="129">
        <v>12.34</v>
      </c>
      <c r="T7" s="125">
        <f t="shared" ref="T7:T37" si="2">Q7*((100-R7)/100)</f>
        <v>151.91327249999995</v>
      </c>
      <c r="U7" s="128">
        <f t="shared" ref="U7:U37" si="3">IF(AY7=0,0,T7/AY7)</f>
        <v>1.5556914746543775</v>
      </c>
      <c r="V7" s="130">
        <v>97.65</v>
      </c>
      <c r="W7" s="130">
        <v>97.65</v>
      </c>
      <c r="X7" s="129">
        <v>0.54</v>
      </c>
      <c r="Y7" s="131">
        <v>633</v>
      </c>
      <c r="Z7" s="131">
        <v>1152</v>
      </c>
      <c r="AA7" s="132" t="s">
        <v>314</v>
      </c>
      <c r="AB7" s="129">
        <v>75.900000000000006</v>
      </c>
      <c r="AC7" s="131">
        <v>89</v>
      </c>
      <c r="AD7" s="133">
        <v>4</v>
      </c>
      <c r="AE7" s="129"/>
      <c r="AF7" s="134">
        <f t="shared" ref="AF7:AF37" si="4">IF(AY7=0,0,AE7/AY7*1000)</f>
        <v>0</v>
      </c>
      <c r="AG7" s="135"/>
      <c r="AH7" s="129">
        <v>72.5</v>
      </c>
      <c r="AI7" s="134">
        <f t="shared" ref="AI7:AI37" si="5">IF(AY7=0,0,AH7/AY7*1000)</f>
        <v>742.44751664106514</v>
      </c>
      <c r="AJ7" s="136">
        <v>13.86</v>
      </c>
      <c r="AK7" s="127"/>
      <c r="AL7" s="137">
        <v>5.42</v>
      </c>
      <c r="AM7" s="478">
        <f>AT7*0.2</f>
        <v>24.42</v>
      </c>
      <c r="AN7" s="126">
        <f>IF(AM7=0,0,AM7/AT7)</f>
        <v>0.2</v>
      </c>
      <c r="AO7" s="139" t="s">
        <v>117</v>
      </c>
      <c r="AP7" s="138">
        <v>9</v>
      </c>
      <c r="AQ7" s="138">
        <v>6.89</v>
      </c>
      <c r="AR7" s="129"/>
      <c r="AS7" s="129">
        <v>8.07</v>
      </c>
      <c r="AT7" s="129">
        <v>122.1</v>
      </c>
      <c r="AU7" s="129">
        <v>5.39</v>
      </c>
      <c r="AV7" s="129"/>
      <c r="AW7" s="129"/>
      <c r="AX7" s="140">
        <f t="shared" ref="AX7:AX37" si="6">IF(AY7=0,0,AW7/AY7*100)</f>
        <v>0</v>
      </c>
      <c r="AY7" s="125">
        <f t="shared" ref="AY7:AY37" si="7">AT7-AL7-AM7+AV7+AW7+AU7</f>
        <v>97.649999999999991</v>
      </c>
      <c r="AZ7" s="125">
        <f>IF(AB7=0,0,((D7*0.97)*(E7/100)*0.9)/(AB7/100))+DH7</f>
        <v>102.9251493836904</v>
      </c>
      <c r="BA7" s="141">
        <f t="shared" ref="BA7:BA37" si="8">(AH7*AS7)/100*(55/71)</f>
        <v>4.5322711267605635</v>
      </c>
      <c r="BB7" s="142">
        <f t="shared" ref="BB7:BB37" si="9">AY7*$BB$6</f>
        <v>3.9059999999999997</v>
      </c>
      <c r="BC7" s="122">
        <f t="shared" ref="BC7:BC37" si="10">IF((D7*E7)=0,0,(AY7*AB7)/(D7*E7))</f>
        <v>0.84520527202376372</v>
      </c>
      <c r="BD7" s="142">
        <f>BA7+BB7</f>
        <v>8.4382711267605632</v>
      </c>
      <c r="BE7" s="143">
        <v>0.84499999999999997</v>
      </c>
      <c r="BF7" s="25">
        <f>AY7</f>
        <v>97.649999999999991</v>
      </c>
      <c r="BG7" s="25">
        <f t="shared" ref="BG7:BG38" si="11">IF(A7&lt;=$BE$43,$AT$43,0)</f>
        <v>107.74193548387096</v>
      </c>
      <c r="BH7" s="25">
        <f>BG7</f>
        <v>107.74193548387096</v>
      </c>
      <c r="BI7" s="26">
        <f t="shared" ref="BI7:BI37" si="12">IF(AY7&lt;&gt;0,1,0)</f>
        <v>1</v>
      </c>
      <c r="BJ7" s="27">
        <f>BG7*BI7</f>
        <v>107.74193548387096</v>
      </c>
      <c r="BK7" s="28">
        <v>86.100999999999999</v>
      </c>
      <c r="BL7" s="28">
        <v>9.9999999999999995E-7</v>
      </c>
      <c r="BM7" s="28">
        <v>9.9999999999999995E-7</v>
      </c>
      <c r="BN7" s="28">
        <f>DN7</f>
        <v>112.625</v>
      </c>
      <c r="BO7" s="28">
        <v>9.9999999999999995E-7</v>
      </c>
      <c r="BP7" s="28">
        <v>22.303000000000001</v>
      </c>
      <c r="BQ7" s="28">
        <v>9.1240000000000006</v>
      </c>
      <c r="BR7" s="28">
        <v>0.52</v>
      </c>
      <c r="BS7" s="28">
        <v>9.9999999999999995E-7</v>
      </c>
      <c r="BT7" s="28">
        <v>9.9999999999999995E-7</v>
      </c>
      <c r="BU7" s="28">
        <v>9.9999999999999995E-7</v>
      </c>
      <c r="BV7" s="28">
        <v>9.9999999999999995E-7</v>
      </c>
      <c r="BW7" s="28">
        <v>1.24</v>
      </c>
      <c r="BX7" s="28">
        <v>9.9999999999999995E-7</v>
      </c>
      <c r="BY7" s="28">
        <v>35.36</v>
      </c>
      <c r="BZ7" s="28">
        <v>9.9999999999999995E-7</v>
      </c>
      <c r="CA7" s="28">
        <v>9.9999999999999995E-7</v>
      </c>
      <c r="CB7" s="28">
        <v>41.91</v>
      </c>
      <c r="CC7" s="28">
        <v>9.9999999999999995E-7</v>
      </c>
      <c r="CD7" s="28">
        <v>28.32</v>
      </c>
      <c r="CE7" s="28">
        <v>43.89</v>
      </c>
      <c r="CF7" s="28">
        <v>154.30500000000001</v>
      </c>
      <c r="CG7" s="28">
        <v>9.9999999999999995E-7</v>
      </c>
      <c r="CH7" s="28">
        <v>9.9999999999999995E-7</v>
      </c>
      <c r="CI7" s="28">
        <v>9.9999999999999995E-7</v>
      </c>
      <c r="CJ7" s="28">
        <v>1.55</v>
      </c>
      <c r="CK7" s="28">
        <v>9.9999999999999995E-7</v>
      </c>
      <c r="CL7" s="28">
        <v>9.9999999999999995E-7</v>
      </c>
      <c r="CM7" s="28">
        <v>9.9999999999999995E-7</v>
      </c>
      <c r="CN7" s="286"/>
      <c r="CO7" s="252">
        <f t="shared" ref="CO7:CU22" si="13">BK7*((100-BR7)/100)</f>
        <v>85.653274800000005</v>
      </c>
      <c r="CP7" s="11">
        <f t="shared" si="13"/>
        <v>9.9999998999999992E-7</v>
      </c>
      <c r="CQ7" s="11">
        <f t="shared" si="13"/>
        <v>9.9999998999999992E-7</v>
      </c>
      <c r="CR7" s="11">
        <f t="shared" si="13"/>
        <v>112.62499887375</v>
      </c>
      <c r="CS7" s="11">
        <f t="shared" si="13"/>
        <v>9.9999998999999992E-7</v>
      </c>
      <c r="CT7" s="11">
        <f t="shared" si="13"/>
        <v>22.026442800000002</v>
      </c>
      <c r="CU7" s="271">
        <f t="shared" si="13"/>
        <v>9.1239999087600019</v>
      </c>
      <c r="CV7" s="260">
        <f t="shared" ref="CV7:CY37" si="14">CF7*((100-CJ7)/100)</f>
        <v>151.91327250000001</v>
      </c>
      <c r="CW7" s="250">
        <f t="shared" si="14"/>
        <v>9.9999998999999992E-7</v>
      </c>
      <c r="CX7" s="260">
        <f t="shared" si="14"/>
        <v>9.9999998999999992E-7</v>
      </c>
      <c r="CY7" s="271">
        <f t="shared" si="14"/>
        <v>9.9999998999999992E-7</v>
      </c>
      <c r="CZ7" s="13"/>
      <c r="DA7" s="240">
        <f>(D7+'[2]август 20 '!D7)/(AY7+'[2]август 20 '!BA7)</f>
        <v>2.0826440560176978</v>
      </c>
      <c r="DB7" s="241">
        <f>(T7+'[2]август 20 '!T7)/(AY7+'[2]август 20 '!BA7)</f>
        <v>1.3343998911109338</v>
      </c>
      <c r="DD7" s="292">
        <f t="shared" ref="DD7:DD37" si="15">J7</f>
        <v>9.1289999999999996</v>
      </c>
      <c r="DE7" s="291">
        <v>0.06</v>
      </c>
      <c r="DF7" s="291">
        <v>17.170000000000002</v>
      </c>
      <c r="DG7" s="145">
        <f t="shared" ref="DG7:DG37" si="16">DD7*((100-DE7)/100)</f>
        <v>9.1235225999999994</v>
      </c>
      <c r="DH7" s="293">
        <f>IF(AB7=0,0,(DG7*DF7%)/(AB7/100))</f>
        <v>2.0639115025296442</v>
      </c>
      <c r="DJ7" s="28">
        <v>142.30500000000001</v>
      </c>
      <c r="DK7" s="508">
        <f>DJ7+12</f>
        <v>154.30500000000001</v>
      </c>
      <c r="DM7" s="28">
        <v>105.33499999999999</v>
      </c>
      <c r="DN7" s="460">
        <f>DM7+7.29</f>
        <v>112.625</v>
      </c>
    </row>
    <row r="8" spans="1:118" s="76" customFormat="1" ht="16.5" customHeight="1" thickBot="1">
      <c r="A8" s="144">
        <v>2</v>
      </c>
      <c r="B8" s="122">
        <f t="shared" ref="B8:B37" si="17">BK8+BL8+BM8+BN8+BO8+BP8+BQ8</f>
        <v>189.61500000000001</v>
      </c>
      <c r="C8" s="123">
        <f t="shared" ref="C8:C37" si="18">IF(B8=0,0,(BK8*BR8+BL8*BS8+BM8*BT8+BN8*BU8+BQ8*BX8+BO8*BV8+BP8*BW8)/B8)</f>
        <v>0.53856662183898951</v>
      </c>
      <c r="D8" s="145">
        <f t="shared" ref="D8:D37" si="19">B8*((100-C8)/100)</f>
        <v>188.5937969</v>
      </c>
      <c r="E8" s="125">
        <f t="shared" ref="E8:E37" si="20">IF(B8=0,0,(BK8*BY8+BL8*BZ8+BM8*CA8+BQ8*CE8+BN8*CB8+BO8*CC8+BP8*CD8)/B8)</f>
        <v>39.512286738918334</v>
      </c>
      <c r="F8" s="146">
        <f t="shared" si="0"/>
        <v>2.0379705738059219</v>
      </c>
      <c r="G8" s="127"/>
      <c r="H8" s="126">
        <f t="shared" ref="H8:H37" si="21">IF(AY8=0,0,(CP8+CO8+CS8+CQ8+CT8)/AY8)</f>
        <v>0.69835527231467476</v>
      </c>
      <c r="I8" s="230">
        <f>'[1]июль 20'!AI7</f>
        <v>0</v>
      </c>
      <c r="J8" s="247">
        <f>'[1]август 20'!AA7</f>
        <v>7.2910000000000004</v>
      </c>
      <c r="K8" s="464">
        <f>'[1]сентябрь 20'!AM7</f>
        <v>0</v>
      </c>
      <c r="L8" s="247">
        <f t="shared" ref="L8:L37" si="22">BN8+BQ8</f>
        <v>123.96800000000002</v>
      </c>
      <c r="M8" s="468">
        <f t="shared" ref="M8:M37" si="23">IF(AY8=0,0,(CR8+CU8)/AY8)</f>
        <v>1.3396153014912473</v>
      </c>
      <c r="N8" s="403">
        <f>'[1]август 20'!W7</f>
        <v>0</v>
      </c>
      <c r="O8" s="403">
        <f>'[1]август 20'!AU7</f>
        <v>0</v>
      </c>
      <c r="P8" s="401">
        <f t="shared" si="1"/>
        <v>129.52799999999999</v>
      </c>
      <c r="Q8" s="122">
        <f t="shared" ref="Q8:Q37" si="24">CF8</f>
        <v>129.52799999999999</v>
      </c>
      <c r="R8" s="123">
        <f t="shared" ref="R8:R37" si="25">IF(Q8=0,0,(CI8*CM8+CG8*CK8+CH8*CL8+CF8*CJ8)/Q8)</f>
        <v>1.59</v>
      </c>
      <c r="S8" s="129">
        <v>3</v>
      </c>
      <c r="T8" s="125">
        <f t="shared" si="2"/>
        <v>127.46850479999999</v>
      </c>
      <c r="U8" s="147">
        <f t="shared" si="3"/>
        <v>1.37744223903177</v>
      </c>
      <c r="V8" s="130">
        <v>20.72</v>
      </c>
      <c r="W8" s="130">
        <v>44.28</v>
      </c>
      <c r="X8" s="129">
        <v>0.96</v>
      </c>
      <c r="Y8" s="131">
        <v>617</v>
      </c>
      <c r="Z8" s="131">
        <v>1155</v>
      </c>
      <c r="AA8" s="148" t="s">
        <v>287</v>
      </c>
      <c r="AB8" s="149">
        <v>74.42</v>
      </c>
      <c r="AC8" s="150">
        <v>73</v>
      </c>
      <c r="AD8" s="151">
        <v>4</v>
      </c>
      <c r="AE8" s="149"/>
      <c r="AF8" s="134">
        <f t="shared" si="4"/>
        <v>0</v>
      </c>
      <c r="AG8" s="152"/>
      <c r="AH8" s="129">
        <v>57.35</v>
      </c>
      <c r="AI8" s="134">
        <f t="shared" si="5"/>
        <v>619.73200778041939</v>
      </c>
      <c r="AJ8" s="153">
        <v>14</v>
      </c>
      <c r="AK8" s="154"/>
      <c r="AL8" s="155">
        <v>6.74</v>
      </c>
      <c r="AM8" s="478">
        <f t="shared" ref="AM8:AM36" si="26">AT8*0.2</f>
        <v>24.46</v>
      </c>
      <c r="AN8" s="126">
        <f t="shared" ref="AN8:AN37" si="27">IF(AM8=0,0,AM8/AT8)</f>
        <v>0.2</v>
      </c>
      <c r="AO8" s="157" t="s">
        <v>193</v>
      </c>
      <c r="AP8" s="156">
        <v>10.15</v>
      </c>
      <c r="AQ8" s="156">
        <v>6.67</v>
      </c>
      <c r="AR8" s="149"/>
      <c r="AS8" s="149">
        <v>6.22</v>
      </c>
      <c r="AT8" s="149">
        <v>122.3</v>
      </c>
      <c r="AU8" s="149">
        <v>1.44</v>
      </c>
      <c r="AV8" s="149"/>
      <c r="AW8" s="149"/>
      <c r="AX8" s="158">
        <f t="shared" si="6"/>
        <v>0</v>
      </c>
      <c r="AY8" s="125">
        <f t="shared" si="7"/>
        <v>92.539999999999992</v>
      </c>
      <c r="AZ8" s="125">
        <f t="shared" ref="AZ8:AZ37" si="28">IF(AB8=0,0,((D8*0.97)*(E8/100)*0.9)/(AB8/100))+DH8</f>
        <v>88.890411855533102</v>
      </c>
      <c r="BA8" s="159">
        <f t="shared" si="8"/>
        <v>2.7633007042253519</v>
      </c>
      <c r="BB8" s="160">
        <f t="shared" si="9"/>
        <v>3.7015999999999996</v>
      </c>
      <c r="BC8" s="161">
        <f t="shared" si="10"/>
        <v>0.92418643959780467</v>
      </c>
      <c r="BD8" s="160">
        <f t="shared" ref="BD8:BD37" si="29">BA8+BB8</f>
        <v>6.4649007042253519</v>
      </c>
      <c r="BE8" s="162">
        <v>0.88100000000000001</v>
      </c>
      <c r="BF8" s="25">
        <f t="shared" ref="BF8:BF37" si="30">BF7+AY8</f>
        <v>190.19</v>
      </c>
      <c r="BG8" s="25">
        <f t="shared" si="11"/>
        <v>107.74193548387096</v>
      </c>
      <c r="BH8" s="25">
        <f t="shared" ref="BH8:BH37" si="31">BG8+BH7</f>
        <v>215.48387096774192</v>
      </c>
      <c r="BI8" s="26">
        <f t="shared" si="12"/>
        <v>1</v>
      </c>
      <c r="BJ8" s="27">
        <f t="shared" ref="BJ8:BJ37" si="32">BG8*BI8+BJ7</f>
        <v>215.48387096774192</v>
      </c>
      <c r="BK8" s="30">
        <v>45.496000000000002</v>
      </c>
      <c r="BL8" s="31"/>
      <c r="BM8" s="31"/>
      <c r="BN8" s="28">
        <f t="shared" ref="BN8:BN37" si="33">DN8</f>
        <v>98.541000000000011</v>
      </c>
      <c r="BO8" s="40"/>
      <c r="BP8" s="40">
        <v>20.151</v>
      </c>
      <c r="BQ8" s="32">
        <v>25.427</v>
      </c>
      <c r="BR8" s="33">
        <v>1</v>
      </c>
      <c r="BS8" s="34"/>
      <c r="BT8" s="35"/>
      <c r="BU8" s="28"/>
      <c r="BV8" s="287"/>
      <c r="BW8" s="28">
        <v>2.81</v>
      </c>
      <c r="BX8" s="36"/>
      <c r="BY8" s="33">
        <v>35.89</v>
      </c>
      <c r="BZ8" s="34"/>
      <c r="CA8" s="35"/>
      <c r="CB8" s="35">
        <v>41.63</v>
      </c>
      <c r="CC8" s="235"/>
      <c r="CD8" s="235">
        <v>32</v>
      </c>
      <c r="CE8" s="36">
        <v>43.74</v>
      </c>
      <c r="CF8" s="30">
        <v>129.52799999999999</v>
      </c>
      <c r="CG8" s="30"/>
      <c r="CH8" s="31"/>
      <c r="CI8" s="32"/>
      <c r="CJ8" s="33">
        <v>1.59</v>
      </c>
      <c r="CK8" s="33"/>
      <c r="CL8" s="35"/>
      <c r="CM8" s="28"/>
      <c r="CN8" s="286"/>
      <c r="CO8" s="249">
        <f t="shared" si="13"/>
        <v>45.041040000000002</v>
      </c>
      <c r="CP8" s="12">
        <f t="shared" si="13"/>
        <v>0</v>
      </c>
      <c r="CQ8" s="12">
        <f t="shared" si="13"/>
        <v>0</v>
      </c>
      <c r="CR8" s="12">
        <f t="shared" si="13"/>
        <v>98.541000000000011</v>
      </c>
      <c r="CS8" s="11">
        <f t="shared" si="13"/>
        <v>0</v>
      </c>
      <c r="CT8" s="11">
        <f t="shared" si="13"/>
        <v>19.584756899999999</v>
      </c>
      <c r="CU8" s="272">
        <f t="shared" si="13"/>
        <v>25.427</v>
      </c>
      <c r="CV8" s="249">
        <f t="shared" si="14"/>
        <v>127.46850479999999</v>
      </c>
      <c r="CW8" s="12">
        <f t="shared" si="14"/>
        <v>0</v>
      </c>
      <c r="CX8" s="254">
        <f t="shared" si="14"/>
        <v>0</v>
      </c>
      <c r="CY8" s="272">
        <f t="shared" si="14"/>
        <v>0</v>
      </c>
      <c r="CZ8" s="13"/>
      <c r="DA8" s="240">
        <f>(D8+'[2]август 20 '!D8)/(AY8+'[2]август 20 '!BA8)</f>
        <v>2.1569588703853726</v>
      </c>
      <c r="DB8" s="241">
        <f>(T8+'[2]август 20 '!T8)/(AY8+'[2]август 20 '!BA8)</f>
        <v>1.3866829842999109</v>
      </c>
      <c r="DD8" s="292">
        <f t="shared" si="15"/>
        <v>7.2910000000000004</v>
      </c>
      <c r="DE8" s="291">
        <v>0.11</v>
      </c>
      <c r="DF8" s="291">
        <v>15.08</v>
      </c>
      <c r="DG8" s="145">
        <f t="shared" si="16"/>
        <v>7.2829799000000008</v>
      </c>
      <c r="DH8" s="293">
        <f t="shared" ref="DH8:DH37" si="34">IF(AB8=0,0,(DG8*DF8%)/(AB8/100))</f>
        <v>1.4757771686643377</v>
      </c>
      <c r="DJ8" s="30">
        <v>117.52800000000001</v>
      </c>
      <c r="DK8" s="508">
        <f t="shared" ref="DK8:DK10" si="35">DJ8+12</f>
        <v>129.52800000000002</v>
      </c>
      <c r="DM8" s="31">
        <v>91.251000000000005</v>
      </c>
      <c r="DN8" s="460">
        <f t="shared" ref="DN8:DN36" si="36">DM8+7.29</f>
        <v>98.541000000000011</v>
      </c>
    </row>
    <row r="9" spans="1:118" s="76" customFormat="1" ht="16.5" customHeight="1" thickBot="1">
      <c r="A9" s="144">
        <v>3</v>
      </c>
      <c r="B9" s="122">
        <f t="shared" si="17"/>
        <v>207.29200000000003</v>
      </c>
      <c r="C9" s="123">
        <f t="shared" si="18"/>
        <v>0.40777376840399043</v>
      </c>
      <c r="D9" s="145">
        <f>B9*((100-C9)/100)</f>
        <v>206.44671760000003</v>
      </c>
      <c r="E9" s="125">
        <f t="shared" si="20"/>
        <v>39.075017511529623</v>
      </c>
      <c r="F9" s="146">
        <f t="shared" si="0"/>
        <v>2.0599353182997411</v>
      </c>
      <c r="G9" s="127"/>
      <c r="H9" s="126">
        <f t="shared" si="21"/>
        <v>0.71038433047295957</v>
      </c>
      <c r="I9" s="230">
        <f>'[1]июль 20'!AI8</f>
        <v>0</v>
      </c>
      <c r="J9" s="247">
        <f>'[1]август 20'!AA8</f>
        <v>7.9909999999999997</v>
      </c>
      <c r="K9" s="465">
        <f>'[1]сентябрь 20'!AM8</f>
        <v>0</v>
      </c>
      <c r="L9" s="247">
        <f t="shared" si="22"/>
        <v>135.25200000000001</v>
      </c>
      <c r="M9" s="469">
        <f t="shared" si="23"/>
        <v>1.3495509878267813</v>
      </c>
      <c r="N9" s="403">
        <f>'[1]август 20'!W8</f>
        <v>0</v>
      </c>
      <c r="O9" s="403">
        <f>'[1]август 20'!AU8</f>
        <v>0</v>
      </c>
      <c r="P9" s="401">
        <f t="shared" si="1"/>
        <v>140.565</v>
      </c>
      <c r="Q9" s="122">
        <f t="shared" si="24"/>
        <v>140.565</v>
      </c>
      <c r="R9" s="123">
        <f t="shared" si="25"/>
        <v>1.64</v>
      </c>
      <c r="S9" s="129">
        <v>4</v>
      </c>
      <c r="T9" s="125">
        <f t="shared" si="2"/>
        <v>138.25973400000001</v>
      </c>
      <c r="U9" s="147">
        <f>IF(AY9=0,0,T9/AY9)</f>
        <v>1.3795623029335462</v>
      </c>
      <c r="V9" s="130">
        <v>24.63</v>
      </c>
      <c r="W9" s="130">
        <v>49.8</v>
      </c>
      <c r="X9" s="129">
        <v>0.89</v>
      </c>
      <c r="Y9" s="131">
        <v>656</v>
      </c>
      <c r="Z9" s="131">
        <v>1153</v>
      </c>
      <c r="AA9" s="148" t="s">
        <v>337</v>
      </c>
      <c r="AB9" s="149">
        <v>74.73</v>
      </c>
      <c r="AC9" s="150">
        <v>80</v>
      </c>
      <c r="AD9" s="151">
        <v>4</v>
      </c>
      <c r="AE9" s="149">
        <v>2</v>
      </c>
      <c r="AF9" s="134">
        <f t="shared" si="4"/>
        <v>19.956096587507485</v>
      </c>
      <c r="AG9" s="152"/>
      <c r="AH9" s="129">
        <v>71.349999999999994</v>
      </c>
      <c r="AI9" s="134">
        <f t="shared" si="5"/>
        <v>711.93374575932944</v>
      </c>
      <c r="AJ9" s="153">
        <v>17.22</v>
      </c>
      <c r="AK9" s="154"/>
      <c r="AL9" s="155">
        <v>5.57</v>
      </c>
      <c r="AM9" s="478">
        <f t="shared" si="26"/>
        <v>25.92</v>
      </c>
      <c r="AN9" s="126">
        <f t="shared" si="27"/>
        <v>0.2</v>
      </c>
      <c r="AO9" s="157" t="s">
        <v>373</v>
      </c>
      <c r="AP9" s="156">
        <v>9.31</v>
      </c>
      <c r="AQ9" s="156">
        <v>7.08</v>
      </c>
      <c r="AR9" s="149"/>
      <c r="AS9" s="149">
        <v>6.33</v>
      </c>
      <c r="AT9" s="149">
        <v>129.6</v>
      </c>
      <c r="AU9" s="149">
        <v>2.11</v>
      </c>
      <c r="AV9" s="149"/>
      <c r="AW9" s="149"/>
      <c r="AX9" s="158">
        <f t="shared" si="6"/>
        <v>0</v>
      </c>
      <c r="AY9" s="125">
        <f t="shared" si="7"/>
        <v>100.22</v>
      </c>
      <c r="AZ9" s="125">
        <f t="shared" si="28"/>
        <v>95.983070309216501</v>
      </c>
      <c r="BA9" s="159">
        <f t="shared" si="8"/>
        <v>3.4986623239436616</v>
      </c>
      <c r="BB9" s="160">
        <f t="shared" si="9"/>
        <v>4.0087999999999999</v>
      </c>
      <c r="BC9" s="161">
        <f t="shared" si="10"/>
        <v>0.92841514663528579</v>
      </c>
      <c r="BD9" s="160">
        <f t="shared" si="29"/>
        <v>7.5074623239436615</v>
      </c>
      <c r="BE9" s="162">
        <v>0.89700000000000002</v>
      </c>
      <c r="BF9" s="25">
        <f t="shared" si="30"/>
        <v>290.40999999999997</v>
      </c>
      <c r="BG9" s="25">
        <f t="shared" si="11"/>
        <v>107.74193548387096</v>
      </c>
      <c r="BH9" s="25">
        <f t="shared" si="31"/>
        <v>323.22580645161287</v>
      </c>
      <c r="BI9" s="26">
        <f t="shared" si="12"/>
        <v>1</v>
      </c>
      <c r="BJ9" s="37">
        <f t="shared" si="32"/>
        <v>323.22580645161287</v>
      </c>
      <c r="BK9" s="38">
        <v>48.026000000000003</v>
      </c>
      <c r="BL9" s="31"/>
      <c r="BM9" s="31"/>
      <c r="BN9" s="28">
        <f t="shared" si="33"/>
        <v>107.27500000000001</v>
      </c>
      <c r="BO9" s="40"/>
      <c r="BP9" s="40">
        <v>24.013999999999999</v>
      </c>
      <c r="BQ9" s="32">
        <v>27.977</v>
      </c>
      <c r="BR9" s="33">
        <v>0.52</v>
      </c>
      <c r="BS9" s="34"/>
      <c r="BT9" s="35"/>
      <c r="BU9" s="28"/>
      <c r="BV9" s="287"/>
      <c r="BW9" s="287">
        <v>2.48</v>
      </c>
      <c r="BX9" s="36"/>
      <c r="BY9" s="33">
        <v>36.340000000000003</v>
      </c>
      <c r="BZ9" s="34"/>
      <c r="CA9" s="35"/>
      <c r="CB9" s="35">
        <v>41.63</v>
      </c>
      <c r="CC9" s="235"/>
      <c r="CD9" s="235">
        <v>27.51</v>
      </c>
      <c r="CE9" s="36">
        <v>43.9</v>
      </c>
      <c r="CF9" s="30">
        <v>140.565</v>
      </c>
      <c r="CG9" s="30"/>
      <c r="CH9" s="31"/>
      <c r="CI9" s="32"/>
      <c r="CJ9" s="33">
        <v>1.64</v>
      </c>
      <c r="CK9" s="33"/>
      <c r="CL9" s="35"/>
      <c r="CM9" s="36"/>
      <c r="CN9" s="286"/>
      <c r="CO9" s="249">
        <f t="shared" si="13"/>
        <v>47.776264800000007</v>
      </c>
      <c r="CP9" s="12">
        <f t="shared" si="13"/>
        <v>0</v>
      </c>
      <c r="CQ9" s="12">
        <f t="shared" si="13"/>
        <v>0</v>
      </c>
      <c r="CR9" s="12">
        <f t="shared" si="13"/>
        <v>107.27500000000001</v>
      </c>
      <c r="CS9" s="11">
        <f t="shared" si="13"/>
        <v>0</v>
      </c>
      <c r="CT9" s="11">
        <f t="shared" si="13"/>
        <v>23.418452799999997</v>
      </c>
      <c r="CU9" s="272">
        <f t="shared" si="13"/>
        <v>27.977</v>
      </c>
      <c r="CV9" s="249">
        <f t="shared" si="14"/>
        <v>138.25973400000001</v>
      </c>
      <c r="CW9" s="251">
        <f t="shared" si="14"/>
        <v>0</v>
      </c>
      <c r="CX9" s="249">
        <f t="shared" si="14"/>
        <v>0</v>
      </c>
      <c r="CY9" s="272">
        <f t="shared" si="14"/>
        <v>0</v>
      </c>
      <c r="CZ9" s="13"/>
      <c r="DA9" s="240">
        <f>(D9+'[2]август 20 '!D9)/(AY9+'[2]август 20 '!BA9)</f>
        <v>2.0947554569007583</v>
      </c>
      <c r="DB9" s="241">
        <f>(T9+'[2]август 20 '!T9)/(AY9+'[2]август 20 '!BA9)</f>
        <v>1.3441057981073856</v>
      </c>
      <c r="DD9" s="292">
        <f t="shared" si="15"/>
        <v>7.9909999999999997</v>
      </c>
      <c r="DE9" s="291">
        <v>0.13</v>
      </c>
      <c r="DF9" s="291">
        <v>16.34</v>
      </c>
      <c r="DG9" s="145">
        <f t="shared" si="16"/>
        <v>7.9806116999999999</v>
      </c>
      <c r="DH9" s="293">
        <f t="shared" si="34"/>
        <v>1.7449912374949816</v>
      </c>
      <c r="DJ9" s="30">
        <v>128.565</v>
      </c>
      <c r="DK9" s="508">
        <f t="shared" si="35"/>
        <v>140.565</v>
      </c>
      <c r="DM9" s="31">
        <v>99.984999999999999</v>
      </c>
      <c r="DN9" s="460">
        <f t="shared" si="36"/>
        <v>107.27500000000001</v>
      </c>
    </row>
    <row r="10" spans="1:118" s="76" customFormat="1" ht="16.5" customHeight="1" thickBot="1">
      <c r="A10" s="144">
        <v>4</v>
      </c>
      <c r="B10" s="122">
        <f t="shared" si="17"/>
        <v>127.59700000000001</v>
      </c>
      <c r="C10" s="123">
        <f t="shared" si="18"/>
        <v>0.45174134188107862</v>
      </c>
      <c r="D10" s="145">
        <f t="shared" si="19"/>
        <v>127.02059160000002</v>
      </c>
      <c r="E10" s="125">
        <f>IF(B10=0,0,(BK10*BY10+BL10*BZ10+BM10*CA10+BQ10*CE10+BN10*CB10+BO10*CC10+BP10*CD10)/B10)</f>
        <v>39.503475787048281</v>
      </c>
      <c r="F10" s="146">
        <f t="shared" si="0"/>
        <v>1.9816004929797193</v>
      </c>
      <c r="G10" s="127"/>
      <c r="H10" s="126">
        <f t="shared" si="21"/>
        <v>0.66751312948517927</v>
      </c>
      <c r="I10" s="230">
        <f>'[1]июль 20'!AI9</f>
        <v>0</v>
      </c>
      <c r="J10" s="247">
        <f>'[1]август 20'!AA9</f>
        <v>4.8239999999999998</v>
      </c>
      <c r="K10" s="466">
        <f>'[1]сентябрь 20'!AM9</f>
        <v>0</v>
      </c>
      <c r="L10" s="247">
        <f t="shared" si="22"/>
        <v>84.233000000000004</v>
      </c>
      <c r="M10" s="470">
        <f t="shared" si="23"/>
        <v>1.3140873634945396</v>
      </c>
      <c r="N10" s="403">
        <f>'[1]август 20'!W9</f>
        <v>0</v>
      </c>
      <c r="O10" s="403">
        <f>'[1]август 20'!AU9</f>
        <v>0</v>
      </c>
      <c r="P10" s="401">
        <f t="shared" si="1"/>
        <v>99.697999999999993</v>
      </c>
      <c r="Q10" s="122">
        <f t="shared" si="24"/>
        <v>99.697999999999993</v>
      </c>
      <c r="R10" s="123">
        <f t="shared" si="25"/>
        <v>1.31</v>
      </c>
      <c r="S10" s="129">
        <v>2.29</v>
      </c>
      <c r="T10" s="125">
        <f t="shared" si="2"/>
        <v>98.391956199999996</v>
      </c>
      <c r="U10" s="147">
        <f t="shared" si="3"/>
        <v>1.5349759157566301</v>
      </c>
      <c r="V10" s="130"/>
      <c r="W10" s="130">
        <v>47.01</v>
      </c>
      <c r="X10" s="129">
        <v>0.53</v>
      </c>
      <c r="Y10" s="131">
        <v>638</v>
      </c>
      <c r="Z10" s="131">
        <v>1099</v>
      </c>
      <c r="AA10" s="148" t="s">
        <v>336</v>
      </c>
      <c r="AB10" s="149">
        <v>73.39</v>
      </c>
      <c r="AC10" s="150">
        <v>51</v>
      </c>
      <c r="AD10" s="151">
        <v>3</v>
      </c>
      <c r="AE10" s="149">
        <v>2.65</v>
      </c>
      <c r="AF10" s="134">
        <f t="shared" si="4"/>
        <v>41.341653666146634</v>
      </c>
      <c r="AG10" s="152"/>
      <c r="AH10" s="129">
        <v>45</v>
      </c>
      <c r="AI10" s="134">
        <f t="shared" si="5"/>
        <v>702.02808112324487</v>
      </c>
      <c r="AJ10" s="153">
        <v>11.4</v>
      </c>
      <c r="AK10" s="154"/>
      <c r="AL10" s="155">
        <v>3.35</v>
      </c>
      <c r="AM10" s="478">
        <f t="shared" si="26"/>
        <v>16.59</v>
      </c>
      <c r="AN10" s="126">
        <f t="shared" si="27"/>
        <v>0.19999999999999998</v>
      </c>
      <c r="AO10" s="157" t="s">
        <v>374</v>
      </c>
      <c r="AP10" s="156">
        <v>9.5500000000000007</v>
      </c>
      <c r="AQ10" s="156">
        <v>6.27</v>
      </c>
      <c r="AR10" s="149"/>
      <c r="AS10" s="149">
        <v>7.89</v>
      </c>
      <c r="AT10" s="149">
        <v>82.95</v>
      </c>
      <c r="AU10" s="149">
        <v>1.0900000000000001</v>
      </c>
      <c r="AV10" s="149"/>
      <c r="AW10" s="149"/>
      <c r="AX10" s="158">
        <f t="shared" si="6"/>
        <v>0</v>
      </c>
      <c r="AY10" s="125">
        <f>AT10-AL10-AM10+AV10+AW10+AU10</f>
        <v>64.100000000000009</v>
      </c>
      <c r="AZ10" s="125">
        <f t="shared" si="28"/>
        <v>60.546798429033934</v>
      </c>
      <c r="BA10" s="159">
        <f t="shared" si="8"/>
        <v>2.750387323943662</v>
      </c>
      <c r="BB10" s="160">
        <f t="shared" si="9"/>
        <v>2.5640000000000005</v>
      </c>
      <c r="BC10" s="161">
        <f t="shared" si="10"/>
        <v>0.93753065401209223</v>
      </c>
      <c r="BD10" s="160">
        <f t="shared" si="29"/>
        <v>5.314387323943663</v>
      </c>
      <c r="BE10" s="162">
        <v>0.90400000000000003</v>
      </c>
      <c r="BF10" s="25">
        <f t="shared" si="30"/>
        <v>354.51</v>
      </c>
      <c r="BG10" s="25">
        <f t="shared" si="11"/>
        <v>107.74193548387096</v>
      </c>
      <c r="BH10" s="25">
        <f t="shared" si="31"/>
        <v>430.96774193548384</v>
      </c>
      <c r="BI10" s="26">
        <f t="shared" si="12"/>
        <v>1</v>
      </c>
      <c r="BJ10" s="37">
        <f t="shared" si="32"/>
        <v>430.96774193548384</v>
      </c>
      <c r="BK10" s="38">
        <v>27.204999999999998</v>
      </c>
      <c r="BL10" s="31"/>
      <c r="BM10" s="31"/>
      <c r="BN10" s="28">
        <f t="shared" si="33"/>
        <v>67.435000000000002</v>
      </c>
      <c r="BO10" s="40"/>
      <c r="BP10" s="40">
        <v>16.158999999999999</v>
      </c>
      <c r="BQ10" s="32">
        <v>16.797999999999998</v>
      </c>
      <c r="BR10" s="33">
        <v>0.42</v>
      </c>
      <c r="BS10" s="34"/>
      <c r="BT10" s="35"/>
      <c r="BU10" s="28"/>
      <c r="BV10" s="287"/>
      <c r="BW10" s="287">
        <v>2.86</v>
      </c>
      <c r="BX10" s="36"/>
      <c r="BY10" s="33">
        <v>36.24</v>
      </c>
      <c r="BZ10" s="34"/>
      <c r="CA10" s="35"/>
      <c r="CB10" s="35">
        <v>41.61</v>
      </c>
      <c r="CC10" s="235"/>
      <c r="CD10" s="235">
        <v>31.73</v>
      </c>
      <c r="CE10" s="36">
        <v>43.81</v>
      </c>
      <c r="CF10" s="30">
        <v>99.697999999999993</v>
      </c>
      <c r="CG10" s="30"/>
      <c r="CH10" s="31"/>
      <c r="CI10" s="32"/>
      <c r="CJ10" s="33">
        <v>1.31</v>
      </c>
      <c r="CK10" s="33"/>
      <c r="CL10" s="35"/>
      <c r="CM10" s="36"/>
      <c r="CN10" s="286"/>
      <c r="CO10" s="249">
        <f t="shared" si="13"/>
        <v>27.090738999999999</v>
      </c>
      <c r="CP10" s="12">
        <f t="shared" si="13"/>
        <v>0</v>
      </c>
      <c r="CQ10" s="12">
        <f t="shared" si="13"/>
        <v>0</v>
      </c>
      <c r="CR10" s="14">
        <f t="shared" si="13"/>
        <v>67.435000000000002</v>
      </c>
      <c r="CS10" s="11">
        <f t="shared" si="13"/>
        <v>0</v>
      </c>
      <c r="CT10" s="11">
        <f t="shared" si="13"/>
        <v>15.6968526</v>
      </c>
      <c r="CU10" s="272">
        <f t="shared" si="13"/>
        <v>16.797999999999998</v>
      </c>
      <c r="CV10" s="249">
        <f t="shared" si="14"/>
        <v>98.391956199999996</v>
      </c>
      <c r="CW10" s="12">
        <f t="shared" si="14"/>
        <v>0</v>
      </c>
      <c r="CX10" s="249">
        <f t="shared" si="14"/>
        <v>0</v>
      </c>
      <c r="CY10" s="272">
        <f t="shared" si="14"/>
        <v>0</v>
      </c>
      <c r="CZ10" s="13"/>
      <c r="DA10" s="240">
        <f>(D10+'[2]август 20 '!D10)/(AY10+'[2]август 20 '!BA10)</f>
        <v>2.0313863121148987</v>
      </c>
      <c r="DB10" s="241">
        <f>(T10+'[2]август 20 '!T10)/(AY10+'[2]август 20 '!BA10)</f>
        <v>1.3458983311711876</v>
      </c>
      <c r="DD10" s="292">
        <f t="shared" si="15"/>
        <v>4.8239999999999998</v>
      </c>
      <c r="DE10" s="291">
        <v>1.39</v>
      </c>
      <c r="DF10" s="291">
        <v>13.25</v>
      </c>
      <c r="DG10" s="145">
        <f t="shared" si="16"/>
        <v>4.7569463999999995</v>
      </c>
      <c r="DH10" s="293">
        <f t="shared" si="34"/>
        <v>0.85883008311759101</v>
      </c>
      <c r="DJ10" s="30">
        <v>87.697999999999993</v>
      </c>
      <c r="DK10" s="508">
        <f t="shared" si="35"/>
        <v>99.697999999999993</v>
      </c>
      <c r="DM10" s="31">
        <v>60.145000000000003</v>
      </c>
      <c r="DN10" s="460">
        <f t="shared" si="36"/>
        <v>67.435000000000002</v>
      </c>
    </row>
    <row r="11" spans="1:118" s="76" customFormat="1" ht="16.5" customHeight="1" thickBot="1">
      <c r="A11" s="144">
        <v>5</v>
      </c>
      <c r="B11" s="122">
        <f t="shared" si="17"/>
        <v>219.92599999999999</v>
      </c>
      <c r="C11" s="123">
        <f t="shared" si="18"/>
        <v>0.49590444058456024</v>
      </c>
      <c r="D11" s="145">
        <f t="shared" si="19"/>
        <v>218.83537720000001</v>
      </c>
      <c r="E11" s="125">
        <f t="shared" si="20"/>
        <v>39.115273364677208</v>
      </c>
      <c r="F11" s="146">
        <f t="shared" si="0"/>
        <v>2.4390924788230048</v>
      </c>
      <c r="G11" s="127"/>
      <c r="H11" s="126">
        <f t="shared" si="21"/>
        <v>0.86736934016941591</v>
      </c>
      <c r="I11" s="230">
        <f>'[1]июль 20'!AI10</f>
        <v>0</v>
      </c>
      <c r="J11" s="247">
        <f>'[1]август 20'!AA10</f>
        <v>8.8879999999999999</v>
      </c>
      <c r="K11" s="464">
        <f>'[1]сентябрь 20'!AM10</f>
        <v>0</v>
      </c>
      <c r="L11" s="247">
        <f t="shared" si="22"/>
        <v>141.01500000000001</v>
      </c>
      <c r="M11" s="468">
        <f t="shared" si="23"/>
        <v>1.571723138653589</v>
      </c>
      <c r="N11" s="403">
        <f>'[1]август 20'!W10</f>
        <v>0</v>
      </c>
      <c r="O11" s="403">
        <f>'[1]август 20'!AU10</f>
        <v>0</v>
      </c>
      <c r="P11" s="401">
        <f t="shared" si="1"/>
        <v>150.036</v>
      </c>
      <c r="Q11" s="122">
        <f t="shared" si="24"/>
        <v>150.036</v>
      </c>
      <c r="R11" s="123">
        <f t="shared" si="25"/>
        <v>1.47</v>
      </c>
      <c r="S11" s="129">
        <v>2</v>
      </c>
      <c r="T11" s="125">
        <f t="shared" si="2"/>
        <v>147.8304708</v>
      </c>
      <c r="U11" s="147">
        <f t="shared" si="3"/>
        <v>1.6476869237628178</v>
      </c>
      <c r="V11" s="130"/>
      <c r="W11" s="130"/>
      <c r="X11" s="129">
        <v>1.57</v>
      </c>
      <c r="Y11" s="131">
        <v>664</v>
      </c>
      <c r="Z11" s="131">
        <v>1154</v>
      </c>
      <c r="AA11" s="148" t="s">
        <v>375</v>
      </c>
      <c r="AB11" s="149">
        <v>74.13</v>
      </c>
      <c r="AC11" s="150">
        <v>85</v>
      </c>
      <c r="AD11" s="151">
        <v>4</v>
      </c>
      <c r="AE11" s="149">
        <v>3.35</v>
      </c>
      <c r="AF11" s="134">
        <f t="shared" si="4"/>
        <v>37.338386090057959</v>
      </c>
      <c r="AG11" s="152"/>
      <c r="AH11" s="129">
        <v>64.55</v>
      </c>
      <c r="AI11" s="134">
        <f t="shared" si="5"/>
        <v>719.46054391440032</v>
      </c>
      <c r="AJ11" s="163">
        <v>12.6</v>
      </c>
      <c r="AK11" s="154"/>
      <c r="AL11" s="155">
        <v>4.46</v>
      </c>
      <c r="AM11" s="478">
        <f t="shared" si="26"/>
        <v>23.37</v>
      </c>
      <c r="AN11" s="126">
        <f t="shared" si="27"/>
        <v>0.2</v>
      </c>
      <c r="AO11" s="157" t="s">
        <v>374</v>
      </c>
      <c r="AP11" s="156">
        <v>9.81</v>
      </c>
      <c r="AQ11" s="156">
        <v>6.28</v>
      </c>
      <c r="AR11" s="149"/>
      <c r="AS11" s="149">
        <v>6.61</v>
      </c>
      <c r="AT11" s="149">
        <v>116.85</v>
      </c>
      <c r="AU11" s="149">
        <v>0.7</v>
      </c>
      <c r="AV11" s="149"/>
      <c r="AW11" s="149"/>
      <c r="AX11" s="158">
        <f t="shared" si="6"/>
        <v>0</v>
      </c>
      <c r="AY11" s="125">
        <f t="shared" si="7"/>
        <v>89.72</v>
      </c>
      <c r="AZ11" s="125">
        <f t="shared" si="28"/>
        <v>102.45221579382354</v>
      </c>
      <c r="BA11" s="159">
        <f t="shared" si="8"/>
        <v>3.3052327464788731</v>
      </c>
      <c r="BB11" s="160">
        <f t="shared" si="9"/>
        <v>3.5888</v>
      </c>
      <c r="BC11" s="161">
        <f t="shared" si="10"/>
        <v>0.77699703824952848</v>
      </c>
      <c r="BD11" s="160">
        <f t="shared" si="29"/>
        <v>6.8940327464788727</v>
      </c>
      <c r="BE11" s="162">
        <v>0.875</v>
      </c>
      <c r="BF11" s="25">
        <f t="shared" si="30"/>
        <v>444.23</v>
      </c>
      <c r="BG11" s="25">
        <f t="shared" si="11"/>
        <v>107.74193548387096</v>
      </c>
      <c r="BH11" s="25">
        <f t="shared" si="31"/>
        <v>538.70967741935476</v>
      </c>
      <c r="BI11" s="26">
        <f t="shared" si="12"/>
        <v>1</v>
      </c>
      <c r="BJ11" s="37">
        <f t="shared" si="32"/>
        <v>538.70967741935476</v>
      </c>
      <c r="BK11" s="38">
        <v>47.960999999999999</v>
      </c>
      <c r="BL11" s="31"/>
      <c r="BM11" s="31"/>
      <c r="BN11" s="28">
        <f t="shared" si="33"/>
        <v>111.236</v>
      </c>
      <c r="BO11" s="40"/>
      <c r="BP11" s="40">
        <v>30.95</v>
      </c>
      <c r="BQ11" s="32">
        <v>29.779</v>
      </c>
      <c r="BR11" s="33">
        <v>0.48</v>
      </c>
      <c r="BS11" s="34"/>
      <c r="BT11" s="35"/>
      <c r="BU11" s="28"/>
      <c r="BV11" s="287"/>
      <c r="BW11" s="287">
        <v>2.78</v>
      </c>
      <c r="BX11" s="36"/>
      <c r="BY11" s="33">
        <v>35.08</v>
      </c>
      <c r="BZ11" s="34"/>
      <c r="CA11" s="35"/>
      <c r="CB11" s="35">
        <v>41.66</v>
      </c>
      <c r="CC11" s="235"/>
      <c r="CD11" s="235">
        <v>31.59</v>
      </c>
      <c r="CE11" s="36">
        <v>43.93</v>
      </c>
      <c r="CF11" s="30">
        <v>150.036</v>
      </c>
      <c r="CG11" s="30"/>
      <c r="CH11" s="31"/>
      <c r="CI11" s="32"/>
      <c r="CJ11" s="33">
        <v>1.47</v>
      </c>
      <c r="CK11" s="33"/>
      <c r="CL11" s="35"/>
      <c r="CM11" s="36"/>
      <c r="CN11" s="286"/>
      <c r="CO11" s="249">
        <f t="shared" si="13"/>
        <v>47.730787199999995</v>
      </c>
      <c r="CP11" s="12">
        <f t="shared" si="13"/>
        <v>0</v>
      </c>
      <c r="CQ11" s="15">
        <f t="shared" si="13"/>
        <v>0</v>
      </c>
      <c r="CR11" s="16">
        <f t="shared" si="13"/>
        <v>111.236</v>
      </c>
      <c r="CS11" s="11">
        <f t="shared" si="13"/>
        <v>0</v>
      </c>
      <c r="CT11" s="11">
        <f t="shared" si="13"/>
        <v>30.089589999999998</v>
      </c>
      <c r="CU11" s="272">
        <f t="shared" si="13"/>
        <v>29.779</v>
      </c>
      <c r="CV11" s="249">
        <f t="shared" si="14"/>
        <v>147.8304708</v>
      </c>
      <c r="CW11" s="12">
        <f t="shared" si="14"/>
        <v>0</v>
      </c>
      <c r="CX11" s="249">
        <f t="shared" si="14"/>
        <v>0</v>
      </c>
      <c r="CY11" s="272">
        <f t="shared" si="14"/>
        <v>0</v>
      </c>
      <c r="CZ11" s="13"/>
      <c r="DA11" s="240">
        <f>(D11+'[2]август 20 '!D11)/(AY11+'[2]август 20 '!BA11)</f>
        <v>2.2332573619642813</v>
      </c>
      <c r="DB11" s="241">
        <f>(T11+'[2]август 20 '!T11)/(AY11+'[2]август 20 '!BA11)</f>
        <v>1.4259765413084537</v>
      </c>
      <c r="DD11" s="292">
        <f t="shared" si="15"/>
        <v>8.8879999999999999</v>
      </c>
      <c r="DE11" s="291">
        <v>0.33</v>
      </c>
      <c r="DF11" s="407">
        <v>13.78</v>
      </c>
      <c r="DG11" s="145">
        <f t="shared" si="16"/>
        <v>8.8586696000000007</v>
      </c>
      <c r="DH11" s="293">
        <f t="shared" si="34"/>
        <v>1.6467350207473361</v>
      </c>
      <c r="DJ11" s="30">
        <v>138.036</v>
      </c>
      <c r="DK11" s="508">
        <f t="shared" ref="DK11:DK36" si="37">DJ11+12</f>
        <v>150.036</v>
      </c>
      <c r="DM11" s="31">
        <v>103.946</v>
      </c>
      <c r="DN11" s="460">
        <f t="shared" si="36"/>
        <v>111.236</v>
      </c>
    </row>
    <row r="12" spans="1:118" s="76" customFormat="1" ht="16.5" customHeight="1" thickBot="1">
      <c r="A12" s="144">
        <v>6</v>
      </c>
      <c r="B12" s="122">
        <f t="shared" si="17"/>
        <v>207.42000000000002</v>
      </c>
      <c r="C12" s="123">
        <f t="shared" si="18"/>
        <v>0.54473840516825756</v>
      </c>
      <c r="D12" s="145">
        <f t="shared" si="19"/>
        <v>206.29010360000001</v>
      </c>
      <c r="E12" s="125">
        <f t="shared" si="20"/>
        <v>39.034630459936359</v>
      </c>
      <c r="F12" s="146">
        <f t="shared" si="0"/>
        <v>2.1801955569647014</v>
      </c>
      <c r="G12" s="127"/>
      <c r="H12" s="126">
        <f t="shared" si="21"/>
        <v>0.85931202282815478</v>
      </c>
      <c r="I12" s="230">
        <f>'[1]июль 20'!AI11</f>
        <v>0</v>
      </c>
      <c r="J12" s="247">
        <f>'[1]август 20'!AA11</f>
        <v>7.9619999999999997</v>
      </c>
      <c r="K12" s="465">
        <f>'[1]сентябрь 20'!AM11</f>
        <v>0</v>
      </c>
      <c r="L12" s="247">
        <f t="shared" si="22"/>
        <v>124.982</v>
      </c>
      <c r="M12" s="469">
        <f t="shared" si="23"/>
        <v>1.3208835341365464</v>
      </c>
      <c r="N12" s="403">
        <f>'[1]август 20'!W11</f>
        <v>0</v>
      </c>
      <c r="O12" s="403">
        <f>'[1]август 20'!AU11</f>
        <v>0</v>
      </c>
      <c r="P12" s="401">
        <f t="shared" si="1"/>
        <v>141.23599999999999</v>
      </c>
      <c r="Q12" s="122">
        <f t="shared" si="24"/>
        <v>141.23599999999999</v>
      </c>
      <c r="R12" s="123">
        <f t="shared" si="25"/>
        <v>1.46</v>
      </c>
      <c r="S12" s="129">
        <v>2</v>
      </c>
      <c r="T12" s="125">
        <f t="shared" si="2"/>
        <v>139.17395439999999</v>
      </c>
      <c r="U12" s="147">
        <f t="shared" si="3"/>
        <v>1.4708724836186853</v>
      </c>
      <c r="V12" s="130"/>
      <c r="W12" s="130">
        <v>71.81</v>
      </c>
      <c r="X12" s="129">
        <v>0.52</v>
      </c>
      <c r="Y12" s="131">
        <v>680</v>
      </c>
      <c r="Z12" s="150">
        <v>1140</v>
      </c>
      <c r="AA12" s="148" t="s">
        <v>336</v>
      </c>
      <c r="AB12" s="149">
        <v>73.61</v>
      </c>
      <c r="AC12" s="150">
        <v>80</v>
      </c>
      <c r="AD12" s="151">
        <v>4</v>
      </c>
      <c r="AE12" s="149">
        <v>3.05</v>
      </c>
      <c r="AF12" s="134">
        <f t="shared" si="4"/>
        <v>32.234199957725643</v>
      </c>
      <c r="AG12" s="152"/>
      <c r="AH12" s="129">
        <v>73.05</v>
      </c>
      <c r="AI12" s="134">
        <f t="shared" si="5"/>
        <v>772.03551046290431</v>
      </c>
      <c r="AJ12" s="153">
        <v>12.41</v>
      </c>
      <c r="AK12" s="154"/>
      <c r="AL12" s="155">
        <v>5.5</v>
      </c>
      <c r="AM12" s="478">
        <f t="shared" si="26"/>
        <v>24.790000000000003</v>
      </c>
      <c r="AN12" s="126">
        <f t="shared" si="27"/>
        <v>0.2</v>
      </c>
      <c r="AO12" s="157" t="s">
        <v>376</v>
      </c>
      <c r="AP12" s="156">
        <v>8.76</v>
      </c>
      <c r="AQ12" s="156">
        <v>6.1</v>
      </c>
      <c r="AR12" s="149"/>
      <c r="AS12" s="149">
        <v>8.64</v>
      </c>
      <c r="AT12" s="149">
        <v>123.95</v>
      </c>
      <c r="AU12" s="149">
        <v>0.96</v>
      </c>
      <c r="AV12" s="164"/>
      <c r="AW12" s="164"/>
      <c r="AX12" s="158">
        <f t="shared" si="6"/>
        <v>0</v>
      </c>
      <c r="AY12" s="125">
        <f t="shared" si="7"/>
        <v>94.61999999999999</v>
      </c>
      <c r="AZ12" s="125">
        <f t="shared" si="28"/>
        <v>96.691582189741268</v>
      </c>
      <c r="BA12" s="159">
        <f t="shared" si="8"/>
        <v>4.8892056338028169</v>
      </c>
      <c r="BB12" s="160">
        <f t="shared" si="9"/>
        <v>3.7847999999999997</v>
      </c>
      <c r="BC12" s="161">
        <f t="shared" si="10"/>
        <v>0.86495058195172092</v>
      </c>
      <c r="BD12" s="160">
        <f t="shared" si="29"/>
        <v>8.6740056338028175</v>
      </c>
      <c r="BE12" s="162">
        <v>0.873</v>
      </c>
      <c r="BF12" s="25">
        <f t="shared" si="30"/>
        <v>538.85</v>
      </c>
      <c r="BG12" s="25">
        <f t="shared" si="11"/>
        <v>107.74193548387096</v>
      </c>
      <c r="BH12" s="25">
        <f t="shared" si="31"/>
        <v>646.45161290322574</v>
      </c>
      <c r="BI12" s="26">
        <f t="shared" si="12"/>
        <v>1</v>
      </c>
      <c r="BJ12" s="37">
        <f t="shared" si="32"/>
        <v>646.45161290322574</v>
      </c>
      <c r="BK12" s="38">
        <v>50.432000000000002</v>
      </c>
      <c r="BL12" s="31"/>
      <c r="BM12" s="31"/>
      <c r="BN12" s="28">
        <f t="shared" si="33"/>
        <v>98.123000000000005</v>
      </c>
      <c r="BO12" s="40"/>
      <c r="BP12" s="40">
        <v>32.006</v>
      </c>
      <c r="BQ12" s="32">
        <v>26.859000000000002</v>
      </c>
      <c r="BR12" s="33">
        <v>0.73</v>
      </c>
      <c r="BS12" s="34"/>
      <c r="BT12" s="33"/>
      <c r="BU12" s="28"/>
      <c r="BV12" s="287"/>
      <c r="BW12" s="287">
        <v>2.38</v>
      </c>
      <c r="BX12" s="36"/>
      <c r="BY12" s="33">
        <v>36.520000000000003</v>
      </c>
      <c r="BZ12" s="34"/>
      <c r="CA12" s="33"/>
      <c r="CB12" s="35">
        <v>41.75</v>
      </c>
      <c r="CC12" s="235"/>
      <c r="CD12" s="235">
        <v>30.69</v>
      </c>
      <c r="CE12" s="36">
        <v>43.78</v>
      </c>
      <c r="CF12" s="30">
        <v>141.23599999999999</v>
      </c>
      <c r="CG12" s="30"/>
      <c r="CH12" s="31"/>
      <c r="CI12" s="32"/>
      <c r="CJ12" s="33">
        <v>1.46</v>
      </c>
      <c r="CK12" s="33"/>
      <c r="CL12" s="35"/>
      <c r="CM12" s="36"/>
      <c r="CN12" s="286"/>
      <c r="CO12" s="249">
        <f t="shared" si="13"/>
        <v>50.063846399999996</v>
      </c>
      <c r="CP12" s="12">
        <f t="shared" si="13"/>
        <v>0</v>
      </c>
      <c r="CQ12" s="12">
        <f t="shared" si="13"/>
        <v>0</v>
      </c>
      <c r="CR12" s="12">
        <f t="shared" si="13"/>
        <v>98.123000000000005</v>
      </c>
      <c r="CS12" s="11">
        <f t="shared" si="13"/>
        <v>0</v>
      </c>
      <c r="CT12" s="11">
        <f t="shared" si="13"/>
        <v>31.244257200000003</v>
      </c>
      <c r="CU12" s="272">
        <f t="shared" si="13"/>
        <v>26.859000000000002</v>
      </c>
      <c r="CV12" s="249">
        <f t="shared" si="14"/>
        <v>139.17395439999999</v>
      </c>
      <c r="CW12" s="12">
        <f t="shared" si="14"/>
        <v>0</v>
      </c>
      <c r="CX12" s="252">
        <f t="shared" si="14"/>
        <v>0</v>
      </c>
      <c r="CY12" s="272">
        <f t="shared" si="14"/>
        <v>0</v>
      </c>
      <c r="CZ12" s="13"/>
      <c r="DA12" s="240">
        <f>(D12+'[2]август 20 '!D12)/(AY12+'[2]август 20 '!BA12)</f>
        <v>2.1801794548378441</v>
      </c>
      <c r="DB12" s="241">
        <f>(T12+'[2]август 20 '!T12)/(AY12+'[2]август 20 '!BA12)</f>
        <v>1.3895518353086775</v>
      </c>
      <c r="DD12" s="292">
        <f t="shared" si="15"/>
        <v>7.9619999999999997</v>
      </c>
      <c r="DE12" s="291">
        <v>0.17</v>
      </c>
      <c r="DF12" s="291">
        <v>11.03</v>
      </c>
      <c r="DG12" s="145">
        <f t="shared" si="16"/>
        <v>7.9484645999999994</v>
      </c>
      <c r="DH12" s="293">
        <f t="shared" si="34"/>
        <v>1.1910279111262057</v>
      </c>
      <c r="DJ12" s="30">
        <v>129.23599999999999</v>
      </c>
      <c r="DK12" s="508">
        <f t="shared" si="37"/>
        <v>141.23599999999999</v>
      </c>
      <c r="DM12" s="31">
        <v>90.832999999999998</v>
      </c>
      <c r="DN12" s="460">
        <f t="shared" si="36"/>
        <v>98.123000000000005</v>
      </c>
    </row>
    <row r="13" spans="1:118" s="76" customFormat="1" ht="16.5" customHeight="1" thickBot="1">
      <c r="A13" s="144">
        <v>7</v>
      </c>
      <c r="B13" s="122">
        <f t="shared" si="17"/>
        <v>228.499</v>
      </c>
      <c r="C13" s="123">
        <f t="shared" si="18"/>
        <v>0.59727421126569469</v>
      </c>
      <c r="D13" s="145">
        <f t="shared" si="19"/>
        <v>227.1342344</v>
      </c>
      <c r="E13" s="125">
        <f t="shared" si="20"/>
        <v>39.098018415835526</v>
      </c>
      <c r="F13" s="146">
        <f t="shared" si="0"/>
        <v>2.3921457019483938</v>
      </c>
      <c r="G13" s="127"/>
      <c r="H13" s="126">
        <f t="shared" si="21"/>
        <v>1.048922953133228</v>
      </c>
      <c r="I13" s="230">
        <f>'[1]июль 20'!AI12</f>
        <v>0</v>
      </c>
      <c r="J13" s="247">
        <f>'[1]август 20'!AA12</f>
        <v>8.9969999999999999</v>
      </c>
      <c r="K13" s="464">
        <f>'[1]сентябрь 20'!AM12</f>
        <v>0</v>
      </c>
      <c r="L13" s="247">
        <f t="shared" si="22"/>
        <v>127.53900000000002</v>
      </c>
      <c r="M13" s="468">
        <f t="shared" si="23"/>
        <v>1.343222748815166</v>
      </c>
      <c r="N13" s="403">
        <f>'[1]август 20'!W12</f>
        <v>0</v>
      </c>
      <c r="O13" s="403">
        <f>'[1]август 20'!AU12</f>
        <v>0</v>
      </c>
      <c r="P13" s="401">
        <f t="shared" si="1"/>
        <v>152.33199999999999</v>
      </c>
      <c r="Q13" s="122">
        <f t="shared" si="24"/>
        <v>152.33199999999999</v>
      </c>
      <c r="R13" s="123">
        <f t="shared" si="25"/>
        <v>1.47</v>
      </c>
      <c r="S13" s="129">
        <v>11.95</v>
      </c>
      <c r="T13" s="125">
        <f t="shared" si="2"/>
        <v>150.09271960000001</v>
      </c>
      <c r="U13" s="147">
        <f t="shared" si="3"/>
        <v>1.5807553407056345</v>
      </c>
      <c r="V13" s="130">
        <v>23.66</v>
      </c>
      <c r="W13" s="130">
        <v>47.74</v>
      </c>
      <c r="X13" s="129">
        <v>1.1299999999999999</v>
      </c>
      <c r="Y13" s="165">
        <v>688</v>
      </c>
      <c r="Z13" s="166">
        <v>1142</v>
      </c>
      <c r="AA13" s="148" t="s">
        <v>377</v>
      </c>
      <c r="AB13" s="149">
        <v>74.05</v>
      </c>
      <c r="AC13" s="150">
        <v>87</v>
      </c>
      <c r="AD13" s="151">
        <v>4</v>
      </c>
      <c r="AE13" s="149">
        <v>4.05</v>
      </c>
      <c r="AF13" s="134">
        <f t="shared" si="4"/>
        <v>42.654028436018955</v>
      </c>
      <c r="AG13" s="152"/>
      <c r="AH13" s="129">
        <v>73.3</v>
      </c>
      <c r="AI13" s="134">
        <f t="shared" si="5"/>
        <v>771.9852553975777</v>
      </c>
      <c r="AJ13" s="136">
        <v>12.93</v>
      </c>
      <c r="AK13" s="154"/>
      <c r="AL13" s="155">
        <v>5.66</v>
      </c>
      <c r="AM13" s="478">
        <f t="shared" si="26"/>
        <v>24.840000000000003</v>
      </c>
      <c r="AN13" s="126">
        <f t="shared" si="27"/>
        <v>0.2</v>
      </c>
      <c r="AO13" s="157" t="s">
        <v>378</v>
      </c>
      <c r="AP13" s="156">
        <v>9.32</v>
      </c>
      <c r="AQ13" s="156">
        <v>6.14</v>
      </c>
      <c r="AR13" s="149"/>
      <c r="AS13" s="149">
        <v>8.6199999999999992</v>
      </c>
      <c r="AT13" s="149">
        <v>124.2</v>
      </c>
      <c r="AU13" s="149">
        <v>1.25</v>
      </c>
      <c r="AV13" s="149"/>
      <c r="AW13" s="149"/>
      <c r="AX13" s="158">
        <f t="shared" si="6"/>
        <v>0</v>
      </c>
      <c r="AY13" s="125">
        <f t="shared" si="7"/>
        <v>94.95</v>
      </c>
      <c r="AZ13" s="125">
        <f t="shared" si="28"/>
        <v>106.39380533240094</v>
      </c>
      <c r="BA13" s="159">
        <f t="shared" si="8"/>
        <v>4.8945816901408445</v>
      </c>
      <c r="BB13" s="160">
        <f t="shared" si="9"/>
        <v>3.798</v>
      </c>
      <c r="BC13" s="161">
        <f t="shared" si="10"/>
        <v>0.79174018398627488</v>
      </c>
      <c r="BD13" s="160">
        <f t="shared" si="29"/>
        <v>8.6925816901408446</v>
      </c>
      <c r="BE13" s="162">
        <v>0.86</v>
      </c>
      <c r="BF13" s="25">
        <f t="shared" si="30"/>
        <v>633.80000000000007</v>
      </c>
      <c r="BG13" s="25">
        <f t="shared" si="11"/>
        <v>107.74193548387096</v>
      </c>
      <c r="BH13" s="25">
        <f t="shared" si="31"/>
        <v>754.19354838709671</v>
      </c>
      <c r="BI13" s="26">
        <f t="shared" si="12"/>
        <v>1</v>
      </c>
      <c r="BJ13" s="37">
        <f t="shared" si="32"/>
        <v>754.19354838709671</v>
      </c>
      <c r="BK13" s="39">
        <v>62.587000000000003</v>
      </c>
      <c r="BL13" s="40"/>
      <c r="BM13" s="325"/>
      <c r="BN13" s="28">
        <f t="shared" si="33"/>
        <v>102.96400000000001</v>
      </c>
      <c r="BO13" s="40"/>
      <c r="BP13" s="40">
        <v>38.372999999999998</v>
      </c>
      <c r="BQ13" s="32">
        <v>24.574999999999999</v>
      </c>
      <c r="BR13" s="33">
        <v>0.47</v>
      </c>
      <c r="BS13" s="34"/>
      <c r="BT13" s="33"/>
      <c r="BU13" s="28"/>
      <c r="BV13" s="287"/>
      <c r="BW13" s="287">
        <v>2.79</v>
      </c>
      <c r="BX13" s="36"/>
      <c r="BY13" s="33">
        <v>35.96</v>
      </c>
      <c r="BZ13" s="34"/>
      <c r="CA13" s="33"/>
      <c r="CB13" s="35">
        <v>41.79</v>
      </c>
      <c r="CC13" s="235"/>
      <c r="CD13" s="235">
        <v>33.86</v>
      </c>
      <c r="CE13" s="36">
        <v>43.99</v>
      </c>
      <c r="CF13" s="30">
        <v>152.33199999999999</v>
      </c>
      <c r="CG13" s="30"/>
      <c r="CH13" s="30"/>
      <c r="CI13" s="32"/>
      <c r="CJ13" s="33">
        <v>1.47</v>
      </c>
      <c r="CK13" s="33"/>
      <c r="CL13" s="33"/>
      <c r="CM13" s="36"/>
      <c r="CN13" s="286"/>
      <c r="CO13" s="249">
        <f t="shared" si="13"/>
        <v>62.292841100000004</v>
      </c>
      <c r="CP13" s="12">
        <f t="shared" si="13"/>
        <v>0</v>
      </c>
      <c r="CQ13" s="12">
        <f t="shared" si="13"/>
        <v>0</v>
      </c>
      <c r="CR13" s="12">
        <f t="shared" si="13"/>
        <v>102.96400000000001</v>
      </c>
      <c r="CS13" s="11">
        <f t="shared" si="13"/>
        <v>0</v>
      </c>
      <c r="CT13" s="11">
        <f t="shared" si="13"/>
        <v>37.302393299999999</v>
      </c>
      <c r="CU13" s="272">
        <f t="shared" si="13"/>
        <v>24.574999999999999</v>
      </c>
      <c r="CV13" s="249">
        <f t="shared" si="14"/>
        <v>150.09271960000001</v>
      </c>
      <c r="CW13" s="251">
        <f t="shared" si="14"/>
        <v>0</v>
      </c>
      <c r="CX13" s="249">
        <f t="shared" si="14"/>
        <v>0</v>
      </c>
      <c r="CY13" s="272">
        <f t="shared" si="14"/>
        <v>0</v>
      </c>
      <c r="CZ13" s="13"/>
      <c r="DA13" s="240">
        <f>(D13+'[2]август 20 '!D13)/(AY13+'[2]август 20 '!BA13)</f>
        <v>2.2572304243704617</v>
      </c>
      <c r="DB13" s="241">
        <f>(T13+'[2]август 20 '!T13)/(AY13+'[2]август 20 '!BA13)</f>
        <v>1.417640873557064</v>
      </c>
      <c r="DD13" s="292">
        <f t="shared" si="15"/>
        <v>8.9969999999999999</v>
      </c>
      <c r="DE13" s="291">
        <v>0.35</v>
      </c>
      <c r="DF13" s="291">
        <v>14.03</v>
      </c>
      <c r="DG13" s="145">
        <f t="shared" si="16"/>
        <v>8.9655105000000006</v>
      </c>
      <c r="DH13" s="293">
        <f t="shared" si="34"/>
        <v>1.6986645822417286</v>
      </c>
      <c r="DJ13" s="30">
        <v>140.33199999999999</v>
      </c>
      <c r="DK13" s="508">
        <f t="shared" si="37"/>
        <v>152.33199999999999</v>
      </c>
      <c r="DM13" s="31">
        <v>95.674000000000007</v>
      </c>
      <c r="DN13" s="460">
        <f t="shared" si="36"/>
        <v>102.96400000000001</v>
      </c>
    </row>
    <row r="14" spans="1:118" s="76" customFormat="1" ht="16.5" customHeight="1" thickBot="1">
      <c r="A14" s="144">
        <v>8</v>
      </c>
      <c r="B14" s="122">
        <f t="shared" si="17"/>
        <v>189.80300000000003</v>
      </c>
      <c r="C14" s="123">
        <f t="shared" si="18"/>
        <v>0.52933452052918017</v>
      </c>
      <c r="D14" s="145">
        <f t="shared" si="19"/>
        <v>188.79830720000004</v>
      </c>
      <c r="E14" s="125">
        <f t="shared" si="20"/>
        <v>39.022262767184912</v>
      </c>
      <c r="F14" s="146">
        <f t="shared" si="0"/>
        <v>2.0530481426707268</v>
      </c>
      <c r="G14" s="127"/>
      <c r="H14" s="126">
        <f t="shared" si="21"/>
        <v>0.9352686733362332</v>
      </c>
      <c r="I14" s="230">
        <f>'[1]июль 20'!AI13</f>
        <v>0</v>
      </c>
      <c r="J14" s="247">
        <f>'[1]август 20'!AA13</f>
        <v>7.41</v>
      </c>
      <c r="K14" s="467">
        <f>'[1]сентябрь 20'!AM13</f>
        <v>0</v>
      </c>
      <c r="L14" s="247">
        <f t="shared" si="22"/>
        <v>102.791</v>
      </c>
      <c r="M14" s="471">
        <f t="shared" si="23"/>
        <v>1.1177794693344933</v>
      </c>
      <c r="N14" s="403">
        <f>'[1]август 20'!W13</f>
        <v>0</v>
      </c>
      <c r="O14" s="403">
        <f>'[1]август 20'!AU13</f>
        <v>0</v>
      </c>
      <c r="P14" s="401">
        <f t="shared" si="1"/>
        <v>126.95</v>
      </c>
      <c r="Q14" s="122">
        <f t="shared" si="24"/>
        <v>126.95</v>
      </c>
      <c r="R14" s="123">
        <f t="shared" si="25"/>
        <v>1.56</v>
      </c>
      <c r="S14" s="129">
        <v>17.47</v>
      </c>
      <c r="T14" s="125">
        <f t="shared" si="2"/>
        <v>124.96957999999999</v>
      </c>
      <c r="U14" s="147">
        <f t="shared" si="3"/>
        <v>1.3589558503697259</v>
      </c>
      <c r="V14" s="130">
        <v>46.84</v>
      </c>
      <c r="W14" s="130">
        <v>23.41</v>
      </c>
      <c r="X14" s="129">
        <v>1.55</v>
      </c>
      <c r="Y14" s="131">
        <v>654</v>
      </c>
      <c r="Z14" s="150">
        <v>1146</v>
      </c>
      <c r="AA14" s="148" t="s">
        <v>333</v>
      </c>
      <c r="AB14" s="149">
        <v>74.400000000000006</v>
      </c>
      <c r="AC14" s="150">
        <v>73</v>
      </c>
      <c r="AD14" s="151">
        <v>4</v>
      </c>
      <c r="AE14" s="149">
        <v>3.25</v>
      </c>
      <c r="AF14" s="134">
        <f t="shared" si="4"/>
        <v>35.341452805567641</v>
      </c>
      <c r="AG14" s="152"/>
      <c r="AH14" s="129">
        <v>69</v>
      </c>
      <c r="AI14" s="134">
        <f t="shared" si="5"/>
        <v>750.32622879512837</v>
      </c>
      <c r="AJ14" s="153">
        <v>12.98</v>
      </c>
      <c r="AK14" s="154"/>
      <c r="AL14" s="155">
        <v>4.6500000000000004</v>
      </c>
      <c r="AM14" s="478">
        <f t="shared" si="26"/>
        <v>23.78</v>
      </c>
      <c r="AN14" s="126">
        <f t="shared" si="27"/>
        <v>0.2</v>
      </c>
      <c r="AO14" s="157" t="s">
        <v>181</v>
      </c>
      <c r="AP14" s="156">
        <v>9.61</v>
      </c>
      <c r="AQ14" s="156">
        <v>6.28</v>
      </c>
      <c r="AR14" s="149"/>
      <c r="AS14" s="149">
        <v>7.31</v>
      </c>
      <c r="AT14" s="149">
        <v>118.9</v>
      </c>
      <c r="AU14" s="149">
        <v>1.49</v>
      </c>
      <c r="AV14" s="149"/>
      <c r="AW14" s="149"/>
      <c r="AX14" s="158">
        <f t="shared" si="6"/>
        <v>0</v>
      </c>
      <c r="AY14" s="125">
        <f t="shared" si="7"/>
        <v>91.96</v>
      </c>
      <c r="AZ14" s="125">
        <f t="shared" si="28"/>
        <v>87.698400788524467</v>
      </c>
      <c r="BA14" s="159">
        <f t="shared" si="8"/>
        <v>3.9072464788732391</v>
      </c>
      <c r="BB14" s="160">
        <f t="shared" si="9"/>
        <v>3.6783999999999999</v>
      </c>
      <c r="BC14" s="161">
        <f t="shared" si="10"/>
        <v>0.92866986502656501</v>
      </c>
      <c r="BD14" s="159">
        <f t="shared" si="29"/>
        <v>7.5856464788732385</v>
      </c>
      <c r="BE14" s="167">
        <v>0.86799999999999999</v>
      </c>
      <c r="BF14" s="25">
        <f t="shared" si="30"/>
        <v>725.7600000000001</v>
      </c>
      <c r="BG14" s="25">
        <f t="shared" si="11"/>
        <v>107.74193548387096</v>
      </c>
      <c r="BH14" s="25">
        <f t="shared" si="31"/>
        <v>861.93548387096769</v>
      </c>
      <c r="BI14" s="26">
        <f t="shared" si="12"/>
        <v>1</v>
      </c>
      <c r="BJ14" s="37">
        <f t="shared" si="32"/>
        <v>861.93548387096769</v>
      </c>
      <c r="BK14" s="39">
        <v>57.79</v>
      </c>
      <c r="BL14" s="40"/>
      <c r="BM14" s="325"/>
      <c r="BN14" s="28">
        <f t="shared" si="33"/>
        <v>87.557000000000002</v>
      </c>
      <c r="BO14" s="40"/>
      <c r="BP14" s="40">
        <v>29.222000000000001</v>
      </c>
      <c r="BQ14" s="32">
        <v>15.234</v>
      </c>
      <c r="BR14" s="33">
        <v>0.53</v>
      </c>
      <c r="BS14" s="34"/>
      <c r="BT14" s="33"/>
      <c r="BU14" s="28"/>
      <c r="BV14" s="287"/>
      <c r="BW14" s="287">
        <v>2.39</v>
      </c>
      <c r="BX14" s="36"/>
      <c r="BY14" s="33">
        <v>36.75</v>
      </c>
      <c r="BZ14" s="34"/>
      <c r="CA14" s="33"/>
      <c r="CB14" s="35">
        <v>41.74</v>
      </c>
      <c r="CC14" s="235"/>
      <c r="CD14" s="235">
        <v>32.83</v>
      </c>
      <c r="CE14" s="36">
        <v>43.9</v>
      </c>
      <c r="CF14" s="30">
        <v>126.95</v>
      </c>
      <c r="CG14" s="30"/>
      <c r="CH14" s="30"/>
      <c r="CI14" s="32"/>
      <c r="CJ14" s="33">
        <v>1.56</v>
      </c>
      <c r="CK14" s="33"/>
      <c r="CL14" s="33"/>
      <c r="CM14" s="36"/>
      <c r="CN14" s="286"/>
      <c r="CO14" s="249">
        <f t="shared" si="13"/>
        <v>57.483713000000002</v>
      </c>
      <c r="CP14" s="12">
        <f t="shared" si="13"/>
        <v>0</v>
      </c>
      <c r="CQ14" s="12">
        <f t="shared" si="13"/>
        <v>0</v>
      </c>
      <c r="CR14" s="12">
        <f t="shared" si="13"/>
        <v>87.557000000000002</v>
      </c>
      <c r="CS14" s="11">
        <f t="shared" si="13"/>
        <v>0</v>
      </c>
      <c r="CT14" s="11">
        <f t="shared" si="13"/>
        <v>28.523594200000002</v>
      </c>
      <c r="CU14" s="272">
        <f t="shared" si="13"/>
        <v>15.234</v>
      </c>
      <c r="CV14" s="249">
        <f t="shared" si="14"/>
        <v>124.96957999999999</v>
      </c>
      <c r="CW14" s="12">
        <f t="shared" si="14"/>
        <v>0</v>
      </c>
      <c r="CX14" s="252">
        <f t="shared" si="14"/>
        <v>0</v>
      </c>
      <c r="CY14" s="272">
        <f t="shared" si="14"/>
        <v>0</v>
      </c>
      <c r="CZ14" s="13"/>
      <c r="DA14" s="240">
        <f>(D14+'[2]август 20 '!D14)/(AY14+'[2]август 20 '!BA14)</f>
        <v>2.1778614789696866</v>
      </c>
      <c r="DB14" s="241">
        <f>(T14+'[2]август 20 '!T14)/(AY14+'[2]август 20 '!BA14)</f>
        <v>1.3586013724815256</v>
      </c>
      <c r="DD14" s="292">
        <f t="shared" si="15"/>
        <v>7.41</v>
      </c>
      <c r="DE14" s="291">
        <v>0.39</v>
      </c>
      <c r="DF14" s="291">
        <v>12.61</v>
      </c>
      <c r="DG14" s="145">
        <f t="shared" si="16"/>
        <v>7.3811010000000001</v>
      </c>
      <c r="DH14" s="293">
        <f t="shared" si="34"/>
        <v>1.2510172528225805</v>
      </c>
      <c r="DJ14" s="30">
        <v>114.95</v>
      </c>
      <c r="DK14" s="508">
        <f t="shared" si="37"/>
        <v>126.95</v>
      </c>
      <c r="DM14" s="31">
        <v>80.266999999999996</v>
      </c>
      <c r="DN14" s="460">
        <f t="shared" si="36"/>
        <v>87.557000000000002</v>
      </c>
    </row>
    <row r="15" spans="1:118" s="76" customFormat="1" ht="16.5" customHeight="1" thickBot="1">
      <c r="A15" s="144">
        <v>9</v>
      </c>
      <c r="B15" s="122">
        <f t="shared" si="17"/>
        <v>212.50900000000001</v>
      </c>
      <c r="C15" s="123">
        <f t="shared" si="18"/>
        <v>0.86267343971314159</v>
      </c>
      <c r="D15" s="145">
        <f t="shared" si="19"/>
        <v>210.6757413</v>
      </c>
      <c r="E15" s="125">
        <f t="shared" si="20"/>
        <v>38.623863224616365</v>
      </c>
      <c r="F15" s="146">
        <f t="shared" si="0"/>
        <v>2.3062478522167487</v>
      </c>
      <c r="G15" s="127"/>
      <c r="H15" s="126">
        <f t="shared" si="21"/>
        <v>1.0572604411603721</v>
      </c>
      <c r="I15" s="230">
        <f>'[1]июль 20'!AI14</f>
        <v>0</v>
      </c>
      <c r="J15" s="247">
        <f>'[1]август 20'!AA14</f>
        <v>8.3510000000000009</v>
      </c>
      <c r="K15" s="465">
        <f>'[1]сентябрь 20'!AM14</f>
        <v>0</v>
      </c>
      <c r="L15" s="247">
        <f t="shared" si="22"/>
        <v>114.09500000000001</v>
      </c>
      <c r="M15" s="469">
        <f t="shared" si="23"/>
        <v>1.2489874110563766</v>
      </c>
      <c r="N15" s="403">
        <f>'[1]август 20'!W14</f>
        <v>0</v>
      </c>
      <c r="O15" s="403">
        <f>'[1]август 20'!AU14</f>
        <v>0</v>
      </c>
      <c r="P15" s="401">
        <f t="shared" si="1"/>
        <v>140.80500000000001</v>
      </c>
      <c r="Q15" s="122">
        <f t="shared" si="24"/>
        <v>140.80500000000001</v>
      </c>
      <c r="R15" s="123">
        <f t="shared" si="25"/>
        <v>1.84</v>
      </c>
      <c r="S15" s="129">
        <v>2</v>
      </c>
      <c r="T15" s="125">
        <f t="shared" si="2"/>
        <v>138.21418800000001</v>
      </c>
      <c r="U15" s="147">
        <f t="shared" si="3"/>
        <v>1.5130179310344827</v>
      </c>
      <c r="V15" s="130">
        <v>91.35</v>
      </c>
      <c r="W15" s="130">
        <v>40.1</v>
      </c>
      <c r="X15" s="129">
        <v>0.92</v>
      </c>
      <c r="Y15" s="131">
        <v>603</v>
      </c>
      <c r="Z15" s="150">
        <v>1149</v>
      </c>
      <c r="AA15" s="148" t="s">
        <v>335</v>
      </c>
      <c r="AB15" s="149">
        <v>76.47</v>
      </c>
      <c r="AC15" s="150">
        <v>82</v>
      </c>
      <c r="AD15" s="151">
        <v>4</v>
      </c>
      <c r="AE15" s="149">
        <v>2</v>
      </c>
      <c r="AF15" s="134">
        <f t="shared" si="4"/>
        <v>21.89381499726327</v>
      </c>
      <c r="AG15" s="152"/>
      <c r="AH15" s="129">
        <v>81.099999999999994</v>
      </c>
      <c r="AI15" s="134">
        <f t="shared" si="5"/>
        <v>887.79419813902564</v>
      </c>
      <c r="AJ15" s="136">
        <v>10.47</v>
      </c>
      <c r="AK15" s="154"/>
      <c r="AL15" s="155">
        <v>7.52</v>
      </c>
      <c r="AM15" s="478">
        <f t="shared" si="26"/>
        <v>24.480000000000004</v>
      </c>
      <c r="AN15" s="126">
        <f t="shared" si="27"/>
        <v>0.2</v>
      </c>
      <c r="AO15" s="157" t="s">
        <v>379</v>
      </c>
      <c r="AP15" s="156">
        <v>8.3699999999999992</v>
      </c>
      <c r="AQ15" s="156">
        <v>6.5</v>
      </c>
      <c r="AR15" s="149"/>
      <c r="AS15" s="149">
        <v>8.34</v>
      </c>
      <c r="AT15" s="149">
        <v>122.4</v>
      </c>
      <c r="AU15" s="149">
        <v>0.95</v>
      </c>
      <c r="AV15" s="149"/>
      <c r="AW15" s="149"/>
      <c r="AX15" s="158">
        <f t="shared" si="6"/>
        <v>0</v>
      </c>
      <c r="AY15" s="125">
        <f t="shared" si="7"/>
        <v>91.350000000000009</v>
      </c>
      <c r="AZ15" s="125">
        <f t="shared" si="28"/>
        <v>93.607006208407824</v>
      </c>
      <c r="BA15" s="159">
        <f t="shared" si="8"/>
        <v>5.2395169014084502</v>
      </c>
      <c r="BB15" s="160">
        <f t="shared" si="9"/>
        <v>3.6540000000000004</v>
      </c>
      <c r="BC15" s="161">
        <f t="shared" si="10"/>
        <v>0.85847845576271409</v>
      </c>
      <c r="BD15" s="159">
        <f t="shared" si="29"/>
        <v>8.8935169014084501</v>
      </c>
      <c r="BE15" s="167">
        <v>0.86699999999999999</v>
      </c>
      <c r="BF15" s="25">
        <f t="shared" si="30"/>
        <v>817.11000000000013</v>
      </c>
      <c r="BG15" s="25">
        <f t="shared" si="11"/>
        <v>107.74193548387096</v>
      </c>
      <c r="BH15" s="25">
        <f t="shared" si="31"/>
        <v>969.67741935483866</v>
      </c>
      <c r="BI15" s="26">
        <f t="shared" si="12"/>
        <v>1</v>
      </c>
      <c r="BJ15" s="37">
        <f t="shared" si="32"/>
        <v>969.67741935483866</v>
      </c>
      <c r="BK15" s="38">
        <v>65.631</v>
      </c>
      <c r="BL15" s="42"/>
      <c r="BM15" s="31"/>
      <c r="BN15" s="28">
        <f t="shared" si="33"/>
        <v>97.446000000000012</v>
      </c>
      <c r="BO15" s="40"/>
      <c r="BP15" s="40">
        <v>32.783000000000001</v>
      </c>
      <c r="BQ15" s="32">
        <v>16.649000000000001</v>
      </c>
      <c r="BR15" s="33">
        <v>1.06</v>
      </c>
      <c r="BS15" s="35"/>
      <c r="BT15" s="35"/>
      <c r="BU15" s="28"/>
      <c r="BV15" s="287"/>
      <c r="BW15" s="287">
        <v>3.47</v>
      </c>
      <c r="BX15" s="36"/>
      <c r="BY15" s="33">
        <v>35.770000000000003</v>
      </c>
      <c r="BZ15" s="34"/>
      <c r="CA15" s="35"/>
      <c r="CB15" s="35">
        <v>41.68</v>
      </c>
      <c r="CC15" s="35"/>
      <c r="CD15" s="35">
        <v>32.67</v>
      </c>
      <c r="CE15" s="35">
        <v>43.71</v>
      </c>
      <c r="CF15" s="38">
        <v>140.80500000000001</v>
      </c>
      <c r="CG15" s="30"/>
      <c r="CH15" s="30"/>
      <c r="CI15" s="32"/>
      <c r="CJ15" s="33">
        <v>1.84</v>
      </c>
      <c r="CK15" s="33"/>
      <c r="CL15" s="33"/>
      <c r="CM15" s="36"/>
      <c r="CN15" s="286"/>
      <c r="CO15" s="249">
        <f t="shared" si="13"/>
        <v>64.935311400000003</v>
      </c>
      <c r="CP15" s="12">
        <f t="shared" si="13"/>
        <v>0</v>
      </c>
      <c r="CQ15" s="12">
        <f t="shared" si="13"/>
        <v>0</v>
      </c>
      <c r="CR15" s="17">
        <f t="shared" si="13"/>
        <v>97.446000000000012</v>
      </c>
      <c r="CS15" s="11">
        <f t="shared" si="13"/>
        <v>0</v>
      </c>
      <c r="CT15" s="11">
        <f t="shared" si="13"/>
        <v>31.645429900000003</v>
      </c>
      <c r="CU15" s="272">
        <f t="shared" si="13"/>
        <v>16.649000000000001</v>
      </c>
      <c r="CV15" s="249">
        <f t="shared" si="14"/>
        <v>138.21418800000001</v>
      </c>
      <c r="CW15" s="12">
        <f t="shared" si="14"/>
        <v>0</v>
      </c>
      <c r="CX15" s="249">
        <f t="shared" si="14"/>
        <v>0</v>
      </c>
      <c r="CY15" s="274">
        <f t="shared" si="14"/>
        <v>0</v>
      </c>
      <c r="CZ15" s="13"/>
      <c r="DA15" s="240">
        <f>(D15+'[2]август 20 '!D15)/(AY15+'[2]август 20 '!BA15)</f>
        <v>2.2395376815226089</v>
      </c>
      <c r="DB15" s="241">
        <f>(T15+'[2]август 20 '!T15)/(AY15+'[2]август 20 '!BA15)</f>
        <v>1.4022991644808773</v>
      </c>
      <c r="DD15" s="292">
        <f t="shared" si="15"/>
        <v>8.3510000000000009</v>
      </c>
      <c r="DE15" s="291">
        <v>0.34</v>
      </c>
      <c r="DF15" s="291">
        <v>6.54</v>
      </c>
      <c r="DG15" s="145">
        <f t="shared" si="16"/>
        <v>8.3226066000000003</v>
      </c>
      <c r="DH15" s="293">
        <f t="shared" si="34"/>
        <v>0.71178039968615148</v>
      </c>
      <c r="DJ15" s="38">
        <v>128.80500000000001</v>
      </c>
      <c r="DK15" s="508">
        <f t="shared" si="37"/>
        <v>140.80500000000001</v>
      </c>
      <c r="DM15" s="31">
        <v>90.156000000000006</v>
      </c>
      <c r="DN15" s="460">
        <f t="shared" si="36"/>
        <v>97.446000000000012</v>
      </c>
    </row>
    <row r="16" spans="1:118" s="76" customFormat="1" ht="16.5" customHeight="1" thickBot="1">
      <c r="A16" s="144">
        <v>10</v>
      </c>
      <c r="B16" s="122">
        <f t="shared" si="17"/>
        <v>224.92200000000003</v>
      </c>
      <c r="C16" s="123">
        <f t="shared" si="18"/>
        <v>1.7423483251971792</v>
      </c>
      <c r="D16" s="145">
        <f t="shared" si="19"/>
        <v>221.00307530000001</v>
      </c>
      <c r="E16" s="125">
        <f t="shared" si="20"/>
        <v>39.490347098105119</v>
      </c>
      <c r="F16" s="146">
        <f t="shared" si="0"/>
        <v>2.2687924781849911</v>
      </c>
      <c r="G16" s="127"/>
      <c r="H16" s="126">
        <f t="shared" si="21"/>
        <v>1.0288684457447901</v>
      </c>
      <c r="I16" s="230">
        <f>'[1]июль 20'!AI15</f>
        <v>0</v>
      </c>
      <c r="J16" s="247">
        <f>'[1]август 20'!AA15</f>
        <v>8.6760000000000002</v>
      </c>
      <c r="K16" s="464">
        <f>'[1]сентябрь 20'!AM15</f>
        <v>0</v>
      </c>
      <c r="L16" s="247">
        <f t="shared" si="22"/>
        <v>120.78100000000001</v>
      </c>
      <c r="M16" s="468">
        <f t="shared" si="23"/>
        <v>1.2399240324402012</v>
      </c>
      <c r="N16" s="403">
        <f>'[1]август 20'!W15</f>
        <v>0</v>
      </c>
      <c r="O16" s="403">
        <f>'[1]август 20'!AU15</f>
        <v>0.24299999999999999</v>
      </c>
      <c r="P16" s="401">
        <f t="shared" si="1"/>
        <v>134.22</v>
      </c>
      <c r="Q16" s="122">
        <f t="shared" si="24"/>
        <v>134.22</v>
      </c>
      <c r="R16" s="123">
        <f t="shared" si="25"/>
        <v>2.02</v>
      </c>
      <c r="S16" s="501">
        <v>2.2610000000000001</v>
      </c>
      <c r="T16" s="125">
        <f t="shared" si="2"/>
        <v>131.50875600000001</v>
      </c>
      <c r="U16" s="147">
        <f t="shared" si="3"/>
        <v>1.3500539574992301</v>
      </c>
      <c r="V16" s="130">
        <v>97.41</v>
      </c>
      <c r="W16" s="130">
        <v>97.41</v>
      </c>
      <c r="X16" s="129">
        <v>0.49</v>
      </c>
      <c r="Y16" s="131">
        <v>570</v>
      </c>
      <c r="Z16" s="150">
        <v>1153</v>
      </c>
      <c r="AA16" s="148" t="s">
        <v>337</v>
      </c>
      <c r="AB16" s="149">
        <v>76.77</v>
      </c>
      <c r="AC16" s="150">
        <v>87</v>
      </c>
      <c r="AD16" s="151">
        <v>4</v>
      </c>
      <c r="AE16" s="149">
        <v>2.2000000000000002</v>
      </c>
      <c r="AF16" s="134">
        <f t="shared" si="4"/>
        <v>22.584950210450671</v>
      </c>
      <c r="AG16" s="152"/>
      <c r="AH16" s="129">
        <v>79.099999999999994</v>
      </c>
      <c r="AI16" s="134">
        <f t="shared" si="5"/>
        <v>812.03161893029448</v>
      </c>
      <c r="AJ16" s="153">
        <v>10.86</v>
      </c>
      <c r="AK16" s="154"/>
      <c r="AL16" s="155">
        <v>6.38</v>
      </c>
      <c r="AM16" s="478">
        <f t="shared" si="26"/>
        <v>25.3</v>
      </c>
      <c r="AN16" s="126">
        <f t="shared" si="27"/>
        <v>0.2</v>
      </c>
      <c r="AO16" s="157" t="s">
        <v>380</v>
      </c>
      <c r="AP16" s="156">
        <v>8.27</v>
      </c>
      <c r="AQ16" s="156">
        <v>6.48</v>
      </c>
      <c r="AR16" s="149"/>
      <c r="AS16" s="149">
        <v>9.0399999999999991</v>
      </c>
      <c r="AT16" s="149">
        <v>126.5</v>
      </c>
      <c r="AU16" s="149">
        <v>2.59</v>
      </c>
      <c r="AV16" s="149"/>
      <c r="AW16" s="149"/>
      <c r="AX16" s="158">
        <f t="shared" si="6"/>
        <v>0</v>
      </c>
      <c r="AY16" s="125">
        <f t="shared" si="7"/>
        <v>97.410000000000011</v>
      </c>
      <c r="AZ16" s="125">
        <f t="shared" si="28"/>
        <v>100.3085744922074</v>
      </c>
      <c r="BA16" s="159">
        <f t="shared" si="8"/>
        <v>5.5392281690140832</v>
      </c>
      <c r="BB16" s="160">
        <f t="shared" si="9"/>
        <v>3.8964000000000003</v>
      </c>
      <c r="BC16" s="161">
        <f t="shared" si="10"/>
        <v>0.85685200238665038</v>
      </c>
      <c r="BD16" s="160">
        <f t="shared" si="29"/>
        <v>9.435628169014084</v>
      </c>
      <c r="BE16" s="162">
        <v>0.86599999999999999</v>
      </c>
      <c r="BF16" s="25">
        <f t="shared" si="30"/>
        <v>914.5200000000001</v>
      </c>
      <c r="BG16" s="25">
        <f t="shared" si="11"/>
        <v>107.74193548387096</v>
      </c>
      <c r="BH16" s="25">
        <f t="shared" si="31"/>
        <v>1077.4193548387095</v>
      </c>
      <c r="BI16" s="26">
        <f t="shared" si="12"/>
        <v>1</v>
      </c>
      <c r="BJ16" s="37">
        <f t="shared" si="32"/>
        <v>1077.4193548387095</v>
      </c>
      <c r="BK16" s="38">
        <v>70.224000000000004</v>
      </c>
      <c r="BL16" s="31"/>
      <c r="BM16" s="31"/>
      <c r="BN16" s="28">
        <f t="shared" si="33"/>
        <v>102.85000000000001</v>
      </c>
      <c r="BO16" s="42"/>
      <c r="BP16" s="40">
        <v>33.917000000000002</v>
      </c>
      <c r="BQ16" s="32">
        <v>17.931000000000001</v>
      </c>
      <c r="BR16" s="33">
        <v>2.0499999999999998</v>
      </c>
      <c r="BS16" s="34"/>
      <c r="BT16" s="35"/>
      <c r="BU16" s="28"/>
      <c r="BV16" s="287"/>
      <c r="BW16" s="287">
        <v>7.31</v>
      </c>
      <c r="BX16" s="36"/>
      <c r="BY16" s="33">
        <v>35.94</v>
      </c>
      <c r="BZ16" s="34"/>
      <c r="CA16" s="35"/>
      <c r="CB16" s="405">
        <v>41.76</v>
      </c>
      <c r="CC16" s="404"/>
      <c r="CD16" s="235">
        <v>37.49</v>
      </c>
      <c r="CE16" s="36">
        <v>44.16</v>
      </c>
      <c r="CF16" s="38">
        <v>134.22</v>
      </c>
      <c r="CG16" s="30"/>
      <c r="CH16" s="30"/>
      <c r="CI16" s="32"/>
      <c r="CJ16" s="33">
        <v>2.02</v>
      </c>
      <c r="CK16" s="33"/>
      <c r="CL16" s="33"/>
      <c r="CM16" s="36"/>
      <c r="CN16" s="286"/>
      <c r="CO16" s="249">
        <f t="shared" si="13"/>
        <v>68.784408000000013</v>
      </c>
      <c r="CP16" s="12">
        <f t="shared" si="13"/>
        <v>0</v>
      </c>
      <c r="CQ16" s="12">
        <f t="shared" si="13"/>
        <v>0</v>
      </c>
      <c r="CR16" s="11">
        <f t="shared" si="13"/>
        <v>102.85000000000001</v>
      </c>
      <c r="CS16" s="11">
        <f t="shared" si="13"/>
        <v>0</v>
      </c>
      <c r="CT16" s="11">
        <f t="shared" si="13"/>
        <v>31.437667300000001</v>
      </c>
      <c r="CU16" s="272">
        <f t="shared" si="13"/>
        <v>17.931000000000001</v>
      </c>
      <c r="CV16" s="249">
        <f t="shared" si="14"/>
        <v>131.50875600000001</v>
      </c>
      <c r="CW16" s="12">
        <f t="shared" si="14"/>
        <v>0</v>
      </c>
      <c r="CX16" s="249">
        <f t="shared" si="14"/>
        <v>0</v>
      </c>
      <c r="CY16" s="272">
        <f t="shared" si="14"/>
        <v>0</v>
      </c>
      <c r="CZ16" s="13"/>
      <c r="DA16" s="240">
        <f>(D16+'[2]август 20 '!D16)/(AY16+'[2]август 20 '!BA16)</f>
        <v>2.2621225165294856</v>
      </c>
      <c r="DB16" s="241">
        <f>(T16+'[2]август 20 '!T16)/(AY16+'[2]август 20 '!BA16)</f>
        <v>1.3764877628131011</v>
      </c>
      <c r="DD16" s="292">
        <f t="shared" si="15"/>
        <v>8.6760000000000002</v>
      </c>
      <c r="DE16" s="291">
        <v>2.14</v>
      </c>
      <c r="DF16" s="291">
        <v>9.61</v>
      </c>
      <c r="DG16" s="145">
        <f t="shared" si="16"/>
        <v>8.4903335999999996</v>
      </c>
      <c r="DH16" s="293">
        <f t="shared" si="34"/>
        <v>1.0628123732708088</v>
      </c>
      <c r="DJ16" s="38">
        <v>122.22</v>
      </c>
      <c r="DK16" s="508">
        <f t="shared" si="37"/>
        <v>134.22</v>
      </c>
      <c r="DM16" s="234">
        <v>95.56</v>
      </c>
      <c r="DN16" s="460">
        <f t="shared" si="36"/>
        <v>102.85000000000001</v>
      </c>
    </row>
    <row r="17" spans="1:118" s="76" customFormat="1" ht="16.5" customHeight="1" thickBot="1">
      <c r="A17" s="144">
        <v>11</v>
      </c>
      <c r="B17" s="122">
        <f t="shared" si="17"/>
        <v>234.64699999999999</v>
      </c>
      <c r="C17" s="123">
        <f t="shared" si="18"/>
        <v>0.9130886821480777</v>
      </c>
      <c r="D17" s="145">
        <f t="shared" si="19"/>
        <v>232.50446480000002</v>
      </c>
      <c r="E17" s="125">
        <f t="shared" si="20"/>
        <v>39.453540552404256</v>
      </c>
      <c r="F17" s="146">
        <f t="shared" si="0"/>
        <v>2.4978992780403955</v>
      </c>
      <c r="G17" s="127"/>
      <c r="H17" s="126">
        <f t="shared" si="21"/>
        <v>1.0515305629565965</v>
      </c>
      <c r="I17" s="230">
        <f>'[1]июль 20'!AI16</f>
        <v>0</v>
      </c>
      <c r="J17" s="247">
        <f>'[1]август 20'!AA16</f>
        <v>9.0169999999999995</v>
      </c>
      <c r="K17" s="465">
        <f>'[1]сентябрь 20'!AM16</f>
        <v>0</v>
      </c>
      <c r="L17" s="247">
        <f t="shared" si="22"/>
        <v>134.62800000000001</v>
      </c>
      <c r="M17" s="469">
        <f t="shared" si="23"/>
        <v>1.4463687150837992</v>
      </c>
      <c r="N17" s="403">
        <f>'[1]август 20'!W16</f>
        <v>0</v>
      </c>
      <c r="O17" s="403">
        <f>'[1]август 20'!AU16</f>
        <v>2.7869999999999999</v>
      </c>
      <c r="P17" s="401">
        <f t="shared" si="1"/>
        <v>160.834</v>
      </c>
      <c r="Q17" s="122">
        <f t="shared" si="24"/>
        <v>160.834</v>
      </c>
      <c r="R17" s="123">
        <f t="shared" si="25"/>
        <v>2.48</v>
      </c>
      <c r="S17" s="501">
        <v>7.2779999999999996</v>
      </c>
      <c r="T17" s="125">
        <f t="shared" si="2"/>
        <v>156.84531680000001</v>
      </c>
      <c r="U17" s="147">
        <f t="shared" si="3"/>
        <v>1.6850592694456383</v>
      </c>
      <c r="V17" s="130">
        <v>93.08</v>
      </c>
      <c r="W17" s="130">
        <v>69.58</v>
      </c>
      <c r="X17" s="129">
        <v>0.51</v>
      </c>
      <c r="Y17" s="131">
        <v>539</v>
      </c>
      <c r="Z17" s="150">
        <v>1158</v>
      </c>
      <c r="AA17" s="148" t="s">
        <v>381</v>
      </c>
      <c r="AB17" s="149">
        <v>76.12</v>
      </c>
      <c r="AC17" s="150">
        <v>91</v>
      </c>
      <c r="AD17" s="151">
        <v>4</v>
      </c>
      <c r="AE17" s="149">
        <v>1.35</v>
      </c>
      <c r="AF17" s="134">
        <f t="shared" si="4"/>
        <v>14.503652771809197</v>
      </c>
      <c r="AG17" s="152"/>
      <c r="AH17" s="129">
        <v>63.25</v>
      </c>
      <c r="AI17" s="134">
        <f t="shared" si="5"/>
        <v>679.52299097550497</v>
      </c>
      <c r="AJ17" s="136">
        <v>13.75</v>
      </c>
      <c r="AK17" s="154"/>
      <c r="AL17" s="155">
        <v>5.13</v>
      </c>
      <c r="AM17" s="478">
        <f t="shared" si="26"/>
        <v>24.17</v>
      </c>
      <c r="AN17" s="126">
        <f t="shared" si="27"/>
        <v>0.2</v>
      </c>
      <c r="AO17" s="157" t="s">
        <v>382</v>
      </c>
      <c r="AP17" s="156">
        <v>9.07</v>
      </c>
      <c r="AQ17" s="156">
        <v>6.44</v>
      </c>
      <c r="AR17" s="149"/>
      <c r="AS17" s="149">
        <v>7.16</v>
      </c>
      <c r="AT17" s="149">
        <v>120.85</v>
      </c>
      <c r="AU17" s="149">
        <v>1.53</v>
      </c>
      <c r="AV17" s="149"/>
      <c r="AW17" s="149"/>
      <c r="AX17" s="158">
        <f t="shared" si="6"/>
        <v>0</v>
      </c>
      <c r="AY17" s="125">
        <f t="shared" si="7"/>
        <v>93.08</v>
      </c>
      <c r="AZ17" s="125">
        <f t="shared" si="28"/>
        <v>106.27968946348413</v>
      </c>
      <c r="BA17" s="159">
        <f t="shared" si="8"/>
        <v>3.5081478873239433</v>
      </c>
      <c r="BB17" s="160">
        <f t="shared" si="9"/>
        <v>3.7231999999999998</v>
      </c>
      <c r="BC17" s="161">
        <f t="shared" si="10"/>
        <v>0.77239219099684175</v>
      </c>
      <c r="BD17" s="160">
        <f t="shared" si="29"/>
        <v>7.2313478873239436</v>
      </c>
      <c r="BE17" s="162">
        <v>0.85599999999999998</v>
      </c>
      <c r="BF17" s="25">
        <f t="shared" si="30"/>
        <v>1007.6000000000001</v>
      </c>
      <c r="BG17" s="25">
        <f t="shared" si="11"/>
        <v>107.74193548387096</v>
      </c>
      <c r="BH17" s="25">
        <f t="shared" si="31"/>
        <v>1185.1612903225805</v>
      </c>
      <c r="BI17" s="26">
        <f t="shared" si="12"/>
        <v>1</v>
      </c>
      <c r="BJ17" s="37">
        <f t="shared" si="32"/>
        <v>1185.1612903225805</v>
      </c>
      <c r="BK17" s="39">
        <v>81.766999999999996</v>
      </c>
      <c r="BL17" s="31"/>
      <c r="BM17" s="31"/>
      <c r="BN17" s="28">
        <f t="shared" si="33"/>
        <v>107.313</v>
      </c>
      <c r="BO17" s="42"/>
      <c r="BP17" s="40">
        <v>18.251999999999999</v>
      </c>
      <c r="BQ17" s="32">
        <v>27.315000000000001</v>
      </c>
      <c r="BR17" s="33">
        <v>1.56</v>
      </c>
      <c r="BS17" s="34"/>
      <c r="BT17" s="35"/>
      <c r="BU17" s="28"/>
      <c r="BV17" s="287"/>
      <c r="BW17" s="287">
        <v>4.75</v>
      </c>
      <c r="BX17" s="36"/>
      <c r="BY17" s="33">
        <v>35.74</v>
      </c>
      <c r="BZ17" s="34"/>
      <c r="CA17" s="35"/>
      <c r="CB17" s="405">
        <v>41.6</v>
      </c>
      <c r="CC17" s="404"/>
      <c r="CD17" s="235">
        <v>36.950000000000003</v>
      </c>
      <c r="CE17" s="36">
        <v>43.81</v>
      </c>
      <c r="CF17" s="38">
        <v>160.834</v>
      </c>
      <c r="CG17" s="42"/>
      <c r="CH17" s="234"/>
      <c r="CI17" s="233"/>
      <c r="CJ17" s="33">
        <v>2.48</v>
      </c>
      <c r="CK17" s="33"/>
      <c r="CL17" s="33"/>
      <c r="CM17" s="36"/>
      <c r="CN17" s="286"/>
      <c r="CO17" s="249">
        <f t="shared" si="13"/>
        <v>80.491434799999993</v>
      </c>
      <c r="CP17" s="12">
        <f t="shared" si="13"/>
        <v>0</v>
      </c>
      <c r="CQ17" s="12">
        <f t="shared" si="13"/>
        <v>0</v>
      </c>
      <c r="CR17" s="12">
        <f t="shared" si="13"/>
        <v>107.313</v>
      </c>
      <c r="CS17" s="11">
        <f t="shared" si="13"/>
        <v>0</v>
      </c>
      <c r="CT17" s="11">
        <f t="shared" si="13"/>
        <v>17.38503</v>
      </c>
      <c r="CU17" s="272">
        <f t="shared" si="13"/>
        <v>27.315000000000001</v>
      </c>
      <c r="CV17" s="249">
        <f t="shared" si="14"/>
        <v>156.84531680000001</v>
      </c>
      <c r="CW17" s="12">
        <f t="shared" si="14"/>
        <v>0</v>
      </c>
      <c r="CX17" s="254">
        <f t="shared" si="14"/>
        <v>0</v>
      </c>
      <c r="CY17" s="272">
        <f t="shared" si="14"/>
        <v>0</v>
      </c>
      <c r="CZ17" s="13"/>
      <c r="DA17" s="240">
        <f>(D17+'[2]август 20 '!D17)/(AY17+'[2]август 20 '!BA17)</f>
        <v>2.2618549418253915</v>
      </c>
      <c r="DB17" s="241">
        <f>(T17+'[2]август 20 '!T17)/(AY17+'[2]август 20 '!BA17)</f>
        <v>1.4462717893216592</v>
      </c>
      <c r="DD17" s="292">
        <f t="shared" si="15"/>
        <v>9.0169999999999995</v>
      </c>
      <c r="DE17" s="291">
        <v>0.55000000000000004</v>
      </c>
      <c r="DF17" s="291">
        <v>9.1300000000000008</v>
      </c>
      <c r="DG17" s="145">
        <f t="shared" si="16"/>
        <v>8.9674064999999992</v>
      </c>
      <c r="DH17" s="293">
        <f t="shared" si="34"/>
        <v>1.0755704328034681</v>
      </c>
      <c r="DJ17" s="38">
        <v>148.834</v>
      </c>
      <c r="DK17" s="508">
        <f t="shared" si="37"/>
        <v>160.834</v>
      </c>
      <c r="DM17" s="234">
        <v>100.023</v>
      </c>
      <c r="DN17" s="460">
        <f t="shared" si="36"/>
        <v>107.313</v>
      </c>
    </row>
    <row r="18" spans="1:118" s="76" customFormat="1" ht="16.5" customHeight="1" thickBot="1">
      <c r="A18" s="144">
        <v>12</v>
      </c>
      <c r="B18" s="122">
        <f t="shared" si="17"/>
        <v>214.93300000000002</v>
      </c>
      <c r="C18" s="123">
        <f t="shared" si="18"/>
        <v>0.9333171732586435</v>
      </c>
      <c r="D18" s="145">
        <f t="shared" si="19"/>
        <v>212.92699340000001</v>
      </c>
      <c r="E18" s="125">
        <f t="shared" si="20"/>
        <v>39.498088753239372</v>
      </c>
      <c r="F18" s="146">
        <f t="shared" si="0"/>
        <v>2.2228520033406411</v>
      </c>
      <c r="G18" s="127"/>
      <c r="H18" s="126">
        <f t="shared" si="21"/>
        <v>0.93429369871594115</v>
      </c>
      <c r="I18" s="230">
        <f>'[1]июль 20'!AI17</f>
        <v>0</v>
      </c>
      <c r="J18" s="247">
        <f>'[1]август 20'!AA17</f>
        <v>8.4760000000000009</v>
      </c>
      <c r="K18" s="464">
        <f>'[1]сентябрь 20'!AM17</f>
        <v>0</v>
      </c>
      <c r="L18" s="247">
        <f t="shared" si="22"/>
        <v>123.43100000000001</v>
      </c>
      <c r="M18" s="468">
        <f t="shared" si="23"/>
        <v>1.2885583046247</v>
      </c>
      <c r="N18" s="403">
        <f>'[1]август 20'!W17</f>
        <v>0</v>
      </c>
      <c r="O18" s="403">
        <f>'[1]август 20'!AU17</f>
        <v>3.2549999999999999</v>
      </c>
      <c r="P18" s="401">
        <f t="shared" si="1"/>
        <v>150.20500000000001</v>
      </c>
      <c r="Q18" s="122">
        <f t="shared" si="24"/>
        <v>150.20500000000001</v>
      </c>
      <c r="R18" s="123">
        <f t="shared" si="25"/>
        <v>3.4399999999999995</v>
      </c>
      <c r="S18" s="502">
        <v>21.45</v>
      </c>
      <c r="T18" s="125">
        <f t="shared" si="2"/>
        <v>145.037948</v>
      </c>
      <c r="U18" s="147">
        <f t="shared" si="3"/>
        <v>1.5141241048126108</v>
      </c>
      <c r="V18" s="130">
        <v>95.79</v>
      </c>
      <c r="W18" s="130">
        <v>45.85</v>
      </c>
      <c r="X18" s="129">
        <v>0.8</v>
      </c>
      <c r="Y18" s="131">
        <v>557</v>
      </c>
      <c r="Z18" s="150">
        <v>1151</v>
      </c>
      <c r="AA18" s="148" t="s">
        <v>310</v>
      </c>
      <c r="AB18" s="149">
        <v>76.290000000000006</v>
      </c>
      <c r="AC18" s="150">
        <v>84</v>
      </c>
      <c r="AD18" s="151">
        <v>4</v>
      </c>
      <c r="AE18" s="149">
        <v>1.1499999999999999</v>
      </c>
      <c r="AF18" s="134">
        <f t="shared" si="4"/>
        <v>12.005428541601418</v>
      </c>
      <c r="AG18" s="152"/>
      <c r="AH18" s="129">
        <v>67.25</v>
      </c>
      <c r="AI18" s="134">
        <f t="shared" si="5"/>
        <v>702.05658210669162</v>
      </c>
      <c r="AJ18" s="153">
        <v>22.09</v>
      </c>
      <c r="AK18" s="154"/>
      <c r="AL18" s="155">
        <v>8.44</v>
      </c>
      <c r="AM18" s="478">
        <f t="shared" si="26"/>
        <v>25.580000000000002</v>
      </c>
      <c r="AN18" s="126">
        <f t="shared" si="27"/>
        <v>0.2</v>
      </c>
      <c r="AO18" s="157" t="s">
        <v>203</v>
      </c>
      <c r="AP18" s="156">
        <v>8.3000000000000007</v>
      </c>
      <c r="AQ18" s="156">
        <v>6.93</v>
      </c>
      <c r="AR18" s="151"/>
      <c r="AS18" s="149">
        <v>7</v>
      </c>
      <c r="AT18" s="149">
        <v>127.9</v>
      </c>
      <c r="AU18" s="149">
        <v>1.91</v>
      </c>
      <c r="AV18" s="149"/>
      <c r="AW18" s="149"/>
      <c r="AX18" s="158">
        <f t="shared" si="6"/>
        <v>0</v>
      </c>
      <c r="AY18" s="125">
        <f t="shared" si="7"/>
        <v>95.79</v>
      </c>
      <c r="AZ18" s="125">
        <f t="shared" si="28"/>
        <v>97.459338432427145</v>
      </c>
      <c r="BA18" s="159">
        <f t="shared" si="8"/>
        <v>3.6466549295774642</v>
      </c>
      <c r="BB18" s="160">
        <f t="shared" si="9"/>
        <v>3.8316000000000003</v>
      </c>
      <c r="BC18" s="161">
        <f t="shared" si="10"/>
        <v>0.86892238395707133</v>
      </c>
      <c r="BD18" s="160">
        <f t="shared" si="29"/>
        <v>7.4782549295774645</v>
      </c>
      <c r="BE18" s="162">
        <v>0.85699999999999998</v>
      </c>
      <c r="BF18" s="25">
        <f t="shared" si="30"/>
        <v>1103.3900000000001</v>
      </c>
      <c r="BG18" s="25">
        <f t="shared" si="11"/>
        <v>107.74193548387096</v>
      </c>
      <c r="BH18" s="25">
        <f t="shared" si="31"/>
        <v>1292.9032258064515</v>
      </c>
      <c r="BI18" s="26">
        <f t="shared" si="12"/>
        <v>1</v>
      </c>
      <c r="BJ18" s="37">
        <f t="shared" si="32"/>
        <v>1292.9032258064515</v>
      </c>
      <c r="BK18" s="38">
        <v>74.885000000000005</v>
      </c>
      <c r="BL18" s="31"/>
      <c r="BM18" s="31"/>
      <c r="BN18" s="28">
        <f t="shared" si="33"/>
        <v>98.561000000000007</v>
      </c>
      <c r="BO18" s="42"/>
      <c r="BP18" s="40">
        <v>16.617000000000001</v>
      </c>
      <c r="BQ18" s="411">
        <v>24.87</v>
      </c>
      <c r="BR18" s="41">
        <v>1.84</v>
      </c>
      <c r="BS18" s="34"/>
      <c r="BT18" s="35"/>
      <c r="BU18" s="28"/>
      <c r="BV18" s="287"/>
      <c r="BW18" s="287">
        <v>3.78</v>
      </c>
      <c r="BX18" s="36"/>
      <c r="BY18" s="34">
        <v>36.21</v>
      </c>
      <c r="BZ18" s="34"/>
      <c r="CA18" s="35"/>
      <c r="CB18" s="405">
        <v>41.44</v>
      </c>
      <c r="CC18" s="404"/>
      <c r="CD18" s="235">
        <v>36.06</v>
      </c>
      <c r="CE18" s="405">
        <v>44</v>
      </c>
      <c r="CF18" s="38">
        <v>150.20500000000001</v>
      </c>
      <c r="CG18" s="42"/>
      <c r="CH18" s="234"/>
      <c r="CI18" s="233"/>
      <c r="CJ18" s="33">
        <v>3.44</v>
      </c>
      <c r="CK18" s="33"/>
      <c r="CL18" s="33"/>
      <c r="CM18" s="36"/>
      <c r="CN18" s="286"/>
      <c r="CO18" s="249">
        <f t="shared" si="13"/>
        <v>73.507115999999996</v>
      </c>
      <c r="CP18" s="12">
        <f t="shared" si="13"/>
        <v>0</v>
      </c>
      <c r="CQ18" s="12">
        <f t="shared" si="13"/>
        <v>0</v>
      </c>
      <c r="CR18" s="12">
        <f t="shared" si="13"/>
        <v>98.561000000000007</v>
      </c>
      <c r="CS18" s="11">
        <f t="shared" si="13"/>
        <v>0</v>
      </c>
      <c r="CT18" s="11">
        <f t="shared" si="13"/>
        <v>15.9888774</v>
      </c>
      <c r="CU18" s="272">
        <f t="shared" si="13"/>
        <v>24.87</v>
      </c>
      <c r="CV18" s="249">
        <f t="shared" si="14"/>
        <v>145.037948</v>
      </c>
      <c r="CW18" s="11">
        <f t="shared" si="14"/>
        <v>0</v>
      </c>
      <c r="CX18" s="249">
        <f t="shared" si="14"/>
        <v>0</v>
      </c>
      <c r="CY18" s="272">
        <f t="shared" si="14"/>
        <v>0</v>
      </c>
      <c r="CZ18" s="13"/>
      <c r="DA18" s="240">
        <f>(D18+'[2]август 20 '!D18)/(AY18+'[2]август 20 '!BA18)</f>
        <v>2.1395759540318213</v>
      </c>
      <c r="DB18" s="241">
        <f>(T18+'[2]август 20 '!T18)/(AY18+'[2]август 20 '!BA18)</f>
        <v>1.4548320030738597</v>
      </c>
      <c r="DD18" s="292">
        <f t="shared" si="15"/>
        <v>8.4760000000000009</v>
      </c>
      <c r="DE18" s="291">
        <v>0.46</v>
      </c>
      <c r="DF18" s="291">
        <v>11.03</v>
      </c>
      <c r="DG18" s="145">
        <f t="shared" si="16"/>
        <v>8.4370104000000019</v>
      </c>
      <c r="DH18" s="293">
        <f t="shared" si="34"/>
        <v>1.2198220567833269</v>
      </c>
      <c r="DJ18" s="38">
        <v>138.20500000000001</v>
      </c>
      <c r="DK18" s="508">
        <f t="shared" si="37"/>
        <v>150.20500000000001</v>
      </c>
      <c r="DM18" s="234">
        <v>91.271000000000001</v>
      </c>
      <c r="DN18" s="460">
        <f t="shared" si="36"/>
        <v>98.561000000000007</v>
      </c>
    </row>
    <row r="19" spans="1:118" s="76" customFormat="1" ht="16.5" customHeight="1" thickBot="1">
      <c r="A19" s="144">
        <v>13</v>
      </c>
      <c r="B19" s="122">
        <f t="shared" si="17"/>
        <v>194.52700000000002</v>
      </c>
      <c r="C19" s="123">
        <f t="shared" si="18"/>
        <v>0.56670415931978591</v>
      </c>
      <c r="D19" s="145">
        <f t="shared" si="19"/>
        <v>193.42460740000001</v>
      </c>
      <c r="E19" s="125">
        <f t="shared" si="20"/>
        <v>39.227495206320967</v>
      </c>
      <c r="F19" s="146">
        <f t="shared" si="0"/>
        <v>2.0678277464186445</v>
      </c>
      <c r="G19" s="127"/>
      <c r="H19" s="126">
        <f t="shared" si="21"/>
        <v>0.86991241607868286</v>
      </c>
      <c r="I19" s="230">
        <f>'[1]июль 20'!AI18</f>
        <v>0</v>
      </c>
      <c r="J19" s="247">
        <f>'[1]август 20'!AA18</f>
        <v>7.5129999999999999</v>
      </c>
      <c r="K19" s="465">
        <f>'[1]сентябрь 20'!AM18</f>
        <v>0</v>
      </c>
      <c r="L19" s="247">
        <f t="shared" si="22"/>
        <v>112.05300000000001</v>
      </c>
      <c r="M19" s="469">
        <f t="shared" si="23"/>
        <v>1.1979153303399614</v>
      </c>
      <c r="N19" s="403">
        <f>'[1]август 20'!W18</f>
        <v>0</v>
      </c>
      <c r="O19" s="403">
        <f>'[1]август 20'!AU18</f>
        <v>2.9780000000000002</v>
      </c>
      <c r="P19" s="401">
        <f t="shared" si="1"/>
        <v>134.65100000000001</v>
      </c>
      <c r="Q19" s="122">
        <f t="shared" si="24"/>
        <v>134.65100000000001</v>
      </c>
      <c r="R19" s="123">
        <f t="shared" si="25"/>
        <v>3.1</v>
      </c>
      <c r="S19" s="501">
        <v>2.129</v>
      </c>
      <c r="T19" s="125">
        <f t="shared" si="2"/>
        <v>130.47681900000003</v>
      </c>
      <c r="U19" s="147">
        <f t="shared" si="3"/>
        <v>1.3948772610647855</v>
      </c>
      <c r="V19" s="130">
        <v>93.54</v>
      </c>
      <c r="W19" s="130">
        <v>45.14</v>
      </c>
      <c r="X19" s="129">
        <v>1.42</v>
      </c>
      <c r="Y19" s="131">
        <v>615</v>
      </c>
      <c r="Z19" s="150">
        <v>1160</v>
      </c>
      <c r="AA19" s="148">
        <v>371.7</v>
      </c>
      <c r="AB19" s="149">
        <v>76.25</v>
      </c>
      <c r="AC19" s="150">
        <v>75</v>
      </c>
      <c r="AD19" s="151">
        <v>4</v>
      </c>
      <c r="AE19" s="149">
        <v>2.9</v>
      </c>
      <c r="AF19" s="134">
        <f t="shared" si="4"/>
        <v>31.002779559546717</v>
      </c>
      <c r="AG19" s="152"/>
      <c r="AH19" s="129">
        <v>64.25</v>
      </c>
      <c r="AI19" s="134">
        <f t="shared" si="5"/>
        <v>686.87192644857805</v>
      </c>
      <c r="AJ19" s="136">
        <v>10.6</v>
      </c>
      <c r="AK19" s="154"/>
      <c r="AL19" s="155">
        <v>4.5599999999999996</v>
      </c>
      <c r="AM19" s="478">
        <f t="shared" si="26"/>
        <v>24.28</v>
      </c>
      <c r="AN19" s="126">
        <f t="shared" si="27"/>
        <v>0.2</v>
      </c>
      <c r="AO19" s="157" t="s">
        <v>383</v>
      </c>
      <c r="AP19" s="156">
        <v>8.9499999999999993</v>
      </c>
      <c r="AQ19" s="156">
        <v>6.34</v>
      </c>
      <c r="AR19" s="151"/>
      <c r="AS19" s="149">
        <v>5.65</v>
      </c>
      <c r="AT19" s="149">
        <v>121.4</v>
      </c>
      <c r="AU19" s="149">
        <v>0.98</v>
      </c>
      <c r="AV19" s="164"/>
      <c r="AW19" s="149"/>
      <c r="AX19" s="158">
        <f t="shared" si="6"/>
        <v>0</v>
      </c>
      <c r="AY19" s="125">
        <f t="shared" si="7"/>
        <v>93.54</v>
      </c>
      <c r="AZ19" s="125">
        <f t="shared" si="28"/>
        <v>87.533582776378722</v>
      </c>
      <c r="BA19" s="159">
        <f t="shared" si="8"/>
        <v>2.8120686619718311</v>
      </c>
      <c r="BB19" s="160">
        <f t="shared" si="9"/>
        <v>3.7416000000000005</v>
      </c>
      <c r="BC19" s="161">
        <f t="shared" si="10"/>
        <v>0.9400152765793458</v>
      </c>
      <c r="BD19" s="160">
        <f t="shared" si="29"/>
        <v>6.5536686619718321</v>
      </c>
      <c r="BE19" s="162">
        <v>0.86299999999999999</v>
      </c>
      <c r="BF19" s="25">
        <f t="shared" si="30"/>
        <v>1196.93</v>
      </c>
      <c r="BG19" s="25">
        <f t="shared" si="11"/>
        <v>107.74193548387096</v>
      </c>
      <c r="BH19" s="25">
        <f t="shared" si="31"/>
        <v>1400.6451612903224</v>
      </c>
      <c r="BI19" s="26">
        <f t="shared" si="12"/>
        <v>1</v>
      </c>
      <c r="BJ19" s="37">
        <f t="shared" si="32"/>
        <v>1400.6451612903224</v>
      </c>
      <c r="BK19" s="38">
        <v>67.463999999999999</v>
      </c>
      <c r="BL19" s="31"/>
      <c r="BM19" s="31"/>
      <c r="BN19" s="28">
        <f t="shared" si="33"/>
        <v>89.624000000000009</v>
      </c>
      <c r="BO19" s="42"/>
      <c r="BP19" s="40">
        <v>15.01</v>
      </c>
      <c r="BQ19" s="411">
        <v>22.428999999999998</v>
      </c>
      <c r="BR19" s="33">
        <v>1.04</v>
      </c>
      <c r="BS19" s="34"/>
      <c r="BT19" s="35"/>
      <c r="BU19" s="28"/>
      <c r="BV19" s="287"/>
      <c r="BW19" s="287">
        <v>2.67</v>
      </c>
      <c r="BX19" s="36"/>
      <c r="BY19" s="33">
        <v>35.53</v>
      </c>
      <c r="BZ19" s="34"/>
      <c r="CA19" s="35"/>
      <c r="CB19" s="405">
        <v>41.37</v>
      </c>
      <c r="CC19" s="404"/>
      <c r="CD19" s="235">
        <v>36.46</v>
      </c>
      <c r="CE19" s="413">
        <v>43.64</v>
      </c>
      <c r="CF19" s="41">
        <v>134.65100000000001</v>
      </c>
      <c r="CG19" s="41"/>
      <c r="CH19" s="30"/>
      <c r="CI19" s="32"/>
      <c r="CJ19" s="33">
        <v>3.1</v>
      </c>
      <c r="CK19" s="33"/>
      <c r="CL19" s="33"/>
      <c r="CM19" s="36"/>
      <c r="CN19" s="286"/>
      <c r="CO19" s="249">
        <f t="shared" si="13"/>
        <v>66.762374399999999</v>
      </c>
      <c r="CP19" s="12">
        <f t="shared" si="13"/>
        <v>0</v>
      </c>
      <c r="CQ19" s="12">
        <f t="shared" si="13"/>
        <v>0</v>
      </c>
      <c r="CR19" s="12">
        <f t="shared" si="13"/>
        <v>89.624000000000009</v>
      </c>
      <c r="CS19" s="11">
        <f t="shared" si="13"/>
        <v>0</v>
      </c>
      <c r="CT19" s="11">
        <f t="shared" si="13"/>
        <v>14.609233</v>
      </c>
      <c r="CU19" s="272">
        <f t="shared" si="13"/>
        <v>22.428999999999998</v>
      </c>
      <c r="CV19" s="249">
        <f t="shared" si="14"/>
        <v>130.47681900000003</v>
      </c>
      <c r="CW19" s="251">
        <f t="shared" si="14"/>
        <v>0</v>
      </c>
      <c r="CX19" s="249">
        <f t="shared" si="14"/>
        <v>0</v>
      </c>
      <c r="CY19" s="272">
        <f t="shared" si="14"/>
        <v>0</v>
      </c>
      <c r="CZ19" s="13"/>
      <c r="DA19" s="240">
        <f>(D19+'[2]август 20 '!D19)/(AY19+'[2]август 20 '!BA19)</f>
        <v>1.9708107453257007</v>
      </c>
      <c r="DB19" s="241">
        <f>(T19+'[2]август 20 '!T19)/(AY19+'[2]август 20 '!BA19)</f>
        <v>1.2701580428963464</v>
      </c>
      <c r="DD19" s="292">
        <f t="shared" si="15"/>
        <v>7.5129999999999999</v>
      </c>
      <c r="DE19" s="291">
        <v>0.57999999999999996</v>
      </c>
      <c r="DF19" s="291">
        <v>6.76</v>
      </c>
      <c r="DG19" s="145">
        <f t="shared" si="16"/>
        <v>7.4694246</v>
      </c>
      <c r="DH19" s="293">
        <f t="shared" si="34"/>
        <v>0.6622073481442623</v>
      </c>
      <c r="DJ19" s="41">
        <v>122.651</v>
      </c>
      <c r="DK19" s="508">
        <f t="shared" si="37"/>
        <v>134.65100000000001</v>
      </c>
      <c r="DM19" s="234">
        <v>82.334000000000003</v>
      </c>
      <c r="DN19" s="460">
        <f t="shared" si="36"/>
        <v>89.624000000000009</v>
      </c>
    </row>
    <row r="20" spans="1:118" s="76" customFormat="1" ht="16.5" customHeight="1" thickBot="1">
      <c r="A20" s="144">
        <v>14</v>
      </c>
      <c r="B20" s="122">
        <f t="shared" si="17"/>
        <v>209.798</v>
      </c>
      <c r="C20" s="123">
        <f t="shared" si="18"/>
        <v>0.54658380918788552</v>
      </c>
      <c r="D20" s="145">
        <f t="shared" si="19"/>
        <v>208.65127810000001</v>
      </c>
      <c r="E20" s="125">
        <f t="shared" si="20"/>
        <v>39.778532397830297</v>
      </c>
      <c r="F20" s="146">
        <f t="shared" si="0"/>
        <v>2.2253762595989763</v>
      </c>
      <c r="G20" s="127"/>
      <c r="H20" s="126">
        <f t="shared" si="21"/>
        <v>0.93839887052047788</v>
      </c>
      <c r="I20" s="230">
        <f>'[1]июль 20'!AI19</f>
        <v>0</v>
      </c>
      <c r="J20" s="247">
        <f>'[1]август 20'!AA19</f>
        <v>8.2110000000000003</v>
      </c>
      <c r="K20" s="464">
        <f>'[1]сентябрь 20'!AM19</f>
        <v>0</v>
      </c>
      <c r="L20" s="247">
        <f t="shared" si="22"/>
        <v>120.667</v>
      </c>
      <c r="M20" s="468">
        <f t="shared" si="23"/>
        <v>1.2869773890784983</v>
      </c>
      <c r="N20" s="403">
        <f>'[1]август 20'!W19</f>
        <v>0</v>
      </c>
      <c r="O20" s="403">
        <f>'[1]август 20'!AU19</f>
        <v>3.6240000000000001</v>
      </c>
      <c r="P20" s="401">
        <f t="shared" si="1"/>
        <v>143.107</v>
      </c>
      <c r="Q20" s="122">
        <f t="shared" si="24"/>
        <v>143.107</v>
      </c>
      <c r="R20" s="123">
        <f t="shared" si="25"/>
        <v>2.8</v>
      </c>
      <c r="S20" s="503">
        <v>11.041</v>
      </c>
      <c r="T20" s="125">
        <f t="shared" si="2"/>
        <v>139.10000399999998</v>
      </c>
      <c r="U20" s="147">
        <f t="shared" si="3"/>
        <v>1.4835751279863481</v>
      </c>
      <c r="V20" s="130">
        <v>93.76</v>
      </c>
      <c r="W20" s="130">
        <v>48.71</v>
      </c>
      <c r="X20" s="129">
        <v>0.99</v>
      </c>
      <c r="Y20" s="131">
        <v>587</v>
      </c>
      <c r="Z20" s="150">
        <v>1157</v>
      </c>
      <c r="AA20" s="168" t="s">
        <v>310</v>
      </c>
      <c r="AB20" s="149">
        <v>76.13</v>
      </c>
      <c r="AC20" s="150">
        <v>81</v>
      </c>
      <c r="AD20" s="151">
        <v>4</v>
      </c>
      <c r="AE20" s="149">
        <v>5.25</v>
      </c>
      <c r="AF20" s="134">
        <f t="shared" si="4"/>
        <v>55.994027303754272</v>
      </c>
      <c r="AG20" s="152"/>
      <c r="AH20" s="129">
        <v>72.2</v>
      </c>
      <c r="AI20" s="134">
        <f t="shared" si="5"/>
        <v>770.05119453924931</v>
      </c>
      <c r="AJ20" s="153">
        <v>12.46</v>
      </c>
      <c r="AK20" s="154"/>
      <c r="AL20" s="155">
        <v>6.26</v>
      </c>
      <c r="AM20" s="478">
        <f t="shared" si="26"/>
        <v>24.61</v>
      </c>
      <c r="AN20" s="126">
        <f t="shared" si="27"/>
        <v>0.2</v>
      </c>
      <c r="AO20" s="157" t="s">
        <v>196</v>
      </c>
      <c r="AP20" s="156">
        <v>8.9</v>
      </c>
      <c r="AQ20" s="156">
        <v>6.82</v>
      </c>
      <c r="AR20" s="149"/>
      <c r="AS20" s="149">
        <v>6.39</v>
      </c>
      <c r="AT20" s="149">
        <v>123.05</v>
      </c>
      <c r="AU20" s="149">
        <v>1.58</v>
      </c>
      <c r="AV20" s="149"/>
      <c r="AW20" s="149"/>
      <c r="AX20" s="158">
        <f t="shared" si="6"/>
        <v>0</v>
      </c>
      <c r="AY20" s="125">
        <f t="shared" si="7"/>
        <v>93.759999999999991</v>
      </c>
      <c r="AZ20" s="125">
        <f t="shared" si="28"/>
        <v>96.120042829940317</v>
      </c>
      <c r="BA20" s="159">
        <f t="shared" si="8"/>
        <v>3.5738999999999996</v>
      </c>
      <c r="BB20" s="160">
        <f t="shared" si="9"/>
        <v>3.7503999999999995</v>
      </c>
      <c r="BC20" s="161">
        <f t="shared" si="10"/>
        <v>0.86001024138281412</v>
      </c>
      <c r="BD20" s="160">
        <f t="shared" si="29"/>
        <v>7.3242999999999991</v>
      </c>
      <c r="BE20" s="162">
        <v>0.86299999999999999</v>
      </c>
      <c r="BF20" s="25">
        <f t="shared" si="30"/>
        <v>1290.69</v>
      </c>
      <c r="BG20" s="25">
        <f t="shared" si="11"/>
        <v>107.74193548387096</v>
      </c>
      <c r="BH20" s="25">
        <f t="shared" si="31"/>
        <v>1508.3870967741934</v>
      </c>
      <c r="BI20" s="26">
        <f t="shared" si="12"/>
        <v>1</v>
      </c>
      <c r="BJ20" s="37">
        <f t="shared" si="32"/>
        <v>1508.3870967741934</v>
      </c>
      <c r="BK20" s="38">
        <v>72.917000000000002</v>
      </c>
      <c r="BL20" s="31"/>
      <c r="BM20" s="31"/>
      <c r="BN20" s="28">
        <f t="shared" si="33"/>
        <v>96.338000000000008</v>
      </c>
      <c r="BO20" s="42"/>
      <c r="BP20" s="40">
        <v>16.213999999999999</v>
      </c>
      <c r="BQ20" s="411">
        <v>24.329000000000001</v>
      </c>
      <c r="BR20" s="33">
        <v>0.91</v>
      </c>
      <c r="BS20" s="34"/>
      <c r="BT20" s="35"/>
      <c r="BU20" s="28"/>
      <c r="BV20" s="287"/>
      <c r="BW20" s="287">
        <v>2.98</v>
      </c>
      <c r="BX20" s="36"/>
      <c r="BY20" s="33">
        <v>36.520000000000003</v>
      </c>
      <c r="BZ20" s="34"/>
      <c r="CA20" s="35"/>
      <c r="CB20" s="405">
        <v>41.67</v>
      </c>
      <c r="CC20" s="404"/>
      <c r="CD20" s="235">
        <v>37.01</v>
      </c>
      <c r="CE20" s="413">
        <v>43.9</v>
      </c>
      <c r="CF20" s="30">
        <v>143.107</v>
      </c>
      <c r="CG20" s="30"/>
      <c r="CH20" s="31"/>
      <c r="CI20" s="32"/>
      <c r="CJ20" s="33">
        <v>2.8</v>
      </c>
      <c r="CK20" s="33"/>
      <c r="CL20" s="35"/>
      <c r="CM20" s="36"/>
      <c r="CN20" s="286"/>
      <c r="CO20" s="249">
        <f t="shared" si="13"/>
        <v>72.253455299999999</v>
      </c>
      <c r="CP20" s="12">
        <f t="shared" si="13"/>
        <v>0</v>
      </c>
      <c r="CQ20" s="12">
        <f t="shared" si="13"/>
        <v>0</v>
      </c>
      <c r="CR20" s="12">
        <f t="shared" si="13"/>
        <v>96.338000000000008</v>
      </c>
      <c r="CS20" s="11">
        <f t="shared" si="13"/>
        <v>0</v>
      </c>
      <c r="CT20" s="11">
        <f t="shared" si="13"/>
        <v>15.730822799999999</v>
      </c>
      <c r="CU20" s="272">
        <f t="shared" si="13"/>
        <v>24.329000000000001</v>
      </c>
      <c r="CV20" s="249">
        <f t="shared" si="14"/>
        <v>139.10000399999998</v>
      </c>
      <c r="CW20" s="12">
        <f t="shared" si="14"/>
        <v>0</v>
      </c>
      <c r="CX20" s="249">
        <f t="shared" si="14"/>
        <v>0</v>
      </c>
      <c r="CY20" s="272">
        <f t="shared" si="14"/>
        <v>0</v>
      </c>
      <c r="CZ20" s="13"/>
      <c r="DA20" s="240">
        <f>(D20+'[2]август 20 '!D20)/(AY20+'[2]август 20 '!BA20)</f>
        <v>2.2627996651410767</v>
      </c>
      <c r="DB20" s="241">
        <f>(T20+'[2]август 20 '!T20)/(AY20+'[2]август 20 '!BA20)</f>
        <v>1.4542130136018081</v>
      </c>
      <c r="DD20" s="292">
        <f t="shared" si="15"/>
        <v>8.2110000000000003</v>
      </c>
      <c r="DE20" s="291">
        <v>0.44</v>
      </c>
      <c r="DF20" s="407">
        <v>8.7899999999999991</v>
      </c>
      <c r="DG20" s="145">
        <f t="shared" si="16"/>
        <v>8.1748716000000012</v>
      </c>
      <c r="DH20" s="293">
        <f t="shared" si="34"/>
        <v>0.94387391782477359</v>
      </c>
      <c r="DJ20" s="30">
        <v>131.107</v>
      </c>
      <c r="DK20" s="508">
        <f t="shared" si="37"/>
        <v>143.107</v>
      </c>
      <c r="DM20" s="234">
        <v>89.048000000000002</v>
      </c>
      <c r="DN20" s="460">
        <f t="shared" si="36"/>
        <v>96.338000000000008</v>
      </c>
    </row>
    <row r="21" spans="1:118" s="76" customFormat="1" ht="16.5" customHeight="1" thickBot="1">
      <c r="A21" s="144">
        <v>15</v>
      </c>
      <c r="B21" s="122">
        <f t="shared" si="17"/>
        <v>204.79400000000001</v>
      </c>
      <c r="C21" s="123">
        <f t="shared" si="18"/>
        <v>0.67214054122679379</v>
      </c>
      <c r="D21" s="145">
        <f t="shared" si="19"/>
        <v>203.4174965</v>
      </c>
      <c r="E21" s="125">
        <f t="shared" si="20"/>
        <v>39.275874488510404</v>
      </c>
      <c r="F21" s="146">
        <f t="shared" si="0"/>
        <v>2.1220268777383686</v>
      </c>
      <c r="G21" s="127"/>
      <c r="H21" s="126">
        <f t="shared" si="21"/>
        <v>0.89243163467556863</v>
      </c>
      <c r="I21" s="230">
        <f>'[1]июль 20'!AI20</f>
        <v>0</v>
      </c>
      <c r="J21" s="247">
        <f>'[1]август 20'!AA20</f>
        <v>8.3940000000000001</v>
      </c>
      <c r="K21" s="465">
        <f>'[1]сентябрь 20'!AM20</f>
        <v>0</v>
      </c>
      <c r="L21" s="247">
        <f t="shared" si="22"/>
        <v>117.869</v>
      </c>
      <c r="M21" s="469">
        <f t="shared" si="23"/>
        <v>1.2295952430628001</v>
      </c>
      <c r="N21" s="403">
        <f>'[1]август 20'!W20</f>
        <v>0</v>
      </c>
      <c r="O21" s="403">
        <f>'[1]август 20'!AU20</f>
        <v>3.51</v>
      </c>
      <c r="P21" s="401">
        <f t="shared" si="1"/>
        <v>140.38200000000001</v>
      </c>
      <c r="Q21" s="122">
        <f t="shared" si="24"/>
        <v>140.38200000000001</v>
      </c>
      <c r="R21" s="123">
        <f t="shared" si="25"/>
        <v>3.22</v>
      </c>
      <c r="S21" s="501"/>
      <c r="T21" s="125">
        <f t="shared" si="2"/>
        <v>135.86169960000001</v>
      </c>
      <c r="U21" s="147">
        <f t="shared" si="3"/>
        <v>1.4172929230127271</v>
      </c>
      <c r="V21" s="130">
        <v>95.86</v>
      </c>
      <c r="W21" s="130">
        <v>95.86</v>
      </c>
      <c r="X21" s="129">
        <v>0.25</v>
      </c>
      <c r="Y21" s="131">
        <v>627</v>
      </c>
      <c r="Z21" s="150">
        <v>1162</v>
      </c>
      <c r="AA21" s="168" t="s">
        <v>333</v>
      </c>
      <c r="AB21" s="149">
        <v>76.03</v>
      </c>
      <c r="AC21" s="150">
        <v>79</v>
      </c>
      <c r="AD21" s="151">
        <v>4</v>
      </c>
      <c r="AE21" s="149">
        <v>5.65</v>
      </c>
      <c r="AF21" s="134">
        <f t="shared" si="4"/>
        <v>58.940121009805978</v>
      </c>
      <c r="AG21" s="152"/>
      <c r="AH21" s="129">
        <v>76.2</v>
      </c>
      <c r="AI21" s="134">
        <f t="shared" si="5"/>
        <v>794.90924264552484</v>
      </c>
      <c r="AJ21" s="136">
        <v>14.07</v>
      </c>
      <c r="AK21" s="154"/>
      <c r="AL21" s="155">
        <v>6.01</v>
      </c>
      <c r="AM21" s="478">
        <f t="shared" si="26"/>
        <v>25.040000000000003</v>
      </c>
      <c r="AN21" s="126">
        <f t="shared" si="27"/>
        <v>0.2</v>
      </c>
      <c r="AO21" s="157" t="s">
        <v>183</v>
      </c>
      <c r="AP21" s="156">
        <v>7.81</v>
      </c>
      <c r="AQ21" s="156">
        <v>6.74</v>
      </c>
      <c r="AR21" s="149"/>
      <c r="AS21" s="149">
        <v>7.45</v>
      </c>
      <c r="AT21" s="149">
        <v>125.2</v>
      </c>
      <c r="AU21" s="149">
        <v>1.71</v>
      </c>
      <c r="AV21" s="149"/>
      <c r="AW21" s="149"/>
      <c r="AX21" s="158">
        <f t="shared" si="6"/>
        <v>0</v>
      </c>
      <c r="AY21" s="125">
        <f t="shared" si="7"/>
        <v>95.859999999999985</v>
      </c>
      <c r="AZ21" s="125">
        <f t="shared" si="28"/>
        <v>93.950715042480297</v>
      </c>
      <c r="BA21" s="159">
        <f t="shared" si="8"/>
        <v>4.3975985915492961</v>
      </c>
      <c r="BB21" s="160">
        <f t="shared" si="9"/>
        <v>3.8343999999999996</v>
      </c>
      <c r="BC21" s="161">
        <f t="shared" si="10"/>
        <v>0.91223818360313447</v>
      </c>
      <c r="BD21" s="160">
        <f t="shared" si="29"/>
        <v>8.2319985915492957</v>
      </c>
      <c r="BE21" s="162">
        <v>0.86599999999999999</v>
      </c>
      <c r="BF21" s="25">
        <f t="shared" si="30"/>
        <v>1386.55</v>
      </c>
      <c r="BG21" s="25">
        <f t="shared" si="11"/>
        <v>107.74193548387096</v>
      </c>
      <c r="BH21" s="25">
        <f t="shared" si="31"/>
        <v>1616.1290322580644</v>
      </c>
      <c r="BI21" s="26">
        <f t="shared" si="12"/>
        <v>1</v>
      </c>
      <c r="BJ21" s="37">
        <f t="shared" si="32"/>
        <v>1616.1290322580644</v>
      </c>
      <c r="BK21" s="38">
        <v>71.094999999999999</v>
      </c>
      <c r="BL21" s="31"/>
      <c r="BM21" s="31"/>
      <c r="BN21" s="28">
        <f t="shared" si="33"/>
        <v>94.197000000000003</v>
      </c>
      <c r="BO21" s="42"/>
      <c r="BP21" s="40">
        <v>15.83</v>
      </c>
      <c r="BQ21" s="411">
        <v>23.672000000000001</v>
      </c>
      <c r="BR21" s="33">
        <v>1.07</v>
      </c>
      <c r="BS21" s="34"/>
      <c r="BT21" s="35"/>
      <c r="BU21" s="35"/>
      <c r="BV21" s="235"/>
      <c r="BW21" s="235">
        <v>3.89</v>
      </c>
      <c r="BX21" s="36"/>
      <c r="BY21" s="33">
        <v>35.24</v>
      </c>
      <c r="BZ21" s="34"/>
      <c r="CA21" s="35"/>
      <c r="CB21" s="405">
        <v>41.58</v>
      </c>
      <c r="CC21" s="404"/>
      <c r="CD21" s="235">
        <v>37.090000000000003</v>
      </c>
      <c r="CE21" s="413">
        <v>43.69</v>
      </c>
      <c r="CF21" s="30">
        <v>140.38200000000001</v>
      </c>
      <c r="CG21" s="30"/>
      <c r="CH21" s="31"/>
      <c r="CI21" s="32"/>
      <c r="CJ21" s="33">
        <v>3.22</v>
      </c>
      <c r="CK21" s="33"/>
      <c r="CL21" s="35"/>
      <c r="CM21" s="36"/>
      <c r="CN21" s="286"/>
      <c r="CO21" s="249">
        <f t="shared" si="13"/>
        <v>70.334283499999998</v>
      </c>
      <c r="CP21" s="12">
        <f t="shared" si="13"/>
        <v>0</v>
      </c>
      <c r="CQ21" s="12">
        <f t="shared" si="13"/>
        <v>0</v>
      </c>
      <c r="CR21" s="12">
        <f t="shared" si="13"/>
        <v>94.197000000000003</v>
      </c>
      <c r="CS21" s="11">
        <f t="shared" si="13"/>
        <v>0</v>
      </c>
      <c r="CT21" s="11">
        <f t="shared" si="13"/>
        <v>15.214212999999999</v>
      </c>
      <c r="CU21" s="272">
        <f t="shared" si="13"/>
        <v>23.672000000000001</v>
      </c>
      <c r="CV21" s="249">
        <f t="shared" si="14"/>
        <v>135.86169960000001</v>
      </c>
      <c r="CW21" s="12">
        <f t="shared" si="14"/>
        <v>0</v>
      </c>
      <c r="CX21" s="249">
        <f t="shared" si="14"/>
        <v>0</v>
      </c>
      <c r="CY21" s="272">
        <f t="shared" si="14"/>
        <v>0</v>
      </c>
      <c r="CZ21" s="13"/>
      <c r="DA21" s="240">
        <f>(D21+'[2]август 20 '!D21)/(AY21+'[2]август 20 '!BA21)</f>
        <v>2.06616752107593</v>
      </c>
      <c r="DB21" s="241">
        <f>(T21+'[2]август 20 '!T21)/(AY21+'[2]август 20 '!BA21)</f>
        <v>1.3225757022662163</v>
      </c>
      <c r="DD21" s="292">
        <f t="shared" si="15"/>
        <v>8.3940000000000001</v>
      </c>
      <c r="DE21" s="291">
        <v>1.41</v>
      </c>
      <c r="DF21" s="291">
        <v>20.34</v>
      </c>
      <c r="DG21" s="145">
        <f t="shared" si="16"/>
        <v>8.2756445999999997</v>
      </c>
      <c r="DH21" s="293">
        <f t="shared" si="34"/>
        <v>2.2139499035117716</v>
      </c>
      <c r="DJ21" s="30">
        <v>128.38200000000001</v>
      </c>
      <c r="DK21" s="508">
        <f t="shared" si="37"/>
        <v>140.38200000000001</v>
      </c>
      <c r="DM21" s="234">
        <v>86.906999999999996</v>
      </c>
      <c r="DN21" s="460">
        <f t="shared" si="36"/>
        <v>94.197000000000003</v>
      </c>
    </row>
    <row r="22" spans="1:118" s="76" customFormat="1" ht="16.5" customHeight="1" thickBot="1">
      <c r="A22" s="144">
        <v>16</v>
      </c>
      <c r="B22" s="122">
        <f t="shared" si="17"/>
        <v>202.05400000000003</v>
      </c>
      <c r="C22" s="123">
        <f t="shared" si="18"/>
        <v>0.68342195650667636</v>
      </c>
      <c r="D22" s="145">
        <f t="shared" si="19"/>
        <v>200.67311860000001</v>
      </c>
      <c r="E22" s="125">
        <f t="shared" si="20"/>
        <v>39.439329981094161</v>
      </c>
      <c r="F22" s="146">
        <f t="shared" si="0"/>
        <v>2.1926695651223773</v>
      </c>
      <c r="G22" s="127"/>
      <c r="H22" s="126">
        <f t="shared" si="21"/>
        <v>0.91999692526223764</v>
      </c>
      <c r="I22" s="230">
        <f>'[1]июль 20'!AI21</f>
        <v>0</v>
      </c>
      <c r="J22" s="247">
        <f>'[1]август 20'!AA21</f>
        <v>7.88</v>
      </c>
      <c r="K22" s="464">
        <f>'[1]сентябрь 20'!AM21</f>
        <v>0</v>
      </c>
      <c r="L22" s="247">
        <f t="shared" si="22"/>
        <v>116.47500000000001</v>
      </c>
      <c r="M22" s="468">
        <f t="shared" si="23"/>
        <v>1.2726726398601398</v>
      </c>
      <c r="N22" s="403">
        <f>'[1]август 20'!W21</f>
        <v>0</v>
      </c>
      <c r="O22" s="403">
        <f>'[1]август 20'!AU21</f>
        <v>3.5169999999999999</v>
      </c>
      <c r="P22" s="401">
        <f t="shared" si="1"/>
        <v>138.471</v>
      </c>
      <c r="Q22" s="122">
        <f t="shared" si="24"/>
        <v>138.471</v>
      </c>
      <c r="R22" s="123">
        <f t="shared" si="25"/>
        <v>3.7</v>
      </c>
      <c r="S22" s="501"/>
      <c r="T22" s="125">
        <f t="shared" si="2"/>
        <v>133.34757300000001</v>
      </c>
      <c r="U22" s="147">
        <f t="shared" si="3"/>
        <v>1.4570320476398602</v>
      </c>
      <c r="V22" s="130">
        <v>91.52</v>
      </c>
      <c r="W22" s="130">
        <v>25.47</v>
      </c>
      <c r="X22" s="129">
        <v>1.1399999999999999</v>
      </c>
      <c r="Y22" s="131">
        <v>569</v>
      </c>
      <c r="Z22" s="150">
        <v>1163</v>
      </c>
      <c r="AA22" s="148" t="s">
        <v>299</v>
      </c>
      <c r="AB22" s="149">
        <v>76.349999999999994</v>
      </c>
      <c r="AC22" s="150">
        <v>78</v>
      </c>
      <c r="AD22" s="151">
        <v>4</v>
      </c>
      <c r="AE22" s="149">
        <v>4.1500000000000004</v>
      </c>
      <c r="AF22" s="134">
        <f t="shared" si="4"/>
        <v>45.34527972027972</v>
      </c>
      <c r="AG22" s="152"/>
      <c r="AH22" s="129">
        <v>73.8</v>
      </c>
      <c r="AI22" s="134">
        <f t="shared" si="5"/>
        <v>806.38111888111871</v>
      </c>
      <c r="AJ22" s="153">
        <v>12.06</v>
      </c>
      <c r="AK22" s="154"/>
      <c r="AL22" s="155">
        <v>4.9400000000000004</v>
      </c>
      <c r="AM22" s="478">
        <f t="shared" si="26"/>
        <v>23.71</v>
      </c>
      <c r="AN22" s="126">
        <f t="shared" si="27"/>
        <v>0.2</v>
      </c>
      <c r="AO22" s="157" t="s">
        <v>382</v>
      </c>
      <c r="AP22" s="156">
        <v>8.2799999999999994</v>
      </c>
      <c r="AQ22" s="156">
        <v>6.36</v>
      </c>
      <c r="AR22" s="151"/>
      <c r="AS22" s="149">
        <v>6.97</v>
      </c>
      <c r="AT22" s="149">
        <v>118.55</v>
      </c>
      <c r="AU22" s="149">
        <v>1.62</v>
      </c>
      <c r="AV22" s="149"/>
      <c r="AW22" s="149"/>
      <c r="AX22" s="158">
        <f t="shared" si="6"/>
        <v>0</v>
      </c>
      <c r="AY22" s="125">
        <f t="shared" si="7"/>
        <v>91.52000000000001</v>
      </c>
      <c r="AZ22" s="125">
        <f t="shared" si="28"/>
        <v>92.413249814079407</v>
      </c>
      <c r="BA22" s="159">
        <f t="shared" si="8"/>
        <v>3.9846802816901405</v>
      </c>
      <c r="BB22" s="160">
        <f t="shared" si="9"/>
        <v>3.6608000000000005</v>
      </c>
      <c r="BC22" s="161">
        <f t="shared" si="10"/>
        <v>0.88288944452923168</v>
      </c>
      <c r="BD22" s="160">
        <f t="shared" si="29"/>
        <v>7.6454802816901406</v>
      </c>
      <c r="BE22" s="162">
        <v>0.86699999999999999</v>
      </c>
      <c r="BF22" s="25">
        <f t="shared" si="30"/>
        <v>1478.07</v>
      </c>
      <c r="BG22" s="25">
        <f t="shared" si="11"/>
        <v>107.74193548387096</v>
      </c>
      <c r="BH22" s="25">
        <f t="shared" si="31"/>
        <v>1723.8709677419354</v>
      </c>
      <c r="BI22" s="26">
        <f t="shared" si="12"/>
        <v>1</v>
      </c>
      <c r="BJ22" s="37">
        <f t="shared" si="32"/>
        <v>1723.8709677419354</v>
      </c>
      <c r="BK22" s="38">
        <v>69.977000000000004</v>
      </c>
      <c r="BL22" s="31"/>
      <c r="BM22" s="31"/>
      <c r="BN22" s="28">
        <f t="shared" si="33"/>
        <v>93.086000000000013</v>
      </c>
      <c r="BO22" s="42"/>
      <c r="BP22" s="40">
        <v>15.602</v>
      </c>
      <c r="BQ22" s="411">
        <v>23.388999999999999</v>
      </c>
      <c r="BR22" s="33">
        <v>1.3</v>
      </c>
      <c r="BS22" s="34"/>
      <c r="BT22" s="35"/>
      <c r="BU22" s="35"/>
      <c r="BV22" s="235"/>
      <c r="BW22" s="235">
        <v>3.02</v>
      </c>
      <c r="BX22" s="36"/>
      <c r="BY22" s="33">
        <v>35.5</v>
      </c>
      <c r="BZ22" s="34"/>
      <c r="CA22" s="35"/>
      <c r="CB22" s="405">
        <v>41.62</v>
      </c>
      <c r="CC22" s="404"/>
      <c r="CD22" s="235">
        <v>37.799999999999997</v>
      </c>
      <c r="CE22" s="413">
        <v>43.64</v>
      </c>
      <c r="CF22" s="30">
        <v>138.471</v>
      </c>
      <c r="CG22" s="30"/>
      <c r="CH22" s="31"/>
      <c r="CI22" s="32"/>
      <c r="CJ22" s="33">
        <v>3.7</v>
      </c>
      <c r="CK22" s="33"/>
      <c r="CL22" s="35"/>
      <c r="CM22" s="36"/>
      <c r="CN22" s="286"/>
      <c r="CO22" s="249">
        <f t="shared" si="13"/>
        <v>69.067299000000006</v>
      </c>
      <c r="CP22" s="12">
        <f t="shared" si="13"/>
        <v>0</v>
      </c>
      <c r="CQ22" s="12">
        <f t="shared" si="13"/>
        <v>0</v>
      </c>
      <c r="CR22" s="12">
        <f t="shared" si="13"/>
        <v>93.086000000000013</v>
      </c>
      <c r="CS22" s="11">
        <f t="shared" si="13"/>
        <v>0</v>
      </c>
      <c r="CT22" s="11">
        <f t="shared" si="13"/>
        <v>15.130819600000001</v>
      </c>
      <c r="CU22" s="272">
        <f t="shared" si="13"/>
        <v>23.388999999999999</v>
      </c>
      <c r="CV22" s="249">
        <f t="shared" si="14"/>
        <v>133.34757300000001</v>
      </c>
      <c r="CW22" s="12">
        <f t="shared" si="14"/>
        <v>0</v>
      </c>
      <c r="CX22" s="249">
        <f t="shared" si="14"/>
        <v>0</v>
      </c>
      <c r="CY22" s="272">
        <f t="shared" si="14"/>
        <v>0</v>
      </c>
      <c r="CZ22" s="13"/>
      <c r="DA22" s="240">
        <f>(D22+'[2]август 20 '!D22)/(AY22+'[2]август 20 '!BA22)</f>
        <v>2.1900326464213902</v>
      </c>
      <c r="DB22" s="241">
        <f>(T22+'[2]август 20 '!T22)/(AY22+'[2]август 20 '!BA22)</f>
        <v>1.405122460578021</v>
      </c>
      <c r="DD22" s="292">
        <f t="shared" si="15"/>
        <v>7.88</v>
      </c>
      <c r="DE22" s="291">
        <v>0.92</v>
      </c>
      <c r="DF22" s="291">
        <v>18.760000000000002</v>
      </c>
      <c r="DG22" s="145">
        <f t="shared" si="16"/>
        <v>7.8075039999999998</v>
      </c>
      <c r="DH22" s="293">
        <f t="shared" si="34"/>
        <v>1.9183860516044533</v>
      </c>
      <c r="DJ22" s="30">
        <v>126.471</v>
      </c>
      <c r="DK22" s="508">
        <f t="shared" si="37"/>
        <v>138.471</v>
      </c>
      <c r="DM22" s="234">
        <v>85.796000000000006</v>
      </c>
      <c r="DN22" s="460">
        <f t="shared" si="36"/>
        <v>93.086000000000013</v>
      </c>
    </row>
    <row r="23" spans="1:118" s="76" customFormat="1" ht="16.5" customHeight="1" thickBot="1">
      <c r="A23" s="144">
        <v>17</v>
      </c>
      <c r="B23" s="122">
        <f t="shared" si="17"/>
        <v>209.65199999999999</v>
      </c>
      <c r="C23" s="123">
        <f t="shared" si="18"/>
        <v>0.67555377482685586</v>
      </c>
      <c r="D23" s="145">
        <f t="shared" si="19"/>
        <v>208.23568799999998</v>
      </c>
      <c r="E23" s="125">
        <f t="shared" si="20"/>
        <v>39.741570507316894</v>
      </c>
      <c r="F23" s="146">
        <f t="shared" si="0"/>
        <v>2.228072843997432</v>
      </c>
      <c r="G23" s="127"/>
      <c r="H23" s="126">
        <f t="shared" si="21"/>
        <v>0.93738163920393769</v>
      </c>
      <c r="I23" s="230">
        <f>'[1]июль 20'!AI22</f>
        <v>0</v>
      </c>
      <c r="J23" s="247">
        <f>'[1]август 20'!AA22</f>
        <v>8.0489999999999995</v>
      </c>
      <c r="K23" s="465">
        <f>'[1]сентябрь 20'!AM22</f>
        <v>0</v>
      </c>
      <c r="L23" s="247">
        <f t="shared" si="22"/>
        <v>120.62800000000001</v>
      </c>
      <c r="M23" s="469">
        <f t="shared" si="23"/>
        <v>1.2906912047934949</v>
      </c>
      <c r="N23" s="403">
        <f>'[1]август 20'!W22</f>
        <v>0</v>
      </c>
      <c r="O23" s="403">
        <f>'[1]август 20'!AU22</f>
        <v>3.6930000000000001</v>
      </c>
      <c r="P23" s="401">
        <f t="shared" si="1"/>
        <v>143.387</v>
      </c>
      <c r="Q23" s="122">
        <f t="shared" si="24"/>
        <v>143.387</v>
      </c>
      <c r="R23" s="123">
        <f t="shared" si="25"/>
        <v>3.42</v>
      </c>
      <c r="S23" s="501">
        <v>11.071</v>
      </c>
      <c r="T23" s="125">
        <f t="shared" si="2"/>
        <v>138.48316460000001</v>
      </c>
      <c r="U23" s="147">
        <f t="shared" si="3"/>
        <v>1.4817372630002141</v>
      </c>
      <c r="V23" s="130">
        <v>93.46</v>
      </c>
      <c r="W23" s="130">
        <v>93.46</v>
      </c>
      <c r="X23" s="129">
        <v>0.72</v>
      </c>
      <c r="Y23" s="131">
        <v>553</v>
      </c>
      <c r="Z23" s="150">
        <v>1157</v>
      </c>
      <c r="AA23" s="148" t="s">
        <v>329</v>
      </c>
      <c r="AB23" s="149">
        <v>76.23</v>
      </c>
      <c r="AC23" s="150">
        <v>81</v>
      </c>
      <c r="AD23" s="151">
        <v>4</v>
      </c>
      <c r="AE23" s="149">
        <v>2.4</v>
      </c>
      <c r="AF23" s="134">
        <f t="shared" si="4"/>
        <v>25.679435052428847</v>
      </c>
      <c r="AG23" s="152"/>
      <c r="AH23" s="129">
        <v>69.45</v>
      </c>
      <c r="AI23" s="134">
        <f t="shared" si="5"/>
        <v>743.09865182965984</v>
      </c>
      <c r="AJ23" s="136">
        <v>12.87</v>
      </c>
      <c r="AK23" s="154"/>
      <c r="AL23" s="155">
        <v>5.15</v>
      </c>
      <c r="AM23" s="478">
        <f t="shared" si="26"/>
        <v>24.42</v>
      </c>
      <c r="AN23" s="126">
        <f t="shared" si="27"/>
        <v>0.2</v>
      </c>
      <c r="AO23" s="157" t="s">
        <v>217</v>
      </c>
      <c r="AP23" s="156">
        <v>8.0299999999999994</v>
      </c>
      <c r="AQ23" s="156">
        <v>6.65</v>
      </c>
      <c r="AR23" s="151"/>
      <c r="AS23" s="149">
        <v>7.3</v>
      </c>
      <c r="AT23" s="149">
        <v>122.1</v>
      </c>
      <c r="AU23" s="149">
        <v>0.93</v>
      </c>
      <c r="AV23" s="149"/>
      <c r="AW23" s="149"/>
      <c r="AX23" s="158">
        <f t="shared" si="6"/>
        <v>0</v>
      </c>
      <c r="AY23" s="125">
        <f t="shared" si="7"/>
        <v>93.46</v>
      </c>
      <c r="AZ23" s="125">
        <f t="shared" si="28"/>
        <v>96.652931949561889</v>
      </c>
      <c r="BA23" s="159">
        <f t="shared" si="8"/>
        <v>3.9273485915492956</v>
      </c>
      <c r="BB23" s="160">
        <f t="shared" si="9"/>
        <v>3.7383999999999999</v>
      </c>
      <c r="BC23" s="161">
        <f t="shared" si="10"/>
        <v>0.86089762313809659</v>
      </c>
      <c r="BD23" s="160">
        <f t="shared" si="29"/>
        <v>7.6657485915492956</v>
      </c>
      <c r="BE23" s="162">
        <v>0.86699999999999999</v>
      </c>
      <c r="BF23" s="25">
        <f t="shared" si="30"/>
        <v>1571.53</v>
      </c>
      <c r="BG23" s="25">
        <f t="shared" si="11"/>
        <v>107.74193548387096</v>
      </c>
      <c r="BH23" s="25">
        <f t="shared" si="31"/>
        <v>1831.6129032258063</v>
      </c>
      <c r="BI23" s="26">
        <f t="shared" si="12"/>
        <v>1</v>
      </c>
      <c r="BJ23" s="37">
        <f t="shared" si="32"/>
        <v>1831.6129032258063</v>
      </c>
      <c r="BK23" s="38">
        <v>72.835999999999999</v>
      </c>
      <c r="BL23" s="31"/>
      <c r="BM23" s="31"/>
      <c r="BN23" s="28">
        <f t="shared" si="33"/>
        <v>96.327000000000012</v>
      </c>
      <c r="BO23" s="42"/>
      <c r="BP23" s="40">
        <v>16.187999999999999</v>
      </c>
      <c r="BQ23" s="411">
        <v>24.300999999999998</v>
      </c>
      <c r="BR23" s="33">
        <v>1.38</v>
      </c>
      <c r="BS23" s="34"/>
      <c r="BT23" s="35"/>
      <c r="BU23" s="35"/>
      <c r="BV23" s="235"/>
      <c r="BW23" s="235">
        <v>2.54</v>
      </c>
      <c r="BX23" s="36"/>
      <c r="BY23" s="33">
        <v>36.229999999999997</v>
      </c>
      <c r="BZ23" s="34"/>
      <c r="CA23" s="35"/>
      <c r="CB23" s="405">
        <v>41.69</v>
      </c>
      <c r="CC23" s="404"/>
      <c r="CD23" s="235">
        <v>37.99</v>
      </c>
      <c r="CE23" s="413">
        <v>43.71</v>
      </c>
      <c r="CF23" s="30">
        <v>143.387</v>
      </c>
      <c r="CG23" s="30"/>
      <c r="CH23" s="31"/>
      <c r="CI23" s="32"/>
      <c r="CJ23" s="33">
        <v>3.42</v>
      </c>
      <c r="CK23" s="33"/>
      <c r="CL23" s="35"/>
      <c r="CM23" s="36"/>
      <c r="CN23" s="286"/>
      <c r="CO23" s="249">
        <f t="shared" ref="CO23:CU37" si="38">BK23*((100-BR23)/100)</f>
        <v>71.83086320000001</v>
      </c>
      <c r="CP23" s="12">
        <f t="shared" si="38"/>
        <v>0</v>
      </c>
      <c r="CQ23" s="12">
        <f t="shared" si="38"/>
        <v>0</v>
      </c>
      <c r="CR23" s="12">
        <f t="shared" si="38"/>
        <v>96.327000000000012</v>
      </c>
      <c r="CS23" s="11">
        <f t="shared" si="38"/>
        <v>0</v>
      </c>
      <c r="CT23" s="11">
        <f t="shared" si="38"/>
        <v>15.776824799999998</v>
      </c>
      <c r="CU23" s="272">
        <f t="shared" si="38"/>
        <v>24.300999999999998</v>
      </c>
      <c r="CV23" s="249">
        <f t="shared" si="14"/>
        <v>138.48316460000001</v>
      </c>
      <c r="CW23" s="11">
        <f t="shared" si="14"/>
        <v>0</v>
      </c>
      <c r="CX23" s="249">
        <f t="shared" si="14"/>
        <v>0</v>
      </c>
      <c r="CY23" s="272">
        <f t="shared" si="14"/>
        <v>0</v>
      </c>
      <c r="CZ23" s="13"/>
      <c r="DA23" s="240">
        <f>(D23+'[2]август 20 '!D23)/(AY23+'[2]август 20 '!BA23)</f>
        <v>2.2345984105132946</v>
      </c>
      <c r="DB23" s="241">
        <f>(T23+'[2]август 20 '!T23)/(AY23+'[2]август 20 '!BA23)</f>
        <v>1.4403197977461042</v>
      </c>
      <c r="DD23" s="292">
        <f t="shared" si="15"/>
        <v>8.0489999999999995</v>
      </c>
      <c r="DE23" s="291">
        <v>1.46</v>
      </c>
      <c r="DF23" s="291">
        <v>18.059999999999999</v>
      </c>
      <c r="DG23" s="145">
        <f t="shared" si="16"/>
        <v>7.9314846000000001</v>
      </c>
      <c r="DH23" s="293">
        <f t="shared" si="34"/>
        <v>1.8790845057851235</v>
      </c>
      <c r="DJ23" s="30">
        <v>131.387</v>
      </c>
      <c r="DK23" s="508">
        <f t="shared" si="37"/>
        <v>143.387</v>
      </c>
      <c r="DM23" s="234">
        <v>89.037000000000006</v>
      </c>
      <c r="DN23" s="460">
        <f t="shared" si="36"/>
        <v>96.327000000000012</v>
      </c>
    </row>
    <row r="24" spans="1:118" s="76" customFormat="1" ht="16.5" customHeight="1" thickBot="1">
      <c r="A24" s="144">
        <v>18</v>
      </c>
      <c r="B24" s="122">
        <f t="shared" si="17"/>
        <v>199.80799999999999</v>
      </c>
      <c r="C24" s="123">
        <f t="shared" si="18"/>
        <v>0.66963174647661772</v>
      </c>
      <c r="D24" s="145">
        <f t="shared" si="19"/>
        <v>198.47002220000002</v>
      </c>
      <c r="E24" s="125">
        <f t="shared" si="20"/>
        <v>39.228120896060219</v>
      </c>
      <c r="F24" s="146">
        <f t="shared" si="0"/>
        <v>2.1086912685932853</v>
      </c>
      <c r="G24" s="127"/>
      <c r="H24" s="126">
        <f t="shared" si="21"/>
        <v>0.88763304504887375</v>
      </c>
      <c r="I24" s="230">
        <f>'[1]июль 20'!AI23</f>
        <v>0</v>
      </c>
      <c r="J24" s="247">
        <f>'[1]август 20'!AA23</f>
        <v>7.8559999999999999</v>
      </c>
      <c r="K24" s="464">
        <f>'[1]сентябрь 20'!AM23</f>
        <v>0</v>
      </c>
      <c r="L24" s="247">
        <f t="shared" si="22"/>
        <v>114.92600000000002</v>
      </c>
      <c r="M24" s="468">
        <f t="shared" si="23"/>
        <v>1.2210582235444114</v>
      </c>
      <c r="N24" s="403">
        <f>'[1]август 20'!W23</f>
        <v>0</v>
      </c>
      <c r="O24" s="403">
        <f>'[1]август 20'!AU23</f>
        <v>3.411</v>
      </c>
      <c r="P24" s="401">
        <f t="shared" si="1"/>
        <v>137.21600000000001</v>
      </c>
      <c r="Q24" s="122">
        <f t="shared" si="24"/>
        <v>137.21600000000001</v>
      </c>
      <c r="R24" s="123">
        <f t="shared" si="25"/>
        <v>3.68</v>
      </c>
      <c r="S24" s="129">
        <v>2.29</v>
      </c>
      <c r="T24" s="125">
        <f t="shared" si="2"/>
        <v>132.16645120000001</v>
      </c>
      <c r="U24" s="147">
        <f t="shared" si="3"/>
        <v>1.404233438164046</v>
      </c>
      <c r="V24" s="130">
        <v>94.12</v>
      </c>
      <c r="W24" s="130">
        <v>49.09</v>
      </c>
      <c r="X24" s="129">
        <v>0.82</v>
      </c>
      <c r="Y24" s="150">
        <v>555</v>
      </c>
      <c r="Z24" s="150">
        <v>1153</v>
      </c>
      <c r="AA24" s="148" t="s">
        <v>280</v>
      </c>
      <c r="AB24" s="149">
        <v>76.45</v>
      </c>
      <c r="AC24" s="150">
        <v>77</v>
      </c>
      <c r="AD24" s="151">
        <v>4</v>
      </c>
      <c r="AE24" s="149">
        <v>4.05</v>
      </c>
      <c r="AF24" s="134">
        <f t="shared" si="4"/>
        <v>43.030174245643856</v>
      </c>
      <c r="AG24" s="152"/>
      <c r="AH24" s="129">
        <v>68.95</v>
      </c>
      <c r="AI24" s="134">
        <f t="shared" si="5"/>
        <v>732.57543561410967</v>
      </c>
      <c r="AJ24" s="153">
        <v>12.44</v>
      </c>
      <c r="AK24" s="154"/>
      <c r="AL24" s="155">
        <v>4.96</v>
      </c>
      <c r="AM24" s="478">
        <f t="shared" si="26"/>
        <v>24.450000000000003</v>
      </c>
      <c r="AN24" s="126">
        <f t="shared" si="27"/>
        <v>0.2</v>
      </c>
      <c r="AO24" s="157" t="s">
        <v>184</v>
      </c>
      <c r="AP24" s="156">
        <v>7.99</v>
      </c>
      <c r="AQ24" s="156">
        <v>6.9</v>
      </c>
      <c r="AR24" s="151"/>
      <c r="AS24" s="149">
        <v>8.01</v>
      </c>
      <c r="AT24" s="149">
        <v>122.25</v>
      </c>
      <c r="AU24" s="149">
        <v>1.28</v>
      </c>
      <c r="AV24" s="164"/>
      <c r="AW24" s="149"/>
      <c r="AX24" s="158">
        <f t="shared" si="6"/>
        <v>0</v>
      </c>
      <c r="AY24" s="125">
        <f t="shared" si="7"/>
        <v>94.12</v>
      </c>
      <c r="AZ24" s="125">
        <f t="shared" si="28"/>
        <v>90.038978763596788</v>
      </c>
      <c r="BA24" s="159">
        <f t="shared" si="8"/>
        <v>4.2782989436619721</v>
      </c>
      <c r="BB24" s="160">
        <f t="shared" si="9"/>
        <v>3.7648000000000001</v>
      </c>
      <c r="BC24" s="161">
        <f t="shared" si="10"/>
        <v>0.92420217216200984</v>
      </c>
      <c r="BD24" s="160">
        <f t="shared" si="29"/>
        <v>8.0430989436619722</v>
      </c>
      <c r="BE24" s="162">
        <v>0.87</v>
      </c>
      <c r="BF24" s="25">
        <f t="shared" si="30"/>
        <v>1665.65</v>
      </c>
      <c r="BG24" s="25">
        <f t="shared" si="11"/>
        <v>107.74193548387096</v>
      </c>
      <c r="BH24" s="25">
        <f t="shared" si="31"/>
        <v>1939.3548387096773</v>
      </c>
      <c r="BI24" s="26">
        <f t="shared" si="12"/>
        <v>1</v>
      </c>
      <c r="BJ24" s="37">
        <f t="shared" si="32"/>
        <v>1939.3548387096773</v>
      </c>
      <c r="BK24" s="38">
        <v>69.305999999999997</v>
      </c>
      <c r="BL24" s="31"/>
      <c r="BM24" s="31"/>
      <c r="BN24" s="28">
        <f t="shared" si="33"/>
        <v>91.829000000000008</v>
      </c>
      <c r="BO24" s="42"/>
      <c r="BP24" s="40">
        <v>15.576000000000001</v>
      </c>
      <c r="BQ24" s="411">
        <v>23.097000000000001</v>
      </c>
      <c r="BR24" s="33">
        <v>1.0900000000000001</v>
      </c>
      <c r="BS24" s="34"/>
      <c r="BT24" s="35"/>
      <c r="BU24" s="35"/>
      <c r="BV24" s="235"/>
      <c r="BW24" s="235">
        <v>3.74</v>
      </c>
      <c r="BX24" s="36"/>
      <c r="BY24" s="33">
        <v>35.1</v>
      </c>
      <c r="BZ24" s="34"/>
      <c r="CA24" s="35"/>
      <c r="CB24" s="405">
        <v>41.7</v>
      </c>
      <c r="CC24" s="404"/>
      <c r="CD24" s="235">
        <v>35.71</v>
      </c>
      <c r="CE24" s="413">
        <v>44.16</v>
      </c>
      <c r="CF24" s="30">
        <v>137.21600000000001</v>
      </c>
      <c r="CG24" s="30"/>
      <c r="CH24" s="31"/>
      <c r="CI24" s="32"/>
      <c r="CJ24" s="33">
        <v>3.68</v>
      </c>
      <c r="CK24" s="33"/>
      <c r="CL24" s="35"/>
      <c r="CM24" s="36"/>
      <c r="CN24" s="286"/>
      <c r="CO24" s="249">
        <f t="shared" si="38"/>
        <v>68.550564600000001</v>
      </c>
      <c r="CP24" s="12">
        <f t="shared" si="38"/>
        <v>0</v>
      </c>
      <c r="CQ24" s="12">
        <f t="shared" si="38"/>
        <v>0</v>
      </c>
      <c r="CR24" s="12">
        <f t="shared" si="38"/>
        <v>91.829000000000008</v>
      </c>
      <c r="CS24" s="11">
        <f t="shared" si="38"/>
        <v>0</v>
      </c>
      <c r="CT24" s="11">
        <f t="shared" si="38"/>
        <v>14.993457600000001</v>
      </c>
      <c r="CU24" s="272">
        <f t="shared" si="38"/>
        <v>23.097000000000001</v>
      </c>
      <c r="CV24" s="249">
        <f t="shared" si="14"/>
        <v>132.16645120000001</v>
      </c>
      <c r="CW24" s="12">
        <f t="shared" si="14"/>
        <v>0</v>
      </c>
      <c r="CX24" s="249">
        <f t="shared" si="14"/>
        <v>0</v>
      </c>
      <c r="CY24" s="272">
        <f t="shared" si="14"/>
        <v>0</v>
      </c>
      <c r="CZ24" s="13"/>
      <c r="DA24" s="240">
        <f>(D24+'[2]август 20 '!D24)/(AY24+'[2]август 20 '!BA24)</f>
        <v>2.1211320275964103</v>
      </c>
      <c r="DB24" s="241">
        <f>(T24+'[2]август 20 '!T24)/(AY24+'[2]август 20 '!BA24)</f>
        <v>1.3697790694458563</v>
      </c>
      <c r="DD24" s="292">
        <f t="shared" si="15"/>
        <v>7.8559999999999999</v>
      </c>
      <c r="DE24" s="291">
        <v>1.7</v>
      </c>
      <c r="DF24" s="291">
        <v>11.22</v>
      </c>
      <c r="DG24" s="145">
        <f t="shared" si="16"/>
        <v>7.722448</v>
      </c>
      <c r="DH24" s="293">
        <f t="shared" si="34"/>
        <v>1.1333664690647482</v>
      </c>
      <c r="DJ24" s="30">
        <v>125.21599999999999</v>
      </c>
      <c r="DK24" s="508">
        <f t="shared" si="37"/>
        <v>137.21600000000001</v>
      </c>
      <c r="DM24" s="234">
        <v>84.539000000000001</v>
      </c>
      <c r="DN24" s="460">
        <f t="shared" si="36"/>
        <v>91.829000000000008</v>
      </c>
    </row>
    <row r="25" spans="1:118" s="76" customFormat="1" ht="16.5" customHeight="1" thickBot="1">
      <c r="A25" s="144">
        <v>19</v>
      </c>
      <c r="B25" s="122">
        <f t="shared" si="17"/>
        <v>207.69499999999999</v>
      </c>
      <c r="C25" s="123">
        <f t="shared" si="18"/>
        <v>0.62774592551578046</v>
      </c>
      <c r="D25" s="145">
        <f t="shared" si="19"/>
        <v>206.39120310000001</v>
      </c>
      <c r="E25" s="125">
        <f t="shared" si="20"/>
        <v>39.489246780134344</v>
      </c>
      <c r="F25" s="146">
        <f t="shared" si="0"/>
        <v>3.1640533972098734</v>
      </c>
      <c r="G25" s="127"/>
      <c r="H25" s="126">
        <f t="shared" si="21"/>
        <v>1.3380530906024839</v>
      </c>
      <c r="I25" s="230">
        <f>'[1]июль 20'!AI24</f>
        <v>0</v>
      </c>
      <c r="J25" s="247">
        <f>'[1]август 20'!AA24</f>
        <v>8.1820000000000004</v>
      </c>
      <c r="K25" s="465">
        <f>'[1]сентябрь 20'!AM24</f>
        <v>0</v>
      </c>
      <c r="L25" s="247">
        <f t="shared" si="22"/>
        <v>119.11000000000001</v>
      </c>
      <c r="M25" s="469">
        <f t="shared" si="23"/>
        <v>1.8260003066073898</v>
      </c>
      <c r="N25" s="403">
        <f>'[1]август 20'!W24</f>
        <v>0</v>
      </c>
      <c r="O25" s="403">
        <f>'[1]август 20'!AU24</f>
        <v>3.9049999999999998</v>
      </c>
      <c r="P25" s="401">
        <f t="shared" si="1"/>
        <v>142.041</v>
      </c>
      <c r="Q25" s="122">
        <f t="shared" si="24"/>
        <v>142.041</v>
      </c>
      <c r="R25" s="123">
        <f>IF(Q25=0,0,(CI25*CM25+CG25*CK25+CH25*CL25+CF25*CJ25)/Q25)</f>
        <v>3.16</v>
      </c>
      <c r="S25" s="501">
        <v>16.72</v>
      </c>
      <c r="T25" s="125">
        <f t="shared" si="2"/>
        <v>137.5525044</v>
      </c>
      <c r="U25" s="147">
        <f t="shared" si="3"/>
        <v>2.1087307128621804</v>
      </c>
      <c r="V25" s="130">
        <v>65.239999999999995</v>
      </c>
      <c r="W25" s="130">
        <v>65.239999999999995</v>
      </c>
      <c r="X25" s="129">
        <v>0.56999999999999995</v>
      </c>
      <c r="Y25" s="150">
        <v>540</v>
      </c>
      <c r="Z25" s="150">
        <v>1156</v>
      </c>
      <c r="AA25" s="148" t="s">
        <v>287</v>
      </c>
      <c r="AB25" s="149">
        <v>75.97</v>
      </c>
      <c r="AC25" s="150">
        <v>80</v>
      </c>
      <c r="AD25" s="151">
        <v>4</v>
      </c>
      <c r="AE25" s="149">
        <v>4.4000000000000004</v>
      </c>
      <c r="AF25" s="134">
        <f t="shared" si="4"/>
        <v>67.453625632377751</v>
      </c>
      <c r="AG25" s="152"/>
      <c r="AH25" s="129">
        <v>70.3</v>
      </c>
      <c r="AI25" s="134">
        <f t="shared" si="5"/>
        <v>1077.7249731718537</v>
      </c>
      <c r="AJ25" s="136">
        <v>11.6</v>
      </c>
      <c r="AK25" s="154"/>
      <c r="AL25" s="155">
        <v>4.76</v>
      </c>
      <c r="AM25" s="478">
        <v>50.46</v>
      </c>
      <c r="AN25" s="126">
        <f t="shared" si="27"/>
        <v>0.4238555228895422</v>
      </c>
      <c r="AO25" s="157" t="s">
        <v>200</v>
      </c>
      <c r="AP25" s="156">
        <v>8.1300000000000008</v>
      </c>
      <c r="AQ25" s="156">
        <v>6.78</v>
      </c>
      <c r="AR25" s="152"/>
      <c r="AS25" s="149">
        <v>6.9</v>
      </c>
      <c r="AT25" s="149">
        <v>119.05</v>
      </c>
      <c r="AU25" s="149">
        <v>1.4</v>
      </c>
      <c r="AV25" s="164"/>
      <c r="AW25" s="149"/>
      <c r="AX25" s="158">
        <f t="shared" si="6"/>
        <v>0</v>
      </c>
      <c r="AY25" s="125">
        <f t="shared" si="7"/>
        <v>65.22999999999999</v>
      </c>
      <c r="AZ25" s="125">
        <f t="shared" si="28"/>
        <v>94.68789447894838</v>
      </c>
      <c r="BA25" s="159">
        <f t="shared" si="8"/>
        <v>3.7575845070422531</v>
      </c>
      <c r="BB25" s="160">
        <f t="shared" si="9"/>
        <v>2.6091999999999995</v>
      </c>
      <c r="BC25" s="161">
        <f t="shared" si="10"/>
        <v>0.60802225007531097</v>
      </c>
      <c r="BD25" s="160">
        <f t="shared" si="29"/>
        <v>6.3667845070422526</v>
      </c>
      <c r="BE25" s="162">
        <v>0.85599999999999998</v>
      </c>
      <c r="BF25" s="25">
        <f t="shared" si="30"/>
        <v>1730.88</v>
      </c>
      <c r="BG25" s="25">
        <f t="shared" si="11"/>
        <v>107.74193548387096</v>
      </c>
      <c r="BH25" s="25">
        <f t="shared" si="31"/>
        <v>2047.0967741935483</v>
      </c>
      <c r="BI25" s="26">
        <f t="shared" si="12"/>
        <v>1</v>
      </c>
      <c r="BJ25" s="37">
        <f t="shared" si="32"/>
        <v>2047.0967741935483</v>
      </c>
      <c r="BK25" s="38">
        <v>76.183000000000007</v>
      </c>
      <c r="BL25" s="31"/>
      <c r="BM25" s="31"/>
      <c r="BN25" s="28">
        <f t="shared" si="33"/>
        <v>95.272000000000006</v>
      </c>
      <c r="BO25" s="42"/>
      <c r="BP25" s="40">
        <v>12.401999999999999</v>
      </c>
      <c r="BQ25" s="411">
        <v>23.838000000000001</v>
      </c>
      <c r="BR25" s="33">
        <v>1.07</v>
      </c>
      <c r="BS25" s="34"/>
      <c r="BT25" s="35"/>
      <c r="BU25" s="35"/>
      <c r="BV25" s="235"/>
      <c r="BW25" s="235">
        <v>3.94</v>
      </c>
      <c r="BX25" s="36"/>
      <c r="BY25" s="33">
        <v>35.81</v>
      </c>
      <c r="BZ25" s="34"/>
      <c r="CA25" s="35"/>
      <c r="CB25" s="405">
        <v>41.56</v>
      </c>
      <c r="CC25" s="404"/>
      <c r="CD25" s="235">
        <v>37.82</v>
      </c>
      <c r="CE25" s="413">
        <v>43.84</v>
      </c>
      <c r="CF25" s="30">
        <v>142.041</v>
      </c>
      <c r="CG25" s="30"/>
      <c r="CH25" s="31"/>
      <c r="CI25" s="32"/>
      <c r="CJ25" s="33">
        <v>3.16</v>
      </c>
      <c r="CK25" s="33"/>
      <c r="CL25" s="35"/>
      <c r="CM25" s="36"/>
      <c r="CN25" s="286"/>
      <c r="CO25" s="249">
        <f t="shared" si="38"/>
        <v>75.367841900000016</v>
      </c>
      <c r="CP25" s="12">
        <f t="shared" si="38"/>
        <v>0</v>
      </c>
      <c r="CQ25" s="12">
        <f t="shared" si="38"/>
        <v>0</v>
      </c>
      <c r="CR25" s="12">
        <f t="shared" si="38"/>
        <v>95.272000000000006</v>
      </c>
      <c r="CS25" s="11">
        <f t="shared" si="38"/>
        <v>0</v>
      </c>
      <c r="CT25" s="11">
        <f t="shared" si="38"/>
        <v>11.913361199999999</v>
      </c>
      <c r="CU25" s="272">
        <f t="shared" si="38"/>
        <v>23.838000000000001</v>
      </c>
      <c r="CV25" s="249">
        <f t="shared" si="14"/>
        <v>137.5525044</v>
      </c>
      <c r="CW25" s="251">
        <f t="shared" si="14"/>
        <v>0</v>
      </c>
      <c r="CX25" s="249">
        <f t="shared" si="14"/>
        <v>0</v>
      </c>
      <c r="CY25" s="272">
        <f t="shared" si="14"/>
        <v>0</v>
      </c>
      <c r="CZ25" s="13"/>
      <c r="DA25" s="240">
        <f>(D25+'[2]август 20 '!D25)/(AY25+'[2]август 20 '!BA25)</f>
        <v>2.5512179173866536</v>
      </c>
      <c r="DB25" s="241">
        <f>(T25+'[2]август 20 '!T25)/(AY25+'[2]август 20 '!BA25)</f>
        <v>1.6501789862585372</v>
      </c>
      <c r="DD25" s="292">
        <f t="shared" si="15"/>
        <v>8.1820000000000004</v>
      </c>
      <c r="DE25" s="291">
        <v>0.54</v>
      </c>
      <c r="DF25" s="291">
        <v>9.6199999999999992</v>
      </c>
      <c r="DG25" s="145">
        <f t="shared" si="16"/>
        <v>8.1378172000000006</v>
      </c>
      <c r="DH25" s="293">
        <f t="shared" si="34"/>
        <v>1.0304831046992233</v>
      </c>
      <c r="DJ25" s="30">
        <v>130.041</v>
      </c>
      <c r="DK25" s="508">
        <f t="shared" si="37"/>
        <v>142.041</v>
      </c>
      <c r="DM25" s="234">
        <v>87.981999999999999</v>
      </c>
      <c r="DN25" s="460">
        <f t="shared" si="36"/>
        <v>95.272000000000006</v>
      </c>
    </row>
    <row r="26" spans="1:118" s="76" customFormat="1" ht="16.5" customHeight="1" thickBot="1">
      <c r="A26" s="144">
        <v>20</v>
      </c>
      <c r="B26" s="122">
        <f t="shared" si="17"/>
        <v>202.149</v>
      </c>
      <c r="C26" s="123">
        <f t="shared" si="18"/>
        <v>0.72161618410182582</v>
      </c>
      <c r="D26" s="145">
        <f t="shared" si="19"/>
        <v>200.69026010000002</v>
      </c>
      <c r="E26" s="125">
        <f t="shared" si="20"/>
        <v>39.892126006064835</v>
      </c>
      <c r="F26" s="146">
        <f t="shared" si="0"/>
        <v>2.0294292658509452</v>
      </c>
      <c r="G26" s="127"/>
      <c r="H26" s="126">
        <f t="shared" si="21"/>
        <v>0.85284922742441083</v>
      </c>
      <c r="I26" s="230">
        <f>'[1]июль 20'!AI25</f>
        <v>0</v>
      </c>
      <c r="J26" s="247">
        <f>'[1]август 20'!AA25</f>
        <v>7.6710000000000003</v>
      </c>
      <c r="K26" s="464">
        <f>'[1]сентябрь 20'!AM25</f>
        <v>0</v>
      </c>
      <c r="L26" s="247">
        <f t="shared" si="22"/>
        <v>116.352</v>
      </c>
      <c r="M26" s="468">
        <f t="shared" si="23"/>
        <v>1.1765800384265344</v>
      </c>
      <c r="N26" s="403">
        <f>'[1]август 20'!W25</f>
        <v>0</v>
      </c>
      <c r="O26" s="403">
        <f>'[1]август 20'!AU25</f>
        <v>4.1790000000000003</v>
      </c>
      <c r="P26" s="401">
        <f t="shared" si="1"/>
        <v>139.61799999999999</v>
      </c>
      <c r="Q26" s="122">
        <f t="shared" si="24"/>
        <v>139.61799999999999</v>
      </c>
      <c r="R26" s="123">
        <f t="shared" si="25"/>
        <v>3.83</v>
      </c>
      <c r="S26" s="501">
        <v>13.69</v>
      </c>
      <c r="T26" s="125">
        <f t="shared" si="2"/>
        <v>134.2706306</v>
      </c>
      <c r="U26" s="147">
        <f t="shared" si="3"/>
        <v>1.3577776377793507</v>
      </c>
      <c r="V26" s="169">
        <v>98.89</v>
      </c>
      <c r="W26" s="169">
        <v>98.89</v>
      </c>
      <c r="X26" s="170">
        <v>0.45</v>
      </c>
      <c r="Y26" s="166">
        <v>595</v>
      </c>
      <c r="Z26" s="166">
        <v>1157</v>
      </c>
      <c r="AA26" s="148" t="s">
        <v>345</v>
      </c>
      <c r="AB26" s="164">
        <v>75.83</v>
      </c>
      <c r="AC26" s="166">
        <v>78</v>
      </c>
      <c r="AD26" s="171">
        <v>4</v>
      </c>
      <c r="AE26" s="164">
        <v>7.55</v>
      </c>
      <c r="AF26" s="172">
        <f t="shared" si="4"/>
        <v>76.347456770148639</v>
      </c>
      <c r="AG26" s="173"/>
      <c r="AH26" s="170">
        <v>73.75</v>
      </c>
      <c r="AI26" s="134">
        <f t="shared" si="5"/>
        <v>745.77813732429968</v>
      </c>
      <c r="AJ26" s="174">
        <v>12.21</v>
      </c>
      <c r="AK26" s="175"/>
      <c r="AL26" s="176">
        <v>4.84</v>
      </c>
      <c r="AM26" s="478">
        <f t="shared" si="26"/>
        <v>25.660000000000004</v>
      </c>
      <c r="AN26" s="126">
        <f t="shared" si="27"/>
        <v>0.2</v>
      </c>
      <c r="AO26" s="178" t="s">
        <v>222</v>
      </c>
      <c r="AP26" s="177">
        <v>7.85</v>
      </c>
      <c r="AQ26" s="177">
        <v>7.4</v>
      </c>
      <c r="AR26" s="171"/>
      <c r="AS26" s="164">
        <v>6.27</v>
      </c>
      <c r="AT26" s="149">
        <v>128.30000000000001</v>
      </c>
      <c r="AU26" s="164">
        <v>1.0900000000000001</v>
      </c>
      <c r="AV26" s="164"/>
      <c r="AW26" s="164"/>
      <c r="AX26" s="179">
        <f t="shared" si="6"/>
        <v>0</v>
      </c>
      <c r="AY26" s="125">
        <f t="shared" si="7"/>
        <v>98.890000000000015</v>
      </c>
      <c r="AZ26" s="125">
        <f t="shared" si="28"/>
        <v>93.093698489364868</v>
      </c>
      <c r="BA26" s="159">
        <f t="shared" si="8"/>
        <v>3.5820686619718303</v>
      </c>
      <c r="BB26" s="159">
        <f t="shared" si="9"/>
        <v>3.9556000000000009</v>
      </c>
      <c r="BC26" s="180">
        <f t="shared" si="10"/>
        <v>0.93665564509104415</v>
      </c>
      <c r="BD26" s="159">
        <f t="shared" si="29"/>
        <v>7.5376686619718312</v>
      </c>
      <c r="BE26" s="167">
        <v>0.86</v>
      </c>
      <c r="BF26" s="25">
        <f t="shared" si="30"/>
        <v>1829.7700000000002</v>
      </c>
      <c r="BG26" s="25">
        <f t="shared" si="11"/>
        <v>107.74193548387096</v>
      </c>
      <c r="BH26" s="25">
        <f t="shared" si="31"/>
        <v>2154.838709677419</v>
      </c>
      <c r="BI26" s="26">
        <f t="shared" si="12"/>
        <v>1</v>
      </c>
      <c r="BJ26" s="37">
        <f t="shared" si="32"/>
        <v>2154.838709677419</v>
      </c>
      <c r="BK26" s="38">
        <v>83.424999999999997</v>
      </c>
      <c r="BL26" s="43"/>
      <c r="BM26" s="31"/>
      <c r="BN26" s="28">
        <f t="shared" si="33"/>
        <v>92.996000000000009</v>
      </c>
      <c r="BO26" s="42"/>
      <c r="BP26" s="40">
        <v>2.3719999999999999</v>
      </c>
      <c r="BQ26" s="412">
        <v>23.356000000000002</v>
      </c>
      <c r="BR26" s="33">
        <v>1.63</v>
      </c>
      <c r="BS26" s="34"/>
      <c r="BT26" s="35"/>
      <c r="BU26" s="35"/>
      <c r="BV26" s="235"/>
      <c r="BW26" s="235">
        <v>4.17</v>
      </c>
      <c r="BX26" s="36"/>
      <c r="BY26" s="33">
        <v>36.94</v>
      </c>
      <c r="BZ26" s="34"/>
      <c r="CA26" s="35"/>
      <c r="CB26" s="405">
        <v>41.66</v>
      </c>
      <c r="CC26" s="404"/>
      <c r="CD26" s="235">
        <v>36.619999999999997</v>
      </c>
      <c r="CE26" s="413">
        <v>43.73</v>
      </c>
      <c r="CF26" s="30">
        <v>139.61799999999999</v>
      </c>
      <c r="CG26" s="30"/>
      <c r="CH26" s="43"/>
      <c r="CI26" s="32"/>
      <c r="CJ26" s="33">
        <v>3.83</v>
      </c>
      <c r="CK26" s="33"/>
      <c r="CL26" s="35"/>
      <c r="CM26" s="36"/>
      <c r="CN26" s="286"/>
      <c r="CO26" s="249">
        <f t="shared" si="38"/>
        <v>82.065172500000003</v>
      </c>
      <c r="CP26" s="12">
        <f t="shared" si="38"/>
        <v>0</v>
      </c>
      <c r="CQ26" s="12">
        <f t="shared" si="38"/>
        <v>0</v>
      </c>
      <c r="CR26" s="12">
        <f t="shared" si="38"/>
        <v>92.996000000000009</v>
      </c>
      <c r="CS26" s="11">
        <f t="shared" si="38"/>
        <v>0</v>
      </c>
      <c r="CT26" s="11">
        <f t="shared" si="38"/>
        <v>2.2730875999999998</v>
      </c>
      <c r="CU26" s="272">
        <f t="shared" si="38"/>
        <v>23.356000000000002</v>
      </c>
      <c r="CV26" s="249">
        <f t="shared" si="14"/>
        <v>134.2706306</v>
      </c>
      <c r="CW26" s="12">
        <f t="shared" si="14"/>
        <v>0</v>
      </c>
      <c r="CX26" s="249">
        <f t="shared" si="14"/>
        <v>0</v>
      </c>
      <c r="CY26" s="274">
        <f t="shared" si="14"/>
        <v>0</v>
      </c>
      <c r="CZ26" s="13"/>
      <c r="DA26" s="240">
        <f>(D26+'[2]август 20 '!D26)/(AY26+'[2]август 20 '!BA26)</f>
        <v>2.0064145841595256</v>
      </c>
      <c r="DB26" s="241">
        <f>(T26+'[2]август 20 '!T26)/(AY26+'[2]август 20 '!BA26)</f>
        <v>1.2990863125626442</v>
      </c>
      <c r="DD26" s="292">
        <f t="shared" si="15"/>
        <v>7.6710000000000003</v>
      </c>
      <c r="DE26" s="291">
        <v>1.22</v>
      </c>
      <c r="DF26" s="291">
        <v>9.25</v>
      </c>
      <c r="DG26" s="145">
        <f t="shared" si="16"/>
        <v>7.5774138000000004</v>
      </c>
      <c r="DH26" s="293">
        <f t="shared" si="34"/>
        <v>0.92431857642094162</v>
      </c>
      <c r="DJ26" s="30">
        <v>127.61799999999999</v>
      </c>
      <c r="DK26" s="508">
        <f t="shared" si="37"/>
        <v>139.61799999999999</v>
      </c>
      <c r="DM26" s="406">
        <v>85.706000000000003</v>
      </c>
      <c r="DN26" s="460">
        <f t="shared" si="36"/>
        <v>92.996000000000009</v>
      </c>
    </row>
    <row r="27" spans="1:118" s="76" customFormat="1" ht="16.5" customHeight="1" thickBot="1">
      <c r="A27" s="144">
        <v>21</v>
      </c>
      <c r="B27" s="122">
        <f t="shared" si="17"/>
        <v>219.80200000000002</v>
      </c>
      <c r="C27" s="123">
        <f t="shared" si="18"/>
        <v>0.68979090272154031</v>
      </c>
      <c r="D27" s="145">
        <f t="shared" si="19"/>
        <v>218.28582580000003</v>
      </c>
      <c r="E27" s="125">
        <f t="shared" si="20"/>
        <v>39.22996478648966</v>
      </c>
      <c r="F27" s="146">
        <f t="shared" si="0"/>
        <v>2.2970201599494899</v>
      </c>
      <c r="G27" s="127"/>
      <c r="H27" s="126">
        <f t="shared" si="21"/>
        <v>0.96890272335052086</v>
      </c>
      <c r="I27" s="230">
        <f>'[1]июль 20'!AI26</f>
        <v>0</v>
      </c>
      <c r="J27" s="247">
        <f>'[1]август 20'!AA26</f>
        <v>8.7530000000000001</v>
      </c>
      <c r="K27" s="465">
        <f>'[1]сентябрь 20'!AM26</f>
        <v>0</v>
      </c>
      <c r="L27" s="247">
        <f t="shared" si="22"/>
        <v>126.21100000000001</v>
      </c>
      <c r="M27" s="469">
        <f t="shared" si="23"/>
        <v>1.328117436598969</v>
      </c>
      <c r="N27" s="403">
        <f>'[1]август 20'!W26</f>
        <v>0</v>
      </c>
      <c r="O27" s="403">
        <f>'[1]август 20'!AU26</f>
        <v>4.7300000000000004</v>
      </c>
      <c r="P27" s="401">
        <f t="shared" si="1"/>
        <v>151.155</v>
      </c>
      <c r="Q27" s="122">
        <f t="shared" si="24"/>
        <v>151.155</v>
      </c>
      <c r="R27" s="123">
        <f t="shared" si="25"/>
        <v>3.4500000000000006</v>
      </c>
      <c r="S27" s="501">
        <v>5.03</v>
      </c>
      <c r="T27" s="125">
        <f t="shared" si="2"/>
        <v>145.94015250000001</v>
      </c>
      <c r="U27" s="147">
        <f t="shared" si="3"/>
        <v>1.5357271651057562</v>
      </c>
      <c r="V27" s="130">
        <v>95.03</v>
      </c>
      <c r="W27" s="130">
        <v>72.319999999999993</v>
      </c>
      <c r="X27" s="129">
        <v>0.78</v>
      </c>
      <c r="Y27" s="150">
        <v>551</v>
      </c>
      <c r="Z27" s="150">
        <v>1160</v>
      </c>
      <c r="AA27" s="148" t="s">
        <v>314</v>
      </c>
      <c r="AB27" s="149">
        <v>76.23</v>
      </c>
      <c r="AC27" s="150">
        <v>85</v>
      </c>
      <c r="AD27" s="151">
        <v>4</v>
      </c>
      <c r="AE27" s="149">
        <v>4.3499999999999996</v>
      </c>
      <c r="AF27" s="134">
        <f t="shared" si="4"/>
        <v>45.775018415237291</v>
      </c>
      <c r="AG27" s="152"/>
      <c r="AH27" s="129">
        <v>70</v>
      </c>
      <c r="AI27" s="134">
        <f t="shared" si="5"/>
        <v>736.60949173945062</v>
      </c>
      <c r="AJ27" s="136">
        <v>10.94</v>
      </c>
      <c r="AK27" s="154"/>
      <c r="AL27" s="155">
        <v>5.83</v>
      </c>
      <c r="AM27" s="478">
        <f t="shared" si="26"/>
        <v>24.990000000000002</v>
      </c>
      <c r="AN27" s="126">
        <f t="shared" si="27"/>
        <v>0.2</v>
      </c>
      <c r="AO27" s="157" t="s">
        <v>197</v>
      </c>
      <c r="AP27" s="156">
        <v>8.07</v>
      </c>
      <c r="AQ27" s="156">
        <v>7.17</v>
      </c>
      <c r="AR27" s="151"/>
      <c r="AS27" s="149">
        <v>6.79</v>
      </c>
      <c r="AT27" s="149">
        <v>124.95</v>
      </c>
      <c r="AU27" s="149">
        <v>0.9</v>
      </c>
      <c r="AV27" s="164"/>
      <c r="AW27" s="149"/>
      <c r="AX27" s="158">
        <f t="shared" si="6"/>
        <v>0</v>
      </c>
      <c r="AY27" s="125">
        <f t="shared" si="7"/>
        <v>95.03</v>
      </c>
      <c r="AZ27" s="125">
        <f t="shared" si="28"/>
        <v>99.024026346481591</v>
      </c>
      <c r="BA27" s="159">
        <f t="shared" si="8"/>
        <v>3.6819014084507042</v>
      </c>
      <c r="BB27" s="160">
        <f t="shared" si="9"/>
        <v>3.8012000000000001</v>
      </c>
      <c r="BC27" s="161">
        <f t="shared" si="10"/>
        <v>0.84594707797672353</v>
      </c>
      <c r="BD27" s="160">
        <f t="shared" si="29"/>
        <v>7.4831014084507039</v>
      </c>
      <c r="BE27" s="162">
        <v>0.85899999999999999</v>
      </c>
      <c r="BF27" s="25">
        <f t="shared" si="30"/>
        <v>1924.8000000000002</v>
      </c>
      <c r="BG27" s="25">
        <f t="shared" si="11"/>
        <v>107.74193548387096</v>
      </c>
      <c r="BH27" s="25">
        <f t="shared" si="31"/>
        <v>2262.5806451612898</v>
      </c>
      <c r="BI27" s="26">
        <f t="shared" si="12"/>
        <v>1</v>
      </c>
      <c r="BJ27" s="37">
        <f t="shared" si="32"/>
        <v>2262.5806451612898</v>
      </c>
      <c r="BK27" s="38">
        <v>93.590999999999994</v>
      </c>
      <c r="BL27" s="31"/>
      <c r="BM27" s="31"/>
      <c r="BN27" s="28">
        <f t="shared" si="33"/>
        <v>100.80000000000001</v>
      </c>
      <c r="BO27" s="42"/>
      <c r="BP27" s="40"/>
      <c r="BQ27" s="411">
        <v>25.411000000000001</v>
      </c>
      <c r="BR27" s="33">
        <v>1.62</v>
      </c>
      <c r="BS27" s="34"/>
      <c r="BT27" s="35"/>
      <c r="BU27" s="35"/>
      <c r="BV27" s="235"/>
      <c r="BW27" s="235"/>
      <c r="BX27" s="36"/>
      <c r="BY27" s="33">
        <v>35.479999999999997</v>
      </c>
      <c r="BZ27" s="34"/>
      <c r="CA27" s="35"/>
      <c r="CB27" s="405">
        <v>41.6</v>
      </c>
      <c r="CC27" s="404"/>
      <c r="CD27" s="235"/>
      <c r="CE27" s="413">
        <v>43.64</v>
      </c>
      <c r="CF27" s="30">
        <v>151.155</v>
      </c>
      <c r="CG27" s="30"/>
      <c r="CH27" s="31"/>
      <c r="CI27" s="32"/>
      <c r="CJ27" s="33">
        <v>3.45</v>
      </c>
      <c r="CK27" s="33"/>
      <c r="CL27" s="35"/>
      <c r="CM27" s="36"/>
      <c r="CN27" s="286"/>
      <c r="CO27" s="249">
        <f t="shared" si="38"/>
        <v>92.074825799999999</v>
      </c>
      <c r="CP27" s="12">
        <f t="shared" si="38"/>
        <v>0</v>
      </c>
      <c r="CQ27" s="12">
        <f t="shared" si="38"/>
        <v>0</v>
      </c>
      <c r="CR27" s="12">
        <f t="shared" si="38"/>
        <v>100.80000000000001</v>
      </c>
      <c r="CS27" s="11">
        <f t="shared" si="38"/>
        <v>0</v>
      </c>
      <c r="CT27" s="11">
        <f t="shared" si="38"/>
        <v>0</v>
      </c>
      <c r="CU27" s="272">
        <f t="shared" si="38"/>
        <v>25.411000000000001</v>
      </c>
      <c r="CV27" s="249">
        <f t="shared" si="14"/>
        <v>145.94015250000001</v>
      </c>
      <c r="CW27" s="11">
        <f t="shared" si="14"/>
        <v>0</v>
      </c>
      <c r="CX27" s="249">
        <f t="shared" si="14"/>
        <v>0</v>
      </c>
      <c r="CY27" s="272">
        <f t="shared" si="14"/>
        <v>0</v>
      </c>
      <c r="CZ27" s="13"/>
      <c r="DA27" s="240">
        <f>(D27+'[2]август 20 '!D27)/(AY27+'[2]август 20 '!BA27)</f>
        <v>2.2414213708964033</v>
      </c>
      <c r="DB27" s="241">
        <f>(T27+'[2]август 20 '!T27)/(AY27+'[2]август 20 '!BA27)</f>
        <v>1.4493256138866144</v>
      </c>
      <c r="DD27" s="292">
        <f t="shared" si="15"/>
        <v>8.7530000000000001</v>
      </c>
      <c r="DE27" s="291">
        <v>1.22</v>
      </c>
      <c r="DF27" s="291">
        <v>8.42</v>
      </c>
      <c r="DG27" s="145">
        <f t="shared" si="16"/>
        <v>8.6462134000000006</v>
      </c>
      <c r="DH27" s="293">
        <f t="shared" si="34"/>
        <v>0.95501924213564204</v>
      </c>
      <c r="DJ27" s="30">
        <v>139.155</v>
      </c>
      <c r="DK27" s="508">
        <f t="shared" si="37"/>
        <v>151.155</v>
      </c>
      <c r="DM27" s="234">
        <v>93.51</v>
      </c>
      <c r="DN27" s="460">
        <f t="shared" si="36"/>
        <v>100.80000000000001</v>
      </c>
    </row>
    <row r="28" spans="1:118" s="76" customFormat="1" ht="16.5" customHeight="1" thickBot="1">
      <c r="A28" s="144">
        <v>22</v>
      </c>
      <c r="B28" s="122">
        <f t="shared" si="17"/>
        <v>212.34000000000003</v>
      </c>
      <c r="C28" s="123">
        <f t="shared" si="18"/>
        <v>1.0298265046623336</v>
      </c>
      <c r="D28" s="145">
        <f t="shared" si="19"/>
        <v>210.15326640000004</v>
      </c>
      <c r="E28" s="125">
        <f t="shared" si="20"/>
        <v>39.882575963078082</v>
      </c>
      <c r="F28" s="146">
        <f t="shared" si="0"/>
        <v>2.1739243446777698</v>
      </c>
      <c r="G28" s="127"/>
      <c r="H28" s="126">
        <f t="shared" si="21"/>
        <v>0.91109202855073945</v>
      </c>
      <c r="I28" s="230">
        <f>'[1]июль 20'!AI27</f>
        <v>0</v>
      </c>
      <c r="J28" s="247">
        <f>'[1]август 20'!AA27</f>
        <v>8.1020000000000003</v>
      </c>
      <c r="K28" s="464">
        <f>'[1]сентябрь 20'!AM27</f>
        <v>0</v>
      </c>
      <c r="L28" s="247">
        <f t="shared" si="22"/>
        <v>122.078</v>
      </c>
      <c r="M28" s="468">
        <f t="shared" si="23"/>
        <v>1.2628323161270301</v>
      </c>
      <c r="N28" s="403">
        <f>'[1]август 20'!W27</f>
        <v>0</v>
      </c>
      <c r="O28" s="403">
        <f>'[1]август 20'!AU27</f>
        <v>4.5129999999999999</v>
      </c>
      <c r="P28" s="401">
        <f t="shared" si="1"/>
        <v>146.89599999999999</v>
      </c>
      <c r="Q28" s="122">
        <f t="shared" si="24"/>
        <v>146.89599999999999</v>
      </c>
      <c r="R28" s="123">
        <f t="shared" si="25"/>
        <v>3.35</v>
      </c>
      <c r="S28" s="501">
        <v>6.22</v>
      </c>
      <c r="T28" s="125">
        <f t="shared" si="2"/>
        <v>141.97498399999998</v>
      </c>
      <c r="U28" s="147">
        <f t="shared" si="3"/>
        <v>1.4686560877211128</v>
      </c>
      <c r="V28" s="130">
        <v>96.67</v>
      </c>
      <c r="W28" s="130">
        <v>48.87</v>
      </c>
      <c r="X28" s="129">
        <v>0.74</v>
      </c>
      <c r="Y28" s="150">
        <v>600</v>
      </c>
      <c r="Z28" s="150">
        <v>1165</v>
      </c>
      <c r="AA28" s="148" t="s">
        <v>314</v>
      </c>
      <c r="AB28" s="149">
        <v>76.650000000000006</v>
      </c>
      <c r="AC28" s="150">
        <v>82</v>
      </c>
      <c r="AD28" s="151">
        <v>4</v>
      </c>
      <c r="AE28" s="149">
        <v>2.5499999999999998</v>
      </c>
      <c r="AF28" s="134">
        <f t="shared" si="4"/>
        <v>26.378400744801901</v>
      </c>
      <c r="AG28" s="152"/>
      <c r="AH28" s="129">
        <v>70.599999999999994</v>
      </c>
      <c r="AI28" s="134">
        <f t="shared" si="5"/>
        <v>730.31964415020173</v>
      </c>
      <c r="AJ28" s="153">
        <v>10.55</v>
      </c>
      <c r="AK28" s="154"/>
      <c r="AL28" s="155">
        <v>6.67</v>
      </c>
      <c r="AM28" s="478">
        <f t="shared" si="26"/>
        <v>25.53</v>
      </c>
      <c r="AN28" s="126">
        <f t="shared" si="27"/>
        <v>0.2</v>
      </c>
      <c r="AO28" s="157" t="s">
        <v>151</v>
      </c>
      <c r="AP28" s="156">
        <v>7.78</v>
      </c>
      <c r="AQ28" s="156">
        <v>7.26</v>
      </c>
      <c r="AR28" s="151"/>
      <c r="AS28" s="149">
        <v>6.55</v>
      </c>
      <c r="AT28" s="149">
        <v>127.65</v>
      </c>
      <c r="AU28" s="149">
        <v>1.22</v>
      </c>
      <c r="AV28" s="164"/>
      <c r="AW28" s="149"/>
      <c r="AX28" s="158">
        <f t="shared" si="6"/>
        <v>0</v>
      </c>
      <c r="AY28" s="125">
        <f t="shared" si="7"/>
        <v>96.67</v>
      </c>
      <c r="AZ28" s="125">
        <f t="shared" si="28"/>
        <v>96.431934767161607</v>
      </c>
      <c r="BA28" s="159">
        <f t="shared" si="8"/>
        <v>3.5822042253521125</v>
      </c>
      <c r="BB28" s="160">
        <f t="shared" si="9"/>
        <v>3.8668</v>
      </c>
      <c r="BC28" s="161">
        <f t="shared" si="10"/>
        <v>0.88406568166151711</v>
      </c>
      <c r="BD28" s="160">
        <f t="shared" si="29"/>
        <v>7.4490042253521125</v>
      </c>
      <c r="BE28" s="162">
        <v>0.86099999999999999</v>
      </c>
      <c r="BF28" s="25">
        <f t="shared" si="30"/>
        <v>2021.4700000000003</v>
      </c>
      <c r="BG28" s="25">
        <f t="shared" si="11"/>
        <v>107.74193548387096</v>
      </c>
      <c r="BH28" s="25">
        <f t="shared" si="31"/>
        <v>2370.3225806451605</v>
      </c>
      <c r="BI28" s="26">
        <f t="shared" si="12"/>
        <v>1</v>
      </c>
      <c r="BJ28" s="37">
        <f t="shared" si="32"/>
        <v>2370.3225806451605</v>
      </c>
      <c r="BK28" s="38">
        <v>84.855999999999995</v>
      </c>
      <c r="BL28" s="31"/>
      <c r="BM28" s="31"/>
      <c r="BN28" s="28">
        <f t="shared" si="33"/>
        <v>97.487000000000009</v>
      </c>
      <c r="BO28" s="42"/>
      <c r="BP28" s="40">
        <v>5.4059999999999997</v>
      </c>
      <c r="BQ28" s="411">
        <v>24.591000000000001</v>
      </c>
      <c r="BR28" s="33">
        <v>2.34</v>
      </c>
      <c r="BS28" s="34"/>
      <c r="BT28" s="35"/>
      <c r="BU28" s="35"/>
      <c r="BV28" s="235"/>
      <c r="BW28" s="235">
        <v>3.72</v>
      </c>
      <c r="BX28" s="36"/>
      <c r="BY28" s="33">
        <v>36.97</v>
      </c>
      <c r="BZ28" s="34"/>
      <c r="CA28" s="35"/>
      <c r="CB28" s="405">
        <v>41.6</v>
      </c>
      <c r="CC28" s="404"/>
      <c r="CD28" s="235">
        <v>36.81</v>
      </c>
      <c r="CE28" s="36">
        <v>43.8</v>
      </c>
      <c r="CF28" s="30">
        <v>146.89599999999999</v>
      </c>
      <c r="CG28" s="30"/>
      <c r="CH28" s="31"/>
      <c r="CI28" s="32"/>
      <c r="CJ28" s="33">
        <v>3.35</v>
      </c>
      <c r="CK28" s="33"/>
      <c r="CL28" s="35"/>
      <c r="CM28" s="36"/>
      <c r="CN28" s="286"/>
      <c r="CO28" s="249">
        <f t="shared" si="38"/>
        <v>82.870369599999989</v>
      </c>
      <c r="CP28" s="12">
        <f t="shared" si="38"/>
        <v>0</v>
      </c>
      <c r="CQ28" s="12">
        <f t="shared" si="38"/>
        <v>0</v>
      </c>
      <c r="CR28" s="12">
        <f t="shared" si="38"/>
        <v>97.487000000000009</v>
      </c>
      <c r="CS28" s="11">
        <f t="shared" si="38"/>
        <v>0</v>
      </c>
      <c r="CT28" s="11">
        <f t="shared" si="38"/>
        <v>5.2048967999999993</v>
      </c>
      <c r="CU28" s="272">
        <f t="shared" si="38"/>
        <v>24.591000000000001</v>
      </c>
      <c r="CV28" s="249">
        <f t="shared" si="14"/>
        <v>141.97498399999998</v>
      </c>
      <c r="CW28" s="12">
        <f t="shared" si="14"/>
        <v>0</v>
      </c>
      <c r="CX28" s="249">
        <f t="shared" si="14"/>
        <v>0</v>
      </c>
      <c r="CY28" s="272">
        <f t="shared" si="14"/>
        <v>0</v>
      </c>
      <c r="CZ28" s="13"/>
      <c r="DA28" s="240">
        <f>(D28+'[2]август 20 '!D28)/(AY28+'[2]август 20 '!BA28)</f>
        <v>2.162195919701801</v>
      </c>
      <c r="DB28" s="241">
        <f>(T28+'[2]август 20 '!T28)/(AY28+'[2]август 20 '!BA28)</f>
        <v>1.4130506453496205</v>
      </c>
      <c r="DD28" s="292">
        <f t="shared" si="15"/>
        <v>8.1020000000000003</v>
      </c>
      <c r="DE28" s="305">
        <v>1.34</v>
      </c>
      <c r="DF28" s="291">
        <v>9.32</v>
      </c>
      <c r="DG28" s="145">
        <f t="shared" si="16"/>
        <v>7.9934331999999992</v>
      </c>
      <c r="DH28" s="293">
        <f t="shared" si="34"/>
        <v>0.97193473482061299</v>
      </c>
      <c r="DJ28" s="30">
        <v>134.89599999999999</v>
      </c>
      <c r="DK28" s="508">
        <f t="shared" si="37"/>
        <v>146.89599999999999</v>
      </c>
      <c r="DM28" s="234">
        <v>90.197000000000003</v>
      </c>
      <c r="DN28" s="460">
        <f t="shared" si="36"/>
        <v>97.487000000000009</v>
      </c>
    </row>
    <row r="29" spans="1:118" s="76" customFormat="1" ht="16.5" customHeight="1" thickBot="1">
      <c r="A29" s="144">
        <v>23</v>
      </c>
      <c r="B29" s="122">
        <f t="shared" si="17"/>
        <v>212.386</v>
      </c>
      <c r="C29" s="123">
        <f t="shared" si="18"/>
        <v>0.98723625851044805</v>
      </c>
      <c r="D29" s="145">
        <f t="shared" si="19"/>
        <v>210.28924839999999</v>
      </c>
      <c r="E29" s="125">
        <f t="shared" si="20"/>
        <v>39.994421713295608</v>
      </c>
      <c r="F29" s="146">
        <f t="shared" si="0"/>
        <v>2.1515167628401883</v>
      </c>
      <c r="G29" s="127"/>
      <c r="H29" s="126">
        <f t="shared" si="21"/>
        <v>0.90282635972989578</v>
      </c>
      <c r="I29" s="230">
        <f>'[1]июль 20'!AI28</f>
        <v>0</v>
      </c>
      <c r="J29" s="247">
        <f>'[1]август 20'!AA28</f>
        <v>8.5950000000000006</v>
      </c>
      <c r="K29" s="465">
        <f>'[1]сентябрь 20'!AM28</f>
        <v>0</v>
      </c>
      <c r="L29" s="247">
        <f t="shared" si="22"/>
        <v>122.047</v>
      </c>
      <c r="M29" s="469">
        <f t="shared" si="23"/>
        <v>1.2486904031102926</v>
      </c>
      <c r="N29" s="403">
        <f>'[1]август 20'!W28</f>
        <v>0</v>
      </c>
      <c r="O29" s="403">
        <f>'[1]август 20'!AU28</f>
        <v>5.2569999999999997</v>
      </c>
      <c r="P29" s="401">
        <f t="shared" si="1"/>
        <v>147.12700000000001</v>
      </c>
      <c r="Q29" s="122">
        <f t="shared" si="24"/>
        <v>147.12700000000001</v>
      </c>
      <c r="R29" s="123">
        <f t="shared" si="25"/>
        <v>3.41</v>
      </c>
      <c r="S29" s="501">
        <v>19.100000000000001</v>
      </c>
      <c r="T29" s="125">
        <f t="shared" si="2"/>
        <v>142.10996930000002</v>
      </c>
      <c r="U29" s="147">
        <f t="shared" si="3"/>
        <v>1.453959170247596</v>
      </c>
      <c r="V29" s="130">
        <v>97.74</v>
      </c>
      <c r="W29" s="130">
        <v>97.74</v>
      </c>
      <c r="X29" s="129">
        <v>0.54</v>
      </c>
      <c r="Y29" s="150">
        <v>608</v>
      </c>
      <c r="Z29" s="150">
        <v>1160</v>
      </c>
      <c r="AA29" s="148" t="s">
        <v>307</v>
      </c>
      <c r="AB29" s="149">
        <v>76.34</v>
      </c>
      <c r="AC29" s="150">
        <v>82</v>
      </c>
      <c r="AD29" s="151">
        <v>4</v>
      </c>
      <c r="AE29" s="149">
        <v>5.2</v>
      </c>
      <c r="AF29" s="134">
        <f t="shared" si="4"/>
        <v>53.202373644362602</v>
      </c>
      <c r="AG29" s="152"/>
      <c r="AH29" s="129">
        <v>66.8</v>
      </c>
      <c r="AI29" s="134">
        <f t="shared" si="5"/>
        <v>683.44587681604253</v>
      </c>
      <c r="AJ29" s="136">
        <v>11.17</v>
      </c>
      <c r="AK29" s="154"/>
      <c r="AL29" s="155">
        <v>6.83</v>
      </c>
      <c r="AM29" s="478">
        <f t="shared" si="26"/>
        <v>25.75</v>
      </c>
      <c r="AN29" s="126">
        <f t="shared" si="27"/>
        <v>0.2</v>
      </c>
      <c r="AO29" s="157" t="s">
        <v>193</v>
      </c>
      <c r="AP29" s="156">
        <v>8.15</v>
      </c>
      <c r="AQ29" s="156">
        <v>7</v>
      </c>
      <c r="AR29" s="149"/>
      <c r="AS29" s="149">
        <v>6.34</v>
      </c>
      <c r="AT29" s="149">
        <v>128.75</v>
      </c>
      <c r="AU29" s="149">
        <v>1.57</v>
      </c>
      <c r="AV29" s="164"/>
      <c r="AW29" s="149"/>
      <c r="AX29" s="158">
        <f t="shared" si="6"/>
        <v>0</v>
      </c>
      <c r="AY29" s="125">
        <f t="shared" si="7"/>
        <v>97.74</v>
      </c>
      <c r="AZ29" s="125">
        <f t="shared" si="28"/>
        <v>97.168976904660894</v>
      </c>
      <c r="BA29" s="159">
        <f t="shared" si="8"/>
        <v>3.2807267605633803</v>
      </c>
      <c r="BB29" s="160">
        <f t="shared" si="9"/>
        <v>3.9095999999999997</v>
      </c>
      <c r="BC29" s="161">
        <f t="shared" si="10"/>
        <v>0.88717235398478023</v>
      </c>
      <c r="BD29" s="160">
        <f t="shared" si="29"/>
        <v>7.19032676056338</v>
      </c>
      <c r="BE29" s="162">
        <v>0.86199999999999999</v>
      </c>
      <c r="BF29" s="25">
        <f t="shared" si="30"/>
        <v>2119.21</v>
      </c>
      <c r="BG29" s="25">
        <f t="shared" si="11"/>
        <v>107.74193548387096</v>
      </c>
      <c r="BH29" s="25">
        <f t="shared" si="31"/>
        <v>2478.0645161290313</v>
      </c>
      <c r="BI29" s="26">
        <f t="shared" si="12"/>
        <v>1</v>
      </c>
      <c r="BJ29" s="37">
        <f t="shared" si="32"/>
        <v>2478.0645161290313</v>
      </c>
      <c r="BK29" s="328">
        <v>82.119</v>
      </c>
      <c r="BL29" s="31"/>
      <c r="BM29" s="31"/>
      <c r="BN29" s="28">
        <f t="shared" si="33"/>
        <v>97.459000000000003</v>
      </c>
      <c r="BO29" s="40"/>
      <c r="BP29" s="40">
        <v>8.2200000000000006</v>
      </c>
      <c r="BQ29" s="32">
        <v>24.588000000000001</v>
      </c>
      <c r="BR29" s="33">
        <v>2.2400000000000002</v>
      </c>
      <c r="BS29" s="34"/>
      <c r="BT29" s="35"/>
      <c r="BU29" s="35"/>
      <c r="BV29" s="235"/>
      <c r="BW29" s="235">
        <v>3.13</v>
      </c>
      <c r="BX29" s="36"/>
      <c r="BY29" s="33">
        <v>37.24</v>
      </c>
      <c r="BZ29" s="34"/>
      <c r="CA29" s="35"/>
      <c r="CB29" s="35">
        <v>41.39</v>
      </c>
      <c r="CC29" s="235"/>
      <c r="CD29" s="235">
        <v>40.15</v>
      </c>
      <c r="CE29" s="36">
        <v>43.61</v>
      </c>
      <c r="CF29" s="30">
        <v>147.12700000000001</v>
      </c>
      <c r="CG29" s="30"/>
      <c r="CH29" s="31"/>
      <c r="CI29" s="32"/>
      <c r="CJ29" s="33">
        <v>3.41</v>
      </c>
      <c r="CK29" s="33"/>
      <c r="CL29" s="35"/>
      <c r="CM29" s="36"/>
      <c r="CN29" s="286"/>
      <c r="CO29" s="249">
        <f t="shared" si="38"/>
        <v>80.279534400000003</v>
      </c>
      <c r="CP29" s="12">
        <f t="shared" si="38"/>
        <v>0</v>
      </c>
      <c r="CQ29" s="12">
        <f t="shared" si="38"/>
        <v>0</v>
      </c>
      <c r="CR29" s="12">
        <f t="shared" si="38"/>
        <v>97.459000000000003</v>
      </c>
      <c r="CS29" s="11">
        <f t="shared" si="38"/>
        <v>0</v>
      </c>
      <c r="CT29" s="11">
        <f t="shared" si="38"/>
        <v>7.962714000000001</v>
      </c>
      <c r="CU29" s="272">
        <f t="shared" si="38"/>
        <v>24.588000000000001</v>
      </c>
      <c r="CV29" s="249">
        <f t="shared" si="14"/>
        <v>142.10996930000002</v>
      </c>
      <c r="CW29" s="12">
        <f t="shared" si="14"/>
        <v>0</v>
      </c>
      <c r="CX29" s="249">
        <f t="shared" si="14"/>
        <v>0</v>
      </c>
      <c r="CY29" s="272">
        <f t="shared" si="14"/>
        <v>0</v>
      </c>
      <c r="CZ29" s="13"/>
      <c r="DA29" s="240">
        <f>(D29+'[2]август 20 '!D29)/(AY29+'[2]август 20 '!BA29)</f>
        <v>2.1085661271190888</v>
      </c>
      <c r="DB29" s="241">
        <f>(T29+'[2]август 20 '!T29)/(AY29+'[2]август 20 '!BA29)</f>
        <v>1.3794152077538095</v>
      </c>
      <c r="DD29" s="292">
        <f t="shared" si="15"/>
        <v>8.5950000000000006</v>
      </c>
      <c r="DE29" s="291">
        <v>0.27</v>
      </c>
      <c r="DF29" s="291">
        <v>8.82</v>
      </c>
      <c r="DG29" s="145">
        <f t="shared" si="16"/>
        <v>8.5717935000000018</v>
      </c>
      <c r="DH29" s="293">
        <f t="shared" si="34"/>
        <v>0.99034868574796975</v>
      </c>
      <c r="DJ29" s="30">
        <v>135.12700000000001</v>
      </c>
      <c r="DK29" s="508">
        <f t="shared" si="37"/>
        <v>147.12700000000001</v>
      </c>
      <c r="DM29" s="31">
        <v>90.168999999999997</v>
      </c>
      <c r="DN29" s="460">
        <f t="shared" si="36"/>
        <v>97.459000000000003</v>
      </c>
    </row>
    <row r="30" spans="1:118" s="76" customFormat="1" ht="16.5" customHeight="1" thickBot="1">
      <c r="A30" s="144">
        <v>24</v>
      </c>
      <c r="B30" s="122">
        <f t="shared" si="17"/>
        <v>179.62399999999997</v>
      </c>
      <c r="C30" s="123">
        <f t="shared" si="18"/>
        <v>0.71305031621609594</v>
      </c>
      <c r="D30" s="145">
        <f t="shared" si="19"/>
        <v>178.34319049999996</v>
      </c>
      <c r="E30" s="125">
        <f t="shared" si="20"/>
        <v>39.815046987039601</v>
      </c>
      <c r="F30" s="146">
        <f t="shared" si="0"/>
        <v>1.9630510787011555</v>
      </c>
      <c r="G30" s="127"/>
      <c r="H30" s="126">
        <f t="shared" si="21"/>
        <v>0.77580837094111177</v>
      </c>
      <c r="I30" s="230">
        <f>'[1]июль 20'!AI29</f>
        <v>0</v>
      </c>
      <c r="J30" s="247">
        <f>'[1]август 20'!AA29</f>
        <v>6.976</v>
      </c>
      <c r="K30" s="464">
        <f>'[1]сентябрь 20'!AM29</f>
        <v>0</v>
      </c>
      <c r="L30" s="247">
        <f t="shared" si="22"/>
        <v>107.861</v>
      </c>
      <c r="M30" s="468">
        <f t="shared" si="23"/>
        <v>1.1872427077600443</v>
      </c>
      <c r="N30" s="403">
        <f>'[1]август 20'!W29</f>
        <v>0</v>
      </c>
      <c r="O30" s="403">
        <f>'[1]август 20'!AU29</f>
        <v>5.6589999999999998</v>
      </c>
      <c r="P30" s="401">
        <f t="shared" si="1"/>
        <v>136.90299999999999</v>
      </c>
      <c r="Q30" s="122">
        <f t="shared" si="24"/>
        <v>136.90299999999999</v>
      </c>
      <c r="R30" s="123">
        <f t="shared" si="25"/>
        <v>2.93</v>
      </c>
      <c r="S30" s="501">
        <v>12.56</v>
      </c>
      <c r="T30" s="125">
        <f t="shared" si="2"/>
        <v>132.89174209999999</v>
      </c>
      <c r="U30" s="147">
        <f t="shared" si="3"/>
        <v>1.4627599570720968</v>
      </c>
      <c r="V30" s="169">
        <v>90.85</v>
      </c>
      <c r="W30" s="169">
        <v>68.08</v>
      </c>
      <c r="X30" s="170">
        <v>0.74</v>
      </c>
      <c r="Y30" s="166">
        <v>637</v>
      </c>
      <c r="Z30" s="166">
        <v>1157</v>
      </c>
      <c r="AA30" s="148" t="s">
        <v>310</v>
      </c>
      <c r="AB30" s="164">
        <v>75.75</v>
      </c>
      <c r="AC30" s="166">
        <v>72</v>
      </c>
      <c r="AD30" s="171">
        <v>4</v>
      </c>
      <c r="AE30" s="164">
        <v>8.0500000000000007</v>
      </c>
      <c r="AF30" s="172">
        <f t="shared" si="4"/>
        <v>88.607594936708878</v>
      </c>
      <c r="AG30" s="173"/>
      <c r="AH30" s="170">
        <v>58.3</v>
      </c>
      <c r="AI30" s="134">
        <f t="shared" si="5"/>
        <v>641.71711612548154</v>
      </c>
      <c r="AJ30" s="174">
        <v>13.28</v>
      </c>
      <c r="AK30" s="175"/>
      <c r="AL30" s="176">
        <v>4.79</v>
      </c>
      <c r="AM30" s="478">
        <f t="shared" si="26"/>
        <v>23.540000000000003</v>
      </c>
      <c r="AN30" s="126">
        <f t="shared" si="27"/>
        <v>0.2</v>
      </c>
      <c r="AO30" s="178" t="s">
        <v>384</v>
      </c>
      <c r="AP30" s="177">
        <v>8.67</v>
      </c>
      <c r="AQ30" s="177">
        <v>6.65</v>
      </c>
      <c r="AR30" s="171"/>
      <c r="AS30" s="164">
        <v>5.48</v>
      </c>
      <c r="AT30" s="149">
        <v>117.7</v>
      </c>
      <c r="AU30" s="164">
        <v>1.48</v>
      </c>
      <c r="AV30" s="164"/>
      <c r="AW30" s="164"/>
      <c r="AX30" s="179">
        <f t="shared" si="6"/>
        <v>0</v>
      </c>
      <c r="AY30" s="125">
        <f t="shared" si="7"/>
        <v>90.85</v>
      </c>
      <c r="AZ30" s="125">
        <f t="shared" si="28"/>
        <v>82.797257828275818</v>
      </c>
      <c r="BA30" s="159">
        <f t="shared" si="8"/>
        <v>2.4748760563380285</v>
      </c>
      <c r="BB30" s="159">
        <f t="shared" si="9"/>
        <v>3.6339999999999999</v>
      </c>
      <c r="BC30" s="180">
        <f t="shared" si="10"/>
        <v>0.96917857403209517</v>
      </c>
      <c r="BD30" s="159">
        <f t="shared" si="29"/>
        <v>6.108876056338028</v>
      </c>
      <c r="BE30" s="167">
        <v>0.86599999999999999</v>
      </c>
      <c r="BF30" s="25">
        <f t="shared" si="30"/>
        <v>2210.06</v>
      </c>
      <c r="BG30" s="25">
        <f t="shared" si="11"/>
        <v>107.74193548387096</v>
      </c>
      <c r="BH30" s="25">
        <f t="shared" si="31"/>
        <v>2585.806451612902</v>
      </c>
      <c r="BI30" s="26">
        <f t="shared" si="12"/>
        <v>1</v>
      </c>
      <c r="BJ30" s="37">
        <f t="shared" si="32"/>
        <v>2585.806451612902</v>
      </c>
      <c r="BK30" s="38">
        <v>60.966999999999999</v>
      </c>
      <c r="BL30" s="31"/>
      <c r="BM30" s="31"/>
      <c r="BN30" s="28">
        <f t="shared" si="33"/>
        <v>87.173000000000002</v>
      </c>
      <c r="BO30" s="40"/>
      <c r="BP30" s="40">
        <v>10.795999999999999</v>
      </c>
      <c r="BQ30" s="44">
        <v>20.687999999999999</v>
      </c>
      <c r="BR30" s="45">
        <v>1.69</v>
      </c>
      <c r="BS30" s="46"/>
      <c r="BT30" s="47"/>
      <c r="BU30" s="47"/>
      <c r="BV30" s="283"/>
      <c r="BW30" s="283">
        <v>2.3199999999999998</v>
      </c>
      <c r="BX30" s="48"/>
      <c r="BY30" s="45">
        <v>36.58</v>
      </c>
      <c r="BZ30" s="46"/>
      <c r="CA30" s="47"/>
      <c r="CB30" s="47">
        <v>41.5</v>
      </c>
      <c r="CC30" s="283"/>
      <c r="CD30" s="283">
        <v>36.67</v>
      </c>
      <c r="CE30" s="48">
        <v>43.89</v>
      </c>
      <c r="CF30" s="49">
        <v>136.90299999999999</v>
      </c>
      <c r="CG30" s="49"/>
      <c r="CH30" s="43"/>
      <c r="CI30" s="32"/>
      <c r="CJ30" s="33">
        <v>2.93</v>
      </c>
      <c r="CK30" s="33"/>
      <c r="CL30" s="35"/>
      <c r="CM30" s="36"/>
      <c r="CN30" s="286"/>
      <c r="CO30" s="249">
        <f t="shared" si="38"/>
        <v>59.936657699999998</v>
      </c>
      <c r="CP30" s="12">
        <f t="shared" si="38"/>
        <v>0</v>
      </c>
      <c r="CQ30" s="12">
        <f t="shared" si="38"/>
        <v>0</v>
      </c>
      <c r="CR30" s="12">
        <f t="shared" si="38"/>
        <v>87.173000000000002</v>
      </c>
      <c r="CS30" s="11">
        <f t="shared" si="38"/>
        <v>0</v>
      </c>
      <c r="CT30" s="11">
        <f t="shared" si="38"/>
        <v>10.5455328</v>
      </c>
      <c r="CU30" s="272">
        <f t="shared" si="38"/>
        <v>20.687999999999999</v>
      </c>
      <c r="CV30" s="249">
        <f t="shared" si="14"/>
        <v>132.89174209999999</v>
      </c>
      <c r="CW30" s="11">
        <f t="shared" si="14"/>
        <v>0</v>
      </c>
      <c r="CX30" s="252">
        <f t="shared" si="14"/>
        <v>0</v>
      </c>
      <c r="CY30" s="272">
        <f t="shared" si="14"/>
        <v>0</v>
      </c>
      <c r="CZ30" s="13"/>
      <c r="DA30" s="240">
        <f>(D30+'[2]август 20 '!D30)/(AY30+'[2]август 20 '!BA30)</f>
        <v>2.0355843076950335</v>
      </c>
      <c r="DB30" s="241">
        <f>(T30+'[2]август 20 '!T30)/(AY30+'[2]август 20 '!BA30)</f>
        <v>1.4056806728614326</v>
      </c>
      <c r="DD30" s="292">
        <f t="shared" si="15"/>
        <v>6.976</v>
      </c>
      <c r="DE30" s="291">
        <v>0.32</v>
      </c>
      <c r="DF30" s="291">
        <v>10.49</v>
      </c>
      <c r="DG30" s="145">
        <f t="shared" si="16"/>
        <v>6.9536768000000002</v>
      </c>
      <c r="DH30" s="293">
        <f t="shared" si="34"/>
        <v>0.96295801494389455</v>
      </c>
      <c r="DJ30" s="49">
        <v>124.90300000000001</v>
      </c>
      <c r="DK30" s="508">
        <f t="shared" si="37"/>
        <v>136.90300000000002</v>
      </c>
      <c r="DM30" s="31">
        <v>79.882999999999996</v>
      </c>
      <c r="DN30" s="460">
        <f t="shared" si="36"/>
        <v>87.173000000000002</v>
      </c>
    </row>
    <row r="31" spans="1:118" s="76" customFormat="1" ht="16.5" customHeight="1" thickBot="1">
      <c r="A31" s="144">
        <v>25</v>
      </c>
      <c r="B31" s="122">
        <f t="shared" si="17"/>
        <v>59.730000000000011</v>
      </c>
      <c r="C31" s="123">
        <f t="shared" si="18"/>
        <v>0.73080478821362782</v>
      </c>
      <c r="D31" s="145">
        <f t="shared" si="19"/>
        <v>59.293490300000009</v>
      </c>
      <c r="E31" s="125">
        <f t="shared" si="20"/>
        <v>40.097502595010873</v>
      </c>
      <c r="F31" s="146">
        <f t="shared" si="0"/>
        <v>1.767844075730471</v>
      </c>
      <c r="G31" s="127"/>
      <c r="H31" s="126">
        <f t="shared" si="21"/>
        <v>0.61146363446630869</v>
      </c>
      <c r="I31" s="230">
        <f>'[1]июль 20'!AI30</f>
        <v>0</v>
      </c>
      <c r="J31" s="247">
        <f>'[1]август 20'!AA30</f>
        <v>2.2040000000000002</v>
      </c>
      <c r="K31" s="465">
        <f>'[1]сентябрь 20'!AM30</f>
        <v>0</v>
      </c>
      <c r="L31" s="247">
        <f t="shared" si="22"/>
        <v>38.785000000000004</v>
      </c>
      <c r="M31" s="469">
        <f t="shared" si="23"/>
        <v>1.1563804412641621</v>
      </c>
      <c r="N31" s="403">
        <f>'[1]август 20'!W30</f>
        <v>0</v>
      </c>
      <c r="O31" s="403">
        <f>'[1]август 20'!AU30</f>
        <v>1.9850000000000001</v>
      </c>
      <c r="P31" s="401">
        <f t="shared" si="1"/>
        <v>54.319000000000003</v>
      </c>
      <c r="Q31" s="122">
        <f t="shared" si="24"/>
        <v>54.319000000000003</v>
      </c>
      <c r="R31" s="123">
        <f t="shared" si="25"/>
        <v>2.38</v>
      </c>
      <c r="S31" s="501">
        <v>23</v>
      </c>
      <c r="T31" s="125">
        <f t="shared" si="2"/>
        <v>53.026207800000009</v>
      </c>
      <c r="U31" s="147">
        <f t="shared" si="3"/>
        <v>1.5809841323792486</v>
      </c>
      <c r="V31" s="130">
        <v>21.25</v>
      </c>
      <c r="W31" s="130">
        <v>21.25</v>
      </c>
      <c r="X31" s="129">
        <v>0.93</v>
      </c>
      <c r="Y31" s="150">
        <v>627</v>
      </c>
      <c r="Z31" s="150">
        <v>1169</v>
      </c>
      <c r="AA31" s="148" t="s">
        <v>385</v>
      </c>
      <c r="AB31" s="149">
        <v>74.86</v>
      </c>
      <c r="AC31" s="150">
        <v>23</v>
      </c>
      <c r="AD31" s="151">
        <v>2</v>
      </c>
      <c r="AE31" s="149">
        <v>1.8</v>
      </c>
      <c r="AF31" s="134">
        <f t="shared" si="4"/>
        <v>53.667262969588542</v>
      </c>
      <c r="AG31" s="152"/>
      <c r="AH31" s="129">
        <v>26.8</v>
      </c>
      <c r="AI31" s="134">
        <f t="shared" si="5"/>
        <v>799.04591532498489</v>
      </c>
      <c r="AJ31" s="136">
        <v>6.11</v>
      </c>
      <c r="AK31" s="154"/>
      <c r="AL31" s="155">
        <v>6.91</v>
      </c>
      <c r="AM31" s="478">
        <f t="shared" si="26"/>
        <v>9.8400000000000016</v>
      </c>
      <c r="AN31" s="126">
        <f t="shared" si="27"/>
        <v>0.2</v>
      </c>
      <c r="AO31" s="157" t="s">
        <v>119</v>
      </c>
      <c r="AP31" s="156">
        <v>7.77</v>
      </c>
      <c r="AQ31" s="156">
        <v>6.78</v>
      </c>
      <c r="AR31" s="151"/>
      <c r="AS31" s="149">
        <v>8.27</v>
      </c>
      <c r="AT31" s="149">
        <v>49.2</v>
      </c>
      <c r="AU31" s="149">
        <v>1.0900000000000001</v>
      </c>
      <c r="AV31" s="164"/>
      <c r="AW31" s="149"/>
      <c r="AX31" s="158">
        <f t="shared" si="6"/>
        <v>0</v>
      </c>
      <c r="AY31" s="125">
        <f t="shared" si="7"/>
        <v>33.540000000000006</v>
      </c>
      <c r="AZ31" s="125">
        <f t="shared" si="28"/>
        <v>28.0508177705413</v>
      </c>
      <c r="BA31" s="159">
        <f t="shared" si="8"/>
        <v>1.7168985915492956</v>
      </c>
      <c r="BB31" s="160">
        <f t="shared" si="9"/>
        <v>1.3416000000000003</v>
      </c>
      <c r="BC31" s="161">
        <f t="shared" si="10"/>
        <v>1.0560598730736799</v>
      </c>
      <c r="BD31" s="160">
        <f t="shared" si="29"/>
        <v>3.0584985915492959</v>
      </c>
      <c r="BE31" s="162">
        <v>0.86799999999999999</v>
      </c>
      <c r="BF31" s="25">
        <f t="shared" si="30"/>
        <v>2243.6</v>
      </c>
      <c r="BG31" s="25">
        <f t="shared" si="11"/>
        <v>107.74193548387096</v>
      </c>
      <c r="BH31" s="25">
        <f t="shared" si="31"/>
        <v>2693.5483870967728</v>
      </c>
      <c r="BI31" s="26">
        <f t="shared" si="12"/>
        <v>1</v>
      </c>
      <c r="BJ31" s="37">
        <f t="shared" si="32"/>
        <v>2693.5483870967728</v>
      </c>
      <c r="BK31" s="38"/>
      <c r="BL31" s="31">
        <v>16.809000000000001</v>
      </c>
      <c r="BM31" s="31"/>
      <c r="BN31" s="28">
        <f t="shared" si="33"/>
        <v>32.487000000000002</v>
      </c>
      <c r="BO31" s="40"/>
      <c r="BP31" s="40">
        <v>4.1360000000000001</v>
      </c>
      <c r="BQ31" s="32">
        <v>6.298</v>
      </c>
      <c r="BR31" s="33"/>
      <c r="BS31" s="34">
        <v>2.09</v>
      </c>
      <c r="BT31" s="35"/>
      <c r="BU31" s="35"/>
      <c r="BV31" s="235"/>
      <c r="BW31" s="235">
        <v>2.06</v>
      </c>
      <c r="BX31" s="36"/>
      <c r="BY31" s="33"/>
      <c r="BZ31" s="34">
        <v>37.54</v>
      </c>
      <c r="CA31" s="35"/>
      <c r="CB31" s="35">
        <v>41.37</v>
      </c>
      <c r="CC31" s="235"/>
      <c r="CD31" s="235">
        <v>35.299999999999997</v>
      </c>
      <c r="CE31" s="36">
        <v>43.51</v>
      </c>
      <c r="CF31" s="30">
        <v>54.319000000000003</v>
      </c>
      <c r="CG31" s="30"/>
      <c r="CH31" s="31"/>
      <c r="CI31" s="32"/>
      <c r="CJ31" s="33">
        <v>2.38</v>
      </c>
      <c r="CK31" s="33"/>
      <c r="CL31" s="35"/>
      <c r="CM31" s="36"/>
      <c r="CN31" s="286"/>
      <c r="CO31" s="249">
        <f t="shared" si="38"/>
        <v>0</v>
      </c>
      <c r="CP31" s="12">
        <f t="shared" si="38"/>
        <v>16.4576919</v>
      </c>
      <c r="CQ31" s="12">
        <f t="shared" si="38"/>
        <v>0</v>
      </c>
      <c r="CR31" s="12">
        <f t="shared" si="38"/>
        <v>32.487000000000002</v>
      </c>
      <c r="CS31" s="11">
        <f t="shared" si="38"/>
        <v>0</v>
      </c>
      <c r="CT31" s="11">
        <f t="shared" si="38"/>
        <v>4.0507983999999997</v>
      </c>
      <c r="CU31" s="272">
        <f t="shared" si="38"/>
        <v>6.298</v>
      </c>
      <c r="CV31" s="249">
        <f t="shared" si="14"/>
        <v>53.026207800000009</v>
      </c>
      <c r="CW31" s="12">
        <f t="shared" si="14"/>
        <v>0</v>
      </c>
      <c r="CX31" s="249">
        <f t="shared" si="14"/>
        <v>0</v>
      </c>
      <c r="CY31" s="272">
        <f t="shared" si="14"/>
        <v>0</v>
      </c>
      <c r="CZ31" s="13"/>
      <c r="DA31" s="240">
        <f>(D31+'[2]август 20 '!D31)/(AY31+'[2]август 20 '!BA31)</f>
        <v>1.5440275930341039</v>
      </c>
      <c r="DB31" s="241">
        <f>(T31+'[2]август 20 '!T31)/(AY31+'[2]август 20 '!BA31)</f>
        <v>1.2244864496734735</v>
      </c>
      <c r="DD31" s="292">
        <f t="shared" si="15"/>
        <v>2.2040000000000002</v>
      </c>
      <c r="DE31" s="291">
        <v>1.7</v>
      </c>
      <c r="DF31" s="291">
        <v>11.22</v>
      </c>
      <c r="DG31" s="145">
        <f t="shared" si="16"/>
        <v>2.1665320000000001</v>
      </c>
      <c r="DH31" s="293">
        <f t="shared" si="34"/>
        <v>0.32471932994923858</v>
      </c>
      <c r="DJ31" s="30">
        <v>42.319000000000003</v>
      </c>
      <c r="DK31" s="508">
        <f t="shared" si="37"/>
        <v>54.319000000000003</v>
      </c>
      <c r="DM31" s="31">
        <v>25.196999999999999</v>
      </c>
      <c r="DN31" s="460">
        <f t="shared" si="36"/>
        <v>32.487000000000002</v>
      </c>
    </row>
    <row r="32" spans="1:118" s="76" customFormat="1" ht="16.5" customHeight="1" thickBot="1">
      <c r="A32" s="144">
        <v>26</v>
      </c>
      <c r="B32" s="122">
        <f t="shared" si="17"/>
        <v>144.822</v>
      </c>
      <c r="C32" s="123">
        <f t="shared" si="18"/>
        <v>0.54631368162295768</v>
      </c>
      <c r="D32" s="145">
        <f t="shared" si="19"/>
        <v>144.03081759999998</v>
      </c>
      <c r="E32" s="125">
        <f t="shared" si="20"/>
        <v>40.241188838712354</v>
      </c>
      <c r="F32" s="146">
        <f t="shared" si="0"/>
        <v>3.0450489978858348</v>
      </c>
      <c r="G32" s="127"/>
      <c r="H32" s="126">
        <f t="shared" si="21"/>
        <v>1.0884950866807612</v>
      </c>
      <c r="I32" s="230">
        <f>'[1]июль 20'!AI31</f>
        <v>0</v>
      </c>
      <c r="J32" s="247">
        <f>'[1]август 20'!AA31</f>
        <v>5.1459999999999999</v>
      </c>
      <c r="K32" s="464">
        <f>'[1]сентябрь 20'!AM31</f>
        <v>0</v>
      </c>
      <c r="L32" s="247">
        <f t="shared" si="22"/>
        <v>92.545000000000002</v>
      </c>
      <c r="M32" s="468">
        <f t="shared" si="23"/>
        <v>1.956553911205074</v>
      </c>
      <c r="N32" s="403">
        <f>'[1]август 20'!W31</f>
        <v>0</v>
      </c>
      <c r="O32" s="403">
        <f>'[1]август 20'!AU31</f>
        <v>0</v>
      </c>
      <c r="P32" s="401">
        <f t="shared" si="1"/>
        <v>105.55500000000001</v>
      </c>
      <c r="Q32" s="122">
        <f t="shared" si="24"/>
        <v>105.55500000000001</v>
      </c>
      <c r="R32" s="123">
        <f t="shared" si="25"/>
        <v>3.01</v>
      </c>
      <c r="S32" s="501"/>
      <c r="T32" s="125">
        <f t="shared" si="2"/>
        <v>102.37779450000001</v>
      </c>
      <c r="U32" s="147">
        <f t="shared" si="3"/>
        <v>2.1644354016913323</v>
      </c>
      <c r="V32" s="130">
        <v>31.79</v>
      </c>
      <c r="W32" s="130">
        <v>13.49</v>
      </c>
      <c r="X32" s="129">
        <v>1.21</v>
      </c>
      <c r="Y32" s="150">
        <v>616</v>
      </c>
      <c r="Z32" s="150">
        <v>978</v>
      </c>
      <c r="AA32" s="148" t="s">
        <v>387</v>
      </c>
      <c r="AB32" s="149">
        <v>75.27</v>
      </c>
      <c r="AC32" s="150">
        <v>55</v>
      </c>
      <c r="AD32" s="151">
        <v>3</v>
      </c>
      <c r="AE32" s="149">
        <v>3.5</v>
      </c>
      <c r="AF32" s="134">
        <f t="shared" si="4"/>
        <v>73.99577167019028</v>
      </c>
      <c r="AG32" s="152"/>
      <c r="AH32" s="129">
        <v>39.15</v>
      </c>
      <c r="AI32" s="134">
        <f t="shared" si="5"/>
        <v>827.6955602536998</v>
      </c>
      <c r="AJ32" s="153">
        <v>9.82</v>
      </c>
      <c r="AK32" s="154"/>
      <c r="AL32" s="155">
        <v>13.49</v>
      </c>
      <c r="AM32" s="478">
        <f t="shared" si="26"/>
        <v>13.8</v>
      </c>
      <c r="AN32" s="126">
        <f t="shared" si="27"/>
        <v>0.2</v>
      </c>
      <c r="AO32" s="157" t="s">
        <v>386</v>
      </c>
      <c r="AP32" s="156">
        <v>7.77</v>
      </c>
      <c r="AQ32" s="156">
        <v>6.66</v>
      </c>
      <c r="AR32" s="151"/>
      <c r="AS32" s="149">
        <v>8.89</v>
      </c>
      <c r="AT32" s="149">
        <v>69</v>
      </c>
      <c r="AU32" s="149">
        <v>5.59</v>
      </c>
      <c r="AV32" s="149"/>
      <c r="AW32" s="149"/>
      <c r="AX32" s="158">
        <f t="shared" si="6"/>
        <v>0</v>
      </c>
      <c r="AY32" s="125">
        <f t="shared" si="7"/>
        <v>47.3</v>
      </c>
      <c r="AZ32" s="125">
        <f t="shared" si="28"/>
        <v>67.813001043204409</v>
      </c>
      <c r="BA32" s="159">
        <f t="shared" si="8"/>
        <v>2.6961116197183097</v>
      </c>
      <c r="BB32" s="160">
        <f t="shared" si="9"/>
        <v>1.8919999999999999</v>
      </c>
      <c r="BC32" s="161">
        <f t="shared" si="10"/>
        <v>0.61426649607387829</v>
      </c>
      <c r="BD32" s="160">
        <f t="shared" si="29"/>
        <v>4.5881116197183101</v>
      </c>
      <c r="BE32" s="162">
        <v>0.86099999999999999</v>
      </c>
      <c r="BF32" s="25">
        <f t="shared" si="30"/>
        <v>2290.9</v>
      </c>
      <c r="BG32" s="25">
        <f t="shared" si="11"/>
        <v>107.74193548387096</v>
      </c>
      <c r="BH32" s="25">
        <f t="shared" si="31"/>
        <v>2801.2903225806435</v>
      </c>
      <c r="BI32" s="26">
        <f t="shared" si="12"/>
        <v>1</v>
      </c>
      <c r="BJ32" s="37">
        <f t="shared" si="32"/>
        <v>2801.2903225806435</v>
      </c>
      <c r="BK32" s="38"/>
      <c r="BL32" s="31">
        <v>38.564999999999998</v>
      </c>
      <c r="BM32" s="31"/>
      <c r="BN32" s="28">
        <f t="shared" si="33"/>
        <v>67.792000000000002</v>
      </c>
      <c r="BO32" s="40"/>
      <c r="BP32" s="40">
        <v>13.712</v>
      </c>
      <c r="BQ32" s="32">
        <v>24.753</v>
      </c>
      <c r="BR32" s="33"/>
      <c r="BS32" s="34">
        <v>1.44</v>
      </c>
      <c r="BT32" s="35"/>
      <c r="BU32" s="35"/>
      <c r="BV32" s="235"/>
      <c r="BW32" s="235">
        <v>1.72</v>
      </c>
      <c r="BX32" s="36"/>
      <c r="BY32" s="33"/>
      <c r="BZ32" s="34">
        <v>37.39</v>
      </c>
      <c r="CA32" s="35"/>
      <c r="CB32" s="35">
        <v>41.53</v>
      </c>
      <c r="CC32" s="235"/>
      <c r="CD32" s="235">
        <v>35.5</v>
      </c>
      <c r="CE32" s="36">
        <v>43.78</v>
      </c>
      <c r="CF32" s="30">
        <v>105.55500000000001</v>
      </c>
      <c r="CG32" s="30"/>
      <c r="CH32" s="31"/>
      <c r="CI32" s="50"/>
      <c r="CJ32" s="33">
        <v>3.01</v>
      </c>
      <c r="CK32" s="33"/>
      <c r="CL32" s="35"/>
      <c r="CM32" s="36"/>
      <c r="CN32" s="286"/>
      <c r="CO32" s="249">
        <f t="shared" si="38"/>
        <v>0</v>
      </c>
      <c r="CP32" s="12">
        <f t="shared" si="38"/>
        <v>38.009664000000001</v>
      </c>
      <c r="CQ32" s="12">
        <f t="shared" si="38"/>
        <v>0</v>
      </c>
      <c r="CR32" s="12">
        <f t="shared" si="38"/>
        <v>67.792000000000002</v>
      </c>
      <c r="CS32" s="11">
        <f t="shared" si="38"/>
        <v>0</v>
      </c>
      <c r="CT32" s="11">
        <f t="shared" si="38"/>
        <v>13.4761536</v>
      </c>
      <c r="CU32" s="272">
        <f t="shared" si="38"/>
        <v>24.753</v>
      </c>
      <c r="CV32" s="249">
        <f t="shared" si="14"/>
        <v>102.37779450000001</v>
      </c>
      <c r="CW32" s="11">
        <f t="shared" si="14"/>
        <v>0</v>
      </c>
      <c r="CX32" s="249">
        <f t="shared" si="14"/>
        <v>0</v>
      </c>
      <c r="CY32" s="272">
        <f t="shared" si="14"/>
        <v>0</v>
      </c>
      <c r="CZ32" s="13"/>
      <c r="DA32" s="240">
        <f>(D32+'[2]август 20 '!D32)/(AY32+'[2]август 20 '!BA32)</f>
        <v>5.442494782241015</v>
      </c>
      <c r="DB32" s="241">
        <f>(T32+'[2]август 20 '!T32)/(AY32+'[2]август 20 '!BA32)</f>
        <v>3.7703550634249474</v>
      </c>
      <c r="DD32" s="292">
        <f t="shared" si="15"/>
        <v>5.1459999999999999</v>
      </c>
      <c r="DE32" s="291">
        <v>0.25</v>
      </c>
      <c r="DF32" s="291">
        <v>8.65</v>
      </c>
      <c r="DG32" s="145">
        <f t="shared" si="16"/>
        <v>5.1331350000000002</v>
      </c>
      <c r="DH32" s="293">
        <f t="shared" si="34"/>
        <v>0.58989793742526919</v>
      </c>
      <c r="DJ32" s="30">
        <v>93.555000000000007</v>
      </c>
      <c r="DK32" s="508">
        <f t="shared" si="37"/>
        <v>105.55500000000001</v>
      </c>
      <c r="DM32" s="31">
        <v>60.502000000000002</v>
      </c>
      <c r="DN32" s="460">
        <f t="shared" si="36"/>
        <v>67.792000000000002</v>
      </c>
    </row>
    <row r="33" spans="1:118" s="76" customFormat="1" ht="16.5" customHeight="1" thickBot="1">
      <c r="A33" s="144">
        <v>27</v>
      </c>
      <c r="B33" s="122">
        <f t="shared" si="17"/>
        <v>232.24699999999999</v>
      </c>
      <c r="C33" s="123">
        <f t="shared" si="18"/>
        <v>1.1676082791166302</v>
      </c>
      <c r="D33" s="145">
        <f t="shared" si="19"/>
        <v>229.53526479999996</v>
      </c>
      <c r="E33" s="125">
        <f t="shared" si="20"/>
        <v>39.754669683569652</v>
      </c>
      <c r="F33" s="146">
        <f t="shared" si="0"/>
        <v>2.1656313312576652</v>
      </c>
      <c r="G33" s="127"/>
      <c r="H33" s="126">
        <f t="shared" si="21"/>
        <v>0.7812743164449476</v>
      </c>
      <c r="I33" s="230">
        <f>'[1]июль 20'!AI32</f>
        <v>0</v>
      </c>
      <c r="J33" s="247">
        <f>'[1]август 20'!AA32</f>
        <v>9.1319999999999997</v>
      </c>
      <c r="K33" s="465">
        <f>'[1]сентябрь 20'!AM32</f>
        <v>0</v>
      </c>
      <c r="L33" s="247">
        <f t="shared" si="22"/>
        <v>146.72800000000001</v>
      </c>
      <c r="M33" s="469">
        <f t="shared" si="23"/>
        <v>1.3843570148127182</v>
      </c>
      <c r="N33" s="403">
        <f>'[1]август 20'!W32</f>
        <v>0</v>
      </c>
      <c r="O33" s="403">
        <f>'[1]август 20'!AU32</f>
        <v>0</v>
      </c>
      <c r="P33" s="401">
        <f t="shared" si="1"/>
        <v>166.15700000000001</v>
      </c>
      <c r="Q33" s="122">
        <f t="shared" si="24"/>
        <v>166.15700000000001</v>
      </c>
      <c r="R33" s="123">
        <f t="shared" si="25"/>
        <v>3.04</v>
      </c>
      <c r="S33" s="501">
        <v>3.25</v>
      </c>
      <c r="T33" s="125">
        <f t="shared" si="2"/>
        <v>161.10582719999999</v>
      </c>
      <c r="U33" s="147">
        <f t="shared" si="3"/>
        <v>1.5200096914803281</v>
      </c>
      <c r="V33" s="130">
        <v>105.99</v>
      </c>
      <c r="W33" s="130">
        <v>57.31</v>
      </c>
      <c r="X33" s="129">
        <v>0.93</v>
      </c>
      <c r="Y33" s="150">
        <v>633</v>
      </c>
      <c r="Z33" s="150">
        <v>1114</v>
      </c>
      <c r="AA33" s="148" t="s">
        <v>249</v>
      </c>
      <c r="AB33" s="149">
        <v>76.099999999999994</v>
      </c>
      <c r="AC33" s="150">
        <v>90</v>
      </c>
      <c r="AD33" s="151">
        <v>4</v>
      </c>
      <c r="AE33" s="149">
        <v>7.4</v>
      </c>
      <c r="AF33" s="134">
        <f t="shared" si="4"/>
        <v>69.817907349749973</v>
      </c>
      <c r="AG33" s="152"/>
      <c r="AH33" s="129">
        <v>76.900000000000006</v>
      </c>
      <c r="AI33" s="134">
        <f t="shared" si="5"/>
        <v>725.54014529672611</v>
      </c>
      <c r="AJ33" s="136">
        <v>13.94</v>
      </c>
      <c r="AK33" s="154"/>
      <c r="AL33" s="155">
        <v>4.88</v>
      </c>
      <c r="AM33" s="478">
        <f t="shared" si="26"/>
        <v>27.28</v>
      </c>
      <c r="AN33" s="126">
        <f t="shared" si="27"/>
        <v>0.2</v>
      </c>
      <c r="AO33" s="157" t="s">
        <v>191</v>
      </c>
      <c r="AP33" s="156">
        <v>8.9600000000000009</v>
      </c>
      <c r="AQ33" s="156">
        <v>6.52</v>
      </c>
      <c r="AR33" s="151"/>
      <c r="AS33" s="149">
        <v>7.85</v>
      </c>
      <c r="AT33" s="149">
        <v>136.4</v>
      </c>
      <c r="AU33" s="149">
        <v>1.75</v>
      </c>
      <c r="AV33" s="149"/>
      <c r="AW33" s="149"/>
      <c r="AX33" s="158">
        <f t="shared" si="6"/>
        <v>0</v>
      </c>
      <c r="AY33" s="125">
        <f t="shared" si="7"/>
        <v>105.99000000000001</v>
      </c>
      <c r="AZ33" s="125">
        <f t="shared" si="28"/>
        <v>107.12515725732125</v>
      </c>
      <c r="BA33" s="159">
        <f t="shared" si="8"/>
        <v>4.6762781690140844</v>
      </c>
      <c r="BB33" s="160">
        <f t="shared" si="9"/>
        <v>4.2396000000000003</v>
      </c>
      <c r="BC33" s="161">
        <f t="shared" si="10"/>
        <v>0.88391800730341108</v>
      </c>
      <c r="BD33" s="160">
        <f t="shared" si="29"/>
        <v>8.9158781690140856</v>
      </c>
      <c r="BE33" s="162">
        <v>0.86199999999999999</v>
      </c>
      <c r="BF33" s="25">
        <f t="shared" si="30"/>
        <v>2396.8900000000003</v>
      </c>
      <c r="BG33" s="25">
        <f t="shared" si="11"/>
        <v>107.74193548387096</v>
      </c>
      <c r="BH33" s="25">
        <f t="shared" si="31"/>
        <v>2909.0322580645143</v>
      </c>
      <c r="BI33" s="26">
        <f t="shared" si="12"/>
        <v>1</v>
      </c>
      <c r="BJ33" s="37">
        <f t="shared" si="32"/>
        <v>2909.0322580645143</v>
      </c>
      <c r="BK33" s="38"/>
      <c r="BL33" s="31">
        <v>63.103999999999999</v>
      </c>
      <c r="BM33" s="31"/>
      <c r="BN33" s="28">
        <f t="shared" si="33"/>
        <v>106.248</v>
      </c>
      <c r="BO33" s="40"/>
      <c r="BP33" s="40">
        <v>22.414999999999999</v>
      </c>
      <c r="BQ33" s="32">
        <v>40.479999999999997</v>
      </c>
      <c r="BR33" s="33"/>
      <c r="BS33" s="34">
        <v>3.53</v>
      </c>
      <c r="BT33" s="35"/>
      <c r="BU33" s="35"/>
      <c r="BV33" s="235"/>
      <c r="BW33" s="235">
        <v>2.16</v>
      </c>
      <c r="BX33" s="36"/>
      <c r="BY33" s="33"/>
      <c r="BZ33" s="34">
        <v>36.270000000000003</v>
      </c>
      <c r="CA33" s="35"/>
      <c r="CB33" s="35">
        <v>41.53</v>
      </c>
      <c r="CC33" s="235"/>
      <c r="CD33" s="235">
        <v>33.79</v>
      </c>
      <c r="CE33" s="36">
        <v>43.83</v>
      </c>
      <c r="CF33" s="30">
        <v>166.15700000000001</v>
      </c>
      <c r="CG33" s="30"/>
      <c r="CH33" s="31"/>
      <c r="CI33" s="32"/>
      <c r="CJ33" s="33">
        <v>3.04</v>
      </c>
      <c r="CK33" s="33"/>
      <c r="CL33" s="35"/>
      <c r="CM33" s="36"/>
      <c r="CN33" s="270"/>
      <c r="CO33" s="249">
        <f t="shared" si="38"/>
        <v>0</v>
      </c>
      <c r="CP33" s="12">
        <f t="shared" si="38"/>
        <v>60.876428799999999</v>
      </c>
      <c r="CQ33" s="12">
        <f t="shared" si="38"/>
        <v>0</v>
      </c>
      <c r="CR33" s="12">
        <f t="shared" si="38"/>
        <v>106.248</v>
      </c>
      <c r="CS33" s="11">
        <f t="shared" si="38"/>
        <v>0</v>
      </c>
      <c r="CT33" s="11">
        <f t="shared" si="38"/>
        <v>21.930835999999999</v>
      </c>
      <c r="CU33" s="272">
        <f t="shared" si="38"/>
        <v>40.479999999999997</v>
      </c>
      <c r="CV33" s="249">
        <f t="shared" si="14"/>
        <v>161.10582719999999</v>
      </c>
      <c r="CW33" s="12">
        <f t="shared" si="14"/>
        <v>0</v>
      </c>
      <c r="CX33" s="254">
        <f t="shared" si="14"/>
        <v>0</v>
      </c>
      <c r="CY33" s="275">
        <f t="shared" si="14"/>
        <v>0</v>
      </c>
      <c r="CZ33" s="13"/>
      <c r="DA33" s="240">
        <f>(D33+'[2]август 20 '!D33)/(AY33+'[2]август 20 '!BA33)</f>
        <v>2.4304831249971266</v>
      </c>
      <c r="DB33" s="241">
        <f>(T33+'[2]август 20 '!T33)/(AY33+'[2]август 20 '!BA33)</f>
        <v>1.6401744562493965</v>
      </c>
      <c r="DD33" s="292">
        <f t="shared" si="15"/>
        <v>9.1319999999999997</v>
      </c>
      <c r="DE33" s="291">
        <v>0.15</v>
      </c>
      <c r="DF33" s="291">
        <v>20.399999999999999</v>
      </c>
      <c r="DG33" s="145">
        <f t="shared" si="16"/>
        <v>9.1183019999999999</v>
      </c>
      <c r="DH33" s="293">
        <f t="shared" si="34"/>
        <v>2.4443280000000001</v>
      </c>
      <c r="DJ33" s="30">
        <v>154.15700000000001</v>
      </c>
      <c r="DK33" s="508">
        <f t="shared" si="37"/>
        <v>166.15700000000001</v>
      </c>
      <c r="DM33" s="31">
        <v>98.957999999999998</v>
      </c>
      <c r="DN33" s="460">
        <f t="shared" si="36"/>
        <v>106.248</v>
      </c>
    </row>
    <row r="34" spans="1:118" s="76" customFormat="1" ht="16.5" customHeight="1" thickBot="1">
      <c r="A34" s="144">
        <v>28</v>
      </c>
      <c r="B34" s="122">
        <f t="shared" si="17"/>
        <v>235.16899999999998</v>
      </c>
      <c r="C34" s="123">
        <f t="shared" si="18"/>
        <v>0.6105869396051351</v>
      </c>
      <c r="D34" s="145">
        <f t="shared" si="19"/>
        <v>233.73308879999996</v>
      </c>
      <c r="E34" s="125">
        <f t="shared" si="20"/>
        <v>39.489094055764156</v>
      </c>
      <c r="F34" s="146">
        <f t="shared" si="0"/>
        <v>2.0081887516109629</v>
      </c>
      <c r="G34" s="127"/>
      <c r="H34" s="126">
        <f t="shared" si="21"/>
        <v>0.85924983933327626</v>
      </c>
      <c r="I34" s="230">
        <f>'[1]июль 20'!AI33</f>
        <v>0</v>
      </c>
      <c r="J34" s="247">
        <f>'[1]август 20'!AA33</f>
        <v>9.0109999999999992</v>
      </c>
      <c r="K34" s="464">
        <f>'[1]сентябрь 20'!AM33</f>
        <v>0</v>
      </c>
      <c r="L34" s="247">
        <f t="shared" si="22"/>
        <v>133.72500000000002</v>
      </c>
      <c r="M34" s="468">
        <f t="shared" si="23"/>
        <v>1.1489389122776874</v>
      </c>
      <c r="N34" s="403">
        <f>'[1]август 20'!W33</f>
        <v>0</v>
      </c>
      <c r="O34" s="403">
        <f>'[1]август 20'!AU33</f>
        <v>0</v>
      </c>
      <c r="P34" s="401">
        <f t="shared" si="1"/>
        <v>167.73599999999999</v>
      </c>
      <c r="Q34" s="122">
        <f t="shared" si="24"/>
        <v>167.73599999999999</v>
      </c>
      <c r="R34" s="123">
        <f t="shared" si="25"/>
        <v>2.89</v>
      </c>
      <c r="S34" s="501">
        <v>15.8</v>
      </c>
      <c r="T34" s="125">
        <f t="shared" si="2"/>
        <v>162.88842959999999</v>
      </c>
      <c r="U34" s="147">
        <f t="shared" si="3"/>
        <v>1.399505366440416</v>
      </c>
      <c r="V34" s="169">
        <v>116.39</v>
      </c>
      <c r="W34" s="169">
        <v>116.39</v>
      </c>
      <c r="X34" s="170">
        <v>0.5</v>
      </c>
      <c r="Y34" s="166">
        <v>671</v>
      </c>
      <c r="Z34" s="166">
        <v>1147</v>
      </c>
      <c r="AA34" s="148" t="s">
        <v>141</v>
      </c>
      <c r="AB34" s="164">
        <v>75.19</v>
      </c>
      <c r="AC34" s="166">
        <v>91</v>
      </c>
      <c r="AD34" s="171">
        <v>4</v>
      </c>
      <c r="AE34" s="164">
        <v>6.25</v>
      </c>
      <c r="AF34" s="172">
        <f t="shared" si="4"/>
        <v>53.698771372111018</v>
      </c>
      <c r="AG34" s="173"/>
      <c r="AH34" s="170">
        <v>64.75</v>
      </c>
      <c r="AI34" s="134">
        <f t="shared" si="5"/>
        <v>556.31927141507015</v>
      </c>
      <c r="AJ34" s="174">
        <v>13.99</v>
      </c>
      <c r="AK34" s="175"/>
      <c r="AL34" s="176">
        <v>6.33</v>
      </c>
      <c r="AM34" s="478">
        <f t="shared" si="26"/>
        <v>30.200000000000003</v>
      </c>
      <c r="AN34" s="126">
        <f t="shared" si="27"/>
        <v>0.2</v>
      </c>
      <c r="AO34" s="178" t="s">
        <v>389</v>
      </c>
      <c r="AP34" s="177">
        <v>9.6199999999999992</v>
      </c>
      <c r="AQ34" s="177">
        <v>5.99</v>
      </c>
      <c r="AR34" s="171"/>
      <c r="AS34" s="164">
        <v>6.16</v>
      </c>
      <c r="AT34" s="149">
        <v>151</v>
      </c>
      <c r="AU34" s="164">
        <v>1.92</v>
      </c>
      <c r="AV34" s="164"/>
      <c r="AW34" s="164"/>
      <c r="AX34" s="179">
        <f t="shared" si="6"/>
        <v>0</v>
      </c>
      <c r="AY34" s="125">
        <f t="shared" si="7"/>
        <v>116.38999999999999</v>
      </c>
      <c r="AZ34" s="125">
        <f t="shared" si="28"/>
        <v>109.29097949259747</v>
      </c>
      <c r="BA34" s="159">
        <f t="shared" si="8"/>
        <v>3.0897605633802816</v>
      </c>
      <c r="BB34" s="159">
        <f t="shared" si="9"/>
        <v>4.6555999999999997</v>
      </c>
      <c r="BC34" s="180">
        <f t="shared" si="10"/>
        <v>0.94815291427358861</v>
      </c>
      <c r="BD34" s="159">
        <f t="shared" si="29"/>
        <v>7.7453605633802809</v>
      </c>
      <c r="BE34" s="167">
        <v>0.86499999999999999</v>
      </c>
      <c r="BF34" s="25">
        <f t="shared" si="30"/>
        <v>2513.2800000000002</v>
      </c>
      <c r="BG34" s="25">
        <f t="shared" si="11"/>
        <v>107.74193548387096</v>
      </c>
      <c r="BH34" s="25">
        <f t="shared" si="31"/>
        <v>3016.774193548385</v>
      </c>
      <c r="BI34" s="26">
        <f t="shared" si="12"/>
        <v>1</v>
      </c>
      <c r="BJ34" s="37">
        <f t="shared" si="32"/>
        <v>3016.774193548385</v>
      </c>
      <c r="BK34" s="38"/>
      <c r="BL34" s="30">
        <v>77.997</v>
      </c>
      <c r="BM34" s="43"/>
      <c r="BN34" s="28">
        <f t="shared" si="33"/>
        <v>97.585000000000008</v>
      </c>
      <c r="BO34" s="281"/>
      <c r="BP34" s="281">
        <v>23.446999999999999</v>
      </c>
      <c r="BQ34" s="44">
        <v>36.14</v>
      </c>
      <c r="BR34" s="45"/>
      <c r="BS34" s="46">
        <v>1.36</v>
      </c>
      <c r="BT34" s="47"/>
      <c r="BU34" s="47"/>
      <c r="BV34" s="283"/>
      <c r="BW34" s="283">
        <v>1.6</v>
      </c>
      <c r="BX34" s="48"/>
      <c r="BY34" s="45"/>
      <c r="BZ34" s="46">
        <v>36.229999999999997</v>
      </c>
      <c r="CA34" s="47"/>
      <c r="CB34" s="47">
        <v>41.42</v>
      </c>
      <c r="CC34" s="283"/>
      <c r="CD34" s="283">
        <v>35.85</v>
      </c>
      <c r="CE34" s="48">
        <v>43.67</v>
      </c>
      <c r="CF34" s="30">
        <v>167.73599999999999</v>
      </c>
      <c r="CG34" s="49"/>
      <c r="CH34" s="43"/>
      <c r="CI34" s="32"/>
      <c r="CJ34" s="33">
        <v>2.89</v>
      </c>
      <c r="CK34" s="33"/>
      <c r="CL34" s="35"/>
      <c r="CM34" s="36"/>
      <c r="CN34" s="270"/>
      <c r="CO34" s="249">
        <f t="shared" si="38"/>
        <v>0</v>
      </c>
      <c r="CP34" s="12">
        <f t="shared" si="38"/>
        <v>76.936240800000007</v>
      </c>
      <c r="CQ34" s="12">
        <f t="shared" si="38"/>
        <v>0</v>
      </c>
      <c r="CR34" s="12">
        <f t="shared" si="38"/>
        <v>97.585000000000008</v>
      </c>
      <c r="CS34" s="11">
        <f t="shared" si="38"/>
        <v>0</v>
      </c>
      <c r="CT34" s="11">
        <f t="shared" si="38"/>
        <v>23.071848000000003</v>
      </c>
      <c r="CU34" s="272">
        <f t="shared" si="38"/>
        <v>36.14</v>
      </c>
      <c r="CV34" s="249">
        <f t="shared" si="14"/>
        <v>162.88842959999999</v>
      </c>
      <c r="CW34" s="12">
        <f t="shared" si="14"/>
        <v>0</v>
      </c>
      <c r="CX34" s="249">
        <f t="shared" si="14"/>
        <v>0</v>
      </c>
      <c r="CY34" s="272">
        <f t="shared" si="14"/>
        <v>0</v>
      </c>
      <c r="CZ34" s="13"/>
      <c r="DA34" s="240">
        <f>(D34+'[2]август 20 '!D34)/(AY34+'[2]август 20 '!BA34)</f>
        <v>2.0859857827105204</v>
      </c>
      <c r="DB34" s="241">
        <f>(T34+'[2]август 20 '!T34)/(AY34+'[2]август 20 '!BA34)</f>
        <v>1.3881184519344505</v>
      </c>
      <c r="DD34" s="292">
        <f t="shared" si="15"/>
        <v>9.0109999999999992</v>
      </c>
      <c r="DE34" s="291">
        <v>0.21</v>
      </c>
      <c r="DF34" s="291">
        <v>17.78</v>
      </c>
      <c r="DG34" s="145">
        <f t="shared" si="16"/>
        <v>8.9920768999999989</v>
      </c>
      <c r="DH34" s="293">
        <f t="shared" si="34"/>
        <v>2.126334981806091</v>
      </c>
      <c r="DJ34" s="49">
        <v>155.73599999999999</v>
      </c>
      <c r="DK34" s="508">
        <f t="shared" si="37"/>
        <v>167.73599999999999</v>
      </c>
      <c r="DM34" s="43">
        <v>90.295000000000002</v>
      </c>
      <c r="DN34" s="460">
        <f t="shared" si="36"/>
        <v>97.585000000000008</v>
      </c>
    </row>
    <row r="35" spans="1:118" s="76" customFormat="1" ht="16.5" customHeight="1" thickBot="1">
      <c r="A35" s="144">
        <v>29</v>
      </c>
      <c r="B35" s="122">
        <f t="shared" si="17"/>
        <v>250.857</v>
      </c>
      <c r="C35" s="123">
        <f t="shared" si="18"/>
        <v>1.0618768461713246</v>
      </c>
      <c r="D35" s="145">
        <f t="shared" si="19"/>
        <v>248.19320759999999</v>
      </c>
      <c r="E35" s="125">
        <f t="shared" si="20"/>
        <v>37.420658582379595</v>
      </c>
      <c r="F35" s="146">
        <f t="shared" si="0"/>
        <v>2.023919168229634</v>
      </c>
      <c r="G35" s="127">
        <v>12.99</v>
      </c>
      <c r="H35" s="126">
        <f t="shared" si="21"/>
        <v>1.5620012036206474</v>
      </c>
      <c r="I35" s="230">
        <f>'[1]июль 20'!AI34</f>
        <v>0</v>
      </c>
      <c r="J35" s="247">
        <f>'[1]август 20'!AA34</f>
        <v>9.7669999999999995</v>
      </c>
      <c r="K35" s="465">
        <f>'[1]сентябрь 20'!AM34</f>
        <v>0</v>
      </c>
      <c r="L35" s="247">
        <f t="shared" si="22"/>
        <v>56.644999999999996</v>
      </c>
      <c r="M35" s="469">
        <f t="shared" si="23"/>
        <v>0.46191796460898638</v>
      </c>
      <c r="N35" s="403">
        <f>'[1]август 20'!W34</f>
        <v>0</v>
      </c>
      <c r="O35" s="403">
        <f>'[1]август 20'!AU34</f>
        <v>0</v>
      </c>
      <c r="P35" s="401">
        <f t="shared" si="1"/>
        <v>177.32599999999999</v>
      </c>
      <c r="Q35" s="122">
        <f t="shared" si="24"/>
        <v>177.32599999999999</v>
      </c>
      <c r="R35" s="123">
        <f t="shared" si="25"/>
        <v>2.92</v>
      </c>
      <c r="S35" s="501"/>
      <c r="T35" s="125">
        <f t="shared" si="2"/>
        <v>172.1480808</v>
      </c>
      <c r="U35" s="147">
        <f t="shared" si="3"/>
        <v>1.4038007078202723</v>
      </c>
      <c r="V35" s="130">
        <v>63.76</v>
      </c>
      <c r="W35" s="130">
        <v>63.76</v>
      </c>
      <c r="X35" s="129">
        <v>1.18</v>
      </c>
      <c r="Y35" s="150">
        <v>630</v>
      </c>
      <c r="Z35" s="150">
        <v>1151</v>
      </c>
      <c r="AA35" s="148" t="s">
        <v>187</v>
      </c>
      <c r="AB35" s="149">
        <v>75.2</v>
      </c>
      <c r="AC35" s="150">
        <v>97</v>
      </c>
      <c r="AD35" s="151">
        <v>4</v>
      </c>
      <c r="AE35" s="181">
        <v>5</v>
      </c>
      <c r="AF35" s="134">
        <f t="shared" si="4"/>
        <v>40.773057163826145</v>
      </c>
      <c r="AG35" s="182"/>
      <c r="AH35" s="129">
        <v>70.150000000000006</v>
      </c>
      <c r="AI35" s="134">
        <f t="shared" si="5"/>
        <v>572.04599200848088</v>
      </c>
      <c r="AJ35" s="136">
        <v>15.27</v>
      </c>
      <c r="AK35" s="154"/>
      <c r="AL35" s="155">
        <v>5.52</v>
      </c>
      <c r="AM35" s="478">
        <f t="shared" si="26"/>
        <v>31.580000000000002</v>
      </c>
      <c r="AN35" s="126">
        <f t="shared" si="27"/>
        <v>0.2</v>
      </c>
      <c r="AO35" s="184" t="s">
        <v>390</v>
      </c>
      <c r="AP35" s="183">
        <v>9.93</v>
      </c>
      <c r="AQ35" s="183">
        <v>6.86</v>
      </c>
      <c r="AR35" s="185"/>
      <c r="AS35" s="181">
        <v>5.17</v>
      </c>
      <c r="AT35" s="149">
        <v>157.9</v>
      </c>
      <c r="AU35" s="181">
        <v>1.83</v>
      </c>
      <c r="AV35" s="149"/>
      <c r="AW35" s="149"/>
      <c r="AX35" s="158">
        <f t="shared" si="6"/>
        <v>0</v>
      </c>
      <c r="AY35" s="125">
        <f t="shared" si="7"/>
        <v>122.63</v>
      </c>
      <c r="AZ35" s="125">
        <f t="shared" si="28"/>
        <v>109.10041242038527</v>
      </c>
      <c r="BA35" s="159">
        <f t="shared" si="8"/>
        <v>2.8094580985915494</v>
      </c>
      <c r="BB35" s="160">
        <f t="shared" si="9"/>
        <v>4.9051999999999998</v>
      </c>
      <c r="BC35" s="161">
        <f t="shared" si="10"/>
        <v>0.99291769510726635</v>
      </c>
      <c r="BD35" s="160">
        <f t="shared" si="29"/>
        <v>7.7146580985915492</v>
      </c>
      <c r="BE35" s="162">
        <v>0.871</v>
      </c>
      <c r="BF35" s="25">
        <f t="shared" si="30"/>
        <v>2635.9100000000003</v>
      </c>
      <c r="BG35" s="25">
        <f t="shared" si="11"/>
        <v>107.74193548387096</v>
      </c>
      <c r="BH35" s="25">
        <f t="shared" si="31"/>
        <v>3124.5161290322558</v>
      </c>
      <c r="BI35" s="26">
        <f t="shared" si="12"/>
        <v>1</v>
      </c>
      <c r="BJ35" s="37">
        <f t="shared" si="32"/>
        <v>3124.5161290322558</v>
      </c>
      <c r="BK35" s="38"/>
      <c r="BL35" s="31">
        <v>164.55199999999999</v>
      </c>
      <c r="BM35" s="31"/>
      <c r="BN35" s="28">
        <f t="shared" si="33"/>
        <v>46.731999999999999</v>
      </c>
      <c r="BO35" s="40"/>
      <c r="BP35" s="40">
        <v>29.66</v>
      </c>
      <c r="BQ35" s="32">
        <v>9.9130000000000003</v>
      </c>
      <c r="BR35" s="33"/>
      <c r="BS35" s="34">
        <v>1.17</v>
      </c>
      <c r="BT35" s="35"/>
      <c r="BU35" s="35"/>
      <c r="BV35" s="235"/>
      <c r="BW35" s="235">
        <v>2.4900000000000002</v>
      </c>
      <c r="BX35" s="36"/>
      <c r="BY35" s="33"/>
      <c r="BZ35" s="34">
        <v>35.97</v>
      </c>
      <c r="CA35" s="35"/>
      <c r="CB35" s="35">
        <v>43.52</v>
      </c>
      <c r="CC35" s="235"/>
      <c r="CD35" s="235">
        <v>33.729999999999997</v>
      </c>
      <c r="CE35" s="36">
        <v>43.79</v>
      </c>
      <c r="CF35" s="30">
        <v>177.32599999999999</v>
      </c>
      <c r="CG35" s="30"/>
      <c r="CH35" s="31"/>
      <c r="CI35" s="50"/>
      <c r="CJ35" s="33">
        <v>2.92</v>
      </c>
      <c r="CK35" s="33"/>
      <c r="CL35" s="35"/>
      <c r="CM35" s="36"/>
      <c r="CN35" s="270"/>
      <c r="CO35" s="249">
        <f t="shared" si="38"/>
        <v>0</v>
      </c>
      <c r="CP35" s="12">
        <f t="shared" si="38"/>
        <v>162.62674159999997</v>
      </c>
      <c r="CQ35" s="12">
        <f t="shared" si="38"/>
        <v>0</v>
      </c>
      <c r="CR35" s="12">
        <f t="shared" si="38"/>
        <v>46.731999999999999</v>
      </c>
      <c r="CS35" s="11">
        <f t="shared" si="38"/>
        <v>0</v>
      </c>
      <c r="CT35" s="11">
        <f t="shared" si="38"/>
        <v>28.921466000000002</v>
      </c>
      <c r="CU35" s="272">
        <f t="shared" si="38"/>
        <v>9.9130000000000003</v>
      </c>
      <c r="CV35" s="249">
        <f t="shared" si="14"/>
        <v>172.1480808</v>
      </c>
      <c r="CW35" s="12">
        <f t="shared" si="14"/>
        <v>0</v>
      </c>
      <c r="CX35" s="249">
        <f t="shared" si="14"/>
        <v>0</v>
      </c>
      <c r="CY35" s="272">
        <f t="shared" si="14"/>
        <v>0</v>
      </c>
      <c r="CZ35" s="13"/>
      <c r="DA35" s="240">
        <f>(D35+'[2]август 20 '!D35)/(AY35+'[2]август 20 '!BA35)</f>
        <v>2.0606453071860651</v>
      </c>
      <c r="DB35" s="241">
        <f>(T35+'[2]август 20 '!T35)/(AY35+'[2]август 20 '!BA35)</f>
        <v>1.3645938118400329</v>
      </c>
      <c r="DD35" s="292">
        <f t="shared" si="15"/>
        <v>9.7669999999999995</v>
      </c>
      <c r="DE35" s="291">
        <v>0.59</v>
      </c>
      <c r="DF35" s="291">
        <v>9.92</v>
      </c>
      <c r="DG35" s="145">
        <f t="shared" si="16"/>
        <v>9.7093746999999997</v>
      </c>
      <c r="DH35" s="293">
        <f t="shared" si="34"/>
        <v>1.2808111306382979</v>
      </c>
      <c r="DJ35" s="30">
        <v>165.32599999999999</v>
      </c>
      <c r="DK35" s="508">
        <f t="shared" si="37"/>
        <v>177.32599999999999</v>
      </c>
      <c r="DM35" s="31">
        <v>39.442</v>
      </c>
      <c r="DN35" s="460">
        <f t="shared" si="36"/>
        <v>46.731999999999999</v>
      </c>
    </row>
    <row r="36" spans="1:118" s="76" customFormat="1" ht="16.5" customHeight="1" thickBot="1">
      <c r="A36" s="144">
        <v>30</v>
      </c>
      <c r="B36" s="122">
        <f t="shared" si="17"/>
        <v>267.36399999999998</v>
      </c>
      <c r="C36" s="123">
        <f t="shared" si="18"/>
        <v>0.85377051510300561</v>
      </c>
      <c r="D36" s="145">
        <f t="shared" si="19"/>
        <v>265.08132499999999</v>
      </c>
      <c r="E36" s="125">
        <f t="shared" si="20"/>
        <v>37.391866743465847</v>
      </c>
      <c r="F36" s="146">
        <f t="shared" si="0"/>
        <v>2.2500749087513796</v>
      </c>
      <c r="G36" s="127">
        <v>19.850000000000001</v>
      </c>
      <c r="H36" s="126">
        <f t="shared" si="21"/>
        <v>1.7466286817757408</v>
      </c>
      <c r="I36" s="230">
        <f>'[1]июль 20'!AI35</f>
        <v>0</v>
      </c>
      <c r="J36" s="247">
        <f>'[1]август 20'!AA35</f>
        <v>10.497</v>
      </c>
      <c r="K36" s="464">
        <f>'[1]сентябрь 20'!AM35</f>
        <v>0</v>
      </c>
      <c r="L36" s="247">
        <f t="shared" si="22"/>
        <v>59.311</v>
      </c>
      <c r="M36" s="468">
        <f t="shared" si="23"/>
        <v>0.50344622697563879</v>
      </c>
      <c r="N36" s="403">
        <f>'[1]август 20'!W35</f>
        <v>0</v>
      </c>
      <c r="O36" s="403">
        <f>'[1]август 20'!AU35</f>
        <v>0</v>
      </c>
      <c r="P36" s="401">
        <f t="shared" si="1"/>
        <v>185.548</v>
      </c>
      <c r="Q36" s="122">
        <f t="shared" si="24"/>
        <v>185.548</v>
      </c>
      <c r="R36" s="123">
        <f t="shared" si="25"/>
        <v>3.1</v>
      </c>
      <c r="S36" s="501">
        <v>7.48</v>
      </c>
      <c r="T36" s="125">
        <f t="shared" si="2"/>
        <v>179.79601200000002</v>
      </c>
      <c r="U36" s="147">
        <f t="shared" si="3"/>
        <v>1.5261523809523814</v>
      </c>
      <c r="V36" s="130">
        <v>117.81</v>
      </c>
      <c r="W36" s="130">
        <v>29.24</v>
      </c>
      <c r="X36" s="129">
        <v>1.25</v>
      </c>
      <c r="Y36" s="150">
        <v>613</v>
      </c>
      <c r="Z36" s="150">
        <v>1168</v>
      </c>
      <c r="AA36" s="148" t="s">
        <v>391</v>
      </c>
      <c r="AB36" s="149">
        <v>75.739999999999995</v>
      </c>
      <c r="AC36" s="150">
        <v>104</v>
      </c>
      <c r="AD36" s="151">
        <v>4</v>
      </c>
      <c r="AE36" s="149">
        <v>4.9000000000000004</v>
      </c>
      <c r="AF36" s="134">
        <f t="shared" si="4"/>
        <v>41.59239453357101</v>
      </c>
      <c r="AG36" s="152"/>
      <c r="AH36" s="129">
        <v>71.75</v>
      </c>
      <c r="AI36" s="134">
        <f t="shared" si="5"/>
        <v>609.03149138443257</v>
      </c>
      <c r="AJ36" s="153">
        <v>16.690000000000001</v>
      </c>
      <c r="AK36" s="154"/>
      <c r="AL36" s="155">
        <v>5.75</v>
      </c>
      <c r="AM36" s="478">
        <f t="shared" si="26"/>
        <v>30.89</v>
      </c>
      <c r="AN36" s="126">
        <f t="shared" si="27"/>
        <v>0.2</v>
      </c>
      <c r="AO36" s="157" t="s">
        <v>392</v>
      </c>
      <c r="AP36" s="156">
        <v>9.73</v>
      </c>
      <c r="AQ36" s="156">
        <v>7.13</v>
      </c>
      <c r="AR36" s="151"/>
      <c r="AS36" s="149">
        <v>8.5500000000000007</v>
      </c>
      <c r="AT36" s="149">
        <v>154.44999999999999</v>
      </c>
      <c r="AU36" s="149"/>
      <c r="AV36" s="149"/>
      <c r="AW36" s="149"/>
      <c r="AX36" s="158">
        <f t="shared" si="6"/>
        <v>0</v>
      </c>
      <c r="AY36" s="125">
        <f t="shared" si="7"/>
        <v>117.80999999999999</v>
      </c>
      <c r="AZ36" s="125">
        <f t="shared" si="28"/>
        <v>115.78453591157286</v>
      </c>
      <c r="BA36" s="159">
        <f t="shared" si="8"/>
        <v>4.7521742957746484</v>
      </c>
      <c r="BB36" s="160">
        <f t="shared" si="9"/>
        <v>4.7123999999999997</v>
      </c>
      <c r="BC36" s="161">
        <f t="shared" si="10"/>
        <v>0.90022522228072799</v>
      </c>
      <c r="BD36" s="160">
        <f t="shared" si="29"/>
        <v>9.4645742957746481</v>
      </c>
      <c r="BE36" s="162">
        <v>0.872</v>
      </c>
      <c r="BF36" s="25">
        <f t="shared" si="30"/>
        <v>2753.7200000000003</v>
      </c>
      <c r="BG36" s="25">
        <f t="shared" si="11"/>
        <v>107.74193548387096</v>
      </c>
      <c r="BH36" s="25">
        <f t="shared" si="31"/>
        <v>3232.2580645161265</v>
      </c>
      <c r="BI36" s="26">
        <f t="shared" si="12"/>
        <v>1</v>
      </c>
      <c r="BJ36" s="37">
        <f t="shared" si="32"/>
        <v>3232.2580645161265</v>
      </c>
      <c r="BK36" s="38"/>
      <c r="BL36" s="31">
        <v>169.49</v>
      </c>
      <c r="BM36" s="31"/>
      <c r="BN36" s="28">
        <f t="shared" si="33"/>
        <v>48.908999999999999</v>
      </c>
      <c r="BO36" s="40"/>
      <c r="BP36" s="40">
        <v>38.563000000000002</v>
      </c>
      <c r="BQ36" s="32">
        <v>10.401999999999999</v>
      </c>
      <c r="BR36" s="33"/>
      <c r="BS36" s="34">
        <v>0.96</v>
      </c>
      <c r="BT36" s="35"/>
      <c r="BU36" s="35"/>
      <c r="BV36" s="235"/>
      <c r="BW36" s="235">
        <v>1.7</v>
      </c>
      <c r="BX36" s="36"/>
      <c r="BY36" s="33"/>
      <c r="BZ36" s="34">
        <v>36.06</v>
      </c>
      <c r="CA36" s="35"/>
      <c r="CB36" s="35">
        <v>42.13</v>
      </c>
      <c r="CC36" s="235"/>
      <c r="CD36" s="235">
        <v>35.47</v>
      </c>
      <c r="CE36" s="36">
        <v>43.94</v>
      </c>
      <c r="CF36" s="30">
        <v>185.548</v>
      </c>
      <c r="CG36" s="30"/>
      <c r="CH36" s="34"/>
      <c r="CI36" s="50"/>
      <c r="CJ36" s="33">
        <v>3.1</v>
      </c>
      <c r="CK36" s="33"/>
      <c r="CL36" s="35"/>
      <c r="CM36" s="36"/>
      <c r="CN36" s="270"/>
      <c r="CO36" s="249">
        <f t="shared" si="38"/>
        <v>0</v>
      </c>
      <c r="CP36" s="12">
        <f t="shared" si="38"/>
        <v>167.86289600000001</v>
      </c>
      <c r="CQ36" s="12">
        <f t="shared" si="38"/>
        <v>0</v>
      </c>
      <c r="CR36" s="12">
        <f t="shared" si="38"/>
        <v>48.908999999999999</v>
      </c>
      <c r="CS36" s="11">
        <f t="shared" si="38"/>
        <v>0</v>
      </c>
      <c r="CT36" s="11">
        <f t="shared" si="38"/>
        <v>37.907429</v>
      </c>
      <c r="CU36" s="272">
        <f t="shared" si="38"/>
        <v>10.401999999999999</v>
      </c>
      <c r="CV36" s="249">
        <f t="shared" si="14"/>
        <v>179.79601200000002</v>
      </c>
      <c r="CW36" s="12">
        <f t="shared" si="14"/>
        <v>0</v>
      </c>
      <c r="CX36" s="249">
        <f t="shared" si="14"/>
        <v>0</v>
      </c>
      <c r="CY36" s="274">
        <f t="shared" si="14"/>
        <v>0</v>
      </c>
      <c r="CZ36" s="13"/>
      <c r="DA36" s="240">
        <f>(D36+'[2]август 20 '!D36)/(AY36+'[2]август 20 '!BA36)</f>
        <v>2.1669380384601689</v>
      </c>
      <c r="DB36" s="241">
        <f>(T36+'[2]август 20 '!T36)/(AY36+'[2]август 20 '!BA36)</f>
        <v>1.4111849863792714</v>
      </c>
      <c r="DD36" s="292">
        <f t="shared" si="15"/>
        <v>10.497</v>
      </c>
      <c r="DE36" s="291">
        <v>0.51</v>
      </c>
      <c r="DF36" s="291">
        <v>11.15</v>
      </c>
      <c r="DG36" s="145">
        <f t="shared" si="16"/>
        <v>10.443465299999998</v>
      </c>
      <c r="DH36" s="293">
        <f t="shared" si="34"/>
        <v>1.537425905664114</v>
      </c>
      <c r="DJ36" s="30">
        <v>173.548</v>
      </c>
      <c r="DK36" s="508">
        <f t="shared" si="37"/>
        <v>185.548</v>
      </c>
      <c r="DM36" s="31">
        <v>41.619</v>
      </c>
      <c r="DN36" s="460">
        <f t="shared" si="36"/>
        <v>48.908999999999999</v>
      </c>
    </row>
    <row r="37" spans="1:118" s="76" customFormat="1" ht="16.5" customHeight="1" thickBot="1">
      <c r="A37" s="186">
        <v>31</v>
      </c>
      <c r="B37" s="122">
        <f t="shared" si="17"/>
        <v>264.74099999999999</v>
      </c>
      <c r="C37" s="123">
        <f t="shared" si="18"/>
        <v>1.0416877627568077</v>
      </c>
      <c r="D37" s="187">
        <f t="shared" si="19"/>
        <v>261.98322539999998</v>
      </c>
      <c r="E37" s="285">
        <f t="shared" si="20"/>
        <v>37.600241065796382</v>
      </c>
      <c r="F37" s="189">
        <f t="shared" si="0"/>
        <v>2.203020731584258</v>
      </c>
      <c r="G37" s="127"/>
      <c r="H37" s="126">
        <f t="shared" si="21"/>
        <v>1.7078138698284557</v>
      </c>
      <c r="I37" s="230">
        <f>'[1]июль 20'!AI36</f>
        <v>0</v>
      </c>
      <c r="J37" s="277">
        <f>'[1]август 20'!AA36</f>
        <v>10.077</v>
      </c>
      <c r="K37" s="276">
        <f>'[1]сентябрь 20'!AM36</f>
        <v>0</v>
      </c>
      <c r="L37" s="438">
        <f t="shared" si="22"/>
        <v>58.889999999999993</v>
      </c>
      <c r="M37" s="128">
        <f t="shared" si="23"/>
        <v>0.49520686175580209</v>
      </c>
      <c r="N37" s="399">
        <f>'[1]август 20'!W36</f>
        <v>0</v>
      </c>
      <c r="O37" s="399">
        <f>'[1]август 20'!AU36</f>
        <v>0.69599999999999995</v>
      </c>
      <c r="P37" s="125">
        <f t="shared" si="1"/>
        <v>192.55699999999999</v>
      </c>
      <c r="Q37" s="122">
        <f t="shared" si="24"/>
        <v>192.55699999999999</v>
      </c>
      <c r="R37" s="123">
        <f t="shared" si="25"/>
        <v>3.0900000000000003</v>
      </c>
      <c r="S37" s="501"/>
      <c r="T37" s="125">
        <f t="shared" si="2"/>
        <v>186.60698869999999</v>
      </c>
      <c r="U37" s="191">
        <f t="shared" si="3"/>
        <v>1.569180866969391</v>
      </c>
      <c r="V37" s="192">
        <v>118.92</v>
      </c>
      <c r="W37" s="192">
        <v>118.92</v>
      </c>
      <c r="X37" s="190">
        <v>0.75</v>
      </c>
      <c r="Y37" s="193">
        <v>617</v>
      </c>
      <c r="Z37" s="194">
        <v>1166</v>
      </c>
      <c r="AA37" s="195" t="s">
        <v>395</v>
      </c>
      <c r="AB37" s="196">
        <v>76</v>
      </c>
      <c r="AC37" s="194">
        <v>103</v>
      </c>
      <c r="AD37" s="193">
        <v>4</v>
      </c>
      <c r="AE37" s="196">
        <v>4.8</v>
      </c>
      <c r="AF37" s="134">
        <f t="shared" si="4"/>
        <v>40.363269424823407</v>
      </c>
      <c r="AG37" s="197"/>
      <c r="AH37" s="190">
        <v>80.849999999999994</v>
      </c>
      <c r="AI37" s="134">
        <f t="shared" si="5"/>
        <v>679.8688193743692</v>
      </c>
      <c r="AJ37" s="196"/>
      <c r="AK37" s="198"/>
      <c r="AL37" s="199">
        <v>6.7</v>
      </c>
      <c r="AM37" s="478">
        <v>35.130000000000003</v>
      </c>
      <c r="AN37" s="126">
        <f t="shared" si="27"/>
        <v>0.21853810264385692</v>
      </c>
      <c r="AO37" s="201" t="s">
        <v>207</v>
      </c>
      <c r="AP37" s="200">
        <v>9.3000000000000007</v>
      </c>
      <c r="AQ37" s="201">
        <v>7.06</v>
      </c>
      <c r="AR37" s="193"/>
      <c r="AS37" s="196">
        <v>7.39</v>
      </c>
      <c r="AT37" s="242">
        <v>160.75</v>
      </c>
      <c r="AU37" s="196"/>
      <c r="AV37" s="196"/>
      <c r="AW37" s="196"/>
      <c r="AX37" s="202">
        <f t="shared" si="6"/>
        <v>0</v>
      </c>
      <c r="AY37" s="188">
        <f t="shared" si="7"/>
        <v>118.92000000000002</v>
      </c>
      <c r="AZ37" s="125">
        <f t="shared" si="28"/>
        <v>114.78606442485578</v>
      </c>
      <c r="BA37" s="203">
        <f t="shared" si="8"/>
        <v>4.6283778169014083</v>
      </c>
      <c r="BB37" s="204">
        <f t="shared" si="9"/>
        <v>4.756800000000001</v>
      </c>
      <c r="BC37" s="205">
        <f t="shared" si="10"/>
        <v>0.91749642106831819</v>
      </c>
      <c r="BD37" s="206">
        <f t="shared" si="29"/>
        <v>9.3851778169014093</v>
      </c>
      <c r="BE37" s="207">
        <v>0.874</v>
      </c>
      <c r="BF37" s="25">
        <f t="shared" si="30"/>
        <v>2872.6400000000003</v>
      </c>
      <c r="BG37" s="25">
        <f t="shared" si="11"/>
        <v>107.74193548387096</v>
      </c>
      <c r="BH37" s="25">
        <f t="shared" si="31"/>
        <v>3339.9999999999973</v>
      </c>
      <c r="BI37" s="26">
        <f t="shared" si="12"/>
        <v>1</v>
      </c>
      <c r="BJ37" s="37">
        <f t="shared" si="32"/>
        <v>3339.9999999999973</v>
      </c>
      <c r="BK37" s="51"/>
      <c r="BL37" s="53">
        <v>176.55600000000001</v>
      </c>
      <c r="BM37" s="53"/>
      <c r="BN37" s="28">
        <f t="shared" si="33"/>
        <v>48.672999999999995</v>
      </c>
      <c r="BO37" s="282"/>
      <c r="BP37" s="282">
        <v>29.295000000000002</v>
      </c>
      <c r="BQ37" s="54">
        <v>10.217000000000001</v>
      </c>
      <c r="BR37" s="55"/>
      <c r="BS37" s="52">
        <v>1.26</v>
      </c>
      <c r="BT37" s="56"/>
      <c r="BU37" s="56"/>
      <c r="BV37" s="284"/>
      <c r="BW37" s="284">
        <v>1.82</v>
      </c>
      <c r="BX37" s="57"/>
      <c r="BY37" s="55"/>
      <c r="BZ37" s="52">
        <v>36.29</v>
      </c>
      <c r="CA37" s="56"/>
      <c r="CB37" s="56">
        <v>43.24</v>
      </c>
      <c r="CC37" s="284"/>
      <c r="CD37" s="284">
        <v>34.32</v>
      </c>
      <c r="CE37" s="57">
        <v>42.78</v>
      </c>
      <c r="CF37" s="58">
        <v>192.55699999999999</v>
      </c>
      <c r="CG37" s="58"/>
      <c r="CH37" s="52"/>
      <c r="CI37" s="54"/>
      <c r="CJ37" s="33">
        <v>3.09</v>
      </c>
      <c r="CK37" s="265"/>
      <c r="CL37" s="59"/>
      <c r="CM37" s="60"/>
      <c r="CN37" s="270"/>
      <c r="CO37" s="269">
        <f t="shared" si="38"/>
        <v>0</v>
      </c>
      <c r="CP37" s="18">
        <f t="shared" si="38"/>
        <v>174.33139439999999</v>
      </c>
      <c r="CQ37" s="18">
        <f t="shared" si="38"/>
        <v>0</v>
      </c>
      <c r="CR37" s="18">
        <f t="shared" si="38"/>
        <v>48.672999999999995</v>
      </c>
      <c r="CS37" s="251">
        <f t="shared" si="38"/>
        <v>0</v>
      </c>
      <c r="CT37" s="11">
        <f t="shared" si="38"/>
        <v>28.761831000000004</v>
      </c>
      <c r="CU37" s="273">
        <f t="shared" si="38"/>
        <v>10.217000000000001</v>
      </c>
      <c r="CV37" s="269">
        <f t="shared" si="14"/>
        <v>186.60698869999999</v>
      </c>
      <c r="CW37" s="18">
        <f t="shared" si="14"/>
        <v>0</v>
      </c>
      <c r="CX37" s="261">
        <f t="shared" si="14"/>
        <v>0</v>
      </c>
      <c r="CY37" s="273">
        <f t="shared" si="14"/>
        <v>0</v>
      </c>
      <c r="CZ37" s="13"/>
      <c r="DA37" s="240">
        <f>(D37+'[2]август 20 '!D37)/(AY37+'[2]август 20 '!BA37)</f>
        <v>2.4124025877916568</v>
      </c>
      <c r="DB37" s="241">
        <f>(T37+'[2]август 20 '!T37)/(AY37+'[2]август 20 '!BA37)</f>
        <v>1.5898689899329992</v>
      </c>
      <c r="DD37" s="292">
        <f t="shared" si="15"/>
        <v>10.077</v>
      </c>
      <c r="DE37" s="294">
        <v>0.17</v>
      </c>
      <c r="DF37" s="294">
        <v>12.34</v>
      </c>
      <c r="DG37" s="323">
        <f t="shared" si="16"/>
        <v>10.0598691</v>
      </c>
      <c r="DH37" s="293">
        <f t="shared" si="34"/>
        <v>1.6334050617631577</v>
      </c>
      <c r="DJ37" s="58">
        <v>170.09700000000001</v>
      </c>
      <c r="DK37" s="508">
        <f>DJ37+22.5</f>
        <v>192.59700000000001</v>
      </c>
      <c r="DM37" s="53">
        <v>41.232999999999997</v>
      </c>
      <c r="DN37" s="460">
        <f>DM37+7.44</f>
        <v>48.672999999999995</v>
      </c>
    </row>
    <row r="38" spans="1:118" s="214" customFormat="1" ht="16.5" customHeight="1" thickBot="1">
      <c r="A38" s="91" t="s">
        <v>56</v>
      </c>
      <c r="B38" s="92">
        <f>SUM(B7:B37)</f>
        <v>6396.8750030000001</v>
      </c>
      <c r="C38" s="330"/>
      <c r="D38" s="331">
        <f>SUM(D7:D37)</f>
        <v>6348.5337472825104</v>
      </c>
      <c r="E38" s="332"/>
      <c r="F38" s="331"/>
      <c r="G38" s="333">
        <f>SUM(G7:G37)</f>
        <v>32.840000000000003</v>
      </c>
      <c r="H38" s="329"/>
      <c r="I38" s="334">
        <f>SUM(I7:I37)</f>
        <v>0</v>
      </c>
      <c r="J38" s="329">
        <f>SUM(J7:J37)</f>
        <v>249.02799999999996</v>
      </c>
      <c r="K38" s="329">
        <f>SUM(K7:K37)</f>
        <v>0</v>
      </c>
      <c r="L38" s="396">
        <f>SUM(L7:L37)</f>
        <v>3457.37</v>
      </c>
      <c r="M38" s="335"/>
      <c r="N38" s="329">
        <f>SUM(N7:N37)</f>
        <v>0</v>
      </c>
      <c r="O38" s="396">
        <f>SUM(O7:O37)</f>
        <v>57.942</v>
      </c>
      <c r="P38" s="330">
        <f>SUM(P7:P37)</f>
        <v>4430.8660030000001</v>
      </c>
      <c r="Q38" s="396">
        <f>SUM(Q7:Q37)</f>
        <v>4430.866</v>
      </c>
      <c r="R38" s="336">
        <f>IF(Q38=0,0,(CA38*CH38+CE38*CI38+CF38*CJ38)/Q38)</f>
        <v>0</v>
      </c>
      <c r="S38" s="396">
        <f>SUM(S7:S37)</f>
        <v>237.42000000000002</v>
      </c>
      <c r="T38" s="331">
        <f>SUM(T7:T37)</f>
        <v>4311.8314360000013</v>
      </c>
      <c r="U38" s="337"/>
      <c r="V38" s="229">
        <f>SUM(V7:V37)</f>
        <v>2273.7200000000003</v>
      </c>
      <c r="W38" s="229">
        <f>SUM(W7:W37)</f>
        <v>1863.8700000000001</v>
      </c>
      <c r="X38" s="338"/>
      <c r="Y38" s="337"/>
      <c r="Z38" s="339"/>
      <c r="AA38" s="340"/>
      <c r="AB38" s="338"/>
      <c r="AC38" s="339"/>
      <c r="AD38" s="339">
        <f>SUM(AD7:AD37)</f>
        <v>120</v>
      </c>
      <c r="AE38" s="90">
        <f>SUM(AE7:AE37)</f>
        <v>115.19999999999999</v>
      </c>
      <c r="AF38" s="341"/>
      <c r="AG38" s="342">
        <f>SUM(AG7:AG37)</f>
        <v>0</v>
      </c>
      <c r="AH38" s="90">
        <f>SUM(AH7:AH37)</f>
        <v>2081.75</v>
      </c>
      <c r="AI38" s="341"/>
      <c r="AJ38" s="332">
        <f>SUM(AJ7:AJ37)</f>
        <v>384.64</v>
      </c>
      <c r="AK38" s="343"/>
      <c r="AL38" s="397">
        <f>SUM(AL7:AL37)</f>
        <v>184.00000000000003</v>
      </c>
      <c r="AM38" s="344">
        <f>SUM(AM7:AM37)</f>
        <v>788.86</v>
      </c>
      <c r="AN38" s="345"/>
      <c r="AO38" s="342"/>
      <c r="AP38" s="332"/>
      <c r="AQ38" s="342"/>
      <c r="AR38" s="342"/>
      <c r="AS38" s="346"/>
      <c r="AT38" s="332">
        <f>SUM(AT7:AT37)</f>
        <v>3796.15</v>
      </c>
      <c r="AU38" s="332">
        <f>SUM(AU7:AU37)</f>
        <v>49.349999999999994</v>
      </c>
      <c r="AV38" s="347">
        <f>SUM(AV7:AV37)</f>
        <v>0</v>
      </c>
      <c r="AW38" s="332">
        <f>SUM(AW7:AW37)</f>
        <v>0</v>
      </c>
      <c r="AX38" s="331"/>
      <c r="AY38" s="90">
        <f>SUM(AY7:AY37)</f>
        <v>2872.6400000000003</v>
      </c>
      <c r="AZ38" s="330">
        <f>SUM(AZ7:AZ37)</f>
        <v>2911.1003009899</v>
      </c>
      <c r="BA38" s="342">
        <f>SUM(BA7:BA37)</f>
        <v>116.17675176056336</v>
      </c>
      <c r="BB38" s="342">
        <f>SUM(BB7:BB37)</f>
        <v>114.90559999999998</v>
      </c>
      <c r="BC38" s="332"/>
      <c r="BD38" s="89">
        <f>SUM(BD7:BD37)</f>
        <v>231.08235176056331</v>
      </c>
      <c r="BE38" s="348"/>
      <c r="BF38" s="19"/>
      <c r="BG38" s="19">
        <f t="shared" si="11"/>
        <v>0</v>
      </c>
      <c r="BH38" s="19"/>
      <c r="BI38" s="208">
        <f>SUM(BI7:BI37)</f>
        <v>31</v>
      </c>
      <c r="BJ38" s="209"/>
      <c r="BK38" s="278">
        <f t="shared" ref="BK38:BQ38" si="39">SUM(BK7:BK37)</f>
        <v>1622.8409999999999</v>
      </c>
      <c r="BL38" s="61">
        <f>SUM(BL7:BL37)</f>
        <v>707.07300100000009</v>
      </c>
      <c r="BM38" s="61">
        <f t="shared" si="39"/>
        <v>9.9999999999999995E-7</v>
      </c>
      <c r="BN38" s="61">
        <f t="shared" si="39"/>
        <v>2772.94</v>
      </c>
      <c r="BO38" s="61">
        <f t="shared" si="39"/>
        <v>9.9999999999999995E-7</v>
      </c>
      <c r="BP38" s="61">
        <f t="shared" si="39"/>
        <v>609.59100000000001</v>
      </c>
      <c r="BQ38" s="64">
        <f t="shared" si="39"/>
        <v>684.43000000000006</v>
      </c>
      <c r="BR38" s="63"/>
      <c r="BS38" s="24"/>
      <c r="BT38" s="24"/>
      <c r="BU38" s="24"/>
      <c r="BV38" s="62"/>
      <c r="BW38" s="62"/>
      <c r="BX38" s="65"/>
      <c r="BY38" s="63"/>
      <c r="BZ38" s="24"/>
      <c r="CA38" s="24"/>
      <c r="CB38" s="24"/>
      <c r="CC38" s="62"/>
      <c r="CD38" s="62"/>
      <c r="CE38" s="62"/>
      <c r="CF38" s="66">
        <f>SUM(CF7:CF37)</f>
        <v>4430.866</v>
      </c>
      <c r="CG38" s="66">
        <f>SUM(CG7:CG37)</f>
        <v>9.9999999999999995E-7</v>
      </c>
      <c r="CH38" s="61">
        <f>SUM(CH7:CH37)</f>
        <v>9.9999999999999995E-7</v>
      </c>
      <c r="CI38" s="67">
        <f>SUM(CI7:CI37)</f>
        <v>9.9999999999999995E-7</v>
      </c>
      <c r="CJ38" s="210"/>
      <c r="CK38" s="266"/>
      <c r="CL38" s="211"/>
      <c r="CM38" s="212"/>
      <c r="CN38" s="213"/>
      <c r="CO38" s="68">
        <f t="shared" ref="CO38:CY38" si="40">SUM(CO7:CO37)</f>
        <v>1602.2440184000002</v>
      </c>
      <c r="CP38" s="69">
        <f t="shared" si="40"/>
        <v>697.10105850000002</v>
      </c>
      <c r="CQ38" s="70">
        <f t="shared" si="40"/>
        <v>9.9999998999999992E-7</v>
      </c>
      <c r="CR38" s="69">
        <f t="shared" si="40"/>
        <v>2772.93999887375</v>
      </c>
      <c r="CS38" s="72">
        <f t="shared" si="40"/>
        <v>9.9999998999999992E-7</v>
      </c>
      <c r="CT38" s="72">
        <f t="shared" si="40"/>
        <v>591.81866959999991</v>
      </c>
      <c r="CU38" s="71">
        <f t="shared" si="40"/>
        <v>684.42999990876012</v>
      </c>
      <c r="CV38" s="72">
        <f t="shared" si="40"/>
        <v>4311.8314360000013</v>
      </c>
      <c r="CW38" s="72">
        <f t="shared" si="40"/>
        <v>9.9999998999999992E-7</v>
      </c>
      <c r="CX38" s="72">
        <f t="shared" si="40"/>
        <v>9.9999998999999992E-7</v>
      </c>
      <c r="CY38" s="72">
        <f t="shared" si="40"/>
        <v>9.9999998999999992E-7</v>
      </c>
      <c r="CZ38" s="70"/>
      <c r="DA38" s="240">
        <f>(D38+'[2]август 20 '!D38)/(AY38+'[2]август 20 '!BA38)</f>
        <v>2.1864044785989365</v>
      </c>
      <c r="DB38" s="241">
        <f>(T38+'[2]август 20 '!T38)/(AY38+'[2]август 20 '!BA38)</f>
        <v>1.41860845080267</v>
      </c>
      <c r="DD38" s="295">
        <f>SUM(DD7:DD37)</f>
        <v>249.02799999999996</v>
      </c>
      <c r="DE38" s="296">
        <f>(SUMPRODUCT(DD7:DD37,DE7:DE37))/DD38</f>
        <v>0.65388482419647587</v>
      </c>
      <c r="DF38" s="296">
        <f>(SUMPRODUCT(DD7:DD37,DF7:DF37))/DD38</f>
        <v>12.375663780779677</v>
      </c>
      <c r="DG38" s="296">
        <f>(SUMPRODUCT(DE7:DE37,DG7:DG37))/DE38</f>
        <v>246.24472029743703</v>
      </c>
      <c r="DH38" s="324">
        <f>IF(J38=0,0,(DG38*DF38%)/(AB39/100))</f>
        <v>40.29991256052655</v>
      </c>
    </row>
    <row r="39" spans="1:118" s="214" customFormat="1" ht="16.5" customHeight="1" thickBot="1">
      <c r="A39" s="93" t="s">
        <v>57</v>
      </c>
      <c r="B39" s="349">
        <f>B38/AU2</f>
        <v>206.35080654838711</v>
      </c>
      <c r="C39" s="349">
        <f>(BK38*BR39+BM38*BT39+BQ38*BX39+BL38*BS39+BN38*BU39+BO38*BV39+BP38*BW39)/B38</f>
        <v>0.75570111491656455</v>
      </c>
      <c r="D39" s="350">
        <f>D38/AU2</f>
        <v>204.79141120266164</v>
      </c>
      <c r="E39" s="349">
        <f>(BK38*BY39+BM38*CA39+BQ38*CE39+BL38*BZ39+BN38*CB39+BO38*CC39+BP38*CD39)/B38</f>
        <v>39.167420492427595</v>
      </c>
      <c r="F39" s="351">
        <f>IF($AY$38=0,0,$D$38/$AY$38)</f>
        <v>2.2099997727813125</v>
      </c>
      <c r="G39" s="352">
        <f>G38/AU2</f>
        <v>1.0593548387096776</v>
      </c>
      <c r="H39" s="353">
        <f>IF($AY$38=0,0,(CP38+CO38+CS38+CQ38+CT38)/AY38)</f>
        <v>1.0064483361994538</v>
      </c>
      <c r="I39" s="349">
        <f>I38/AU2</f>
        <v>0</v>
      </c>
      <c r="J39" s="349">
        <f>J38/AU2</f>
        <v>8.03316129032258</v>
      </c>
      <c r="K39" s="349">
        <f>K38/AU2</f>
        <v>0</v>
      </c>
      <c r="L39" s="349">
        <f>L38/AU2</f>
        <v>111.52806451612904</v>
      </c>
      <c r="M39" s="354">
        <f>IF($AY$38=0,0,(CR38+CU38)/$AY$38)</f>
        <v>1.2035514365818585</v>
      </c>
      <c r="N39" s="349">
        <f>N38/AU2</f>
        <v>0</v>
      </c>
      <c r="O39" s="349">
        <f>O38/AU2</f>
        <v>1.8690967741935485</v>
      </c>
      <c r="P39" s="349">
        <f>P38/AU2</f>
        <v>142.93116138709678</v>
      </c>
      <c r="Q39" s="349">
        <f>Q38/AU2</f>
        <v>142.93116129032259</v>
      </c>
      <c r="R39" s="349">
        <f>(SUMPRODUCT(R7:R37,Q7:Q37))/Q38</f>
        <v>2.6864853055813476</v>
      </c>
      <c r="S39" s="355">
        <f>S38/AU2</f>
        <v>7.6587096774193553</v>
      </c>
      <c r="T39" s="356"/>
      <c r="U39" s="354">
        <f>IF($AY$38=0,0,$T$38/$AY$38)</f>
        <v>1.5009995808733432</v>
      </c>
      <c r="V39" s="349">
        <f>V38/AU2</f>
        <v>73.345806451612916</v>
      </c>
      <c r="W39" s="349">
        <f>W38/AU2</f>
        <v>60.124838709677427</v>
      </c>
      <c r="X39" s="349">
        <f>(SUMPRODUCT(X7:X37,AY7:AY37))/AY38</f>
        <v>0.84682417567115953</v>
      </c>
      <c r="Y39" s="357">
        <f>AVERAGE(Y7:Y37)</f>
        <v>611.06451612903231</v>
      </c>
      <c r="Z39" s="357">
        <f>AVERAGE(Z7:Z37)</f>
        <v>1146.8387096774193</v>
      </c>
      <c r="AA39" s="357"/>
      <c r="AB39" s="349">
        <f>(SUMPRODUCT(AB7:AB37,AY7:AY37))/AY38</f>
        <v>75.619068940069084</v>
      </c>
      <c r="AC39" s="358">
        <f>AVERAGE(AC7:AC37)</f>
        <v>79.838709677419359</v>
      </c>
      <c r="AD39" s="358">
        <f>AVERAGE(AD7:AD37)</f>
        <v>3.870967741935484</v>
      </c>
      <c r="AE39" s="349">
        <f>AE38/AU2</f>
        <v>3.7161290322580642</v>
      </c>
      <c r="AF39" s="355">
        <f>IF(AY38=0,0,AE38/AY38*1000)</f>
        <v>40.10248412610003</v>
      </c>
      <c r="AG39" s="356" t="e">
        <f>AG38/$AW$2</f>
        <v>#DIV/0!</v>
      </c>
      <c r="AH39" s="349">
        <f>AH38/AU2</f>
        <v>67.153225806451616</v>
      </c>
      <c r="AI39" s="355">
        <f>IF(AY38=0,0,AH38/AY38*1000)</f>
        <v>724.68182577698553</v>
      </c>
      <c r="AJ39" s="349">
        <f>AJ38/AU2</f>
        <v>12.407741935483871</v>
      </c>
      <c r="AK39" s="359"/>
      <c r="AL39" s="349">
        <f>AL38/AU2</f>
        <v>5.9354838709677429</v>
      </c>
      <c r="AM39" s="349">
        <f>AM38/AU2</f>
        <v>25.44709677419355</v>
      </c>
      <c r="AN39" s="360">
        <f>IF(AM39=0,0,AM39/AT39)</f>
        <v>0.20780527639845636</v>
      </c>
      <c r="AO39" s="356"/>
      <c r="AP39" s="349">
        <f>AVERAGE(AP7:AP37)</f>
        <v>8.748709677419356</v>
      </c>
      <c r="AQ39" s="349">
        <f>AVERAGE(AQ7:AQ37)</f>
        <v>6.6816129032258074</v>
      </c>
      <c r="AR39" s="356"/>
      <c r="AS39" s="349">
        <f>AVERAGE(AS7:AS37)</f>
        <v>7.2132258064516126</v>
      </c>
      <c r="AT39" s="349">
        <f>AT38/AU2</f>
        <v>122.45645161290322</v>
      </c>
      <c r="AU39" s="349">
        <f>AU38/AU2</f>
        <v>1.5919354838709676</v>
      </c>
      <c r="AV39" s="349" t="e">
        <f>AV38/$AW$2</f>
        <v>#DIV/0!</v>
      </c>
      <c r="AW39" s="349" t="e">
        <f>AW38/$AW$2</f>
        <v>#DIV/0!</v>
      </c>
      <c r="AX39" s="349" t="e">
        <f>IF(AY39=0,0,AW39/AY39*100)</f>
        <v>#DIV/0!</v>
      </c>
      <c r="AY39" s="349">
        <f>AY38/AU2</f>
        <v>92.665806451612909</v>
      </c>
      <c r="AZ39" s="349">
        <f>AZ38/AU2</f>
        <v>93.906461322254842</v>
      </c>
      <c r="BA39" s="356"/>
      <c r="BB39" s="356"/>
      <c r="BC39" s="351">
        <f>(AY38*AB39)/(D38*E39)</f>
        <v>0.87360301913740823</v>
      </c>
      <c r="BD39" s="349">
        <f>BD38/AU2</f>
        <v>7.454269411631075</v>
      </c>
      <c r="BE39" s="361"/>
      <c r="BF39" s="19"/>
      <c r="BG39" s="19"/>
      <c r="BH39" s="19"/>
      <c r="BI39" s="19"/>
      <c r="BJ39" s="215"/>
      <c r="BK39" s="73"/>
      <c r="BL39" s="216"/>
      <c r="BM39" s="216"/>
      <c r="BN39" s="216"/>
      <c r="BO39" s="219"/>
      <c r="BP39" s="219"/>
      <c r="BQ39" s="217"/>
      <c r="BR39" s="73">
        <f>(SUMPRODUCT(BK7:BK37,BR7:BR37))/BK38</f>
        <v>1.2691928291188108</v>
      </c>
      <c r="BS39" s="29">
        <f>(SUMPRODUCT(BL7:BL37,BS7:BS37))/BL38</f>
        <v>1.4103130067046652</v>
      </c>
      <c r="BT39" s="29">
        <f t="shared" ref="BT39:BX39" si="41">(SUMPRODUCT(BM7:BM37,BT7:BT37))/BM38</f>
        <v>9.9999999999999995E-7</v>
      </c>
      <c r="BU39" s="29">
        <f t="shared" si="41"/>
        <v>4.0615736366455821E-8</v>
      </c>
      <c r="BV39" s="29">
        <f t="shared" si="41"/>
        <v>9.9999999999999995E-7</v>
      </c>
      <c r="BW39" s="29">
        <f t="shared" si="41"/>
        <v>2.915451573267978</v>
      </c>
      <c r="BX39" s="74">
        <f t="shared" si="41"/>
        <v>1.3330800812354804E-8</v>
      </c>
      <c r="BY39" s="73">
        <f t="shared" ref="BY39:CE39" si="42">(SUMPRODUCT(BK7:BK37,BY7:BY37))/BK38</f>
        <v>36.041401055309791</v>
      </c>
      <c r="BZ39" s="29">
        <f t="shared" si="42"/>
        <v>36.241704383788232</v>
      </c>
      <c r="CA39" s="29">
        <f t="shared" si="42"/>
        <v>9.9999999999999995E-7</v>
      </c>
      <c r="CB39" s="29">
        <f t="shared" si="42"/>
        <v>41.685921264073514</v>
      </c>
      <c r="CC39" s="29">
        <f t="shared" si="42"/>
        <v>9.9999999999999995E-7</v>
      </c>
      <c r="CD39" s="29">
        <f t="shared" si="42"/>
        <v>34.228384605415755</v>
      </c>
      <c r="CE39" s="74">
        <f t="shared" si="42"/>
        <v>43.797357450725421</v>
      </c>
      <c r="CF39" s="218"/>
      <c r="CG39" s="218"/>
      <c r="CH39" s="216"/>
      <c r="CI39" s="219"/>
      <c r="CJ39" s="75">
        <f>(SUMPRODUCT(CF7:CF37,CJ7:CJ37))/CF38</f>
        <v>2.6864853055813471</v>
      </c>
      <c r="CK39" s="75">
        <f>(SUMPRODUCT(CG7:CG37,CK7:CK37))/CG38</f>
        <v>9.9999999999999995E-7</v>
      </c>
      <c r="CL39" s="29">
        <f>(SUMPRODUCT(CH7:CH37,CL7:CL37))/CH38</f>
        <v>9.9999999999999995E-7</v>
      </c>
      <c r="CM39" s="74">
        <f>(SUMPRODUCT(CI7:CI37,CM7:CM37))/CI38</f>
        <v>9.9999999999999995E-7</v>
      </c>
      <c r="CN39" s="19"/>
      <c r="CO39" s="596">
        <f>CO38+CP38</f>
        <v>2299.3450769000001</v>
      </c>
      <c r="CP39" s="596"/>
      <c r="CQ39" s="597">
        <f>CQ38+CR38+CU38+CS38+CT38</f>
        <v>4049.1886703825098</v>
      </c>
      <c r="CR39" s="597"/>
      <c r="CS39" s="597"/>
      <c r="CT39" s="597"/>
      <c r="CU39" s="597"/>
      <c r="CV39" s="597">
        <f>CV38+CX38+CY38+CW38</f>
        <v>4311.8314390000023</v>
      </c>
      <c r="CW39" s="597"/>
      <c r="CX39" s="597"/>
      <c r="CY39" s="597"/>
      <c r="DA39" s="236"/>
      <c r="DB39" s="238"/>
      <c r="DD39" s="297"/>
      <c r="DE39" s="298"/>
      <c r="DF39" s="298"/>
      <c r="DG39" s="299"/>
      <c r="DH39" s="300"/>
    </row>
    <row r="40" spans="1:118" s="214" customFormat="1" ht="16.5" customHeight="1" thickBot="1">
      <c r="A40" s="94" t="s">
        <v>58</v>
      </c>
      <c r="B40" s="362"/>
      <c r="C40" s="362"/>
      <c r="D40" s="363"/>
      <c r="E40" s="364">
        <v>38.299999999999997</v>
      </c>
      <c r="F40" s="363">
        <v>2.2200000000000002</v>
      </c>
      <c r="G40" s="365"/>
      <c r="H40" s="410">
        <v>0.75480000000000003</v>
      </c>
      <c r="I40" s="363"/>
      <c r="J40" s="363">
        <v>8.6193600000000004</v>
      </c>
      <c r="K40" s="363"/>
      <c r="L40" s="363"/>
      <c r="M40" s="410">
        <v>1.4652000000000001</v>
      </c>
      <c r="N40" s="363"/>
      <c r="O40" s="363"/>
      <c r="P40" s="366"/>
      <c r="Q40" s="362"/>
      <c r="R40" s="367"/>
      <c r="S40" s="368">
        <v>12.82</v>
      </c>
      <c r="T40" s="362"/>
      <c r="U40" s="369">
        <v>1.32</v>
      </c>
      <c r="V40" s="370">
        <v>3340</v>
      </c>
      <c r="W40" s="370">
        <v>3340</v>
      </c>
      <c r="X40" s="371"/>
      <c r="Y40" s="371"/>
      <c r="Z40" s="372">
        <v>1190</v>
      </c>
      <c r="AA40" s="372"/>
      <c r="AB40" s="362">
        <v>76</v>
      </c>
      <c r="AC40" s="362"/>
      <c r="AD40" s="362"/>
      <c r="AE40" s="362"/>
      <c r="AF40" s="362"/>
      <c r="AG40" s="362"/>
      <c r="AH40" s="362"/>
      <c r="AI40" s="362">
        <v>680</v>
      </c>
      <c r="AJ40" s="373"/>
      <c r="AK40" s="374"/>
      <c r="AL40" s="375"/>
      <c r="AM40" s="362"/>
      <c r="AN40" s="362"/>
      <c r="AO40" s="362"/>
      <c r="AP40" s="362"/>
      <c r="AQ40" s="362"/>
      <c r="AR40" s="362"/>
      <c r="AS40" s="362"/>
      <c r="AT40" s="376">
        <v>3340</v>
      </c>
      <c r="AU40" s="377">
        <v>23.4</v>
      </c>
      <c r="AV40" s="377"/>
      <c r="AW40" s="378"/>
      <c r="AX40" s="362"/>
      <c r="AY40" s="379">
        <v>107.74</v>
      </c>
      <c r="AZ40" s="362"/>
      <c r="BA40" s="362"/>
      <c r="BB40" s="362"/>
      <c r="BC40" s="363">
        <v>0.9</v>
      </c>
      <c r="BD40" s="362"/>
      <c r="BE40" s="380"/>
      <c r="BF40" s="19"/>
      <c r="BG40" s="19"/>
      <c r="BH40" s="19"/>
      <c r="BI40" s="19"/>
      <c r="BJ40" s="215"/>
      <c r="BK40" s="220"/>
      <c r="BL40" s="221"/>
      <c r="BM40" s="216"/>
      <c r="BN40" s="216"/>
      <c r="BO40" s="219"/>
      <c r="BP40" s="219"/>
      <c r="BQ40" s="217"/>
      <c r="BR40" s="218"/>
      <c r="BS40" s="216"/>
      <c r="BT40" s="216"/>
      <c r="BU40" s="216"/>
      <c r="BV40" s="219"/>
      <c r="BW40" s="219"/>
      <c r="BX40" s="217"/>
      <c r="BY40" s="218"/>
      <c r="BZ40" s="216"/>
      <c r="CA40" s="216"/>
      <c r="CB40" s="216"/>
      <c r="CC40" s="219"/>
      <c r="CD40" s="219"/>
      <c r="CE40" s="217"/>
      <c r="CF40" s="218"/>
      <c r="CG40" s="218"/>
      <c r="CH40" s="216"/>
      <c r="CI40" s="219"/>
      <c r="CJ40" s="220"/>
      <c r="CK40" s="218"/>
      <c r="CL40" s="216"/>
      <c r="CM40" s="217"/>
      <c r="CN40" s="213"/>
      <c r="CO40" s="604">
        <f>CO39+CQ39</f>
        <v>6348.5337472825104</v>
      </c>
      <c r="CP40" s="604"/>
      <c r="CQ40" s="604"/>
      <c r="CR40" s="604"/>
      <c r="CS40" s="604"/>
      <c r="CT40" s="604"/>
      <c r="CU40" s="604"/>
      <c r="DA40" s="237"/>
      <c r="DB40" s="239"/>
      <c r="DD40" s="301"/>
      <c r="DE40" s="302"/>
      <c r="DF40" s="302"/>
      <c r="DG40" s="303"/>
      <c r="DH40" s="304"/>
    </row>
    <row r="41" spans="1:118" s="214" customFormat="1" ht="16.5" customHeight="1" thickBot="1">
      <c r="A41" s="95" t="s">
        <v>59</v>
      </c>
      <c r="B41" s="381"/>
      <c r="C41" s="381"/>
      <c r="D41" s="382"/>
      <c r="E41" s="381"/>
      <c r="F41" s="383">
        <f>F39-F40</f>
        <v>-1.0000227218687652E-2</v>
      </c>
      <c r="G41" s="384">
        <f>G39-G40</f>
        <v>1.0593548387096776</v>
      </c>
      <c r="H41" s="383"/>
      <c r="I41" s="385">
        <f>I39-I40</f>
        <v>0</v>
      </c>
      <c r="J41" s="385"/>
      <c r="K41" s="385"/>
      <c r="L41" s="385"/>
      <c r="M41" s="385"/>
      <c r="N41" s="385"/>
      <c r="O41" s="385"/>
      <c r="P41" s="383"/>
      <c r="Q41" s="386"/>
      <c r="R41" s="385">
        <f>R39-R40</f>
        <v>2.6864853055813476</v>
      </c>
      <c r="S41" s="386"/>
      <c r="T41" s="386"/>
      <c r="U41" s="383">
        <f>U39-U40</f>
        <v>0.18099958087334311</v>
      </c>
      <c r="V41" s="383"/>
      <c r="W41" s="383"/>
      <c r="X41" s="383"/>
      <c r="Y41" s="383"/>
      <c r="Z41" s="387">
        <f>Z39-Z40</f>
        <v>-43.161290322580726</v>
      </c>
      <c r="AA41" s="388"/>
      <c r="AB41" s="381"/>
      <c r="AC41" s="381"/>
      <c r="AD41" s="381"/>
      <c r="AE41" s="381"/>
      <c r="AF41" s="381"/>
      <c r="AG41" s="381"/>
      <c r="AH41" s="381"/>
      <c r="AI41" s="381"/>
      <c r="AJ41" s="381"/>
      <c r="AK41" s="389"/>
      <c r="AL41" s="390"/>
      <c r="AM41" s="381"/>
      <c r="AN41" s="381"/>
      <c r="AO41" s="381"/>
      <c r="AP41" s="381"/>
      <c r="AQ41" s="381"/>
      <c r="AR41" s="381"/>
      <c r="AS41" s="381"/>
      <c r="AT41" s="391">
        <f>AT38+AV38-AT40</f>
        <v>456.15000000000009</v>
      </c>
      <c r="AU41" s="392"/>
      <c r="AV41" s="393"/>
      <c r="AW41" s="390"/>
      <c r="AX41" s="381"/>
      <c r="AY41" s="385"/>
      <c r="AZ41" s="381"/>
      <c r="BA41" s="381"/>
      <c r="BB41" s="381"/>
      <c r="BC41" s="394"/>
      <c r="BD41" s="381"/>
      <c r="BE41" s="395"/>
      <c r="BF41" s="222"/>
      <c r="BG41" s="222"/>
      <c r="BH41" s="222"/>
      <c r="BI41" s="222"/>
      <c r="BJ41" s="222"/>
      <c r="BK41" s="223"/>
      <c r="BL41" s="224"/>
      <c r="BM41" s="225"/>
      <c r="BN41" s="225"/>
      <c r="BO41" s="224"/>
      <c r="BP41" s="224"/>
      <c r="BQ41" s="226"/>
      <c r="BR41" s="227"/>
      <c r="BS41" s="225"/>
      <c r="BT41" s="225"/>
      <c r="BU41" s="225"/>
      <c r="BV41" s="224"/>
      <c r="BW41" s="224"/>
      <c r="BX41" s="224"/>
      <c r="BY41" s="228"/>
      <c r="BZ41" s="225"/>
      <c r="CA41" s="225"/>
      <c r="CB41" s="225"/>
      <c r="CC41" s="224"/>
      <c r="CD41" s="224"/>
      <c r="CE41" s="226"/>
      <c r="CF41" s="227"/>
      <c r="CG41" s="227"/>
      <c r="CH41" s="225"/>
      <c r="CI41" s="224"/>
      <c r="CJ41" s="228"/>
      <c r="CK41" s="227"/>
      <c r="CL41" s="225"/>
      <c r="CM41" s="226"/>
      <c r="CN41" s="213"/>
      <c r="CO41" s="213"/>
      <c r="CP41" s="213"/>
      <c r="CQ41" s="213"/>
      <c r="DA41" s="21"/>
      <c r="DH41" s="309"/>
    </row>
    <row r="42" spans="1:118" ht="15" hidden="1" customHeight="1">
      <c r="A42" s="96"/>
      <c r="B42" s="96"/>
      <c r="C42" s="96"/>
      <c r="D42" s="97"/>
      <c r="E42" s="96"/>
      <c r="F42" s="98"/>
      <c r="G42" s="99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1"/>
      <c r="AF42" s="101"/>
      <c r="AG42" s="100"/>
      <c r="AH42" s="100"/>
      <c r="AI42" s="100"/>
      <c r="AJ42" s="100"/>
      <c r="AK42" s="100"/>
      <c r="AL42" s="100"/>
      <c r="AM42" s="100"/>
      <c r="AN42" s="100"/>
      <c r="AO42" s="100"/>
      <c r="AP42" s="100"/>
      <c r="AQ42" s="100"/>
      <c r="AR42" s="100"/>
      <c r="AS42" s="96"/>
      <c r="AT42" s="612"/>
      <c r="AU42" s="612"/>
      <c r="AV42" s="612"/>
      <c r="AW42" s="96"/>
      <c r="AX42" s="96"/>
      <c r="AY42" s="100"/>
      <c r="AZ42" s="100"/>
      <c r="BA42" s="100"/>
      <c r="BB42" s="100"/>
      <c r="BC42" s="100"/>
      <c r="BD42" s="100"/>
      <c r="BE42" s="100"/>
      <c r="BK42" s="20"/>
      <c r="BL42" s="20"/>
      <c r="BM42" s="20"/>
    </row>
    <row r="43" spans="1:118" ht="13.5" thickBot="1">
      <c r="A43" s="100"/>
      <c r="B43" s="100"/>
      <c r="C43" s="100"/>
      <c r="D43" s="102"/>
      <c r="E43" s="100"/>
      <c r="F43" s="100"/>
      <c r="G43" s="96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1"/>
      <c r="AF43" s="101"/>
      <c r="AG43" s="100"/>
      <c r="AH43" s="100"/>
      <c r="AI43" s="100"/>
      <c r="AJ43" s="100"/>
      <c r="AK43" s="100"/>
      <c r="AL43" s="100"/>
      <c r="AM43" s="100"/>
      <c r="AN43" s="100"/>
      <c r="AO43" s="100"/>
      <c r="AP43" s="100"/>
      <c r="AQ43" s="100"/>
      <c r="AR43" s="100"/>
      <c r="AS43" s="96" t="s">
        <v>60</v>
      </c>
      <c r="AT43" s="103">
        <f>AT40/BE43</f>
        <v>107.74193548387096</v>
      </c>
      <c r="AU43" s="104"/>
      <c r="AV43" s="96"/>
      <c r="AW43" s="96" t="s">
        <v>61</v>
      </c>
      <c r="AX43" s="96"/>
      <c r="AY43" s="100"/>
      <c r="AZ43" s="100"/>
      <c r="BA43" s="100"/>
      <c r="BB43" s="100"/>
      <c r="BC43" s="100"/>
      <c r="BD43" s="105" t="s">
        <v>62</v>
      </c>
      <c r="BE43" s="100">
        <v>31</v>
      </c>
    </row>
    <row r="44" spans="1:118" ht="16.5" customHeight="1" thickBot="1">
      <c r="A44" s="100"/>
      <c r="B44" s="100"/>
      <c r="C44" s="100"/>
      <c r="D44" s="102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489" t="s">
        <v>343</v>
      </c>
      <c r="AG44" s="488"/>
      <c r="AH44" s="488"/>
      <c r="AI44" s="488"/>
      <c r="AJ44" s="488"/>
      <c r="AK44" s="488"/>
      <c r="AL44" s="488"/>
      <c r="AM44" s="490">
        <f>AM38/AT38</f>
        <v>0.20780527639845633</v>
      </c>
      <c r="AN44" s="479"/>
      <c r="AO44" s="480" t="s">
        <v>88</v>
      </c>
      <c r="AP44" s="100"/>
      <c r="AQ44" s="100"/>
      <c r="AR44" s="100"/>
      <c r="AS44" s="100"/>
      <c r="AT44" s="100"/>
      <c r="AU44" s="100"/>
      <c r="AV44" s="100"/>
      <c r="AW44" s="100"/>
      <c r="AX44" s="100"/>
      <c r="AY44" s="100"/>
      <c r="AZ44" s="100"/>
      <c r="BA44" s="100"/>
      <c r="BB44" s="100"/>
      <c r="BC44" s="100"/>
      <c r="BD44" s="96"/>
      <c r="BE44" s="96"/>
      <c r="CQ44" s="1">
        <f>CR38+CU38</f>
        <v>3457.3699987825103</v>
      </c>
    </row>
    <row r="45" spans="1:118" ht="13.5" thickBot="1">
      <c r="A45" s="100"/>
      <c r="B45" s="100"/>
      <c r="C45" s="100"/>
      <c r="D45" s="102"/>
      <c r="E45" s="100"/>
      <c r="F45" s="100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101"/>
      <c r="AE45" s="101"/>
      <c r="AF45" s="101"/>
      <c r="AG45" s="100"/>
      <c r="AH45" s="100"/>
      <c r="AI45" s="100"/>
      <c r="AJ45" s="100"/>
      <c r="AK45" s="100"/>
      <c r="AL45" s="100"/>
      <c r="AM45" s="106" t="s">
        <v>63</v>
      </c>
      <c r="AN45" s="106"/>
      <c r="AO45" s="106"/>
      <c r="AP45" s="106"/>
      <c r="AQ45" s="106"/>
      <c r="AR45" s="106"/>
      <c r="AS45" s="107" t="s">
        <v>64</v>
      </c>
      <c r="AT45" s="108">
        <v>30</v>
      </c>
      <c r="AU45" s="108"/>
      <c r="AV45" s="100"/>
      <c r="AW45" s="100"/>
      <c r="AX45" s="100"/>
      <c r="AY45" s="100"/>
      <c r="AZ45" s="100"/>
      <c r="BA45" s="100"/>
      <c r="BB45" s="100"/>
      <c r="BC45" s="100"/>
      <c r="BD45" s="96"/>
      <c r="BE45" s="96"/>
      <c r="BM45" s="1"/>
      <c r="BS45" s="1"/>
    </row>
    <row r="46" spans="1:118" ht="12.75" customHeight="1" thickBot="1">
      <c r="A46" s="100"/>
      <c r="B46" s="100"/>
      <c r="C46" s="109" t="s">
        <v>65</v>
      </c>
      <c r="D46" s="102"/>
      <c r="E46" s="100"/>
      <c r="F46" s="100"/>
      <c r="G46" s="100"/>
      <c r="H46" s="100"/>
      <c r="I46" s="100"/>
      <c r="J46" s="100"/>
      <c r="K46" s="100"/>
      <c r="L46" s="110">
        <f>AT38/AD38</f>
        <v>31.634583333333335</v>
      </c>
      <c r="M46" s="109" t="s">
        <v>88</v>
      </c>
      <c r="N46" s="606"/>
      <c r="O46" s="606"/>
      <c r="P46" s="111"/>
      <c r="Q46" s="100"/>
      <c r="R46" s="100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101"/>
      <c r="AE46" s="101"/>
      <c r="AF46" s="101"/>
      <c r="AG46" s="100"/>
      <c r="AH46" s="100"/>
      <c r="AI46" s="100"/>
      <c r="AJ46" s="100"/>
      <c r="AK46" s="100"/>
      <c r="AL46" s="100"/>
      <c r="AM46" s="100"/>
      <c r="AN46" s="100"/>
      <c r="AO46" s="106"/>
      <c r="AP46" s="106"/>
      <c r="AQ46" s="106"/>
      <c r="AR46" s="106"/>
      <c r="AS46" s="107" t="s">
        <v>66</v>
      </c>
      <c r="AT46" s="112">
        <f>AT40/AT45</f>
        <v>111.33333333333333</v>
      </c>
      <c r="AU46" s="112"/>
      <c r="AV46" s="100"/>
      <c r="AW46" s="100"/>
      <c r="AX46" s="100">
        <v>0</v>
      </c>
      <c r="AY46" s="100"/>
      <c r="AZ46" s="607" t="s">
        <v>67</v>
      </c>
      <c r="BA46" s="607"/>
      <c r="BB46" s="607"/>
      <c r="BC46" s="607"/>
      <c r="BD46" s="607"/>
      <c r="BE46" s="607"/>
    </row>
    <row r="47" spans="1:118">
      <c r="A47" s="100"/>
      <c r="B47" s="100"/>
      <c r="C47" s="100"/>
      <c r="D47" s="102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100"/>
      <c r="AI47" s="100"/>
      <c r="AJ47" s="100"/>
      <c r="AK47" s="100"/>
      <c r="AL47" s="100"/>
      <c r="AM47" s="100"/>
      <c r="AN47" s="100"/>
      <c r="AO47" s="100"/>
      <c r="AP47" s="100"/>
      <c r="AQ47" s="100"/>
      <c r="AR47" s="100"/>
      <c r="AS47" s="100"/>
      <c r="AT47" s="100"/>
      <c r="AU47" s="100"/>
      <c r="AV47" s="100"/>
      <c r="AW47" s="100"/>
      <c r="AX47" s="100"/>
      <c r="AY47" s="100"/>
      <c r="AZ47" s="607"/>
      <c r="BA47" s="607"/>
      <c r="BB47" s="607"/>
      <c r="BC47" s="607"/>
      <c r="BD47" s="607"/>
      <c r="BE47" s="607"/>
    </row>
    <row r="48" spans="1:118">
      <c r="A48" s="100"/>
      <c r="B48" s="100"/>
      <c r="C48" s="100"/>
      <c r="D48" s="102"/>
      <c r="E48" s="100"/>
      <c r="F48" s="100"/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13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  <c r="AE48" s="100"/>
      <c r="AF48" s="100"/>
      <c r="AG48" s="100"/>
      <c r="AH48" s="100"/>
      <c r="AI48" s="100"/>
      <c r="AJ48" s="100"/>
      <c r="AK48" s="100"/>
      <c r="AL48" s="100"/>
      <c r="AM48" s="100"/>
      <c r="AN48" s="100"/>
      <c r="AO48" s="100"/>
      <c r="AP48" s="100"/>
      <c r="AQ48" s="100"/>
      <c r="AR48" s="100"/>
      <c r="AS48" s="100"/>
      <c r="AT48" s="100"/>
      <c r="AU48" s="100"/>
      <c r="AV48" s="100"/>
      <c r="AW48" s="100"/>
      <c r="AX48" s="100"/>
      <c r="AY48" s="100"/>
      <c r="AZ48" s="608">
        <f>BF37-BJ37</f>
        <v>-467.35999999999694</v>
      </c>
      <c r="BA48" s="608"/>
      <c r="BB48" s="608"/>
      <c r="BC48" s="608"/>
      <c r="BD48" s="609" t="s">
        <v>68</v>
      </c>
      <c r="BE48" s="114"/>
    </row>
    <row r="49" spans="1:57" ht="12" customHeight="1">
      <c r="A49" s="100"/>
      <c r="B49" s="100"/>
      <c r="C49" s="100"/>
      <c r="D49" s="102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15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100"/>
      <c r="AI49" s="100"/>
      <c r="AJ49" s="100"/>
      <c r="AK49" s="100"/>
      <c r="AL49" s="100"/>
      <c r="AM49" s="100"/>
      <c r="AN49" s="100"/>
      <c r="AO49" s="100"/>
      <c r="AP49" s="100"/>
      <c r="AQ49" s="100"/>
      <c r="AR49" s="100"/>
      <c r="AS49" s="100"/>
      <c r="AT49" s="100"/>
      <c r="AU49" s="100"/>
      <c r="AV49" s="100"/>
      <c r="AW49" s="100"/>
      <c r="AX49" s="100"/>
      <c r="AY49" s="100"/>
      <c r="AZ49" s="608"/>
      <c r="BA49" s="608"/>
      <c r="BB49" s="608"/>
      <c r="BC49" s="608"/>
      <c r="BD49" s="609"/>
      <c r="BE49" s="114"/>
    </row>
    <row r="50" spans="1:57" ht="13.5" customHeight="1">
      <c r="A50" s="100"/>
      <c r="B50" s="100"/>
      <c r="C50" s="100"/>
      <c r="D50" s="102"/>
      <c r="E50" s="100"/>
      <c r="F50" s="100"/>
      <c r="G50" s="100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100"/>
      <c r="AC50" s="100"/>
      <c r="AD50" s="100"/>
      <c r="AE50" s="100"/>
      <c r="AF50" s="100"/>
      <c r="AG50" s="100"/>
      <c r="AH50" s="100"/>
      <c r="AI50" s="100"/>
      <c r="AJ50" s="100"/>
      <c r="AK50" s="100"/>
      <c r="AL50" s="100"/>
      <c r="AM50" s="100"/>
      <c r="AN50" s="100"/>
      <c r="AO50" s="100"/>
      <c r="AP50" s="100"/>
      <c r="AQ50" s="100"/>
      <c r="AR50" s="100"/>
      <c r="AS50" s="100"/>
      <c r="AT50" s="100"/>
      <c r="AU50" s="100"/>
      <c r="AV50" s="100"/>
      <c r="AW50" s="100"/>
      <c r="AX50" s="100"/>
      <c r="AY50" s="100"/>
      <c r="AZ50" s="116"/>
      <c r="BA50" s="96"/>
      <c r="BB50" s="96"/>
      <c r="BC50" s="96"/>
      <c r="BD50" s="96"/>
      <c r="BE50" s="114"/>
    </row>
    <row r="51" spans="1:57" ht="13.5" customHeight="1" thickBot="1">
      <c r="A51" s="100"/>
      <c r="B51" s="100"/>
      <c r="C51" s="100"/>
      <c r="D51" s="102"/>
      <c r="E51" s="100"/>
      <c r="F51" s="100"/>
      <c r="G51" s="100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0"/>
      <c r="AC51" s="100"/>
      <c r="AD51" s="100"/>
      <c r="AE51" s="100"/>
      <c r="AF51" s="100"/>
      <c r="AG51" s="100"/>
      <c r="AH51" s="100"/>
      <c r="AI51" s="100"/>
      <c r="AJ51" s="100"/>
      <c r="AK51" s="100"/>
      <c r="AL51" s="100"/>
      <c r="AM51" s="100"/>
      <c r="AN51" s="100"/>
      <c r="AO51" s="100"/>
      <c r="AP51" s="100"/>
      <c r="AQ51" s="100"/>
      <c r="AR51" s="100"/>
      <c r="AS51" s="100"/>
      <c r="AT51" s="100"/>
      <c r="AU51" s="100"/>
      <c r="AV51" s="100"/>
      <c r="AW51" s="100"/>
      <c r="AX51" s="100"/>
      <c r="AY51" s="100"/>
      <c r="AZ51" s="610">
        <f>AZ48/AT40*100</f>
        <v>-13.992814371257396</v>
      </c>
      <c r="BA51" s="610"/>
      <c r="BB51" s="610"/>
      <c r="BC51" s="610"/>
      <c r="BD51" s="611" t="s">
        <v>69</v>
      </c>
      <c r="BE51" s="114"/>
    </row>
    <row r="52" spans="1:57" ht="13.5" thickBot="1">
      <c r="A52" s="100"/>
      <c r="B52" s="100"/>
      <c r="C52" s="100"/>
      <c r="D52" s="102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  <c r="AF52" s="100"/>
      <c r="AG52" s="100"/>
      <c r="AH52" s="100"/>
      <c r="AI52" s="100"/>
      <c r="AJ52" s="100"/>
      <c r="AK52" s="100"/>
      <c r="AL52" s="100"/>
      <c r="AM52" s="100"/>
      <c r="AN52" s="100"/>
      <c r="AO52" s="100"/>
      <c r="AP52" s="100"/>
      <c r="AQ52" s="100"/>
      <c r="AR52" s="100"/>
      <c r="AS52" s="100"/>
      <c r="AT52" s="100"/>
      <c r="AU52" s="100"/>
      <c r="AV52" s="100"/>
      <c r="AW52" s="100"/>
      <c r="AX52" s="100"/>
      <c r="AY52" s="100"/>
      <c r="AZ52" s="610"/>
      <c r="BA52" s="610"/>
      <c r="BB52" s="610"/>
      <c r="BC52" s="610"/>
      <c r="BD52" s="611"/>
      <c r="BE52" s="117"/>
    </row>
    <row r="53" spans="1:57">
      <c r="A53" s="100"/>
      <c r="B53" s="100"/>
      <c r="C53" s="100"/>
      <c r="D53" s="102"/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100"/>
      <c r="AI53" s="100"/>
      <c r="AJ53" s="100"/>
      <c r="AK53" s="100"/>
      <c r="AL53" s="100"/>
      <c r="AM53" s="100"/>
      <c r="AN53" s="100"/>
      <c r="AO53" s="100"/>
      <c r="AP53" s="100"/>
      <c r="AQ53" s="100"/>
      <c r="AR53" s="100"/>
      <c r="AS53" s="100"/>
      <c r="AT53" s="100"/>
      <c r="AU53" s="100"/>
      <c r="AV53" s="100"/>
      <c r="AW53" s="100"/>
      <c r="AX53" s="100"/>
      <c r="AY53" s="100"/>
      <c r="AZ53" s="100"/>
      <c r="BA53" s="100"/>
      <c r="BB53" s="100"/>
      <c r="BC53" s="100"/>
      <c r="BD53" s="100"/>
      <c r="BE53" s="100"/>
    </row>
    <row r="54" spans="1:57">
      <c r="A54" s="100"/>
      <c r="B54" s="100"/>
      <c r="C54" s="100"/>
      <c r="D54" s="102"/>
      <c r="E54" s="100"/>
      <c r="F54" s="100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100"/>
      <c r="AI54" s="100"/>
      <c r="AJ54" s="100"/>
      <c r="AK54" s="100"/>
      <c r="AL54" s="100"/>
      <c r="AM54" s="100"/>
      <c r="AN54" s="100"/>
      <c r="AO54" s="100"/>
      <c r="AP54" s="100"/>
      <c r="AQ54" s="100"/>
      <c r="AR54" s="100"/>
      <c r="AS54" s="100"/>
      <c r="AT54" s="100"/>
      <c r="AU54" s="100"/>
      <c r="AV54" s="100"/>
      <c r="AW54" s="100"/>
      <c r="AX54" s="100"/>
      <c r="AY54" s="100"/>
      <c r="AZ54" s="100"/>
      <c r="BA54" s="100"/>
      <c r="BB54" s="100"/>
      <c r="BC54" s="100"/>
      <c r="BD54" s="100"/>
      <c r="BE54" s="100"/>
    </row>
    <row r="55" spans="1:57">
      <c r="A55" s="100"/>
      <c r="B55" s="100"/>
      <c r="C55" s="100"/>
      <c r="D55" s="102"/>
      <c r="E55" s="100"/>
      <c r="F55" s="100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  <c r="AH55" s="100"/>
      <c r="AI55" s="100"/>
      <c r="AJ55" s="100"/>
      <c r="AK55" s="100"/>
      <c r="AL55" s="100"/>
      <c r="AM55" s="100"/>
      <c r="AN55" s="100"/>
      <c r="AO55" s="100"/>
      <c r="AP55" s="100"/>
      <c r="AQ55" s="100"/>
      <c r="AR55" s="100"/>
      <c r="AS55" s="100"/>
      <c r="AT55" s="100"/>
      <c r="AU55" s="100"/>
      <c r="AV55" s="100"/>
      <c r="AW55" s="100"/>
      <c r="AX55" s="100"/>
      <c r="AY55" s="100"/>
      <c r="AZ55" s="100"/>
      <c r="BA55" s="100"/>
      <c r="BB55" s="100"/>
      <c r="BC55" s="100"/>
      <c r="BD55" s="100"/>
      <c r="BE55" s="100"/>
    </row>
    <row r="56" spans="1:57" ht="13.5" thickBot="1">
      <c r="A56" s="100"/>
      <c r="B56" s="100"/>
      <c r="C56" s="100"/>
      <c r="D56" s="102"/>
      <c r="E56" s="100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/>
      <c r="AE56" s="100"/>
      <c r="AF56" s="100"/>
      <c r="AG56" s="100"/>
      <c r="AH56" s="100"/>
      <c r="AI56" s="100"/>
      <c r="AJ56" s="100"/>
      <c r="AK56" s="100"/>
      <c r="AL56" s="100"/>
      <c r="AM56" s="100"/>
      <c r="AN56" s="100"/>
      <c r="AO56" s="100"/>
      <c r="AP56" s="100"/>
      <c r="AQ56" s="100"/>
      <c r="AR56" s="100"/>
      <c r="AS56" s="100"/>
      <c r="AT56" s="100"/>
      <c r="AU56" s="100"/>
      <c r="AV56" s="100"/>
      <c r="AW56" s="100"/>
      <c r="AX56" s="100"/>
      <c r="AY56" s="100"/>
      <c r="AZ56" s="100"/>
      <c r="BA56" s="100"/>
      <c r="BB56" s="100"/>
      <c r="BC56" s="100"/>
      <c r="BD56" s="100"/>
      <c r="BE56" s="100"/>
    </row>
    <row r="57" spans="1:57" ht="15.75">
      <c r="A57" s="100"/>
      <c r="B57" s="100"/>
      <c r="C57" s="100"/>
      <c r="D57" s="102"/>
      <c r="E57" s="100"/>
      <c r="F57" s="100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100"/>
      <c r="AI57" s="100"/>
      <c r="AJ57" s="100"/>
      <c r="AK57" s="100"/>
      <c r="AL57" s="100"/>
      <c r="AM57" s="100"/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X57" s="100"/>
      <c r="AY57" s="100"/>
      <c r="AZ57" s="481" t="s">
        <v>344</v>
      </c>
      <c r="BA57" s="482"/>
      <c r="BB57" s="482"/>
      <c r="BC57" s="482"/>
      <c r="BD57" s="482"/>
      <c r="BE57" s="483"/>
    </row>
    <row r="58" spans="1:57" ht="15.75">
      <c r="A58" s="100"/>
      <c r="B58" s="100"/>
      <c r="C58" s="100"/>
      <c r="D58" s="102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  <c r="AA58" s="100"/>
      <c r="AB58" s="100"/>
      <c r="AC58" s="100"/>
      <c r="AD58" s="100"/>
      <c r="AE58" s="100"/>
      <c r="AF58" s="100"/>
      <c r="AG58" s="100"/>
      <c r="AH58" s="100"/>
      <c r="AI58" s="100"/>
      <c r="AJ58" s="100"/>
      <c r="AK58" s="100"/>
      <c r="AL58" s="100"/>
      <c r="AM58" s="100"/>
      <c r="AN58" s="100"/>
      <c r="AO58" s="100"/>
      <c r="AP58" s="100"/>
      <c r="AQ58" s="100"/>
      <c r="AR58" s="100"/>
      <c r="AS58" s="100"/>
      <c r="AT58" s="100"/>
      <c r="AU58" s="100"/>
      <c r="AV58" s="100"/>
      <c r="AW58" s="100"/>
      <c r="AX58" s="100"/>
      <c r="AY58" s="100"/>
      <c r="AZ58" s="484" t="s">
        <v>340</v>
      </c>
      <c r="BA58" s="485"/>
      <c r="BB58" s="485"/>
      <c r="BC58" s="485"/>
      <c r="BD58" s="617">
        <f>'[5]август 20'!$F$38</f>
        <v>788.86</v>
      </c>
      <c r="BE58" s="618"/>
    </row>
    <row r="59" spans="1:57" ht="16.5" thickBot="1">
      <c r="A59" s="100"/>
      <c r="B59" s="100"/>
      <c r="C59" s="100"/>
      <c r="D59" s="102"/>
      <c r="E59" s="100"/>
      <c r="F59" s="100"/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  <c r="AE59" s="100"/>
      <c r="AF59" s="100"/>
      <c r="AG59" s="100"/>
      <c r="AH59" s="100"/>
      <c r="AI59" s="100"/>
      <c r="AJ59" s="100"/>
      <c r="AK59" s="100"/>
      <c r="AL59" s="100"/>
      <c r="AM59" s="100"/>
      <c r="AN59" s="100"/>
      <c r="AO59" s="100"/>
      <c r="AP59" s="100"/>
      <c r="AQ59" s="100"/>
      <c r="AR59" s="100"/>
      <c r="AS59" s="100"/>
      <c r="AT59" s="100"/>
      <c r="AU59" s="100"/>
      <c r="AV59" s="100"/>
      <c r="AW59" s="100"/>
      <c r="AX59" s="100"/>
      <c r="AY59" s="100"/>
      <c r="AZ59" s="484" t="s">
        <v>341</v>
      </c>
      <c r="BA59" s="485"/>
      <c r="BB59" s="485"/>
      <c r="BC59" s="485"/>
      <c r="BD59" s="619">
        <f>'[5]август 20'!$B$38</f>
        <v>788.86</v>
      </c>
      <c r="BE59" s="620"/>
    </row>
    <row r="60" spans="1:57" ht="16.5" thickBot="1">
      <c r="A60" s="100"/>
      <c r="B60" s="100"/>
      <c r="C60" s="100"/>
      <c r="D60" s="102"/>
      <c r="E60" s="100"/>
      <c r="F60" s="100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  <c r="AE60" s="100"/>
      <c r="AF60" s="100"/>
      <c r="AG60" s="100"/>
      <c r="AH60" s="100"/>
      <c r="AI60" s="100"/>
      <c r="AJ60" s="100"/>
      <c r="AK60" s="100"/>
      <c r="AL60" s="100"/>
      <c r="AM60" s="100"/>
      <c r="AN60" s="100"/>
      <c r="AO60" s="100"/>
      <c r="AP60" s="100"/>
      <c r="AQ60" s="100"/>
      <c r="AR60" s="100"/>
      <c r="AS60" s="100"/>
      <c r="AT60" s="100"/>
      <c r="AU60" s="100"/>
      <c r="AV60" s="100"/>
      <c r="AW60" s="100"/>
      <c r="AX60" s="100"/>
      <c r="AY60" s="100"/>
      <c r="AZ60" s="486" t="s">
        <v>342</v>
      </c>
      <c r="BA60" s="487"/>
      <c r="BB60" s="487"/>
      <c r="BC60" s="487"/>
      <c r="BD60" s="621">
        <f>BD59-BD58</f>
        <v>0</v>
      </c>
      <c r="BE60" s="622"/>
    </row>
    <row r="61" spans="1:57">
      <c r="A61" s="100"/>
      <c r="B61" s="100"/>
      <c r="C61" s="100"/>
      <c r="D61" s="102"/>
      <c r="E61" s="100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/>
      <c r="AE61" s="100"/>
      <c r="AF61" s="100"/>
      <c r="AG61" s="100"/>
      <c r="AH61" s="100"/>
      <c r="AI61" s="100"/>
      <c r="AJ61" s="100"/>
      <c r="AK61" s="100"/>
      <c r="AL61" s="100"/>
      <c r="AM61" s="100"/>
      <c r="AN61" s="100"/>
      <c r="AO61" s="100"/>
      <c r="AP61" s="100"/>
      <c r="AQ61" s="100"/>
      <c r="AR61" s="100"/>
      <c r="AS61" s="100"/>
      <c r="AT61" s="100"/>
      <c r="AU61" s="100"/>
      <c r="AV61" s="100"/>
      <c r="AW61" s="100"/>
      <c r="AX61" s="100"/>
      <c r="AY61" s="100"/>
      <c r="AZ61" s="100"/>
      <c r="BA61" s="100"/>
      <c r="BB61" s="100"/>
      <c r="BC61" s="100"/>
      <c r="BD61" s="100"/>
      <c r="BE61" s="100"/>
    </row>
    <row r="62" spans="1:57">
      <c r="A62" s="100"/>
      <c r="B62" s="100"/>
      <c r="C62" s="100"/>
      <c r="D62" s="102"/>
      <c r="E62" s="100"/>
      <c r="F62" s="100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100"/>
      <c r="AC62" s="100"/>
      <c r="AD62" s="100"/>
      <c r="AE62" s="100"/>
      <c r="AF62" s="100"/>
      <c r="AG62" s="100"/>
      <c r="AH62" s="100"/>
      <c r="AI62" s="100"/>
      <c r="AJ62" s="100"/>
      <c r="AK62" s="100"/>
      <c r="AL62" s="100"/>
      <c r="AM62" s="100"/>
      <c r="AN62" s="100"/>
      <c r="AO62" s="100"/>
      <c r="AP62" s="100"/>
      <c r="AQ62" s="100"/>
      <c r="AR62" s="100"/>
      <c r="AS62" s="100"/>
      <c r="AT62" s="100"/>
      <c r="AU62" s="100"/>
      <c r="AV62" s="100"/>
      <c r="AW62" s="100"/>
      <c r="AX62" s="100"/>
      <c r="AY62" s="100"/>
      <c r="AZ62" s="100"/>
      <c r="BA62" s="100"/>
      <c r="BB62" s="100"/>
      <c r="BC62" s="100"/>
      <c r="BD62" s="100"/>
      <c r="BE62" s="100"/>
    </row>
    <row r="63" spans="1:57">
      <c r="A63" s="100"/>
      <c r="B63" s="100"/>
      <c r="C63" s="100"/>
      <c r="D63" s="102"/>
      <c r="E63" s="100"/>
      <c r="F63" s="100"/>
      <c r="G63" s="100"/>
      <c r="H63" s="100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  <c r="AA63" s="100"/>
      <c r="AB63" s="100"/>
      <c r="AC63" s="100"/>
      <c r="AD63" s="100"/>
      <c r="AE63" s="100"/>
      <c r="AF63" s="100"/>
      <c r="AG63" s="100"/>
      <c r="AH63" s="100"/>
      <c r="AI63" s="100"/>
      <c r="AJ63" s="100"/>
      <c r="AK63" s="100"/>
      <c r="AL63" s="100"/>
      <c r="AM63" s="100"/>
      <c r="AN63" s="100"/>
      <c r="AO63" s="100"/>
      <c r="AP63" s="100"/>
      <c r="AQ63" s="100"/>
      <c r="AR63" s="100"/>
      <c r="AS63" s="100"/>
      <c r="AT63" s="100"/>
      <c r="AU63" s="100"/>
      <c r="AV63" s="100"/>
      <c r="AW63" s="100"/>
      <c r="AX63" s="100"/>
      <c r="AY63" s="100"/>
      <c r="AZ63" s="100"/>
      <c r="BA63" s="100"/>
      <c r="BB63" s="100"/>
      <c r="BC63" s="100"/>
      <c r="BD63" s="100"/>
      <c r="BE63" s="100"/>
    </row>
    <row r="64" spans="1:57">
      <c r="A64" s="100"/>
      <c r="B64" s="100"/>
      <c r="C64" s="100"/>
      <c r="D64" s="102"/>
      <c r="E64" s="100"/>
      <c r="F64" s="100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  <c r="AE64" s="100"/>
      <c r="AF64" s="100"/>
      <c r="AG64" s="100"/>
      <c r="AH64" s="100"/>
      <c r="AI64" s="100"/>
      <c r="AJ64" s="100"/>
      <c r="AK64" s="100"/>
      <c r="AL64" s="100"/>
      <c r="AM64" s="100"/>
      <c r="AN64" s="100"/>
      <c r="AO64" s="100"/>
      <c r="AP64" s="100"/>
      <c r="AQ64" s="100"/>
      <c r="AR64" s="100"/>
      <c r="AS64" s="100"/>
      <c r="AT64" s="100"/>
      <c r="AU64" s="100"/>
      <c r="AV64" s="100"/>
      <c r="AW64" s="100"/>
      <c r="AX64" s="100"/>
      <c r="AY64" s="100"/>
      <c r="AZ64" s="100"/>
      <c r="BA64" s="100"/>
      <c r="BB64" s="100"/>
      <c r="BC64" s="100"/>
      <c r="BD64" s="100"/>
      <c r="BE64" s="100"/>
    </row>
    <row r="65" spans="1:57">
      <c r="A65" s="100"/>
      <c r="B65" s="100"/>
      <c r="C65" s="100"/>
      <c r="D65" s="102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/>
      <c r="AE65" s="100"/>
      <c r="AF65" s="100"/>
      <c r="AG65" s="100"/>
      <c r="AH65" s="100"/>
      <c r="AI65" s="100"/>
      <c r="AJ65" s="100"/>
      <c r="AK65" s="100"/>
      <c r="AL65" s="100"/>
      <c r="AM65" s="100"/>
      <c r="AN65" s="100"/>
      <c r="AO65" s="100"/>
      <c r="AP65" s="100"/>
      <c r="AQ65" s="100"/>
      <c r="AR65" s="100"/>
      <c r="AS65" s="100"/>
      <c r="AT65" s="100"/>
      <c r="AU65" s="100"/>
      <c r="AV65" s="100"/>
      <c r="AW65" s="100"/>
      <c r="AX65" s="100"/>
      <c r="AY65" s="100"/>
      <c r="AZ65" s="100"/>
      <c r="BA65" s="100"/>
      <c r="BB65" s="100"/>
      <c r="BC65" s="100"/>
      <c r="BD65" s="100"/>
      <c r="BE65" s="100"/>
    </row>
    <row r="66" spans="1:57">
      <c r="A66" s="100"/>
      <c r="B66" s="100"/>
      <c r="C66" s="100"/>
      <c r="D66" s="102"/>
      <c r="E66" s="100"/>
      <c r="F66" s="100"/>
      <c r="G66" s="100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/>
      <c r="AE66" s="100"/>
      <c r="AF66" s="100"/>
      <c r="AG66" s="100"/>
      <c r="AH66" s="100"/>
      <c r="AI66" s="100"/>
      <c r="AJ66" s="100"/>
      <c r="AK66" s="100"/>
      <c r="AL66" s="100"/>
      <c r="AM66" s="100"/>
      <c r="AN66" s="100"/>
      <c r="AO66" s="100"/>
      <c r="AP66" s="100"/>
      <c r="AQ66" s="100"/>
      <c r="AR66" s="100"/>
      <c r="AS66" s="100"/>
      <c r="AT66" s="100"/>
      <c r="AU66" s="100"/>
      <c r="AV66" s="100"/>
      <c r="AW66" s="100"/>
      <c r="AX66" s="100"/>
      <c r="AY66" s="100"/>
      <c r="AZ66" s="100"/>
      <c r="BA66" s="100"/>
      <c r="BB66" s="100"/>
      <c r="BC66" s="100"/>
      <c r="BD66" s="100"/>
      <c r="BE66" s="100"/>
    </row>
    <row r="67" spans="1:57">
      <c r="A67" s="100"/>
      <c r="B67" s="100"/>
      <c r="C67" s="100"/>
      <c r="D67" s="102"/>
      <c r="E67" s="100"/>
      <c r="F67" s="100"/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  <c r="AD67" s="100"/>
      <c r="AE67" s="100"/>
      <c r="AF67" s="100"/>
      <c r="AG67" s="100"/>
      <c r="AH67" s="100"/>
      <c r="AI67" s="100"/>
      <c r="AJ67" s="100"/>
      <c r="AK67" s="100"/>
      <c r="AL67" s="100"/>
      <c r="AM67" s="100"/>
      <c r="AN67" s="100"/>
      <c r="AO67" s="100"/>
      <c r="AP67" s="100"/>
      <c r="AQ67" s="100"/>
      <c r="AR67" s="100"/>
      <c r="AS67" s="100"/>
      <c r="AT67" s="100"/>
      <c r="AU67" s="100"/>
      <c r="AV67" s="100"/>
      <c r="AW67" s="100"/>
      <c r="AX67" s="100"/>
      <c r="AY67" s="100"/>
      <c r="AZ67" s="100"/>
      <c r="BA67" s="100"/>
      <c r="BB67" s="100"/>
      <c r="BC67" s="100"/>
      <c r="BD67" s="100"/>
      <c r="BE67" s="100"/>
    </row>
    <row r="68" spans="1:57">
      <c r="A68" s="100"/>
      <c r="B68" s="100"/>
      <c r="C68" s="100"/>
      <c r="D68" s="102"/>
      <c r="E68" s="100"/>
      <c r="F68" s="100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  <c r="AI68" s="100"/>
      <c r="AJ68" s="100"/>
      <c r="AK68" s="100"/>
      <c r="AL68" s="100"/>
      <c r="AM68" s="100"/>
      <c r="AN68" s="100"/>
      <c r="AO68" s="100"/>
      <c r="AP68" s="100"/>
      <c r="AQ68" s="100"/>
      <c r="AR68" s="100"/>
      <c r="AS68" s="100"/>
      <c r="AT68" s="100"/>
      <c r="AU68" s="100"/>
      <c r="AV68" s="100"/>
      <c r="AW68" s="100"/>
      <c r="AX68" s="100"/>
      <c r="AY68" s="100"/>
      <c r="AZ68" s="100"/>
      <c r="BA68" s="100"/>
      <c r="BB68" s="100"/>
      <c r="BC68" s="100"/>
      <c r="BD68" s="100"/>
      <c r="BE68" s="100"/>
    </row>
    <row r="69" spans="1:57">
      <c r="A69" s="100"/>
      <c r="B69" s="100"/>
      <c r="C69" s="100"/>
      <c r="D69" s="102"/>
      <c r="E69" s="100"/>
      <c r="F69" s="100"/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100"/>
      <c r="AC69" s="100"/>
      <c r="AD69" s="100"/>
      <c r="AE69" s="100"/>
      <c r="AF69" s="100"/>
      <c r="AG69" s="100"/>
      <c r="AH69" s="100"/>
      <c r="AI69" s="100"/>
      <c r="AJ69" s="100"/>
      <c r="AK69" s="100"/>
      <c r="AL69" s="100"/>
      <c r="AM69" s="100"/>
      <c r="AN69" s="100"/>
      <c r="AO69" s="100"/>
      <c r="AP69" s="100"/>
      <c r="AQ69" s="100"/>
      <c r="AR69" s="100"/>
      <c r="AS69" s="100"/>
      <c r="AT69" s="100"/>
      <c r="AU69" s="100"/>
      <c r="AV69" s="100"/>
      <c r="AW69" s="100"/>
      <c r="AX69" s="100"/>
      <c r="AY69" s="100"/>
      <c r="AZ69" s="100"/>
      <c r="BA69" s="100"/>
      <c r="BB69" s="100"/>
      <c r="BC69" s="100"/>
      <c r="BD69" s="100"/>
      <c r="BE69" s="100"/>
    </row>
    <row r="70" spans="1:57">
      <c r="A70" s="100"/>
      <c r="B70" s="100"/>
      <c r="C70" s="100"/>
      <c r="D70" s="102"/>
      <c r="E70" s="100"/>
      <c r="F70" s="100"/>
      <c r="G70" s="100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  <c r="AE70" s="100"/>
      <c r="AF70" s="100"/>
      <c r="AG70" s="100"/>
      <c r="AH70" s="100"/>
      <c r="AI70" s="100"/>
      <c r="AJ70" s="100"/>
      <c r="AK70" s="100"/>
      <c r="AL70" s="100"/>
      <c r="AM70" s="100"/>
      <c r="AN70" s="100"/>
      <c r="AO70" s="100"/>
      <c r="AP70" s="100"/>
      <c r="AQ70" s="100"/>
      <c r="AR70" s="100"/>
      <c r="AS70" s="100"/>
      <c r="AT70" s="100"/>
      <c r="AU70" s="100"/>
      <c r="AV70" s="100"/>
      <c r="AW70" s="100"/>
      <c r="AX70" s="100"/>
      <c r="AY70" s="100"/>
      <c r="AZ70" s="100"/>
      <c r="BA70" s="100"/>
      <c r="BB70" s="100"/>
      <c r="BC70" s="100"/>
      <c r="BD70" s="100"/>
      <c r="BE70" s="100"/>
    </row>
    <row r="71" spans="1:57" ht="18" customHeight="1">
      <c r="A71" s="318" t="s">
        <v>70</v>
      </c>
      <c r="B71" s="319"/>
      <c r="C71" s="318"/>
      <c r="D71" s="318"/>
      <c r="E71" s="318"/>
      <c r="F71" s="318"/>
      <c r="G71" s="318"/>
      <c r="H71" s="318"/>
      <c r="I71" s="318"/>
      <c r="J71" s="320"/>
      <c r="K71" s="320"/>
      <c r="L71" s="605" t="s">
        <v>194</v>
      </c>
      <c r="M71" s="605"/>
      <c r="N71" s="605"/>
      <c r="O71" s="605"/>
      <c r="P71" s="605"/>
      <c r="Q71" s="605"/>
      <c r="R71" s="109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/>
      <c r="AE71" s="100"/>
      <c r="AF71" s="100"/>
      <c r="AG71" s="100"/>
      <c r="AH71" s="100"/>
      <c r="AI71" s="100"/>
      <c r="AJ71" s="100"/>
      <c r="AK71" s="100"/>
      <c r="AL71" s="100"/>
      <c r="AM71" s="100"/>
      <c r="AN71" s="100"/>
      <c r="AO71" s="100"/>
      <c r="AP71" s="100"/>
      <c r="AQ71" s="100"/>
      <c r="AR71" s="100"/>
      <c r="AS71" s="100"/>
      <c r="AT71" s="100"/>
      <c r="AU71" s="100"/>
      <c r="AV71" s="100"/>
      <c r="AW71" s="100"/>
      <c r="AX71" s="100"/>
      <c r="AY71" s="100"/>
      <c r="AZ71" s="100"/>
      <c r="BA71" s="100"/>
      <c r="BB71" s="100"/>
      <c r="BC71" s="100"/>
      <c r="BD71" s="100"/>
      <c r="BE71" s="100"/>
    </row>
    <row r="72" spans="1:57" ht="15">
      <c r="A72" s="118"/>
      <c r="B72" s="118"/>
      <c r="C72" s="119"/>
      <c r="D72" s="120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  <c r="AE72" s="100"/>
      <c r="AF72" s="100"/>
      <c r="AG72" s="100"/>
      <c r="AH72" s="100"/>
      <c r="AI72" s="100"/>
      <c r="AJ72" s="100"/>
      <c r="AK72" s="100"/>
      <c r="AL72" s="100"/>
      <c r="AM72" s="100"/>
      <c r="AN72" s="100"/>
      <c r="AO72" s="100"/>
      <c r="AP72" s="100"/>
      <c r="AQ72" s="100"/>
      <c r="AR72" s="100"/>
      <c r="AS72" s="100"/>
      <c r="AT72" s="100"/>
      <c r="AU72" s="100"/>
      <c r="AV72" s="100"/>
      <c r="AW72" s="100"/>
      <c r="AX72" s="100"/>
      <c r="AY72" s="100"/>
      <c r="AZ72" s="100"/>
      <c r="BA72" s="100"/>
      <c r="BB72" s="100"/>
      <c r="BC72" s="100"/>
      <c r="BD72" s="100"/>
      <c r="BE72" s="100"/>
    </row>
    <row r="73" spans="1:57" ht="15.75">
      <c r="A73" s="100"/>
      <c r="B73" s="100"/>
      <c r="C73" s="100"/>
      <c r="D73" s="102"/>
      <c r="E73" s="100"/>
      <c r="F73" s="100"/>
      <c r="G73" s="100"/>
      <c r="H73" s="100"/>
      <c r="I73" s="100"/>
      <c r="J73" s="100"/>
      <c r="K73" s="100"/>
      <c r="L73" s="111"/>
      <c r="M73" s="111"/>
      <c r="N73" s="111"/>
      <c r="O73" s="111"/>
      <c r="P73" s="111"/>
      <c r="Q73" s="111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00"/>
      <c r="AK73" s="100"/>
      <c r="AL73" s="100"/>
      <c r="AM73" s="100"/>
      <c r="AN73" s="100"/>
      <c r="AO73" s="100"/>
      <c r="AP73" s="100"/>
      <c r="AQ73" s="100"/>
      <c r="AR73" s="100"/>
      <c r="AS73" s="100"/>
      <c r="AT73" s="100"/>
      <c r="AU73" s="100"/>
      <c r="AV73" s="100"/>
      <c r="AW73" s="100"/>
      <c r="AX73" s="100"/>
      <c r="AY73" s="100"/>
      <c r="AZ73" s="100"/>
      <c r="BA73" s="100"/>
      <c r="BB73" s="100"/>
      <c r="BC73" s="100"/>
      <c r="BD73" s="100"/>
      <c r="BE73" s="100"/>
    </row>
    <row r="74" spans="1:57">
      <c r="A74" s="100"/>
      <c r="B74" s="100"/>
      <c r="C74" s="100"/>
      <c r="D74" s="102"/>
      <c r="E74" s="100"/>
      <c r="F74" s="100"/>
      <c r="G74" s="100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00"/>
      <c r="AK74" s="100"/>
      <c r="AL74" s="100"/>
      <c r="AM74" s="100"/>
      <c r="AN74" s="100"/>
      <c r="AO74" s="100"/>
      <c r="AP74" s="100"/>
      <c r="AQ74" s="100"/>
      <c r="AR74" s="100"/>
      <c r="AS74" s="100"/>
      <c r="AT74" s="100"/>
      <c r="AU74" s="100"/>
      <c r="AV74" s="100"/>
      <c r="AW74" s="100"/>
      <c r="AX74" s="100"/>
      <c r="AY74" s="100"/>
      <c r="AZ74" s="100"/>
      <c r="BA74" s="100"/>
      <c r="BB74" s="100"/>
      <c r="BC74" s="100"/>
      <c r="BD74" s="100"/>
      <c r="BE74" s="100"/>
    </row>
    <row r="75" spans="1:57">
      <c r="A75" s="100"/>
      <c r="B75" s="100"/>
      <c r="C75" s="100"/>
      <c r="D75" s="102"/>
      <c r="E75" s="100"/>
      <c r="F75" s="100"/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  <c r="AD75" s="100"/>
      <c r="AE75" s="100"/>
      <c r="AF75" s="100"/>
      <c r="AG75" s="100"/>
      <c r="AH75" s="100"/>
      <c r="AI75" s="100"/>
      <c r="AJ75" s="100"/>
      <c r="AK75" s="100"/>
      <c r="AL75" s="100"/>
      <c r="AM75" s="100"/>
      <c r="AN75" s="100"/>
      <c r="AO75" s="100"/>
      <c r="AP75" s="100"/>
      <c r="AQ75" s="100"/>
      <c r="AR75" s="100"/>
      <c r="AS75" s="100"/>
      <c r="AT75" s="100"/>
      <c r="AU75" s="100"/>
      <c r="AV75" s="100"/>
      <c r="AW75" s="100"/>
      <c r="AX75" s="100"/>
      <c r="AY75" s="100"/>
      <c r="AZ75" s="100"/>
      <c r="BA75" s="100"/>
      <c r="BB75" s="100"/>
      <c r="BC75" s="100"/>
      <c r="BD75" s="100"/>
      <c r="BE75" s="100"/>
    </row>
    <row r="77" spans="1:57">
      <c r="AY77" t="s">
        <v>302</v>
      </c>
    </row>
  </sheetData>
  <sheetProtection selectLockedCells="1" selectUnlockedCells="1"/>
  <mergeCells count="81">
    <mergeCell ref="CO40:CU40"/>
    <mergeCell ref="BD58:BE58"/>
    <mergeCell ref="BD59:BE59"/>
    <mergeCell ref="BD60:BE60"/>
    <mergeCell ref="L71:Q71"/>
    <mergeCell ref="N46:O46"/>
    <mergeCell ref="AZ46:BE47"/>
    <mergeCell ref="AZ48:BC49"/>
    <mergeCell ref="BD48:BD49"/>
    <mergeCell ref="AZ51:BC52"/>
    <mergeCell ref="BD51:BD52"/>
    <mergeCell ref="AT42:AV42"/>
    <mergeCell ref="AC3:AC6"/>
    <mergeCell ref="AD3:AD6"/>
    <mergeCell ref="DA5:DB5"/>
    <mergeCell ref="CO39:CP39"/>
    <mergeCell ref="CQ39:CU39"/>
    <mergeCell ref="CV39:CY39"/>
    <mergeCell ref="AX5:AX6"/>
    <mergeCell ref="AY5:AY6"/>
    <mergeCell ref="AJ3:AK6"/>
    <mergeCell ref="AL3:AL6"/>
    <mergeCell ref="AM3:AM6"/>
    <mergeCell ref="AN3:AN6"/>
    <mergeCell ref="AO3:AO6"/>
    <mergeCell ref="AP3:AP6"/>
    <mergeCell ref="AT5:AT6"/>
    <mergeCell ref="AW5:AW6"/>
    <mergeCell ref="Q4:Q6"/>
    <mergeCell ref="R4:R6"/>
    <mergeCell ref="S4:S6"/>
    <mergeCell ref="T4:T6"/>
    <mergeCell ref="U4:U6"/>
    <mergeCell ref="AA3:AA6"/>
    <mergeCell ref="AB3:AB6"/>
    <mergeCell ref="N4:N6"/>
    <mergeCell ref="O4:O6"/>
    <mergeCell ref="DD4:DH4"/>
    <mergeCell ref="AE5:AE6"/>
    <mergeCell ref="AF5:AF6"/>
    <mergeCell ref="AG5:AG6"/>
    <mergeCell ref="AH5:AH6"/>
    <mergeCell ref="CF3:CI5"/>
    <mergeCell ref="AQ3:AQ6"/>
    <mergeCell ref="AS3:AS6"/>
    <mergeCell ref="AT3:AY4"/>
    <mergeCell ref="AZ3:AZ6"/>
    <mergeCell ref="BA3:BB4"/>
    <mergeCell ref="BC3:BC6"/>
    <mergeCell ref="CJ3:CM5"/>
    <mergeCell ref="B4:B6"/>
    <mergeCell ref="C4:C6"/>
    <mergeCell ref="D4:D6"/>
    <mergeCell ref="E4:E6"/>
    <mergeCell ref="F4:F6"/>
    <mergeCell ref="G4:G6"/>
    <mergeCell ref="H4:H6"/>
    <mergeCell ref="I4:I6"/>
    <mergeCell ref="J4:J6"/>
    <mergeCell ref="BD3:BD6"/>
    <mergeCell ref="BE3:BE6"/>
    <mergeCell ref="BK3:BQ5"/>
    <mergeCell ref="BR3:BX5"/>
    <mergeCell ref="BY3:CE5"/>
    <mergeCell ref="K4:K6"/>
    <mergeCell ref="AE3:AF4"/>
    <mergeCell ref="AG3:AI4"/>
    <mergeCell ref="AI5:AI6"/>
    <mergeCell ref="AY2:BC2"/>
    <mergeCell ref="A3:A6"/>
    <mergeCell ref="B3:G3"/>
    <mergeCell ref="H3:P3"/>
    <mergeCell ref="Q3:U3"/>
    <mergeCell ref="V3:V6"/>
    <mergeCell ref="W3:W6"/>
    <mergeCell ref="X3:X6"/>
    <mergeCell ref="Y3:Y6"/>
    <mergeCell ref="Z3:Z6"/>
    <mergeCell ref="P4:P6"/>
    <mergeCell ref="L4:L6"/>
    <mergeCell ref="M4:M6"/>
  </mergeCells>
  <printOptions horizontalCentered="1" verticalCentered="1"/>
  <pageMargins left="0" right="0" top="0" bottom="0" header="0" footer="0"/>
  <pageSetup paperSize="9" scale="46" firstPageNumber="0" orientation="landscape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J77"/>
  <sheetViews>
    <sheetView showZeros="0" zoomScale="90" zoomScaleNormal="90" workbookViewId="0">
      <pane xSplit="1" ySplit="6" topLeftCell="CT13" activePane="bottomRight" state="frozen"/>
      <selection pane="topRight" activeCell="B1" sqref="B1"/>
      <selection pane="bottomLeft" activeCell="A7" sqref="A7"/>
      <selection pane="bottomRight" activeCell="DJ28" sqref="DJ28"/>
    </sheetView>
  </sheetViews>
  <sheetFormatPr defaultColWidth="8.7109375" defaultRowHeight="12.75"/>
  <cols>
    <col min="1" max="1" width="3.5703125" customWidth="1"/>
    <col min="2" max="2" width="9.7109375" customWidth="1"/>
    <col min="3" max="3" width="6" customWidth="1"/>
    <col min="4" max="4" width="12" style="1" hidden="1" customWidth="1"/>
    <col min="5" max="5" width="7.140625" customWidth="1"/>
    <col min="6" max="6" width="7.5703125" customWidth="1"/>
    <col min="7" max="7" width="7.7109375" customWidth="1"/>
    <col min="8" max="8" width="7.28515625" customWidth="1"/>
    <col min="9" max="9" width="7.42578125" hidden="1" customWidth="1"/>
    <col min="10" max="10" width="9.140625" customWidth="1"/>
    <col min="11" max="11" width="5.5703125" hidden="1" customWidth="1"/>
    <col min="12" max="12" width="8.42578125" customWidth="1"/>
    <col min="13" max="13" width="7.42578125" customWidth="1"/>
    <col min="14" max="14" width="6.140625" customWidth="1"/>
    <col min="15" max="15" width="8.140625" customWidth="1"/>
    <col min="16" max="16" width="9.85546875" hidden="1" customWidth="1"/>
    <col min="17" max="17" width="9.28515625" customWidth="1"/>
    <col min="18" max="18" width="6" customWidth="1"/>
    <col min="19" max="19" width="8.140625" customWidth="1"/>
    <col min="20" max="20" width="9.140625" hidden="1" customWidth="1"/>
    <col min="21" max="21" width="7.140625" customWidth="1"/>
    <col min="22" max="22" width="7.85546875" customWidth="1"/>
    <col min="23" max="23" width="8.28515625" customWidth="1"/>
    <col min="24" max="24" width="6" customWidth="1"/>
    <col min="25" max="25" width="5.42578125" customWidth="1"/>
    <col min="26" max="26" width="6.85546875" customWidth="1"/>
    <col min="27" max="27" width="6.5703125" customWidth="1"/>
    <col min="28" max="28" width="7.5703125" customWidth="1"/>
    <col min="29" max="29" width="6.5703125" customWidth="1"/>
    <col min="30" max="30" width="4.28515625" customWidth="1"/>
    <col min="31" max="32" width="6.85546875" customWidth="1"/>
    <col min="33" max="33" width="0" hidden="1" customWidth="1"/>
    <col min="34" max="34" width="8.42578125" customWidth="1"/>
    <col min="35" max="35" width="7" customWidth="1"/>
    <col min="36" max="36" width="7.85546875" customWidth="1"/>
    <col min="37" max="37" width="0" hidden="1" customWidth="1"/>
    <col min="38" max="38" width="6.7109375" customWidth="1"/>
    <col min="39" max="39" width="7.7109375" customWidth="1"/>
    <col min="40" max="40" width="7" hidden="1" customWidth="1"/>
    <col min="41" max="41" width="9.42578125" customWidth="1"/>
    <col min="42" max="42" width="6.28515625" customWidth="1"/>
    <col min="43" max="43" width="6.85546875" customWidth="1"/>
    <col min="44" max="44" width="0" hidden="1" customWidth="1"/>
    <col min="45" max="45" width="6.7109375" customWidth="1"/>
    <col min="46" max="46" width="9.7109375" customWidth="1"/>
    <col min="47" max="47" width="7" customWidth="1"/>
    <col min="48" max="48" width="0" hidden="1" customWidth="1"/>
    <col min="49" max="49" width="6.140625" hidden="1" customWidth="1"/>
    <col min="50" max="50" width="5.140625" hidden="1" customWidth="1"/>
    <col min="51" max="51" width="8.42578125" customWidth="1"/>
    <col min="52" max="52" width="10" customWidth="1"/>
    <col min="53" max="53" width="8.7109375" hidden="1" customWidth="1"/>
    <col min="54" max="54" width="3.85546875" hidden="1" customWidth="1"/>
    <col min="55" max="55" width="6.5703125" customWidth="1"/>
    <col min="56" max="56" width="6.140625" customWidth="1"/>
    <col min="57" max="57" width="6.7109375" customWidth="1"/>
    <col min="58" max="58" width="8.85546875" customWidth="1"/>
    <col min="59" max="59" width="7.85546875" customWidth="1"/>
    <col min="60" max="60" width="9.85546875" customWidth="1"/>
    <col min="61" max="62" width="8.7109375" customWidth="1"/>
    <col min="63" max="63" width="10.28515625" customWidth="1"/>
    <col min="64" max="64" width="10.85546875" customWidth="1"/>
    <col min="65" max="65" width="10.7109375" customWidth="1"/>
    <col min="66" max="66" width="11.28515625" customWidth="1"/>
    <col min="67" max="68" width="8.85546875" customWidth="1"/>
    <col min="69" max="69" width="11.28515625" customWidth="1"/>
    <col min="70" max="70" width="7.7109375" customWidth="1"/>
    <col min="71" max="71" width="10" customWidth="1"/>
    <col min="72" max="72" width="8.85546875" customWidth="1"/>
    <col min="73" max="73" width="10.140625" customWidth="1"/>
    <col min="74" max="75" width="8.85546875" customWidth="1"/>
    <col min="76" max="76" width="10.85546875" customWidth="1"/>
    <col min="77" max="78" width="8.7109375" customWidth="1"/>
    <col min="79" max="79" width="10" customWidth="1"/>
    <col min="80" max="80" width="10.42578125" customWidth="1"/>
    <col min="81" max="82" width="8.42578125" customWidth="1"/>
    <col min="83" max="83" width="9.85546875" customWidth="1"/>
    <col min="84" max="85" width="11.42578125" customWidth="1"/>
    <col min="86" max="86" width="11.140625" customWidth="1"/>
    <col min="87" max="87" width="11.28515625" customWidth="1"/>
    <col min="88" max="89" width="10" customWidth="1"/>
    <col min="90" max="90" width="8.7109375" customWidth="1"/>
    <col min="91" max="91" width="11.85546875" customWidth="1"/>
    <col min="92" max="92" width="8.7109375" customWidth="1"/>
    <col min="93" max="93" width="12.140625" customWidth="1"/>
    <col min="94" max="94" width="12.5703125" customWidth="1"/>
    <col min="95" max="95" width="11.7109375" customWidth="1"/>
    <col min="96" max="98" width="12.28515625" customWidth="1"/>
    <col min="99" max="99" width="13.28515625" customWidth="1"/>
    <col min="100" max="100" width="12.85546875" customWidth="1"/>
    <col min="101" max="101" width="13.42578125" customWidth="1"/>
    <col min="102" max="103" width="12.5703125" customWidth="1"/>
    <col min="104" max="104" width="9.5703125" customWidth="1"/>
    <col min="105" max="105" width="19.140625" customWidth="1"/>
    <col min="106" max="106" width="19.42578125" customWidth="1"/>
    <col min="111" max="111" width="8.7109375" hidden="1" customWidth="1"/>
    <col min="112" max="112" width="9" bestFit="1" customWidth="1"/>
    <col min="114" max="114" width="9.5703125" bestFit="1" customWidth="1"/>
  </cols>
  <sheetData>
    <row r="1" spans="1:114" ht="17.25" customHeight="1">
      <c r="A1" s="310" t="s">
        <v>0</v>
      </c>
      <c r="B1" s="310"/>
      <c r="C1" s="310"/>
      <c r="D1" s="311"/>
      <c r="E1" s="310"/>
      <c r="F1" s="310"/>
      <c r="G1" s="310"/>
      <c r="H1" s="310"/>
      <c r="I1" s="310"/>
      <c r="J1" s="310"/>
      <c r="K1" s="310"/>
      <c r="L1" s="310"/>
      <c r="M1" s="310"/>
      <c r="N1" s="310"/>
      <c r="O1" s="310"/>
      <c r="P1" s="77"/>
      <c r="Q1" s="77"/>
      <c r="R1" s="77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</row>
    <row r="2" spans="1:114" ht="19.5" customHeight="1" thickBot="1">
      <c r="A2" s="22"/>
      <c r="B2" s="78"/>
      <c r="C2" s="78"/>
      <c r="D2" s="79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80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80"/>
      <c r="AT2" s="312" t="s">
        <v>1</v>
      </c>
      <c r="AU2" s="313">
        <v>29</v>
      </c>
      <c r="AV2" s="314"/>
      <c r="AW2" s="314"/>
      <c r="AX2" s="315" t="s">
        <v>81</v>
      </c>
      <c r="AY2" s="556" t="s">
        <v>388</v>
      </c>
      <c r="AZ2" s="556"/>
      <c r="BA2" s="556"/>
      <c r="BB2" s="556"/>
      <c r="BC2" s="556"/>
      <c r="BD2" s="316" t="s">
        <v>107</v>
      </c>
      <c r="BE2" s="317"/>
    </row>
    <row r="3" spans="1:114" ht="39.75" customHeight="1" thickBot="1">
      <c r="A3" s="557" t="s">
        <v>3</v>
      </c>
      <c r="B3" s="558" t="s">
        <v>71</v>
      </c>
      <c r="C3" s="558"/>
      <c r="D3" s="558"/>
      <c r="E3" s="558"/>
      <c r="F3" s="558"/>
      <c r="G3" s="558"/>
      <c r="H3" s="554" t="s">
        <v>4</v>
      </c>
      <c r="I3" s="554"/>
      <c r="J3" s="554"/>
      <c r="K3" s="554"/>
      <c r="L3" s="554"/>
      <c r="M3" s="554"/>
      <c r="N3" s="554"/>
      <c r="O3" s="554"/>
      <c r="P3" s="559"/>
      <c r="Q3" s="560" t="s">
        <v>5</v>
      </c>
      <c r="R3" s="561"/>
      <c r="S3" s="561"/>
      <c r="T3" s="561"/>
      <c r="U3" s="562"/>
      <c r="V3" s="563" t="s">
        <v>6</v>
      </c>
      <c r="W3" s="563" t="s">
        <v>7</v>
      </c>
      <c r="X3" s="564" t="s">
        <v>8</v>
      </c>
      <c r="Y3" s="564" t="s">
        <v>9</v>
      </c>
      <c r="Z3" s="564" t="s">
        <v>10</v>
      </c>
      <c r="AA3" s="564" t="s">
        <v>11</v>
      </c>
      <c r="AB3" s="564" t="s">
        <v>12</v>
      </c>
      <c r="AC3" s="564" t="s">
        <v>13</v>
      </c>
      <c r="AD3" s="564" t="s">
        <v>14</v>
      </c>
      <c r="AE3" s="554" t="s">
        <v>15</v>
      </c>
      <c r="AF3" s="554"/>
      <c r="AG3" s="554" t="s">
        <v>16</v>
      </c>
      <c r="AH3" s="554"/>
      <c r="AI3" s="554"/>
      <c r="AJ3" s="593" t="s">
        <v>17</v>
      </c>
      <c r="AK3" s="593"/>
      <c r="AL3" s="564" t="s">
        <v>18</v>
      </c>
      <c r="AM3" s="599" t="s">
        <v>19</v>
      </c>
      <c r="AN3" s="600" t="s">
        <v>95</v>
      </c>
      <c r="AO3" s="603" t="s">
        <v>20</v>
      </c>
      <c r="AP3" s="564" t="s">
        <v>105</v>
      </c>
      <c r="AQ3" s="564" t="s">
        <v>21</v>
      </c>
      <c r="AR3" s="81"/>
      <c r="AS3" s="593" t="s">
        <v>22</v>
      </c>
      <c r="AT3" s="554" t="s">
        <v>23</v>
      </c>
      <c r="AU3" s="554"/>
      <c r="AV3" s="554"/>
      <c r="AW3" s="554"/>
      <c r="AX3" s="554"/>
      <c r="AY3" s="554"/>
      <c r="AZ3" s="564" t="s">
        <v>24</v>
      </c>
      <c r="BA3" s="594" t="s">
        <v>25</v>
      </c>
      <c r="BB3" s="594"/>
      <c r="BC3" s="564" t="s">
        <v>26</v>
      </c>
      <c r="BD3" s="564" t="s">
        <v>27</v>
      </c>
      <c r="BE3" s="572" t="s">
        <v>28</v>
      </c>
      <c r="BF3" s="3"/>
      <c r="BG3" s="3"/>
      <c r="BH3" s="3"/>
      <c r="BI3" s="3"/>
      <c r="BJ3" s="3"/>
      <c r="BK3" s="573" t="s">
        <v>29</v>
      </c>
      <c r="BL3" s="574"/>
      <c r="BM3" s="574"/>
      <c r="BN3" s="574"/>
      <c r="BO3" s="575"/>
      <c r="BP3" s="575"/>
      <c r="BQ3" s="576"/>
      <c r="BR3" s="573" t="s">
        <v>30</v>
      </c>
      <c r="BS3" s="585"/>
      <c r="BT3" s="585"/>
      <c r="BU3" s="585"/>
      <c r="BV3" s="585"/>
      <c r="BW3" s="585"/>
      <c r="BX3" s="586"/>
      <c r="BY3" s="566" t="s">
        <v>31</v>
      </c>
      <c r="BZ3" s="566"/>
      <c r="CA3" s="566"/>
      <c r="CB3" s="566"/>
      <c r="CC3" s="566"/>
      <c r="CD3" s="566"/>
      <c r="CE3" s="566"/>
      <c r="CF3" s="566" t="s">
        <v>87</v>
      </c>
      <c r="CG3" s="566"/>
      <c r="CH3" s="566"/>
      <c r="CI3" s="566"/>
      <c r="CJ3" s="566" t="s">
        <v>32</v>
      </c>
      <c r="CK3" s="566"/>
      <c r="CL3" s="566"/>
      <c r="CM3" s="566"/>
      <c r="CN3" s="4"/>
      <c r="CO3" s="5"/>
      <c r="CP3" s="6"/>
      <c r="CQ3" s="6"/>
    </row>
    <row r="4" spans="1:114" s="7" customFormat="1" ht="30.75" customHeight="1" thickBot="1">
      <c r="A4" s="557"/>
      <c r="B4" s="565" t="s">
        <v>72</v>
      </c>
      <c r="C4" s="613" t="s">
        <v>73</v>
      </c>
      <c r="D4" s="615" t="s">
        <v>33</v>
      </c>
      <c r="E4" s="613" t="s">
        <v>74</v>
      </c>
      <c r="F4" s="569" t="s">
        <v>75</v>
      </c>
      <c r="G4" s="569" t="s">
        <v>34</v>
      </c>
      <c r="H4" s="555" t="s">
        <v>76</v>
      </c>
      <c r="I4" s="570" t="s">
        <v>101</v>
      </c>
      <c r="J4" s="555" t="s">
        <v>89</v>
      </c>
      <c r="K4" s="565" t="s">
        <v>35</v>
      </c>
      <c r="L4" s="565" t="s">
        <v>77</v>
      </c>
      <c r="M4" s="565" t="s">
        <v>78</v>
      </c>
      <c r="N4" s="565" t="s">
        <v>101</v>
      </c>
      <c r="O4" s="565" t="s">
        <v>96</v>
      </c>
      <c r="P4" s="555" t="s">
        <v>79</v>
      </c>
      <c r="Q4" s="555" t="s">
        <v>36</v>
      </c>
      <c r="R4" s="555" t="s">
        <v>32</v>
      </c>
      <c r="S4" s="555" t="s">
        <v>37</v>
      </c>
      <c r="T4" s="555" t="s">
        <v>38</v>
      </c>
      <c r="U4" s="555" t="s">
        <v>39</v>
      </c>
      <c r="V4" s="563"/>
      <c r="W4" s="563"/>
      <c r="X4" s="564"/>
      <c r="Y4" s="564"/>
      <c r="Z4" s="564"/>
      <c r="AA4" s="564"/>
      <c r="AB4" s="564"/>
      <c r="AC4" s="564"/>
      <c r="AD4" s="564"/>
      <c r="AE4" s="554"/>
      <c r="AF4" s="554"/>
      <c r="AG4" s="554"/>
      <c r="AH4" s="554"/>
      <c r="AI4" s="554"/>
      <c r="AJ4" s="593"/>
      <c r="AK4" s="593"/>
      <c r="AL4" s="564"/>
      <c r="AM4" s="599"/>
      <c r="AN4" s="601"/>
      <c r="AO4" s="603"/>
      <c r="AP4" s="564"/>
      <c r="AQ4" s="564"/>
      <c r="AR4" s="82"/>
      <c r="AS4" s="593"/>
      <c r="AT4" s="554"/>
      <c r="AU4" s="554"/>
      <c r="AV4" s="554"/>
      <c r="AW4" s="554"/>
      <c r="AX4" s="554"/>
      <c r="AY4" s="554"/>
      <c r="AZ4" s="564"/>
      <c r="BA4" s="594"/>
      <c r="BB4" s="594"/>
      <c r="BC4" s="564"/>
      <c r="BD4" s="564"/>
      <c r="BE4" s="572"/>
      <c r="BF4" s="3"/>
      <c r="BG4" s="3"/>
      <c r="BH4" s="3"/>
      <c r="BI4" s="3"/>
      <c r="BJ4" s="3"/>
      <c r="BK4" s="577"/>
      <c r="BL4" s="578"/>
      <c r="BM4" s="578"/>
      <c r="BN4" s="578"/>
      <c r="BO4" s="579"/>
      <c r="BP4" s="579"/>
      <c r="BQ4" s="580"/>
      <c r="BR4" s="577"/>
      <c r="BS4" s="566"/>
      <c r="BT4" s="566"/>
      <c r="BU4" s="566"/>
      <c r="BV4" s="566"/>
      <c r="BW4" s="566"/>
      <c r="BX4" s="587"/>
      <c r="BY4" s="566"/>
      <c r="BZ4" s="566"/>
      <c r="CA4" s="566"/>
      <c r="CB4" s="566"/>
      <c r="CC4" s="566"/>
      <c r="CD4" s="566"/>
      <c r="CE4" s="566"/>
      <c r="CF4" s="566"/>
      <c r="CG4" s="566"/>
      <c r="CH4" s="566"/>
      <c r="CI4" s="566"/>
      <c r="CJ4" s="566"/>
      <c r="CK4" s="566"/>
      <c r="CL4" s="566"/>
      <c r="CM4" s="566"/>
      <c r="CN4" s="4"/>
      <c r="CO4" s="6"/>
      <c r="CP4" s="6"/>
      <c r="CQ4" s="262"/>
      <c r="CR4" s="231"/>
      <c r="CS4" s="231"/>
      <c r="CT4" s="231"/>
      <c r="CU4" s="231"/>
      <c r="CV4" s="231"/>
      <c r="CW4" s="231"/>
      <c r="CX4" s="231"/>
      <c r="CY4" s="231"/>
      <c r="DD4" s="590" t="s">
        <v>90</v>
      </c>
      <c r="DE4" s="591"/>
      <c r="DF4" s="591"/>
      <c r="DG4" s="591"/>
      <c r="DH4" s="592"/>
    </row>
    <row r="5" spans="1:114" s="7" customFormat="1" ht="8.25" hidden="1" customHeight="1">
      <c r="A5" s="557"/>
      <c r="B5" s="565"/>
      <c r="C5" s="614"/>
      <c r="D5" s="616"/>
      <c r="E5" s="614"/>
      <c r="F5" s="569"/>
      <c r="G5" s="569"/>
      <c r="H5" s="555"/>
      <c r="I5" s="570"/>
      <c r="J5" s="565"/>
      <c r="K5" s="565"/>
      <c r="L5" s="565"/>
      <c r="M5" s="565"/>
      <c r="N5" s="565"/>
      <c r="O5" s="565"/>
      <c r="P5" s="555"/>
      <c r="Q5" s="555"/>
      <c r="R5" s="555"/>
      <c r="S5" s="555"/>
      <c r="T5" s="555"/>
      <c r="U5" s="555"/>
      <c r="V5" s="563"/>
      <c r="W5" s="563"/>
      <c r="X5" s="564"/>
      <c r="Y5" s="564"/>
      <c r="Z5" s="564"/>
      <c r="AA5" s="564"/>
      <c r="AB5" s="564"/>
      <c r="AC5" s="564"/>
      <c r="AD5" s="564"/>
      <c r="AE5" s="555" t="s">
        <v>40</v>
      </c>
      <c r="AF5" s="555" t="s">
        <v>41</v>
      </c>
      <c r="AG5" s="555" t="s">
        <v>42</v>
      </c>
      <c r="AH5" s="555" t="s">
        <v>40</v>
      </c>
      <c r="AI5" s="555" t="s">
        <v>41</v>
      </c>
      <c r="AJ5" s="593"/>
      <c r="AK5" s="593"/>
      <c r="AL5" s="564"/>
      <c r="AM5" s="599"/>
      <c r="AN5" s="601"/>
      <c r="AO5" s="603"/>
      <c r="AP5" s="564"/>
      <c r="AQ5" s="564"/>
      <c r="AR5" s="83"/>
      <c r="AS5" s="593"/>
      <c r="AT5" s="555" t="s">
        <v>43</v>
      </c>
      <c r="AU5" s="84"/>
      <c r="AV5" s="85"/>
      <c r="AW5" s="598" t="s">
        <v>44</v>
      </c>
      <c r="AX5" s="598" t="s">
        <v>45</v>
      </c>
      <c r="AY5" s="555" t="s">
        <v>46</v>
      </c>
      <c r="AZ5" s="564"/>
      <c r="BA5" s="86" t="s">
        <v>47</v>
      </c>
      <c r="BB5" s="86" t="s">
        <v>48</v>
      </c>
      <c r="BC5" s="564"/>
      <c r="BD5" s="564"/>
      <c r="BE5" s="572"/>
      <c r="BF5" s="3"/>
      <c r="BG5" s="3"/>
      <c r="BH5" s="3"/>
      <c r="BI5" s="3"/>
      <c r="BJ5" s="3"/>
      <c r="BK5" s="581"/>
      <c r="BL5" s="582"/>
      <c r="BM5" s="582"/>
      <c r="BN5" s="582"/>
      <c r="BO5" s="583"/>
      <c r="BP5" s="583"/>
      <c r="BQ5" s="584"/>
      <c r="BR5" s="581"/>
      <c r="BS5" s="588"/>
      <c r="BT5" s="588"/>
      <c r="BU5" s="588"/>
      <c r="BV5" s="588"/>
      <c r="BW5" s="588"/>
      <c r="BX5" s="589"/>
      <c r="BY5" s="567"/>
      <c r="BZ5" s="566"/>
      <c r="CA5" s="566"/>
      <c r="CB5" s="566"/>
      <c r="CC5" s="566"/>
      <c r="CD5" s="566"/>
      <c r="CE5" s="566"/>
      <c r="CF5" s="567"/>
      <c r="CG5" s="567"/>
      <c r="CH5" s="567"/>
      <c r="CI5" s="567"/>
      <c r="CJ5" s="567"/>
      <c r="CK5" s="567"/>
      <c r="CL5" s="567"/>
      <c r="CM5" s="567"/>
      <c r="CN5" s="4"/>
      <c r="CO5"/>
      <c r="CP5"/>
      <c r="CQ5" s="255"/>
      <c r="CR5" s="256"/>
      <c r="CS5" s="256"/>
      <c r="CT5" s="256"/>
      <c r="CU5" s="256"/>
      <c r="CV5" s="257"/>
      <c r="CW5" s="257"/>
      <c r="CX5" s="257"/>
      <c r="CY5" s="258"/>
      <c r="DA5" s="595" t="s">
        <v>49</v>
      </c>
      <c r="DB5" s="595"/>
    </row>
    <row r="6" spans="1:114" s="7" customFormat="1" ht="106.5" customHeight="1" thickBot="1">
      <c r="A6" s="557"/>
      <c r="B6" s="565"/>
      <c r="C6" s="565"/>
      <c r="D6" s="568"/>
      <c r="E6" s="565"/>
      <c r="F6" s="569"/>
      <c r="G6" s="569"/>
      <c r="H6" s="555"/>
      <c r="I6" s="570"/>
      <c r="J6" s="571"/>
      <c r="K6" s="565"/>
      <c r="L6" s="565"/>
      <c r="M6" s="565"/>
      <c r="N6" s="565"/>
      <c r="O6" s="565"/>
      <c r="P6" s="565"/>
      <c r="Q6" s="565"/>
      <c r="R6" s="565"/>
      <c r="S6" s="565"/>
      <c r="T6" s="555"/>
      <c r="U6" s="555"/>
      <c r="V6" s="563"/>
      <c r="W6" s="563"/>
      <c r="X6" s="564"/>
      <c r="Y6" s="564"/>
      <c r="Z6" s="564"/>
      <c r="AA6" s="564"/>
      <c r="AB6" s="564"/>
      <c r="AC6" s="564"/>
      <c r="AD6" s="564"/>
      <c r="AE6" s="555"/>
      <c r="AF6" s="555"/>
      <c r="AG6" s="555"/>
      <c r="AH6" s="555"/>
      <c r="AI6" s="555"/>
      <c r="AJ6" s="593"/>
      <c r="AK6" s="593"/>
      <c r="AL6" s="564"/>
      <c r="AM6" s="599"/>
      <c r="AN6" s="602"/>
      <c r="AO6" s="603"/>
      <c r="AP6" s="564"/>
      <c r="AQ6" s="564"/>
      <c r="AR6" s="510"/>
      <c r="AS6" s="593"/>
      <c r="AT6" s="555"/>
      <c r="AU6" s="509" t="s">
        <v>50</v>
      </c>
      <c r="AV6" s="509" t="s">
        <v>51</v>
      </c>
      <c r="AW6" s="598"/>
      <c r="AX6" s="598"/>
      <c r="AY6" s="555"/>
      <c r="AZ6" s="555"/>
      <c r="BA6" s="87"/>
      <c r="BB6" s="88">
        <v>0.04</v>
      </c>
      <c r="BC6" s="564"/>
      <c r="BD6" s="564"/>
      <c r="BE6" s="572"/>
      <c r="BF6" s="8" t="s">
        <v>52</v>
      </c>
      <c r="BG6" s="8" t="s">
        <v>53</v>
      </c>
      <c r="BH6" s="8" t="s">
        <v>54</v>
      </c>
      <c r="BI6" s="3"/>
      <c r="BJ6" s="3"/>
      <c r="BK6" s="308" t="s">
        <v>100</v>
      </c>
      <c r="BL6" s="280" t="s">
        <v>82</v>
      </c>
      <c r="BM6" s="279" t="s">
        <v>262</v>
      </c>
      <c r="BN6" s="307" t="s">
        <v>83</v>
      </c>
      <c r="BO6" s="308" t="s">
        <v>97</v>
      </c>
      <c r="BP6" s="326" t="s">
        <v>99</v>
      </c>
      <c r="BQ6" s="495" t="s">
        <v>393</v>
      </c>
      <c r="BR6" s="308" t="s">
        <v>100</v>
      </c>
      <c r="BS6" s="280" t="s">
        <v>82</v>
      </c>
      <c r="BT6" s="279" t="s">
        <v>262</v>
      </c>
      <c r="BU6" s="327"/>
      <c r="BV6" s="308" t="s">
        <v>97</v>
      </c>
      <c r="BW6" s="326" t="s">
        <v>99</v>
      </c>
      <c r="BX6" s="306"/>
      <c r="BY6" s="308" t="s">
        <v>100</v>
      </c>
      <c r="BZ6" s="280" t="s">
        <v>82</v>
      </c>
      <c r="CA6" s="279" t="s">
        <v>262</v>
      </c>
      <c r="CB6" s="307" t="s">
        <v>83</v>
      </c>
      <c r="CC6" s="308" t="s">
        <v>97</v>
      </c>
      <c r="CD6" s="326" t="s">
        <v>99</v>
      </c>
      <c r="CE6" s="495" t="s">
        <v>393</v>
      </c>
      <c r="CF6" s="267" t="s">
        <v>106</v>
      </c>
      <c r="CG6" s="268" t="s">
        <v>85</v>
      </c>
      <c r="CH6" s="244" t="s">
        <v>109</v>
      </c>
      <c r="CI6" s="245" t="s">
        <v>103</v>
      </c>
      <c r="CJ6" s="267" t="s">
        <v>106</v>
      </c>
      <c r="CK6" s="268" t="s">
        <v>85</v>
      </c>
      <c r="CL6" s="244" t="s">
        <v>109</v>
      </c>
      <c r="CM6" s="245" t="s">
        <v>103</v>
      </c>
      <c r="CN6" s="243"/>
      <c r="CO6" s="248" t="s">
        <v>364</v>
      </c>
      <c r="CP6" s="10" t="s">
        <v>82</v>
      </c>
      <c r="CQ6" s="264" t="s">
        <v>263</v>
      </c>
      <c r="CR6" s="23" t="s">
        <v>83</v>
      </c>
      <c r="CS6" s="248" t="s">
        <v>98</v>
      </c>
      <c r="CT6" s="248" t="s">
        <v>99</v>
      </c>
      <c r="CU6" s="496" t="s">
        <v>394</v>
      </c>
      <c r="CV6" s="259" t="s">
        <v>106</v>
      </c>
      <c r="CW6" s="248" t="s">
        <v>84</v>
      </c>
      <c r="CX6" s="232" t="s">
        <v>108</v>
      </c>
      <c r="CY6" s="263" t="s">
        <v>103</v>
      </c>
      <c r="CZ6" s="253"/>
      <c r="DA6" s="321" t="s">
        <v>80</v>
      </c>
      <c r="DB6" s="321" t="s">
        <v>55</v>
      </c>
      <c r="DD6" s="288" t="s">
        <v>91</v>
      </c>
      <c r="DE6" s="289" t="s">
        <v>92</v>
      </c>
      <c r="DF6" s="290" t="s">
        <v>93</v>
      </c>
      <c r="DG6" s="290"/>
      <c r="DH6" s="289" t="s">
        <v>94</v>
      </c>
    </row>
    <row r="7" spans="1:114" s="76" customFormat="1" ht="16.5" customHeight="1" thickBot="1">
      <c r="A7" s="121">
        <v>1</v>
      </c>
      <c r="B7" s="122">
        <f>'[1]сентябрь 20'!K6</f>
        <v>267.84699999999998</v>
      </c>
      <c r="C7" s="123">
        <f>IF(B7=0,0,(BK7*BR7+BL7*BS7+BM7*BT7+BN7*BU7+BQ7*BX7+BO7*BV7+BP7*BW7)/B7)</f>
        <v>1.1737081643513014</v>
      </c>
      <c r="D7" s="124">
        <f>B7*((100-C7)/100)</f>
        <v>264.70325789302996</v>
      </c>
      <c r="E7" s="125">
        <f>IF(B7=0,0,(BK7*BY7+BL7*BZ7+BM7*CA7+BQ7*CE7+BN7*CB7+BO7*CC7+BP7*CD7)/B7)</f>
        <v>37.464639887697103</v>
      </c>
      <c r="F7" s="126">
        <f t="shared" ref="F7:F37" si="0">IF(AY7=0,0,D7/AY7)</f>
        <v>2.0364922133638252</v>
      </c>
      <c r="G7" s="127">
        <v>18.53</v>
      </c>
      <c r="H7" s="126">
        <f>IF(AY7=0,0,(CP7+CO7+CS7+CQ7+CT7)/AY7)</f>
        <v>1.6464553115863978</v>
      </c>
      <c r="I7" s="230">
        <f>'[1]июль 20'!AI6</f>
        <v>0</v>
      </c>
      <c r="J7" s="246">
        <f>'[1]сентябрь 20'!AA6</f>
        <v>10.622999999999999</v>
      </c>
      <c r="K7" s="437">
        <f>'[1]сентябрь 20'!AM6</f>
        <v>0</v>
      </c>
      <c r="L7" s="438">
        <f>'[1]сентябрь 20'!AE6</f>
        <v>50.697000000000003</v>
      </c>
      <c r="M7" s="399">
        <f>IF(AY7=0,0,(CR7+CU7)/AY7)</f>
        <v>0.39003692485790126</v>
      </c>
      <c r="N7" s="399">
        <f>'[1]сентябрь 20'!W6</f>
        <v>0</v>
      </c>
      <c r="O7" s="402">
        <f>'[1]сентябрь 20'!AU6</f>
        <v>2.472</v>
      </c>
      <c r="P7" s="125">
        <f t="shared" ref="P7:P37" si="1">CF7+CH7+CI7+CG7</f>
        <v>176.84800300000001</v>
      </c>
      <c r="Q7" s="122">
        <f>'[1]сентябрь 20'!S6</f>
        <v>176.84800000000001</v>
      </c>
      <c r="R7" s="123">
        <f>IF(Q7=0,0,(CI7*CM7+CG7*CK7+CH7*CL7+CF7*CJ7)/Q7)</f>
        <v>3.1900000000000164</v>
      </c>
      <c r="S7" s="129">
        <v>28.8</v>
      </c>
      <c r="T7" s="125">
        <f t="shared" ref="T7:T37" si="2">Q7*((100-R7)/100)</f>
        <v>171.20654879999998</v>
      </c>
      <c r="U7" s="128">
        <f t="shared" ref="U7:U37" si="3">IF(AY7=0,0,T7/AY7)</f>
        <v>1.3171760947838129</v>
      </c>
      <c r="V7" s="130">
        <v>126.97</v>
      </c>
      <c r="W7" s="130">
        <v>97.51</v>
      </c>
      <c r="X7" s="129">
        <v>0.88</v>
      </c>
      <c r="Y7" s="131">
        <v>558</v>
      </c>
      <c r="Z7" s="131">
        <v>1166</v>
      </c>
      <c r="AA7" s="132" t="s">
        <v>187</v>
      </c>
      <c r="AB7" s="129">
        <v>76.010000000000005</v>
      </c>
      <c r="AC7" s="131">
        <v>107</v>
      </c>
      <c r="AD7" s="133">
        <v>4</v>
      </c>
      <c r="AE7" s="129">
        <v>4.8499999999999996</v>
      </c>
      <c r="AF7" s="134">
        <f t="shared" ref="AF7:AF37" si="4">IF(AY7=0,0,AE7/AY7*1000)</f>
        <v>37.313432835820898</v>
      </c>
      <c r="AG7" s="135"/>
      <c r="AH7" s="129">
        <v>78.400000000000006</v>
      </c>
      <c r="AI7" s="134">
        <f t="shared" ref="AI7:AI37" si="5">IF(AY7=0,0,AH7/AY7*1000)</f>
        <v>603.16971841821828</v>
      </c>
      <c r="AJ7" s="136">
        <v>15.14</v>
      </c>
      <c r="AK7" s="127"/>
      <c r="AL7" s="137">
        <v>6.74</v>
      </c>
      <c r="AM7" s="478">
        <v>29.44</v>
      </c>
      <c r="AN7" s="126">
        <f>IF(AM7=0,0,AM7/AT7)</f>
        <v>0.18144838212634823</v>
      </c>
      <c r="AO7" s="139" t="s">
        <v>396</v>
      </c>
      <c r="AP7" s="138">
        <v>9.1</v>
      </c>
      <c r="AQ7" s="138">
        <v>7.12</v>
      </c>
      <c r="AR7" s="129"/>
      <c r="AS7" s="129">
        <v>6.79</v>
      </c>
      <c r="AT7" s="129">
        <v>162.25</v>
      </c>
      <c r="AU7" s="129">
        <v>3.91</v>
      </c>
      <c r="AV7" s="129"/>
      <c r="AW7" s="129"/>
      <c r="AX7" s="140">
        <f t="shared" ref="AX7:AX37" si="6">IF(AY7=0,0,AW7/AY7*100)</f>
        <v>0</v>
      </c>
      <c r="AY7" s="125">
        <f t="shared" ref="AY7:AY37" si="7">AT7-AL7-AM7+AV7+AW7+AU7</f>
        <v>129.97999999999999</v>
      </c>
      <c r="AZ7" s="125">
        <f>IF(AB7=0,0,((D7*0.97)*(E7/100)*0.9)/(AB7/100))+DH7</f>
        <v>115.43565921242778</v>
      </c>
      <c r="BA7" s="141">
        <f t="shared" ref="BA7:BA37" si="8">(AH7*AS7)/100*(55/71)</f>
        <v>4.1237295774647889</v>
      </c>
      <c r="BB7" s="142">
        <f t="shared" ref="BB7:BB37" si="9">AY7*$BB$6</f>
        <v>5.1991999999999994</v>
      </c>
      <c r="BC7" s="122">
        <f t="shared" ref="BC7:BC37" si="10">IF((D7*E7)=0,0,(AY7*AB7)/(D7*E7))</f>
        <v>0.99624559966411064</v>
      </c>
      <c r="BD7" s="142">
        <f>BA7+BB7</f>
        <v>9.3229295774647873</v>
      </c>
      <c r="BE7" s="143">
        <v>0.996</v>
      </c>
      <c r="BF7" s="25">
        <f>AY7</f>
        <v>129.97999999999999</v>
      </c>
      <c r="BG7" s="25">
        <f t="shared" ref="BG7:BG38" si="11">IF(A7&lt;=$BE$43,$AT$43,0)</f>
        <v>118.33333333333333</v>
      </c>
      <c r="BH7" s="25">
        <f>BG7</f>
        <v>118.33333333333333</v>
      </c>
      <c r="BI7" s="26">
        <f t="shared" ref="BI7:BI37" si="12">IF(AY7&lt;&gt;0,1,0)</f>
        <v>1</v>
      </c>
      <c r="BJ7" s="27">
        <f>BG7*BI7</f>
        <v>118.33333333333333</v>
      </c>
      <c r="BK7" s="28">
        <v>9.9999999999999995E-7</v>
      </c>
      <c r="BL7" s="28">
        <v>195.76300000000001</v>
      </c>
      <c r="BM7" s="28">
        <v>9.9999999999999995E-7</v>
      </c>
      <c r="BN7" s="28">
        <v>42.808</v>
      </c>
      <c r="BO7" s="28">
        <v>9.9999999999999995E-7</v>
      </c>
      <c r="BP7" s="28">
        <v>21.387</v>
      </c>
      <c r="BQ7" s="28">
        <v>7.8890000000000002</v>
      </c>
      <c r="BR7" s="28">
        <v>9.9999999999999995E-7</v>
      </c>
      <c r="BS7" s="28">
        <v>1.43</v>
      </c>
      <c r="BT7" s="28">
        <v>9.9999999999999995E-7</v>
      </c>
      <c r="BU7" s="28">
        <v>9.9999999999999995E-7</v>
      </c>
      <c r="BV7" s="28">
        <v>9.9999999999999995E-7</v>
      </c>
      <c r="BW7" s="28">
        <v>1.61</v>
      </c>
      <c r="BX7" s="28">
        <v>9.9999999999999995E-7</v>
      </c>
      <c r="BY7" s="28">
        <v>9.9999999999999995E-7</v>
      </c>
      <c r="BZ7" s="28">
        <v>36.299999999999997</v>
      </c>
      <c r="CA7" s="28">
        <v>9.9999999999999995E-7</v>
      </c>
      <c r="CB7" s="28">
        <v>43.19</v>
      </c>
      <c r="CC7" s="28">
        <v>9.9999999999999995E-7</v>
      </c>
      <c r="CD7" s="28">
        <v>34.450000000000003</v>
      </c>
      <c r="CE7" s="28">
        <v>43.47</v>
      </c>
      <c r="CF7" s="28">
        <v>176.84800000000001</v>
      </c>
      <c r="CG7" s="28">
        <v>9.9999999999999995E-7</v>
      </c>
      <c r="CH7" s="28">
        <v>9.9999999999999995E-7</v>
      </c>
      <c r="CI7" s="28">
        <v>9.9999999999999995E-7</v>
      </c>
      <c r="CJ7" s="28">
        <v>3.19</v>
      </c>
      <c r="CK7" s="28">
        <v>9.9999999999999995E-7</v>
      </c>
      <c r="CL7" s="28">
        <v>9.9999999999999995E-7</v>
      </c>
      <c r="CM7" s="28">
        <v>9.9999999999999995E-7</v>
      </c>
      <c r="CN7" s="286"/>
      <c r="CO7" s="252">
        <f t="shared" ref="CO7:CU22" si="13">BK7*((100-BR7)/100)</f>
        <v>9.9999998999999992E-7</v>
      </c>
      <c r="CP7" s="11">
        <f t="shared" si="13"/>
        <v>192.96358909999998</v>
      </c>
      <c r="CQ7" s="11">
        <f t="shared" si="13"/>
        <v>9.9999998999999992E-7</v>
      </c>
      <c r="CR7" s="11">
        <f t="shared" si="13"/>
        <v>42.80799957192</v>
      </c>
      <c r="CS7" s="11">
        <f t="shared" si="13"/>
        <v>9.9999998999999992E-7</v>
      </c>
      <c r="CT7" s="11">
        <f t="shared" si="13"/>
        <v>21.0426693</v>
      </c>
      <c r="CU7" s="271">
        <f t="shared" si="13"/>
        <v>7.8889999211100008</v>
      </c>
      <c r="CV7" s="260">
        <f t="shared" ref="CV7:CY37" si="14">CF7*((100-CJ7)/100)</f>
        <v>171.20654880000004</v>
      </c>
      <c r="CW7" s="250">
        <f t="shared" si="14"/>
        <v>9.9999998999999992E-7</v>
      </c>
      <c r="CX7" s="260">
        <f t="shared" si="14"/>
        <v>9.9999998999999992E-7</v>
      </c>
      <c r="CY7" s="271">
        <f t="shared" si="14"/>
        <v>9.9999998999999992E-7</v>
      </c>
      <c r="CZ7" s="13"/>
      <c r="DA7" s="240">
        <f>(D7+'[2]сентябрь 20'!D7)/(AY7+'[2]сентябрь 20'!BA7)</f>
        <v>1.9737599779715269</v>
      </c>
      <c r="DB7" s="241">
        <f>(T7+'[2]сентябрь 20'!T7)/(AY7+'[2]сентябрь 20'!BA7)</f>
        <v>1.2528754588620583</v>
      </c>
      <c r="DD7" s="292">
        <f t="shared" ref="DD7:DD37" si="15">J7</f>
        <v>10.622999999999999</v>
      </c>
      <c r="DE7" s="291">
        <v>0.12</v>
      </c>
      <c r="DF7" s="291">
        <v>11</v>
      </c>
      <c r="DG7" s="145">
        <f t="shared" ref="DG7:DG37" si="16">DD7*((100-DE7)/100)</f>
        <v>10.610252399999998</v>
      </c>
      <c r="DH7" s="293">
        <f>IF(AB7=0,0,(DG7*DF7%)/(AB7/100))</f>
        <v>1.5354923878437043</v>
      </c>
      <c r="DJ7" s="322"/>
    </row>
    <row r="8" spans="1:114" s="76" customFormat="1" ht="16.5" customHeight="1" thickBot="1">
      <c r="A8" s="144">
        <v>2</v>
      </c>
      <c r="B8" s="122">
        <f>'[1]сентябрь 20'!K7</f>
        <v>257.54000000000002</v>
      </c>
      <c r="C8" s="123">
        <f t="shared" ref="C8:C37" si="17">IF(B8=0,0,(BK8*BR8+BL8*BS8+BM8*BT8+BN8*BU8+BQ8*BX8+BO8*BV8+BP8*BW8)/B8)</f>
        <v>0.46302201599751491</v>
      </c>
      <c r="D8" s="145">
        <f t="shared" ref="D8:D37" si="18">B8*((100-C8)/100)</f>
        <v>256.34753310000002</v>
      </c>
      <c r="E8" s="125">
        <f t="shared" ref="E8:E37" si="19">IF(B8=0,0,(BK8*BY8+BL8*BZ8+BM8*CA8+BQ8*CE8+BN8*CB8+BO8*CC8+BP8*CD8)/B8)</f>
        <v>37.734121146229704</v>
      </c>
      <c r="F8" s="146">
        <f t="shared" si="0"/>
        <v>2.1783440950033994</v>
      </c>
      <c r="G8" s="127">
        <v>15.98</v>
      </c>
      <c r="H8" s="126">
        <f t="shared" ref="H8:H37" si="20">IF(AY8=0,0,(CP8+CO8+CS8+CQ8+CT8)/AY8)</f>
        <v>1.7852016748810335</v>
      </c>
      <c r="I8" s="230">
        <f>'[1]июль 20'!AI7</f>
        <v>0</v>
      </c>
      <c r="J8" s="247">
        <f>'[1]сентябрь 20'!AA7</f>
        <v>10.063000000000001</v>
      </c>
      <c r="K8" s="464">
        <f>'[1]сентябрь 20'!AM7</f>
        <v>0</v>
      </c>
      <c r="L8" s="247">
        <f>'[1]сентябрь 20'!AE7</f>
        <v>46.265000000000001</v>
      </c>
      <c r="M8" s="468">
        <f t="shared" ref="M8:M37" si="21">IF(AY8=0,0,(CR8+CU8)/AY8)</f>
        <v>0.39314242012236578</v>
      </c>
      <c r="N8" s="403">
        <f>'[1]сентябрь 20'!W7</f>
        <v>0</v>
      </c>
      <c r="O8" s="403">
        <f>'[1]сентябрь 20'!AU7</f>
        <v>3.484</v>
      </c>
      <c r="P8" s="401">
        <f t="shared" si="1"/>
        <v>168.48</v>
      </c>
      <c r="Q8" s="122">
        <f>'[1]сентябрь 20'!S7</f>
        <v>168.48</v>
      </c>
      <c r="R8" s="123">
        <f t="shared" ref="R8:R37" si="22">IF(Q8=0,0,(CI8*CM8+CG8*CK8+CH8*CL8+CF8*CJ8)/Q8)</f>
        <v>2.95</v>
      </c>
      <c r="S8" s="129">
        <v>9.64</v>
      </c>
      <c r="T8" s="125">
        <f t="shared" si="2"/>
        <v>163.50983999999997</v>
      </c>
      <c r="U8" s="147">
        <f t="shared" si="3"/>
        <v>1.3894445955132562</v>
      </c>
      <c r="V8" s="130">
        <v>117.21</v>
      </c>
      <c r="W8" s="130">
        <v>15.71</v>
      </c>
      <c r="X8" s="129">
        <v>1.58</v>
      </c>
      <c r="Y8" s="131">
        <v>582</v>
      </c>
      <c r="Z8" s="131">
        <v>1176</v>
      </c>
      <c r="AA8" s="148" t="s">
        <v>159</v>
      </c>
      <c r="AB8" s="149">
        <v>76.489999999999995</v>
      </c>
      <c r="AC8" s="150">
        <v>103</v>
      </c>
      <c r="AD8" s="151">
        <v>4</v>
      </c>
      <c r="AE8" s="149">
        <v>4.3</v>
      </c>
      <c r="AF8" s="134">
        <f t="shared" si="4"/>
        <v>36.539768864717878</v>
      </c>
      <c r="AG8" s="152"/>
      <c r="AH8" s="129">
        <v>68.5</v>
      </c>
      <c r="AI8" s="134">
        <f t="shared" si="5"/>
        <v>582.08701563562204</v>
      </c>
      <c r="AJ8" s="153">
        <v>16.399999999999999</v>
      </c>
      <c r="AK8" s="154"/>
      <c r="AL8" s="155">
        <v>5.53</v>
      </c>
      <c r="AM8" s="478">
        <v>29.96</v>
      </c>
      <c r="AN8" s="126">
        <f t="shared" ref="AN8:AN37" si="23">IF(AM8=0,0,AM8/AT8)</f>
        <v>0.19691094314820901</v>
      </c>
      <c r="AO8" s="157" t="s">
        <v>148</v>
      </c>
      <c r="AP8" s="156">
        <v>9.4499999999999993</v>
      </c>
      <c r="AQ8" s="156">
        <v>7.05</v>
      </c>
      <c r="AR8" s="149"/>
      <c r="AS8" s="149">
        <v>5.52</v>
      </c>
      <c r="AT8" s="149">
        <v>152.15</v>
      </c>
      <c r="AU8" s="149">
        <v>1.02</v>
      </c>
      <c r="AV8" s="149"/>
      <c r="AW8" s="149"/>
      <c r="AX8" s="158">
        <f t="shared" si="6"/>
        <v>0</v>
      </c>
      <c r="AY8" s="125">
        <f t="shared" si="7"/>
        <v>117.67999999999999</v>
      </c>
      <c r="AZ8" s="125">
        <f t="shared" ref="AZ8:AZ37" si="24">IF(AB8=0,0,((D8*0.97)*(E8/100)*0.9)/(AB8/100))+DH8</f>
        <v>111.72678134854097</v>
      </c>
      <c r="BA8" s="159">
        <f t="shared" si="8"/>
        <v>2.9290985915492955</v>
      </c>
      <c r="BB8" s="160">
        <f t="shared" si="9"/>
        <v>4.7071999999999994</v>
      </c>
      <c r="BC8" s="161">
        <f t="shared" si="10"/>
        <v>0.93055905344919532</v>
      </c>
      <c r="BD8" s="160">
        <f t="shared" ref="BD8:BD37" si="25">BA8+BB8</f>
        <v>7.6362985915492949</v>
      </c>
      <c r="BE8" s="162">
        <v>0.96399999999999997</v>
      </c>
      <c r="BF8" s="25">
        <f t="shared" ref="BF8:BF37" si="26">BF7+AY8</f>
        <v>247.65999999999997</v>
      </c>
      <c r="BG8" s="25">
        <f t="shared" si="11"/>
        <v>118.33333333333333</v>
      </c>
      <c r="BH8" s="25">
        <f t="shared" ref="BH8:BH37" si="27">BG8+BH7</f>
        <v>236.66666666666666</v>
      </c>
      <c r="BI8" s="26">
        <f t="shared" si="12"/>
        <v>1</v>
      </c>
      <c r="BJ8" s="27">
        <f t="shared" ref="BJ8:BJ37" si="28">BG8*BI8+BJ7</f>
        <v>236.66666666666666</v>
      </c>
      <c r="BK8" s="30"/>
      <c r="BL8" s="31">
        <v>190.65799999999999</v>
      </c>
      <c r="BM8" s="31"/>
      <c r="BN8" s="31">
        <v>41.192999999999998</v>
      </c>
      <c r="BO8" s="40"/>
      <c r="BP8" s="40">
        <v>20.617000000000001</v>
      </c>
      <c r="BQ8" s="32">
        <v>5.0720000000000001</v>
      </c>
      <c r="BR8" s="33"/>
      <c r="BS8" s="34">
        <v>0.46</v>
      </c>
      <c r="BT8" s="35"/>
      <c r="BU8" s="28"/>
      <c r="BV8" s="287"/>
      <c r="BW8" s="28">
        <v>1.53</v>
      </c>
      <c r="BX8" s="36"/>
      <c r="BY8" s="33"/>
      <c r="BZ8" s="34">
        <v>36.76</v>
      </c>
      <c r="CA8" s="35"/>
      <c r="CB8" s="35">
        <v>43.38</v>
      </c>
      <c r="CC8" s="235"/>
      <c r="CD8" s="235">
        <v>34.1</v>
      </c>
      <c r="CE8" s="36">
        <v>43.27</v>
      </c>
      <c r="CF8" s="30">
        <v>168.48</v>
      </c>
      <c r="CG8" s="30"/>
      <c r="CH8" s="31"/>
      <c r="CI8" s="32"/>
      <c r="CJ8" s="33">
        <v>2.95</v>
      </c>
      <c r="CK8" s="33"/>
      <c r="CL8" s="35"/>
      <c r="CM8" s="28"/>
      <c r="CN8" s="286"/>
      <c r="CO8" s="249">
        <f t="shared" si="13"/>
        <v>0</v>
      </c>
      <c r="CP8" s="12">
        <f t="shared" si="13"/>
        <v>189.78097320000001</v>
      </c>
      <c r="CQ8" s="12">
        <f t="shared" si="13"/>
        <v>0</v>
      </c>
      <c r="CR8" s="12">
        <f t="shared" si="13"/>
        <v>41.192999999999998</v>
      </c>
      <c r="CS8" s="11">
        <f t="shared" si="13"/>
        <v>0</v>
      </c>
      <c r="CT8" s="11">
        <f t="shared" si="13"/>
        <v>20.301559900000001</v>
      </c>
      <c r="CU8" s="272">
        <f t="shared" si="13"/>
        <v>5.0720000000000001</v>
      </c>
      <c r="CV8" s="249">
        <f t="shared" si="14"/>
        <v>163.50983999999997</v>
      </c>
      <c r="CW8" s="12">
        <f t="shared" si="14"/>
        <v>0</v>
      </c>
      <c r="CX8" s="254">
        <f t="shared" si="14"/>
        <v>0</v>
      </c>
      <c r="CY8" s="272">
        <f t="shared" si="14"/>
        <v>0</v>
      </c>
      <c r="CZ8" s="13"/>
      <c r="DA8" s="240">
        <f>(D8+'[2]сентябрь 20'!D8)/(AY8+'[2]сентябрь 20'!BA8)</f>
        <v>2.1905859211712424</v>
      </c>
      <c r="DB8" s="241">
        <f>(T8+'[2]сентябрь 20'!T8)/(AY8+'[2]сентябрь 20'!BA8)</f>
        <v>1.3781060623219195</v>
      </c>
      <c r="DD8" s="292">
        <f t="shared" si="15"/>
        <v>10.063000000000001</v>
      </c>
      <c r="DE8" s="291">
        <v>0.42</v>
      </c>
      <c r="DF8" s="291">
        <v>10.119999999999999</v>
      </c>
      <c r="DG8" s="145">
        <f t="shared" si="16"/>
        <v>10.020735400000001</v>
      </c>
      <c r="DH8" s="293">
        <f t="shared" ref="DH8:DH37" si="29">IF(AB8=0,0,(DG8*DF8%)/(AB8/100))</f>
        <v>1.3257921590796184</v>
      </c>
      <c r="DJ8" s="322"/>
    </row>
    <row r="9" spans="1:114" s="76" customFormat="1" ht="16.5" customHeight="1" thickBot="1">
      <c r="A9" s="144">
        <v>3</v>
      </c>
      <c r="B9" s="122">
        <f>'[1]сентябрь 20'!K8</f>
        <v>257.649</v>
      </c>
      <c r="C9" s="123">
        <f t="shared" si="17"/>
        <v>0.65775368815714408</v>
      </c>
      <c r="D9" s="145">
        <f>B9*((100-C9)/100)</f>
        <v>255.9543042</v>
      </c>
      <c r="E9" s="125">
        <f t="shared" si="19"/>
        <v>37.142183008666834</v>
      </c>
      <c r="F9" s="146">
        <f t="shared" si="0"/>
        <v>1.9095367367949863</v>
      </c>
      <c r="G9" s="127"/>
      <c r="H9" s="126">
        <f t="shared" si="20"/>
        <v>1.5630356923306477</v>
      </c>
      <c r="I9" s="230">
        <f>'[1]июль 20'!AI8</f>
        <v>0</v>
      </c>
      <c r="J9" s="247">
        <f>'[1]сентябрь 20'!AA8</f>
        <v>10.5</v>
      </c>
      <c r="K9" s="465">
        <f>'[1]сентябрь 20'!AM8</f>
        <v>0</v>
      </c>
      <c r="L9" s="247">
        <f>'[1]сентябрь 20'!AE8</f>
        <v>46.445</v>
      </c>
      <c r="M9" s="469">
        <f t="shared" si="21"/>
        <v>0.34650104446433894</v>
      </c>
      <c r="N9" s="403">
        <f>'[1]сентябрь 20'!W8</f>
        <v>0</v>
      </c>
      <c r="O9" s="403">
        <f>'[1]сентябрь 20'!AU8</f>
        <v>4.4210000000000003</v>
      </c>
      <c r="P9" s="401">
        <f t="shared" si="1"/>
        <v>166.315</v>
      </c>
      <c r="Q9" s="122">
        <f>'[1]сентябрь 20'!S8</f>
        <v>166.315</v>
      </c>
      <c r="R9" s="123">
        <f t="shared" si="22"/>
        <v>2.97</v>
      </c>
      <c r="S9" s="129">
        <v>9.08</v>
      </c>
      <c r="T9" s="125">
        <f t="shared" si="2"/>
        <v>161.37544450000001</v>
      </c>
      <c r="U9" s="147">
        <f>IF(AY9=0,0,T9/AY9)</f>
        <v>1.2039349783646671</v>
      </c>
      <c r="V9" s="130">
        <v>135.05000000000001</v>
      </c>
      <c r="W9" s="130">
        <v>69.66</v>
      </c>
      <c r="X9" s="129">
        <v>1.38</v>
      </c>
      <c r="Y9" s="131">
        <v>567</v>
      </c>
      <c r="Z9" s="131">
        <v>1181</v>
      </c>
      <c r="AA9" s="148" t="s">
        <v>116</v>
      </c>
      <c r="AB9" s="149">
        <v>76.64</v>
      </c>
      <c r="AC9" s="150">
        <v>103</v>
      </c>
      <c r="AD9" s="151">
        <v>4</v>
      </c>
      <c r="AE9" s="149">
        <v>5.8</v>
      </c>
      <c r="AF9" s="134">
        <f t="shared" si="4"/>
        <v>43.27066547299313</v>
      </c>
      <c r="AG9" s="152"/>
      <c r="AH9" s="129">
        <v>68</v>
      </c>
      <c r="AI9" s="134">
        <f t="shared" si="5"/>
        <v>507.31125037302292</v>
      </c>
      <c r="AJ9" s="153">
        <v>17.600000000000001</v>
      </c>
      <c r="AK9" s="154"/>
      <c r="AL9" s="155">
        <v>5.65</v>
      </c>
      <c r="AM9" s="478">
        <v>35.86</v>
      </c>
      <c r="AN9" s="126">
        <f t="shared" si="23"/>
        <v>0.20579626972740314</v>
      </c>
      <c r="AO9" s="157" t="s">
        <v>397</v>
      </c>
      <c r="AP9" s="156">
        <v>9.59</v>
      </c>
      <c r="AQ9" s="156">
        <v>6.94</v>
      </c>
      <c r="AR9" s="149"/>
      <c r="AS9" s="149">
        <v>5.26</v>
      </c>
      <c r="AT9" s="149">
        <v>174.25</v>
      </c>
      <c r="AU9" s="149">
        <v>1.3</v>
      </c>
      <c r="AV9" s="149"/>
      <c r="AW9" s="149"/>
      <c r="AX9" s="158">
        <f t="shared" si="6"/>
        <v>0</v>
      </c>
      <c r="AY9" s="125">
        <f t="shared" si="7"/>
        <v>134.04000000000002</v>
      </c>
      <c r="AZ9" s="125">
        <f t="shared" si="24"/>
        <v>109.82250199868125</v>
      </c>
      <c r="BA9" s="159">
        <f t="shared" si="8"/>
        <v>2.7707605633802816</v>
      </c>
      <c r="BB9" s="160">
        <f t="shared" si="9"/>
        <v>5.361600000000001</v>
      </c>
      <c r="BC9" s="161">
        <f t="shared" si="10"/>
        <v>1.0805877814516089</v>
      </c>
      <c r="BD9" s="160">
        <f t="shared" si="25"/>
        <v>8.1323605633802831</v>
      </c>
      <c r="BE9" s="162">
        <v>1.002</v>
      </c>
      <c r="BF9" s="25">
        <f t="shared" si="26"/>
        <v>381.7</v>
      </c>
      <c r="BG9" s="25">
        <f t="shared" si="11"/>
        <v>118.33333333333333</v>
      </c>
      <c r="BH9" s="25">
        <f t="shared" si="27"/>
        <v>355</v>
      </c>
      <c r="BI9" s="26">
        <f t="shared" si="12"/>
        <v>1</v>
      </c>
      <c r="BJ9" s="37">
        <f t="shared" si="28"/>
        <v>355</v>
      </c>
      <c r="BK9" s="38"/>
      <c r="BL9" s="31">
        <v>190.62200000000001</v>
      </c>
      <c r="BM9" s="31"/>
      <c r="BN9" s="31">
        <v>41.238</v>
      </c>
      <c r="BO9" s="40"/>
      <c r="BP9" s="40">
        <v>20.582000000000001</v>
      </c>
      <c r="BQ9" s="32">
        <v>5.2069999999999999</v>
      </c>
      <c r="BR9" s="33"/>
      <c r="BS9" s="34">
        <v>0.55000000000000004</v>
      </c>
      <c r="BT9" s="35"/>
      <c r="BU9" s="28"/>
      <c r="BV9" s="287"/>
      <c r="BW9" s="287">
        <v>3.14</v>
      </c>
      <c r="BX9" s="36"/>
      <c r="BY9" s="33"/>
      <c r="BZ9" s="34">
        <v>36.090000000000003</v>
      </c>
      <c r="CA9" s="35"/>
      <c r="CB9" s="35">
        <v>43.13</v>
      </c>
      <c r="CC9" s="235"/>
      <c r="CD9" s="235">
        <v>33.369999999999997</v>
      </c>
      <c r="CE9" s="36">
        <v>43.15</v>
      </c>
      <c r="CF9" s="30">
        <v>166.315</v>
      </c>
      <c r="CG9" s="30"/>
      <c r="CH9" s="31"/>
      <c r="CI9" s="32"/>
      <c r="CJ9" s="33">
        <v>2.97</v>
      </c>
      <c r="CK9" s="33"/>
      <c r="CL9" s="35"/>
      <c r="CM9" s="36"/>
      <c r="CN9" s="286"/>
      <c r="CO9" s="249">
        <f t="shared" si="13"/>
        <v>0</v>
      </c>
      <c r="CP9" s="12">
        <f t="shared" si="13"/>
        <v>189.57357900000002</v>
      </c>
      <c r="CQ9" s="12">
        <f t="shared" si="13"/>
        <v>0</v>
      </c>
      <c r="CR9" s="12">
        <f t="shared" si="13"/>
        <v>41.238</v>
      </c>
      <c r="CS9" s="11">
        <f t="shared" si="13"/>
        <v>0</v>
      </c>
      <c r="CT9" s="11">
        <f t="shared" si="13"/>
        <v>19.9357252</v>
      </c>
      <c r="CU9" s="272">
        <f t="shared" si="13"/>
        <v>5.2069999999999999</v>
      </c>
      <c r="CV9" s="249">
        <f t="shared" si="14"/>
        <v>161.37544450000001</v>
      </c>
      <c r="CW9" s="251">
        <f t="shared" si="14"/>
        <v>0</v>
      </c>
      <c r="CX9" s="249">
        <f t="shared" si="14"/>
        <v>0</v>
      </c>
      <c r="CY9" s="272">
        <f t="shared" si="14"/>
        <v>0</v>
      </c>
      <c r="CZ9" s="13"/>
      <c r="DA9" s="240">
        <f>(D9+'[2]сентябрь 20'!D9)/(AY9+'[2]сентябрь 20'!BA9)</f>
        <v>2.0139711790742356</v>
      </c>
      <c r="DB9" s="241">
        <f>(T9+'[2]сентябрь 20'!T9)/(AY9+'[2]сентябрь 20'!BA9)</f>
        <v>1.2578891463597981</v>
      </c>
      <c r="DD9" s="292">
        <f t="shared" si="15"/>
        <v>10.5</v>
      </c>
      <c r="DE9" s="291">
        <v>0.22</v>
      </c>
      <c r="DF9" s="291">
        <v>11.21</v>
      </c>
      <c r="DG9" s="145">
        <f t="shared" si="16"/>
        <v>10.476900000000001</v>
      </c>
      <c r="DH9" s="293">
        <f t="shared" si="29"/>
        <v>1.5324380088726517</v>
      </c>
      <c r="DJ9" s="322"/>
    </row>
    <row r="10" spans="1:114" s="76" customFormat="1" ht="16.5" customHeight="1" thickBot="1">
      <c r="A10" s="144">
        <v>4</v>
      </c>
      <c r="B10" s="122">
        <f>'[1]сентябрь 20'!K9</f>
        <v>260.13</v>
      </c>
      <c r="C10" s="123">
        <f t="shared" si="17"/>
        <v>0.79664633068081336</v>
      </c>
      <c r="D10" s="145">
        <f t="shared" ref="D10:D36" si="30">B10*((100-C10)/100)</f>
        <v>258.05768389999997</v>
      </c>
      <c r="E10" s="125">
        <f>IF(B10=0,0,(BK10*BY10+BL10*BZ10+BM10*CA10+BQ10*CE10+BN10*CB10+BO10*CC10+BP10*CD10)/B10)</f>
        <v>37.736456963825781</v>
      </c>
      <c r="F10" s="146">
        <f t="shared" si="0"/>
        <v>2.3444869982738252</v>
      </c>
      <c r="G10" s="127">
        <v>28.26</v>
      </c>
      <c r="H10" s="126">
        <f t="shared" si="20"/>
        <v>1.9191031516307802</v>
      </c>
      <c r="I10" s="230">
        <f>'[1]июль 20'!AI9</f>
        <v>0</v>
      </c>
      <c r="J10" s="247">
        <f>'[1]сентябрь 20'!AA9</f>
        <v>10.749000000000001</v>
      </c>
      <c r="K10" s="466">
        <f>'[1]сентябрь 20'!AM9</f>
        <v>0</v>
      </c>
      <c r="L10" s="247">
        <f>'[1]сентябрь 20'!AE9</f>
        <v>46.822000000000003</v>
      </c>
      <c r="M10" s="470">
        <f t="shared" si="21"/>
        <v>0.42538384664304535</v>
      </c>
      <c r="N10" s="403">
        <f>'[1]сентябрь 20'!W9</f>
        <v>0</v>
      </c>
      <c r="O10" s="403">
        <f>'[1]сентябрь 20'!AU9</f>
        <v>5.79</v>
      </c>
      <c r="P10" s="401">
        <f t="shared" si="1"/>
        <v>166.37200000000001</v>
      </c>
      <c r="Q10" s="122">
        <f>'[1]сентябрь 20'!S9</f>
        <v>166.37200000000001</v>
      </c>
      <c r="R10" s="123">
        <f t="shared" si="22"/>
        <v>2.92</v>
      </c>
      <c r="S10" s="129">
        <v>2.23</v>
      </c>
      <c r="T10" s="125">
        <f t="shared" si="2"/>
        <v>161.51393760000002</v>
      </c>
      <c r="U10" s="147">
        <f t="shared" ref="U10:U36" si="31">IF(AY10=0,0,T10/AY10)</f>
        <v>1.467374739711093</v>
      </c>
      <c r="V10" s="130">
        <v>94.1</v>
      </c>
      <c r="W10" s="130"/>
      <c r="X10" s="129">
        <v>1.99</v>
      </c>
      <c r="Y10" s="131">
        <v>598</v>
      </c>
      <c r="Z10" s="131">
        <v>1173</v>
      </c>
      <c r="AA10" s="148" t="s">
        <v>150</v>
      </c>
      <c r="AB10" s="149">
        <v>75.84</v>
      </c>
      <c r="AC10" s="150">
        <v>104</v>
      </c>
      <c r="AD10" s="151">
        <v>4</v>
      </c>
      <c r="AE10" s="149">
        <v>4.6500000000000004</v>
      </c>
      <c r="AF10" s="134">
        <f t="shared" si="4"/>
        <v>42.245843554101938</v>
      </c>
      <c r="AG10" s="152"/>
      <c r="AH10" s="129">
        <v>73.900000000000006</v>
      </c>
      <c r="AI10" s="134">
        <f t="shared" si="5"/>
        <v>671.39093304260916</v>
      </c>
      <c r="AJ10" s="153">
        <v>18.100000000000001</v>
      </c>
      <c r="AK10" s="154"/>
      <c r="AL10" s="155">
        <v>6.63</v>
      </c>
      <c r="AM10" s="478">
        <v>44.43</v>
      </c>
      <c r="AN10" s="126">
        <f t="shared" si="23"/>
        <v>0.27786116322701687</v>
      </c>
      <c r="AO10" s="157" t="s">
        <v>154</v>
      </c>
      <c r="AP10" s="156">
        <v>9.26</v>
      </c>
      <c r="AQ10" s="156">
        <v>7.12</v>
      </c>
      <c r="AR10" s="149"/>
      <c r="AS10" s="149">
        <v>5.78</v>
      </c>
      <c r="AT10" s="149">
        <v>159.9</v>
      </c>
      <c r="AU10" s="149">
        <v>1.23</v>
      </c>
      <c r="AV10" s="149"/>
      <c r="AW10" s="149"/>
      <c r="AX10" s="158">
        <f t="shared" si="6"/>
        <v>0</v>
      </c>
      <c r="AY10" s="125">
        <f>AT10-AL10-AM10+AV10+AW10+AU10</f>
        <v>110.07000000000001</v>
      </c>
      <c r="AZ10" s="125">
        <f t="shared" si="24"/>
        <v>113.6260255616685</v>
      </c>
      <c r="BA10" s="159">
        <f t="shared" si="8"/>
        <v>3.3088464788732401</v>
      </c>
      <c r="BB10" s="160">
        <f t="shared" si="9"/>
        <v>4.4028</v>
      </c>
      <c r="BC10" s="161">
        <f t="shared" si="10"/>
        <v>0.85721423308782274</v>
      </c>
      <c r="BD10" s="160">
        <f t="shared" si="25"/>
        <v>7.7116464788732397</v>
      </c>
      <c r="BE10" s="162">
        <v>0.96599999999999997</v>
      </c>
      <c r="BF10" s="25">
        <f t="shared" si="26"/>
        <v>491.77</v>
      </c>
      <c r="BG10" s="25">
        <f t="shared" si="11"/>
        <v>118.33333333333333</v>
      </c>
      <c r="BH10" s="25">
        <f t="shared" si="27"/>
        <v>473.33333333333331</v>
      </c>
      <c r="BI10" s="26">
        <f t="shared" si="12"/>
        <v>1</v>
      </c>
      <c r="BJ10" s="37">
        <f t="shared" si="28"/>
        <v>473.33333333333331</v>
      </c>
      <c r="BK10" s="38"/>
      <c r="BL10" s="31">
        <v>192.45699999999999</v>
      </c>
      <c r="BM10" s="31"/>
      <c r="BN10" s="31">
        <v>41.609000000000002</v>
      </c>
      <c r="BO10" s="40"/>
      <c r="BP10" s="40">
        <v>20.850999999999999</v>
      </c>
      <c r="BQ10" s="32">
        <v>5.2130000000000001</v>
      </c>
      <c r="BR10" s="33"/>
      <c r="BS10" s="34">
        <v>0.82</v>
      </c>
      <c r="BT10" s="35"/>
      <c r="BU10" s="28"/>
      <c r="BV10" s="287"/>
      <c r="BW10" s="287">
        <v>2.37</v>
      </c>
      <c r="BX10" s="36"/>
      <c r="BY10" s="33"/>
      <c r="BZ10" s="34">
        <v>36.89</v>
      </c>
      <c r="CA10" s="35"/>
      <c r="CB10" s="35">
        <v>43.61</v>
      </c>
      <c r="CC10" s="235"/>
      <c r="CD10" s="235">
        <v>32.32</v>
      </c>
      <c r="CE10" s="36">
        <v>43.77</v>
      </c>
      <c r="CF10" s="30">
        <v>166.37200000000001</v>
      </c>
      <c r="CG10" s="30"/>
      <c r="CH10" s="31"/>
      <c r="CI10" s="32"/>
      <c r="CJ10" s="33">
        <v>2.92</v>
      </c>
      <c r="CK10" s="33"/>
      <c r="CL10" s="35"/>
      <c r="CM10" s="36"/>
      <c r="CN10" s="286"/>
      <c r="CO10" s="249">
        <f t="shared" si="13"/>
        <v>0</v>
      </c>
      <c r="CP10" s="12">
        <f t="shared" si="13"/>
        <v>190.87885259999999</v>
      </c>
      <c r="CQ10" s="12">
        <f t="shared" si="13"/>
        <v>0</v>
      </c>
      <c r="CR10" s="14">
        <f t="shared" si="13"/>
        <v>41.609000000000002</v>
      </c>
      <c r="CS10" s="11">
        <f t="shared" si="13"/>
        <v>0</v>
      </c>
      <c r="CT10" s="11">
        <f t="shared" si="13"/>
        <v>20.3568313</v>
      </c>
      <c r="CU10" s="272">
        <f t="shared" si="13"/>
        <v>5.2130000000000001</v>
      </c>
      <c r="CV10" s="249">
        <f t="shared" si="14"/>
        <v>161.51393760000002</v>
      </c>
      <c r="CW10" s="12">
        <f t="shared" si="14"/>
        <v>0</v>
      </c>
      <c r="CX10" s="249">
        <f t="shared" si="14"/>
        <v>0</v>
      </c>
      <c r="CY10" s="272">
        <f t="shared" si="14"/>
        <v>0</v>
      </c>
      <c r="CZ10" s="13"/>
      <c r="DA10" s="240">
        <f>(D10+'[2]сентябрь 20'!D10)/(AY10+'[2]сентябрь 20'!BA10)</f>
        <v>2.3709525917809655</v>
      </c>
      <c r="DB10" s="241">
        <f>(T10+'[2]сентябрь 20'!T10)/(AY10+'[2]сентябрь 20'!BA10)</f>
        <v>1.476184803939258</v>
      </c>
      <c r="DD10" s="292">
        <f t="shared" si="15"/>
        <v>10.749000000000001</v>
      </c>
      <c r="DE10" s="291">
        <v>0.2</v>
      </c>
      <c r="DF10" s="291">
        <v>10.81</v>
      </c>
      <c r="DG10" s="145">
        <f t="shared" si="16"/>
        <v>10.727502000000001</v>
      </c>
      <c r="DH10" s="293">
        <f t="shared" si="29"/>
        <v>1.5290650925632912</v>
      </c>
      <c r="DJ10" s="322"/>
    </row>
    <row r="11" spans="1:114" s="76" customFormat="1" ht="16.5" customHeight="1" thickBot="1">
      <c r="A11" s="144">
        <v>5</v>
      </c>
      <c r="B11" s="122">
        <f>'[1]сентябрь 20'!K10</f>
        <v>252.49</v>
      </c>
      <c r="C11" s="123">
        <f t="shared" si="17"/>
        <v>0.70106190344172048</v>
      </c>
      <c r="D11" s="145">
        <f t="shared" si="30"/>
        <v>250.71988880000001</v>
      </c>
      <c r="E11" s="125">
        <f t="shared" ref="E11:E36" si="32">IF(B11=0,0,(BK11*BY11+BL11*BZ11+BM11*CA11+BQ11*CE11+BN11*CB11+BO11*CC11+BP11*CD11)/B11)</f>
        <v>37.299917145233479</v>
      </c>
      <c r="F11" s="146">
        <f t="shared" si="0"/>
        <v>1.9096647787341003</v>
      </c>
      <c r="G11" s="127">
        <v>16.350000000000001</v>
      </c>
      <c r="H11" s="126">
        <f t="shared" si="20"/>
        <v>1.5640329712849419</v>
      </c>
      <c r="I11" s="230">
        <f>'[1]июль 20'!AI10</f>
        <v>0</v>
      </c>
      <c r="J11" s="247">
        <f>'[1]сентябрь 20'!AA10</f>
        <v>10.679</v>
      </c>
      <c r="K11" s="464">
        <f>'[1]сентябрь 20'!AM10</f>
        <v>0</v>
      </c>
      <c r="L11" s="247">
        <f>'[1]сентябрь 20'!AE10</f>
        <v>45.378</v>
      </c>
      <c r="M11" s="468">
        <f t="shared" si="21"/>
        <v>0.34563180744915839</v>
      </c>
      <c r="N11" s="403">
        <f>'[1]сентябрь 20'!W10</f>
        <v>0</v>
      </c>
      <c r="O11" s="403">
        <f>'[1]сентябрь 20'!AU10</f>
        <v>5.9850000000000003</v>
      </c>
      <c r="P11" s="401">
        <f t="shared" si="1"/>
        <v>159.714</v>
      </c>
      <c r="Q11" s="122">
        <f>'[1]сентябрь 20'!S10</f>
        <v>159.714</v>
      </c>
      <c r="R11" s="123">
        <f t="shared" si="22"/>
        <v>3.08</v>
      </c>
      <c r="S11" s="129">
        <v>15.8</v>
      </c>
      <c r="T11" s="125">
        <f t="shared" si="2"/>
        <v>154.7948088</v>
      </c>
      <c r="U11" s="147">
        <f t="shared" si="31"/>
        <v>1.1790296960926194</v>
      </c>
      <c r="V11" s="130">
        <v>131.29</v>
      </c>
      <c r="W11" s="130">
        <v>69.45</v>
      </c>
      <c r="X11" s="129">
        <v>1.1499999999999999</v>
      </c>
      <c r="Y11" s="131">
        <v>582</v>
      </c>
      <c r="Z11" s="131">
        <v>1175</v>
      </c>
      <c r="AA11" s="148" t="s">
        <v>122</v>
      </c>
      <c r="AB11" s="149">
        <v>76.27</v>
      </c>
      <c r="AC11" s="150">
        <v>101</v>
      </c>
      <c r="AD11" s="151">
        <v>4</v>
      </c>
      <c r="AE11" s="149">
        <v>5.15</v>
      </c>
      <c r="AF11" s="134">
        <f t="shared" si="4"/>
        <v>39.226140604768077</v>
      </c>
      <c r="AG11" s="152"/>
      <c r="AH11" s="129">
        <v>83.05</v>
      </c>
      <c r="AI11" s="134">
        <f t="shared" si="5"/>
        <v>632.56912179145411</v>
      </c>
      <c r="AJ11" s="163">
        <v>14.19</v>
      </c>
      <c r="AK11" s="154"/>
      <c r="AL11" s="155">
        <v>6.48</v>
      </c>
      <c r="AM11" s="478">
        <v>33.85</v>
      </c>
      <c r="AN11" s="126">
        <f t="shared" si="23"/>
        <v>0.19859196245233207</v>
      </c>
      <c r="AO11" s="157" t="s">
        <v>398</v>
      </c>
      <c r="AP11" s="156">
        <v>8.41</v>
      </c>
      <c r="AQ11" s="156">
        <v>7.02</v>
      </c>
      <c r="AR11" s="149"/>
      <c r="AS11" s="149">
        <v>7.18</v>
      </c>
      <c r="AT11" s="149">
        <v>170.45</v>
      </c>
      <c r="AU11" s="149">
        <v>1.17</v>
      </c>
      <c r="AV11" s="149"/>
      <c r="AW11" s="149"/>
      <c r="AX11" s="158">
        <f t="shared" si="6"/>
        <v>0</v>
      </c>
      <c r="AY11" s="125">
        <f t="shared" ref="AY11:AY36" si="33">AT11-AL11-AM11+AV11+AW11+AU11</f>
        <v>131.29</v>
      </c>
      <c r="AZ11" s="125">
        <f t="shared" si="24"/>
        <v>108.42082233519835</v>
      </c>
      <c r="BA11" s="159">
        <f t="shared" si="8"/>
        <v>4.6192176056338026</v>
      </c>
      <c r="BB11" s="160">
        <f t="shared" si="9"/>
        <v>5.2515999999999998</v>
      </c>
      <c r="BC11" s="161">
        <f t="shared" si="10"/>
        <v>1.0707516223844711</v>
      </c>
      <c r="BD11" s="160">
        <f t="shared" si="25"/>
        <v>9.8708176056338033</v>
      </c>
      <c r="BE11" s="162">
        <v>0.98599999999999999</v>
      </c>
      <c r="BF11" s="25">
        <f t="shared" si="26"/>
        <v>623.05999999999995</v>
      </c>
      <c r="BG11" s="25">
        <f t="shared" si="11"/>
        <v>118.33333333333333</v>
      </c>
      <c r="BH11" s="25">
        <f t="shared" si="27"/>
        <v>591.66666666666663</v>
      </c>
      <c r="BI11" s="26">
        <f t="shared" si="12"/>
        <v>1</v>
      </c>
      <c r="BJ11" s="37">
        <f t="shared" si="28"/>
        <v>591.66666666666663</v>
      </c>
      <c r="BK11" s="38"/>
      <c r="BL11" s="31">
        <v>186.89500000000001</v>
      </c>
      <c r="BM11" s="31"/>
      <c r="BN11" s="31">
        <v>40.395000000000003</v>
      </c>
      <c r="BO11" s="40"/>
      <c r="BP11" s="40">
        <v>20.216999999999999</v>
      </c>
      <c r="BQ11" s="32">
        <v>4.9829999999999997</v>
      </c>
      <c r="BR11" s="33"/>
      <c r="BS11" s="34">
        <v>0.8</v>
      </c>
      <c r="BT11" s="35"/>
      <c r="BU11" s="28"/>
      <c r="BV11" s="287"/>
      <c r="BW11" s="287">
        <v>1.36</v>
      </c>
      <c r="BX11" s="36"/>
      <c r="BY11" s="33"/>
      <c r="BZ11" s="34">
        <v>36.21</v>
      </c>
      <c r="CA11" s="35"/>
      <c r="CB11" s="35">
        <v>42.99</v>
      </c>
      <c r="CC11" s="235"/>
      <c r="CD11" s="235">
        <v>34.53</v>
      </c>
      <c r="CE11" s="36">
        <v>43.29</v>
      </c>
      <c r="CF11" s="30">
        <v>159.714</v>
      </c>
      <c r="CG11" s="30"/>
      <c r="CH11" s="31"/>
      <c r="CI11" s="32"/>
      <c r="CJ11" s="33">
        <v>3.08</v>
      </c>
      <c r="CK11" s="33"/>
      <c r="CL11" s="35"/>
      <c r="CM11" s="36"/>
      <c r="CN11" s="286"/>
      <c r="CO11" s="249">
        <f t="shared" si="13"/>
        <v>0</v>
      </c>
      <c r="CP11" s="12">
        <f t="shared" si="13"/>
        <v>185.39984000000001</v>
      </c>
      <c r="CQ11" s="15">
        <f t="shared" si="13"/>
        <v>0</v>
      </c>
      <c r="CR11" s="16">
        <f t="shared" si="13"/>
        <v>40.395000000000003</v>
      </c>
      <c r="CS11" s="11">
        <f t="shared" si="13"/>
        <v>0</v>
      </c>
      <c r="CT11" s="11">
        <f t="shared" si="13"/>
        <v>19.942048799999998</v>
      </c>
      <c r="CU11" s="272">
        <f t="shared" si="13"/>
        <v>4.9829999999999997</v>
      </c>
      <c r="CV11" s="249">
        <f t="shared" si="14"/>
        <v>154.7948088</v>
      </c>
      <c r="CW11" s="12">
        <f t="shared" si="14"/>
        <v>0</v>
      </c>
      <c r="CX11" s="249">
        <f t="shared" si="14"/>
        <v>0</v>
      </c>
      <c r="CY11" s="272">
        <f t="shared" si="14"/>
        <v>0</v>
      </c>
      <c r="CZ11" s="13"/>
      <c r="DA11" s="240">
        <f>(D11+'[2]сентябрь 20'!D11)/(AY11+'[2]сентябрь 20'!BA11)</f>
        <v>2.0581678964961179</v>
      </c>
      <c r="DB11" s="241">
        <f>(T11+'[2]сентябрь 20'!T11)/(AY11+'[2]сентябрь 20'!BA11)</f>
        <v>1.2694372214122656</v>
      </c>
      <c r="DD11" s="292">
        <f t="shared" si="15"/>
        <v>10.679</v>
      </c>
      <c r="DE11" s="291">
        <v>0.38</v>
      </c>
      <c r="DF11" s="407">
        <v>9.8800000000000008</v>
      </c>
      <c r="DG11" s="145">
        <f t="shared" si="16"/>
        <v>10.638419800000001</v>
      </c>
      <c r="DH11" s="293">
        <f t="shared" si="29"/>
        <v>1.3780986970499547</v>
      </c>
      <c r="DJ11" s="322"/>
    </row>
    <row r="12" spans="1:114" s="76" customFormat="1" ht="16.5" customHeight="1" thickBot="1">
      <c r="A12" s="144">
        <v>6</v>
      </c>
      <c r="B12" s="122">
        <f>'[1]сентябрь 20'!K11</f>
        <v>277.66899999999998</v>
      </c>
      <c r="C12" s="123">
        <f t="shared" si="17"/>
        <v>1.2164192617829142</v>
      </c>
      <c r="D12" s="145">
        <f t="shared" si="30"/>
        <v>274.29138079999996</v>
      </c>
      <c r="E12" s="125">
        <f t="shared" si="32"/>
        <v>37.63987272615956</v>
      </c>
      <c r="F12" s="146">
        <f t="shared" si="0"/>
        <v>2.4372790190154605</v>
      </c>
      <c r="G12" s="127">
        <v>13.62</v>
      </c>
      <c r="H12" s="126">
        <f t="shared" si="20"/>
        <v>1.9934990296783361</v>
      </c>
      <c r="I12" s="230">
        <f>'[1]июль 20'!AI11</f>
        <v>0</v>
      </c>
      <c r="J12" s="247">
        <f>'[1]сентябрь 20'!AA11</f>
        <v>11.157</v>
      </c>
      <c r="K12" s="465">
        <f>'[1]сентябрь 20'!AM11</f>
        <v>0</v>
      </c>
      <c r="L12" s="247">
        <f>'[1]сентябрь 20'!AE11</f>
        <v>49.942999999999998</v>
      </c>
      <c r="M12" s="469">
        <f t="shared" si="21"/>
        <v>0.44377998933712454</v>
      </c>
      <c r="N12" s="403">
        <f>'[1]сентябрь 20'!W11</f>
        <v>0</v>
      </c>
      <c r="O12" s="403">
        <f>'[1]сентябрь 20'!AU11</f>
        <v>6.7560000000000002</v>
      </c>
      <c r="P12" s="401">
        <f t="shared" si="1"/>
        <v>173.71899999999999</v>
      </c>
      <c r="Q12" s="122">
        <f>'[1]сентябрь 20'!S11</f>
        <v>173.71899999999999</v>
      </c>
      <c r="R12" s="123">
        <f t="shared" si="22"/>
        <v>3.03</v>
      </c>
      <c r="S12" s="129"/>
      <c r="T12" s="125">
        <f t="shared" si="2"/>
        <v>168.4553143</v>
      </c>
      <c r="U12" s="147">
        <f t="shared" si="31"/>
        <v>1.496848358805758</v>
      </c>
      <c r="V12" s="130">
        <v>112.54</v>
      </c>
      <c r="W12" s="130">
        <v>28.27</v>
      </c>
      <c r="X12" s="129">
        <v>1.85</v>
      </c>
      <c r="Y12" s="131">
        <v>574</v>
      </c>
      <c r="Z12" s="150">
        <v>1171</v>
      </c>
      <c r="AA12" s="148" t="s">
        <v>399</v>
      </c>
      <c r="AB12" s="149">
        <v>76.3</v>
      </c>
      <c r="AC12" s="150">
        <v>111</v>
      </c>
      <c r="AD12" s="151">
        <v>4</v>
      </c>
      <c r="AE12" s="149">
        <v>5.2</v>
      </c>
      <c r="AF12" s="134">
        <f t="shared" si="4"/>
        <v>46.205793495645992</v>
      </c>
      <c r="AG12" s="152"/>
      <c r="AH12" s="129">
        <v>73.099999999999994</v>
      </c>
      <c r="AI12" s="134">
        <f t="shared" si="5"/>
        <v>649.54682779456186</v>
      </c>
      <c r="AJ12" s="153">
        <v>13.89</v>
      </c>
      <c r="AK12" s="154"/>
      <c r="AL12" s="155">
        <v>6.91</v>
      </c>
      <c r="AM12" s="478">
        <v>32.630000000000003</v>
      </c>
      <c r="AN12" s="126">
        <f t="shared" si="23"/>
        <v>0.21630759032151145</v>
      </c>
      <c r="AO12" s="157" t="s">
        <v>196</v>
      </c>
      <c r="AP12" s="156">
        <v>8.66</v>
      </c>
      <c r="AQ12" s="156">
        <v>6.6</v>
      </c>
      <c r="AR12" s="149"/>
      <c r="AS12" s="149">
        <v>6.02</v>
      </c>
      <c r="AT12" s="149">
        <v>150.85</v>
      </c>
      <c r="AU12" s="149">
        <v>1.23</v>
      </c>
      <c r="AV12" s="164"/>
      <c r="AW12" s="164"/>
      <c r="AX12" s="158">
        <f t="shared" si="6"/>
        <v>0</v>
      </c>
      <c r="AY12" s="125">
        <f t="shared" si="33"/>
        <v>112.54</v>
      </c>
      <c r="AZ12" s="125">
        <f t="shared" si="24"/>
        <v>118.80164099463769</v>
      </c>
      <c r="BA12" s="159">
        <f t="shared" si="8"/>
        <v>3.4089309859154926</v>
      </c>
      <c r="BB12" s="160">
        <f t="shared" si="9"/>
        <v>4.5016000000000007</v>
      </c>
      <c r="BC12" s="161">
        <f t="shared" si="10"/>
        <v>0.83170850344173153</v>
      </c>
      <c r="BD12" s="160">
        <f t="shared" si="25"/>
        <v>7.9105309859154929</v>
      </c>
      <c r="BE12" s="162">
        <v>0.95899999999999996</v>
      </c>
      <c r="BF12" s="25">
        <f t="shared" si="26"/>
        <v>735.59999999999991</v>
      </c>
      <c r="BG12" s="25">
        <f t="shared" si="11"/>
        <v>118.33333333333333</v>
      </c>
      <c r="BH12" s="25">
        <f t="shared" si="27"/>
        <v>710</v>
      </c>
      <c r="BI12" s="26">
        <f t="shared" si="12"/>
        <v>1</v>
      </c>
      <c r="BJ12" s="37">
        <f t="shared" si="28"/>
        <v>710</v>
      </c>
      <c r="BK12" s="38"/>
      <c r="BL12" s="31">
        <v>205.49299999999999</v>
      </c>
      <c r="BM12" s="31"/>
      <c r="BN12" s="31">
        <v>44.381</v>
      </c>
      <c r="BO12" s="40"/>
      <c r="BP12" s="40">
        <v>22.233000000000001</v>
      </c>
      <c r="BQ12" s="32">
        <v>5.5620000000000003</v>
      </c>
      <c r="BR12" s="33"/>
      <c r="BS12" s="34">
        <v>1.45</v>
      </c>
      <c r="BT12" s="33"/>
      <c r="BU12" s="28"/>
      <c r="BV12" s="287"/>
      <c r="BW12" s="287">
        <v>1.79</v>
      </c>
      <c r="BX12" s="36"/>
      <c r="BY12" s="33"/>
      <c r="BZ12" s="34">
        <v>36.630000000000003</v>
      </c>
      <c r="CA12" s="33"/>
      <c r="CB12" s="35">
        <v>43.51</v>
      </c>
      <c r="CC12" s="235"/>
      <c r="CD12" s="235">
        <v>33.799999999999997</v>
      </c>
      <c r="CE12" s="36">
        <v>43.46</v>
      </c>
      <c r="CF12" s="30">
        <v>173.71899999999999</v>
      </c>
      <c r="CG12" s="30"/>
      <c r="CH12" s="31"/>
      <c r="CI12" s="32"/>
      <c r="CJ12" s="33">
        <v>3.03</v>
      </c>
      <c r="CK12" s="33"/>
      <c r="CL12" s="35"/>
      <c r="CM12" s="36"/>
      <c r="CN12" s="286"/>
      <c r="CO12" s="249">
        <f t="shared" si="13"/>
        <v>0</v>
      </c>
      <c r="CP12" s="12">
        <f t="shared" si="13"/>
        <v>202.51335149999997</v>
      </c>
      <c r="CQ12" s="12">
        <f t="shared" si="13"/>
        <v>0</v>
      </c>
      <c r="CR12" s="12">
        <f t="shared" si="13"/>
        <v>44.381</v>
      </c>
      <c r="CS12" s="11">
        <f t="shared" si="13"/>
        <v>0</v>
      </c>
      <c r="CT12" s="11">
        <f t="shared" si="13"/>
        <v>21.835029299999999</v>
      </c>
      <c r="CU12" s="272">
        <f t="shared" si="13"/>
        <v>5.5620000000000003</v>
      </c>
      <c r="CV12" s="249">
        <f t="shared" si="14"/>
        <v>168.4553143</v>
      </c>
      <c r="CW12" s="12">
        <f t="shared" si="14"/>
        <v>0</v>
      </c>
      <c r="CX12" s="252">
        <f t="shared" si="14"/>
        <v>0</v>
      </c>
      <c r="CY12" s="272">
        <f t="shared" si="14"/>
        <v>0</v>
      </c>
      <c r="CZ12" s="13"/>
      <c r="DA12" s="240">
        <f>(D12+'[2]сентябрь 20'!D12)/(AY12+'[2]сентябрь 20'!BA12)</f>
        <v>2.2686905321769055</v>
      </c>
      <c r="DB12" s="241">
        <f>(T12+'[2]сентябрь 20'!T12)/(AY12+'[2]сентябрь 20'!BA12)</f>
        <v>1.4000894109913147</v>
      </c>
      <c r="DD12" s="292">
        <f t="shared" si="15"/>
        <v>11.157</v>
      </c>
      <c r="DE12" s="291">
        <v>0.17</v>
      </c>
      <c r="DF12" s="291">
        <v>4.62</v>
      </c>
      <c r="DG12" s="145">
        <f t="shared" si="16"/>
        <v>11.138033099999999</v>
      </c>
      <c r="DH12" s="293">
        <f t="shared" si="29"/>
        <v>0.67441301339449533</v>
      </c>
      <c r="DJ12" s="322"/>
    </row>
    <row r="13" spans="1:114" s="76" customFormat="1" ht="16.5" customHeight="1" thickBot="1">
      <c r="A13" s="144">
        <v>7</v>
      </c>
      <c r="B13" s="122">
        <f>'[1]сентябрь 20'!K12</f>
        <v>257.45600000000002</v>
      </c>
      <c r="C13" s="123">
        <f t="shared" si="17"/>
        <v>1.1077904573985458</v>
      </c>
      <c r="D13" s="145">
        <f t="shared" si="30"/>
        <v>254.603927</v>
      </c>
      <c r="E13" s="125">
        <f t="shared" si="32"/>
        <v>37.590927265241433</v>
      </c>
      <c r="F13" s="146">
        <f t="shared" si="0"/>
        <v>2.2781310576234786</v>
      </c>
      <c r="G13" s="127">
        <v>9.25</v>
      </c>
      <c r="H13" s="126">
        <f t="shared" si="20"/>
        <v>1.8641904706513956</v>
      </c>
      <c r="I13" s="230">
        <f>'[1]июль 20'!AI12</f>
        <v>0</v>
      </c>
      <c r="J13" s="247">
        <f>'[1]сентябрь 20'!AA12</f>
        <v>10.173</v>
      </c>
      <c r="K13" s="464">
        <f>'[1]сентябрь 20'!AM12</f>
        <v>0</v>
      </c>
      <c r="L13" s="247">
        <f>'[1]сентябрь 20'!AE12</f>
        <v>46.262</v>
      </c>
      <c r="M13" s="468">
        <f t="shared" si="21"/>
        <v>0.41394058697208302</v>
      </c>
      <c r="N13" s="403">
        <f>'[1]сентябрь 20'!W12</f>
        <v>0</v>
      </c>
      <c r="O13" s="403">
        <f>'[1]сентябрь 20'!AU12</f>
        <v>6.1070000000000002</v>
      </c>
      <c r="P13" s="401">
        <f t="shared" si="1"/>
        <v>161.137</v>
      </c>
      <c r="Q13" s="122">
        <f>'[1]сентябрь 20'!S12</f>
        <v>161.137</v>
      </c>
      <c r="R13" s="123">
        <f t="shared" si="22"/>
        <v>3.01</v>
      </c>
      <c r="S13" s="129">
        <v>5.58</v>
      </c>
      <c r="T13" s="125">
        <f t="shared" si="2"/>
        <v>156.28677629999999</v>
      </c>
      <c r="U13" s="147">
        <f t="shared" si="31"/>
        <v>1.3984142474946311</v>
      </c>
      <c r="V13" s="130">
        <v>111.76</v>
      </c>
      <c r="W13" s="130">
        <v>111.76</v>
      </c>
      <c r="X13" s="129">
        <v>0.61</v>
      </c>
      <c r="Y13" s="165">
        <v>576</v>
      </c>
      <c r="Z13" s="166">
        <v>1170</v>
      </c>
      <c r="AA13" s="148" t="s">
        <v>128</v>
      </c>
      <c r="AB13" s="149">
        <v>76.28</v>
      </c>
      <c r="AC13" s="150">
        <v>103</v>
      </c>
      <c r="AD13" s="151">
        <v>4</v>
      </c>
      <c r="AE13" s="149">
        <v>4</v>
      </c>
      <c r="AF13" s="134">
        <f t="shared" si="4"/>
        <v>35.790980672870432</v>
      </c>
      <c r="AG13" s="152"/>
      <c r="AH13" s="129">
        <v>79.8</v>
      </c>
      <c r="AI13" s="134">
        <f t="shared" si="5"/>
        <v>714.03006442376511</v>
      </c>
      <c r="AJ13" s="136">
        <v>13.32</v>
      </c>
      <c r="AK13" s="154"/>
      <c r="AL13" s="155">
        <v>7.31</v>
      </c>
      <c r="AM13" s="478">
        <v>41.42</v>
      </c>
      <c r="AN13" s="126">
        <f t="shared" si="23"/>
        <v>0.26107784431137726</v>
      </c>
      <c r="AO13" s="157" t="s">
        <v>197</v>
      </c>
      <c r="AP13" s="156">
        <v>7.9</v>
      </c>
      <c r="AQ13" s="156">
        <v>6.47</v>
      </c>
      <c r="AR13" s="149"/>
      <c r="AS13" s="149">
        <v>7.5</v>
      </c>
      <c r="AT13" s="149">
        <v>158.65</v>
      </c>
      <c r="AU13" s="149">
        <v>1.84</v>
      </c>
      <c r="AV13" s="149"/>
      <c r="AW13" s="149"/>
      <c r="AX13" s="158">
        <f t="shared" si="6"/>
        <v>0</v>
      </c>
      <c r="AY13" s="125">
        <f t="shared" si="33"/>
        <v>111.76</v>
      </c>
      <c r="AZ13" s="125">
        <f t="shared" si="24"/>
        <v>110.70935257290907</v>
      </c>
      <c r="BA13" s="159">
        <f t="shared" si="8"/>
        <v>4.6362676056338028</v>
      </c>
      <c r="BB13" s="160">
        <f t="shared" si="9"/>
        <v>4.4704000000000006</v>
      </c>
      <c r="BC13" s="161">
        <f t="shared" si="10"/>
        <v>0.89073586821717132</v>
      </c>
      <c r="BD13" s="160">
        <f t="shared" si="25"/>
        <v>9.1066676056338025</v>
      </c>
      <c r="BE13" s="162">
        <v>0.94899999999999995</v>
      </c>
      <c r="BF13" s="25">
        <f t="shared" si="26"/>
        <v>847.3599999999999</v>
      </c>
      <c r="BG13" s="25">
        <f t="shared" si="11"/>
        <v>118.33333333333333</v>
      </c>
      <c r="BH13" s="25">
        <f t="shared" si="27"/>
        <v>828.33333333333337</v>
      </c>
      <c r="BI13" s="26">
        <f t="shared" si="12"/>
        <v>1</v>
      </c>
      <c r="BJ13" s="37">
        <f t="shared" si="28"/>
        <v>828.33333333333337</v>
      </c>
      <c r="BK13" s="39"/>
      <c r="BL13" s="40">
        <v>190.602</v>
      </c>
      <c r="BM13" s="325"/>
      <c r="BN13" s="31">
        <v>41.156999999999996</v>
      </c>
      <c r="BO13" s="40"/>
      <c r="BP13" s="40">
        <v>20.591999999999999</v>
      </c>
      <c r="BQ13" s="32">
        <v>5.1050000000000004</v>
      </c>
      <c r="BR13" s="33"/>
      <c r="BS13" s="34">
        <v>1.29</v>
      </c>
      <c r="BT13" s="33"/>
      <c r="BU13" s="28"/>
      <c r="BV13" s="287"/>
      <c r="BW13" s="287">
        <v>1.91</v>
      </c>
      <c r="BX13" s="36"/>
      <c r="BY13" s="33"/>
      <c r="BZ13" s="34">
        <v>36.68</v>
      </c>
      <c r="CA13" s="33"/>
      <c r="CB13" s="35">
        <v>42.77</v>
      </c>
      <c r="CC13" s="235"/>
      <c r="CD13" s="235">
        <v>34.36</v>
      </c>
      <c r="CE13" s="36">
        <v>42.88</v>
      </c>
      <c r="CF13" s="30">
        <v>161.137</v>
      </c>
      <c r="CG13" s="30"/>
      <c r="CH13" s="30"/>
      <c r="CI13" s="32"/>
      <c r="CJ13" s="33">
        <v>3.01</v>
      </c>
      <c r="CK13" s="33"/>
      <c r="CL13" s="33"/>
      <c r="CM13" s="36"/>
      <c r="CN13" s="286"/>
      <c r="CO13" s="249">
        <f t="shared" si="13"/>
        <v>0</v>
      </c>
      <c r="CP13" s="12">
        <f t="shared" si="13"/>
        <v>188.14323419999999</v>
      </c>
      <c r="CQ13" s="12">
        <f t="shared" si="13"/>
        <v>0</v>
      </c>
      <c r="CR13" s="12">
        <f t="shared" si="13"/>
        <v>41.156999999999996</v>
      </c>
      <c r="CS13" s="11">
        <f t="shared" si="13"/>
        <v>0</v>
      </c>
      <c r="CT13" s="11">
        <f t="shared" si="13"/>
        <v>20.1986928</v>
      </c>
      <c r="CU13" s="272">
        <f t="shared" si="13"/>
        <v>5.1050000000000004</v>
      </c>
      <c r="CV13" s="249">
        <f t="shared" si="14"/>
        <v>156.28677629999999</v>
      </c>
      <c r="CW13" s="251">
        <f t="shared" si="14"/>
        <v>0</v>
      </c>
      <c r="CX13" s="249">
        <f t="shared" si="14"/>
        <v>0</v>
      </c>
      <c r="CY13" s="272">
        <f t="shared" si="14"/>
        <v>0</v>
      </c>
      <c r="CZ13" s="13"/>
      <c r="DA13" s="240">
        <f>(D13+'[2]сентябрь 20'!D13)/(AY13+'[2]сентябрь 20'!BA13)</f>
        <v>2.3201536393370836</v>
      </c>
      <c r="DB13" s="241">
        <f>(T13+'[2]сентябрь 20'!T13)/(AY13+'[2]сентябрь 20'!BA13)</f>
        <v>1.4403321755082001</v>
      </c>
      <c r="DD13" s="292">
        <f t="shared" si="15"/>
        <v>10.173</v>
      </c>
      <c r="DE13" s="291">
        <v>0.25</v>
      </c>
      <c r="DF13" s="291">
        <v>8.83</v>
      </c>
      <c r="DG13" s="145">
        <f t="shared" si="16"/>
        <v>10.147567500000001</v>
      </c>
      <c r="DH13" s="293">
        <f t="shared" si="29"/>
        <v>1.1746594261274252</v>
      </c>
      <c r="DJ13" s="322"/>
    </row>
    <row r="14" spans="1:114" s="76" customFormat="1" ht="16.5" customHeight="1" thickBot="1">
      <c r="A14" s="144">
        <v>8</v>
      </c>
      <c r="B14" s="122">
        <f>'[1]сентябрь 20'!K13</f>
        <v>253.464</v>
      </c>
      <c r="C14" s="123">
        <f t="shared" si="17"/>
        <v>0.91413092194552281</v>
      </c>
      <c r="D14" s="145">
        <f t="shared" si="30"/>
        <v>251.14700719999996</v>
      </c>
      <c r="E14" s="125">
        <f t="shared" si="32"/>
        <v>37.571354590790015</v>
      </c>
      <c r="F14" s="146">
        <f t="shared" si="0"/>
        <v>2.1926576497293517</v>
      </c>
      <c r="G14" s="127">
        <v>12.34</v>
      </c>
      <c r="H14" s="126">
        <f t="shared" si="20"/>
        <v>1.7876724917059539</v>
      </c>
      <c r="I14" s="230">
        <f>'[1]июль 20'!AI13</f>
        <v>0</v>
      </c>
      <c r="J14" s="247">
        <f>'[1]сентябрь 20'!AA13</f>
        <v>10.599</v>
      </c>
      <c r="K14" s="467">
        <f>'[1]сентябрь 20'!AM13</f>
        <v>0</v>
      </c>
      <c r="L14" s="247">
        <f>'[1]сентябрь 20'!AE13</f>
        <v>46.387</v>
      </c>
      <c r="M14" s="471">
        <f t="shared" si="21"/>
        <v>0.40498515802339791</v>
      </c>
      <c r="N14" s="403">
        <f>'[1]сентябрь 20'!W13</f>
        <v>0</v>
      </c>
      <c r="O14" s="403">
        <f>'[1]сентябрь 20'!AU13</f>
        <v>6.7930000000000001</v>
      </c>
      <c r="P14" s="401">
        <f t="shared" si="1"/>
        <v>159.90100000000001</v>
      </c>
      <c r="Q14" s="122">
        <f>'[1]сентябрь 20'!S13</f>
        <v>159.90100000000001</v>
      </c>
      <c r="R14" s="123">
        <f t="shared" si="22"/>
        <v>3.11</v>
      </c>
      <c r="S14" s="129">
        <v>2.61</v>
      </c>
      <c r="T14" s="125">
        <f t="shared" si="2"/>
        <v>154.9280789</v>
      </c>
      <c r="U14" s="147">
        <f t="shared" si="31"/>
        <v>1.352611130609394</v>
      </c>
      <c r="V14" s="130">
        <v>114.54</v>
      </c>
      <c r="W14" s="130">
        <v>88.76</v>
      </c>
      <c r="X14" s="129">
        <v>1.1100000000000001</v>
      </c>
      <c r="Y14" s="131">
        <v>610</v>
      </c>
      <c r="Z14" s="150">
        <v>1174</v>
      </c>
      <c r="AA14" s="148" t="s">
        <v>122</v>
      </c>
      <c r="AB14" s="149">
        <v>75.91</v>
      </c>
      <c r="AC14" s="150">
        <v>101</v>
      </c>
      <c r="AD14" s="151">
        <v>4</v>
      </c>
      <c r="AE14" s="149">
        <v>4.1500000000000004</v>
      </c>
      <c r="AF14" s="134">
        <f t="shared" si="4"/>
        <v>36.231884057971016</v>
      </c>
      <c r="AG14" s="152"/>
      <c r="AH14" s="129">
        <v>81.05</v>
      </c>
      <c r="AI14" s="134">
        <f t="shared" si="5"/>
        <v>707.61306093940982</v>
      </c>
      <c r="AJ14" s="153">
        <v>14.52</v>
      </c>
      <c r="AK14" s="154"/>
      <c r="AL14" s="155">
        <v>5.65</v>
      </c>
      <c r="AM14" s="478">
        <v>40.81</v>
      </c>
      <c r="AN14" s="126">
        <f t="shared" si="23"/>
        <v>0.25538172715894869</v>
      </c>
      <c r="AO14" s="157" t="s">
        <v>229</v>
      </c>
      <c r="AP14" s="156">
        <v>7.66</v>
      </c>
      <c r="AQ14" s="156">
        <v>6.77</v>
      </c>
      <c r="AR14" s="149"/>
      <c r="AS14" s="149">
        <v>7.59</v>
      </c>
      <c r="AT14" s="149">
        <v>159.80000000000001</v>
      </c>
      <c r="AU14" s="149">
        <v>1.2</v>
      </c>
      <c r="AV14" s="149"/>
      <c r="AW14" s="149"/>
      <c r="AX14" s="158">
        <f t="shared" si="6"/>
        <v>0</v>
      </c>
      <c r="AY14" s="125">
        <f t="shared" si="33"/>
        <v>114.54</v>
      </c>
      <c r="AZ14" s="125">
        <f t="shared" si="24"/>
        <v>110.34041959312577</v>
      </c>
      <c r="BA14" s="159">
        <f t="shared" si="8"/>
        <v>4.7653975352112674</v>
      </c>
      <c r="BB14" s="160">
        <f t="shared" si="9"/>
        <v>4.5816000000000008</v>
      </c>
      <c r="BC14" s="161">
        <f t="shared" si="10"/>
        <v>0.92144901396054046</v>
      </c>
      <c r="BD14" s="159">
        <f t="shared" si="25"/>
        <v>9.3469975352112691</v>
      </c>
      <c r="BE14" s="167">
        <v>0.94599999999999995</v>
      </c>
      <c r="BF14" s="25">
        <f t="shared" si="26"/>
        <v>961.89999999999986</v>
      </c>
      <c r="BG14" s="25">
        <f t="shared" si="11"/>
        <v>118.33333333333333</v>
      </c>
      <c r="BH14" s="25">
        <f t="shared" si="27"/>
        <v>946.66666666666674</v>
      </c>
      <c r="BI14" s="26">
        <f t="shared" si="12"/>
        <v>1</v>
      </c>
      <c r="BJ14" s="37">
        <f t="shared" si="28"/>
        <v>946.66666666666674</v>
      </c>
      <c r="BK14" s="39"/>
      <c r="BL14" s="40">
        <v>190.05699999999999</v>
      </c>
      <c r="BM14" s="325"/>
      <c r="BN14" s="31">
        <v>40.381999999999998</v>
      </c>
      <c r="BO14" s="40"/>
      <c r="BP14" s="40">
        <v>17.02</v>
      </c>
      <c r="BQ14" s="32">
        <v>6.0049999999999999</v>
      </c>
      <c r="BR14" s="33"/>
      <c r="BS14" s="34">
        <v>1.04</v>
      </c>
      <c r="BT14" s="33"/>
      <c r="BU14" s="28"/>
      <c r="BV14" s="287"/>
      <c r="BW14" s="287">
        <v>2</v>
      </c>
      <c r="BX14" s="36"/>
      <c r="BY14" s="33"/>
      <c r="BZ14" s="34">
        <v>36.76</v>
      </c>
      <c r="CA14" s="33"/>
      <c r="CB14" s="35">
        <v>42.95</v>
      </c>
      <c r="CC14" s="235"/>
      <c r="CD14" s="235">
        <v>31.87</v>
      </c>
      <c r="CE14" s="36">
        <v>43.24</v>
      </c>
      <c r="CF14" s="30">
        <v>159.90100000000001</v>
      </c>
      <c r="CG14" s="30"/>
      <c r="CH14" s="30"/>
      <c r="CI14" s="32"/>
      <c r="CJ14" s="33">
        <v>3.11</v>
      </c>
      <c r="CK14" s="33"/>
      <c r="CL14" s="33"/>
      <c r="CM14" s="36"/>
      <c r="CN14" s="286"/>
      <c r="CO14" s="249">
        <f t="shared" si="13"/>
        <v>0</v>
      </c>
      <c r="CP14" s="12">
        <f t="shared" si="13"/>
        <v>188.08040719999997</v>
      </c>
      <c r="CQ14" s="12">
        <f t="shared" si="13"/>
        <v>0</v>
      </c>
      <c r="CR14" s="12">
        <f t="shared" si="13"/>
        <v>40.381999999999998</v>
      </c>
      <c r="CS14" s="11">
        <f t="shared" si="13"/>
        <v>0</v>
      </c>
      <c r="CT14" s="11">
        <f t="shared" si="13"/>
        <v>16.679600000000001</v>
      </c>
      <c r="CU14" s="272">
        <f t="shared" si="13"/>
        <v>6.0049999999999999</v>
      </c>
      <c r="CV14" s="249">
        <f t="shared" si="14"/>
        <v>154.9280789</v>
      </c>
      <c r="CW14" s="12">
        <f t="shared" si="14"/>
        <v>0</v>
      </c>
      <c r="CX14" s="252">
        <f t="shared" si="14"/>
        <v>0</v>
      </c>
      <c r="CY14" s="272">
        <f t="shared" si="14"/>
        <v>0</v>
      </c>
      <c r="CZ14" s="13"/>
      <c r="DA14" s="240">
        <f>(D14+'[2]сентябрь 20'!D14)/(AY14+'[2]сентябрь 20'!BA14)</f>
        <v>2.093819044814587</v>
      </c>
      <c r="DB14" s="241">
        <f>(T14+'[2]сентябрь 20'!T14)/(AY14+'[2]сентябрь 20'!BA14)</f>
        <v>1.3044309585382705</v>
      </c>
      <c r="DD14" s="292">
        <f t="shared" si="15"/>
        <v>10.599</v>
      </c>
      <c r="DE14" s="291">
        <v>0.19</v>
      </c>
      <c r="DF14" s="291">
        <v>13.08</v>
      </c>
      <c r="DG14" s="145">
        <f t="shared" si="16"/>
        <v>10.5788619</v>
      </c>
      <c r="DH14" s="293">
        <f t="shared" si="29"/>
        <v>1.8228364333025953</v>
      </c>
      <c r="DJ14" s="322"/>
    </row>
    <row r="15" spans="1:114" s="76" customFormat="1" ht="16.5" customHeight="1" thickBot="1">
      <c r="A15" s="144">
        <v>9</v>
      </c>
      <c r="B15" s="122">
        <f>'[1]сентябрь 20'!K14</f>
        <v>287.24400000000003</v>
      </c>
      <c r="C15" s="123">
        <f t="shared" si="17"/>
        <v>1.2436779532383617</v>
      </c>
      <c r="D15" s="145">
        <f t="shared" si="30"/>
        <v>283.67160970000003</v>
      </c>
      <c r="E15" s="125">
        <f t="shared" si="32"/>
        <v>37.411341054991574</v>
      </c>
      <c r="F15" s="146">
        <f t="shared" si="0"/>
        <v>2.4796469379370634</v>
      </c>
      <c r="G15" s="127"/>
      <c r="H15" s="126">
        <f t="shared" si="20"/>
        <v>2.0284493854895107</v>
      </c>
      <c r="I15" s="230">
        <f>'[1]июль 20'!AI14</f>
        <v>0</v>
      </c>
      <c r="J15" s="247">
        <f>'[1]сентябрь 20'!AA14</f>
        <v>11.726000000000001</v>
      </c>
      <c r="K15" s="465">
        <f>'[1]сентябрь 20'!AM14</f>
        <v>0</v>
      </c>
      <c r="L15" s="247">
        <f>'[1]сентябрь 20'!AE14</f>
        <v>51.616999999999997</v>
      </c>
      <c r="M15" s="469">
        <f t="shared" si="21"/>
        <v>0.45119755244755244</v>
      </c>
      <c r="N15" s="403">
        <f>'[1]сентябрь 20'!W14</f>
        <v>0</v>
      </c>
      <c r="O15" s="403">
        <f>'[1]сентябрь 20'!AU14</f>
        <v>9.173</v>
      </c>
      <c r="P15" s="401">
        <f t="shared" si="1"/>
        <v>182.15600000000001</v>
      </c>
      <c r="Q15" s="122">
        <f>'[1]сентябрь 20'!S14</f>
        <v>182.15600000000001</v>
      </c>
      <c r="R15" s="123">
        <f t="shared" si="22"/>
        <v>2.91</v>
      </c>
      <c r="S15" s="129">
        <v>18.62</v>
      </c>
      <c r="T15" s="125">
        <f t="shared" si="2"/>
        <v>176.85526039999999</v>
      </c>
      <c r="U15" s="147">
        <f t="shared" si="31"/>
        <v>1.5459375909090909</v>
      </c>
      <c r="V15" s="130">
        <v>114.4</v>
      </c>
      <c r="W15" s="130">
        <v>52.54</v>
      </c>
      <c r="X15" s="129">
        <v>1.1599999999999999</v>
      </c>
      <c r="Y15" s="131">
        <v>572</v>
      </c>
      <c r="Z15" s="150">
        <v>1161</v>
      </c>
      <c r="AA15" s="148" t="s">
        <v>391</v>
      </c>
      <c r="AB15" s="149">
        <v>76.2</v>
      </c>
      <c r="AC15" s="150">
        <v>115</v>
      </c>
      <c r="AD15" s="151">
        <v>5</v>
      </c>
      <c r="AE15" s="149">
        <v>5.8</v>
      </c>
      <c r="AF15" s="134">
        <f t="shared" si="4"/>
        <v>50.6993006993007</v>
      </c>
      <c r="AG15" s="152"/>
      <c r="AH15" s="129">
        <v>76.150000000000006</v>
      </c>
      <c r="AI15" s="134">
        <f t="shared" si="5"/>
        <v>665.64685314685323</v>
      </c>
      <c r="AJ15" s="136">
        <v>12.02</v>
      </c>
      <c r="AK15" s="154"/>
      <c r="AL15" s="155">
        <v>5.52</v>
      </c>
      <c r="AM15" s="478">
        <v>41.06</v>
      </c>
      <c r="AN15" s="126">
        <f t="shared" si="23"/>
        <v>0.25742946708463949</v>
      </c>
      <c r="AO15" s="157" t="s">
        <v>196</v>
      </c>
      <c r="AP15" s="156">
        <v>7.87</v>
      </c>
      <c r="AQ15" s="156">
        <v>6.52</v>
      </c>
      <c r="AR15" s="149"/>
      <c r="AS15" s="149">
        <v>6.25</v>
      </c>
      <c r="AT15" s="149">
        <v>159.5</v>
      </c>
      <c r="AU15" s="149">
        <v>1.48</v>
      </c>
      <c r="AV15" s="149"/>
      <c r="AW15" s="149"/>
      <c r="AX15" s="158">
        <f t="shared" si="6"/>
        <v>0</v>
      </c>
      <c r="AY15" s="125">
        <f t="shared" si="33"/>
        <v>114.39999999999999</v>
      </c>
      <c r="AZ15" s="125">
        <f t="shared" si="24"/>
        <v>123.39739107632286</v>
      </c>
      <c r="BA15" s="159">
        <f t="shared" si="8"/>
        <v>3.6868397887323945</v>
      </c>
      <c r="BB15" s="160">
        <f t="shared" si="9"/>
        <v>4.5759999999999996</v>
      </c>
      <c r="BC15" s="161">
        <f t="shared" si="10"/>
        <v>0.82141351922757866</v>
      </c>
      <c r="BD15" s="159">
        <f t="shared" si="25"/>
        <v>8.2628397887323946</v>
      </c>
      <c r="BE15" s="167">
        <v>0.93100000000000005</v>
      </c>
      <c r="BF15" s="25">
        <f t="shared" si="26"/>
        <v>1076.3</v>
      </c>
      <c r="BG15" s="25">
        <f t="shared" si="11"/>
        <v>118.33333333333333</v>
      </c>
      <c r="BH15" s="25">
        <f t="shared" si="27"/>
        <v>1065</v>
      </c>
      <c r="BI15" s="26">
        <f t="shared" si="12"/>
        <v>1</v>
      </c>
      <c r="BJ15" s="37">
        <f t="shared" si="28"/>
        <v>1065</v>
      </c>
      <c r="BK15" s="38"/>
      <c r="BL15" s="42">
        <v>224.066</v>
      </c>
      <c r="BM15" s="31"/>
      <c r="BN15" s="31">
        <v>45.906999999999996</v>
      </c>
      <c r="BO15" s="40"/>
      <c r="BP15" s="40">
        <v>11.561</v>
      </c>
      <c r="BQ15" s="32">
        <v>5.71</v>
      </c>
      <c r="BR15" s="33"/>
      <c r="BS15" s="35">
        <v>1.47</v>
      </c>
      <c r="BT15" s="35"/>
      <c r="BU15" s="28"/>
      <c r="BV15" s="287"/>
      <c r="BW15" s="287">
        <v>2.41</v>
      </c>
      <c r="BX15" s="36"/>
      <c r="BY15" s="33"/>
      <c r="BZ15" s="34">
        <v>36.26</v>
      </c>
      <c r="CA15" s="35"/>
      <c r="CB15" s="35">
        <v>43.19</v>
      </c>
      <c r="CC15" s="35"/>
      <c r="CD15" s="35">
        <v>33.96</v>
      </c>
      <c r="CE15" s="35">
        <v>43.12</v>
      </c>
      <c r="CF15" s="38">
        <v>182.15600000000001</v>
      </c>
      <c r="CG15" s="30"/>
      <c r="CH15" s="30"/>
      <c r="CI15" s="32"/>
      <c r="CJ15" s="33">
        <v>2.91</v>
      </c>
      <c r="CK15" s="33"/>
      <c r="CL15" s="33"/>
      <c r="CM15" s="36"/>
      <c r="CN15" s="286"/>
      <c r="CO15" s="249">
        <f t="shared" si="13"/>
        <v>0</v>
      </c>
      <c r="CP15" s="12">
        <f t="shared" si="13"/>
        <v>220.77222980000002</v>
      </c>
      <c r="CQ15" s="12">
        <f t="shared" si="13"/>
        <v>0</v>
      </c>
      <c r="CR15" s="17">
        <f t="shared" si="13"/>
        <v>45.906999999999996</v>
      </c>
      <c r="CS15" s="11">
        <f t="shared" si="13"/>
        <v>0</v>
      </c>
      <c r="CT15" s="11">
        <f t="shared" si="13"/>
        <v>11.2823799</v>
      </c>
      <c r="CU15" s="272">
        <f t="shared" si="13"/>
        <v>5.71</v>
      </c>
      <c r="CV15" s="249">
        <f t="shared" si="14"/>
        <v>176.85526039999999</v>
      </c>
      <c r="CW15" s="12">
        <f t="shared" si="14"/>
        <v>0</v>
      </c>
      <c r="CX15" s="249">
        <f t="shared" si="14"/>
        <v>0</v>
      </c>
      <c r="CY15" s="274">
        <f t="shared" si="14"/>
        <v>0</v>
      </c>
      <c r="CZ15" s="13"/>
      <c r="DA15" s="240">
        <f>(D15+'[2]сентябрь 20'!D15)/(AY15+'[2]сентябрь 20'!BA15)</f>
        <v>2.709390347016968</v>
      </c>
      <c r="DB15" s="241">
        <f>(T15+'[2]сентябрь 20'!T15)/(AY15+'[2]сентябрь 20'!BA15)</f>
        <v>1.7055473833242112</v>
      </c>
      <c r="DD15" s="292">
        <f t="shared" si="15"/>
        <v>11.726000000000001</v>
      </c>
      <c r="DE15" s="291">
        <v>0.25</v>
      </c>
      <c r="DF15" s="291">
        <v>11.81</v>
      </c>
      <c r="DG15" s="145">
        <f t="shared" si="16"/>
        <v>11.696685000000002</v>
      </c>
      <c r="DH15" s="293">
        <f t="shared" si="29"/>
        <v>1.8128326751968509</v>
      </c>
      <c r="DJ15" s="322"/>
    </row>
    <row r="16" spans="1:114" s="76" customFormat="1" ht="16.5" customHeight="1" thickBot="1">
      <c r="A16" s="144">
        <v>10</v>
      </c>
      <c r="B16" s="122">
        <f>'[1]сентябрь 20'!K15</f>
        <v>254.98400000000001</v>
      </c>
      <c r="C16" s="123">
        <f t="shared" si="17"/>
        <v>1.1493359191164936</v>
      </c>
      <c r="D16" s="145">
        <f t="shared" si="30"/>
        <v>252.05337729999999</v>
      </c>
      <c r="E16" s="125">
        <f t="shared" si="32"/>
        <v>37.600144361999192</v>
      </c>
      <c r="F16" s="146">
        <f t="shared" si="0"/>
        <v>2.2017241203703701</v>
      </c>
      <c r="G16" s="127">
        <v>14.55</v>
      </c>
      <c r="H16" s="126">
        <f t="shared" si="20"/>
        <v>1.8008855459468902</v>
      </c>
      <c r="I16" s="230">
        <f>'[1]июль 20'!AI15</f>
        <v>0</v>
      </c>
      <c r="J16" s="247">
        <f>'[1]сентябрь 20'!AA15</f>
        <v>10.343</v>
      </c>
      <c r="K16" s="464">
        <f>'[1]сентябрь 20'!AM15</f>
        <v>0</v>
      </c>
      <c r="L16" s="247">
        <f>'[1]сентябрь 20'!AE15</f>
        <v>45.887999999999998</v>
      </c>
      <c r="M16" s="468">
        <f t="shared" si="21"/>
        <v>0.40083857442348014</v>
      </c>
      <c r="N16" s="403">
        <f>'[1]сентябрь 20'!W15</f>
        <v>0</v>
      </c>
      <c r="O16" s="403">
        <f>'[1]сентябрь 20'!AU15</f>
        <v>8.2520000000000007</v>
      </c>
      <c r="P16" s="401">
        <f t="shared" si="1"/>
        <v>160.22999999999999</v>
      </c>
      <c r="Q16" s="122">
        <f>'[1]сентябрь 20'!S15</f>
        <v>160.22999999999999</v>
      </c>
      <c r="R16" s="123">
        <f t="shared" si="22"/>
        <v>2.82</v>
      </c>
      <c r="S16" s="501">
        <v>10.27</v>
      </c>
      <c r="T16" s="125">
        <f t="shared" si="2"/>
        <v>155.71151399999999</v>
      </c>
      <c r="U16" s="147">
        <f t="shared" si="31"/>
        <v>1.3601634696016771</v>
      </c>
      <c r="V16" s="130">
        <v>114.48</v>
      </c>
      <c r="W16" s="130">
        <v>47.89</v>
      </c>
      <c r="X16" s="129">
        <v>1.43</v>
      </c>
      <c r="Y16" s="131">
        <v>590</v>
      </c>
      <c r="Z16" s="150">
        <v>1173</v>
      </c>
      <c r="AA16" s="148" t="s">
        <v>161</v>
      </c>
      <c r="AB16" s="149">
        <v>75.86</v>
      </c>
      <c r="AC16" s="150">
        <v>102</v>
      </c>
      <c r="AD16" s="151">
        <v>5</v>
      </c>
      <c r="AE16" s="149">
        <v>6.95</v>
      </c>
      <c r="AF16" s="134">
        <f t="shared" si="4"/>
        <v>60.709294199860238</v>
      </c>
      <c r="AG16" s="152"/>
      <c r="AH16" s="129">
        <v>77.349999999999994</v>
      </c>
      <c r="AI16" s="134">
        <f t="shared" si="5"/>
        <v>675.66387141858831</v>
      </c>
      <c r="AJ16" s="153">
        <v>14.82</v>
      </c>
      <c r="AK16" s="154"/>
      <c r="AL16" s="155">
        <v>8.6300000000000008</v>
      </c>
      <c r="AM16" s="478">
        <v>42.39</v>
      </c>
      <c r="AN16" s="126">
        <f t="shared" si="23"/>
        <v>0.25792515972010954</v>
      </c>
      <c r="AO16" s="157" t="s">
        <v>199</v>
      </c>
      <c r="AP16" s="156">
        <v>8.1999999999999993</v>
      </c>
      <c r="AQ16" s="156">
        <v>6.95</v>
      </c>
      <c r="AR16" s="149"/>
      <c r="AS16" s="149">
        <v>5.62</v>
      </c>
      <c r="AT16" s="149">
        <v>164.35</v>
      </c>
      <c r="AU16" s="149">
        <v>1.1499999999999999</v>
      </c>
      <c r="AV16" s="149"/>
      <c r="AW16" s="149"/>
      <c r="AX16" s="158">
        <f t="shared" si="6"/>
        <v>0</v>
      </c>
      <c r="AY16" s="125">
        <f t="shared" si="33"/>
        <v>114.48</v>
      </c>
      <c r="AZ16" s="125">
        <f t="shared" si="24"/>
        <v>109.84795891582456</v>
      </c>
      <c r="BA16" s="159">
        <f t="shared" si="8"/>
        <v>3.3674485915492953</v>
      </c>
      <c r="BB16" s="160">
        <f t="shared" si="9"/>
        <v>4.5792000000000002</v>
      </c>
      <c r="BC16" s="161">
        <f t="shared" si="10"/>
        <v>0.91634797776389254</v>
      </c>
      <c r="BD16" s="160">
        <f t="shared" si="25"/>
        <v>7.9466485915492955</v>
      </c>
      <c r="BE16" s="162">
        <v>0.92900000000000005</v>
      </c>
      <c r="BF16" s="25">
        <f t="shared" si="26"/>
        <v>1190.78</v>
      </c>
      <c r="BG16" s="25">
        <f t="shared" si="11"/>
        <v>118.33333333333333</v>
      </c>
      <c r="BH16" s="25">
        <f t="shared" si="27"/>
        <v>1183.3333333333333</v>
      </c>
      <c r="BI16" s="26">
        <f t="shared" si="12"/>
        <v>1</v>
      </c>
      <c r="BJ16" s="37">
        <f t="shared" si="28"/>
        <v>1183.3333333333333</v>
      </c>
      <c r="BK16" s="38"/>
      <c r="BL16" s="31">
        <v>198.941</v>
      </c>
      <c r="BM16" s="31"/>
      <c r="BN16" s="234">
        <v>40.752000000000002</v>
      </c>
      <c r="BO16" s="42"/>
      <c r="BP16" s="40">
        <v>10.154999999999999</v>
      </c>
      <c r="BQ16" s="32">
        <v>5.1360000000000001</v>
      </c>
      <c r="BR16" s="33"/>
      <c r="BS16" s="34">
        <v>1.37</v>
      </c>
      <c r="BT16" s="35"/>
      <c r="BU16" s="28"/>
      <c r="BV16" s="287"/>
      <c r="BW16" s="287">
        <v>2.02</v>
      </c>
      <c r="BX16" s="36"/>
      <c r="BY16" s="33"/>
      <c r="BZ16" s="34">
        <v>36.64</v>
      </c>
      <c r="CA16" s="35"/>
      <c r="CB16" s="405">
        <v>43.2</v>
      </c>
      <c r="CC16" s="404"/>
      <c r="CD16" s="235">
        <v>31.07</v>
      </c>
      <c r="CE16" s="36">
        <v>43.27</v>
      </c>
      <c r="CF16" s="38">
        <v>160.22999999999999</v>
      </c>
      <c r="CG16" s="30"/>
      <c r="CH16" s="30"/>
      <c r="CI16" s="32"/>
      <c r="CJ16" s="33">
        <v>2.82</v>
      </c>
      <c r="CK16" s="33"/>
      <c r="CL16" s="33"/>
      <c r="CM16" s="36"/>
      <c r="CN16" s="286"/>
      <c r="CO16" s="249">
        <f t="shared" si="13"/>
        <v>0</v>
      </c>
      <c r="CP16" s="12">
        <f t="shared" si="13"/>
        <v>196.21550829999998</v>
      </c>
      <c r="CQ16" s="12">
        <f t="shared" si="13"/>
        <v>0</v>
      </c>
      <c r="CR16" s="11">
        <f t="shared" si="13"/>
        <v>40.752000000000002</v>
      </c>
      <c r="CS16" s="11">
        <f t="shared" si="13"/>
        <v>0</v>
      </c>
      <c r="CT16" s="11">
        <f t="shared" si="13"/>
        <v>9.9498689999999996</v>
      </c>
      <c r="CU16" s="272">
        <f t="shared" si="13"/>
        <v>5.1360000000000001</v>
      </c>
      <c r="CV16" s="249">
        <f t="shared" si="14"/>
        <v>155.71151399999999</v>
      </c>
      <c r="CW16" s="12">
        <f t="shared" si="14"/>
        <v>0</v>
      </c>
      <c r="CX16" s="249">
        <f t="shared" si="14"/>
        <v>0</v>
      </c>
      <c r="CY16" s="272">
        <f t="shared" si="14"/>
        <v>0</v>
      </c>
      <c r="CZ16" s="13"/>
      <c r="DA16" s="240">
        <f>(D16+'[2]сентябрь 20'!D16)/(AY16+'[2]сентябрь 20'!BA16)</f>
        <v>2.1782178233960159</v>
      </c>
      <c r="DB16" s="241">
        <f>(T16+'[2]сентябрь 20'!T16)/(AY16+'[2]сентябрь 20'!BA16)</f>
        <v>1.3725714982014872</v>
      </c>
      <c r="DD16" s="292">
        <f t="shared" si="15"/>
        <v>10.343</v>
      </c>
      <c r="DE16" s="291">
        <v>0.24</v>
      </c>
      <c r="DF16" s="291">
        <v>5.76</v>
      </c>
      <c r="DG16" s="145">
        <f t="shared" si="16"/>
        <v>10.3181768</v>
      </c>
      <c r="DH16" s="293">
        <f t="shared" si="29"/>
        <v>0.78345239082520424</v>
      </c>
      <c r="DJ16" s="322"/>
    </row>
    <row r="17" spans="1:114" s="76" customFormat="1" ht="16.5" customHeight="1" thickBot="1">
      <c r="A17" s="144">
        <v>11</v>
      </c>
      <c r="B17" s="122">
        <f>'[1]сентябрь 20'!K16</f>
        <v>282.637</v>
      </c>
      <c r="C17" s="123">
        <f t="shared" si="17"/>
        <v>1.2508744785714541</v>
      </c>
      <c r="D17" s="145">
        <f t="shared" si="30"/>
        <v>279.10156589999997</v>
      </c>
      <c r="E17" s="125">
        <f t="shared" si="32"/>
        <v>37.629978240640824</v>
      </c>
      <c r="F17" s="146">
        <f t="shared" si="0"/>
        <v>2.2562778164915112</v>
      </c>
      <c r="G17" s="127">
        <v>22.12</v>
      </c>
      <c r="H17" s="126">
        <f t="shared" si="20"/>
        <v>1.8443538067906222</v>
      </c>
      <c r="I17" s="230">
        <f>'[1]июль 20'!AI16</f>
        <v>0</v>
      </c>
      <c r="J17" s="247">
        <f>'[1]сентябрь 20'!AA16</f>
        <v>11.753</v>
      </c>
      <c r="K17" s="465">
        <f>'[1]сентябрь 20'!AM16</f>
        <v>0</v>
      </c>
      <c r="L17" s="247">
        <f>'[1]сентябрь 20'!AE16</f>
        <v>50.954999999999998</v>
      </c>
      <c r="M17" s="469">
        <f t="shared" si="21"/>
        <v>0.41192400970088922</v>
      </c>
      <c r="N17" s="403">
        <f>'[1]сентябрь 20'!W16</f>
        <v>0</v>
      </c>
      <c r="O17" s="403">
        <f>'[1]сентябрь 20'!AU16</f>
        <v>9.2029999999999994</v>
      </c>
      <c r="P17" s="401">
        <f t="shared" si="1"/>
        <v>176.00399999999999</v>
      </c>
      <c r="Q17" s="122">
        <f>'[1]сентябрь 20'!S16</f>
        <v>176.00399999999999</v>
      </c>
      <c r="R17" s="123">
        <f t="shared" si="22"/>
        <v>2.95</v>
      </c>
      <c r="S17" s="129">
        <v>9.6999999999999993</v>
      </c>
      <c r="T17" s="125">
        <f t="shared" si="2"/>
        <v>170.81188199999997</v>
      </c>
      <c r="U17" s="147">
        <f t="shared" si="31"/>
        <v>1.3808559579628128</v>
      </c>
      <c r="V17" s="130">
        <v>123.7</v>
      </c>
      <c r="W17" s="130">
        <v>79.61</v>
      </c>
      <c r="X17" s="129">
        <v>0.67</v>
      </c>
      <c r="Y17" s="131">
        <v>547</v>
      </c>
      <c r="Z17" s="150">
        <v>1167</v>
      </c>
      <c r="AA17" s="148" t="s">
        <v>141</v>
      </c>
      <c r="AB17" s="149">
        <v>76.41</v>
      </c>
      <c r="AC17" s="150">
        <v>113</v>
      </c>
      <c r="AD17" s="151">
        <v>5</v>
      </c>
      <c r="AE17" s="149">
        <v>4.7</v>
      </c>
      <c r="AF17" s="134">
        <f t="shared" si="4"/>
        <v>37.995149555375903</v>
      </c>
      <c r="AG17" s="152"/>
      <c r="AH17" s="129">
        <v>80.900000000000006</v>
      </c>
      <c r="AI17" s="134">
        <f t="shared" si="5"/>
        <v>654.00161681487464</v>
      </c>
      <c r="AJ17" s="136">
        <v>17.3</v>
      </c>
      <c r="AK17" s="154"/>
      <c r="AL17" s="155">
        <v>7.6</v>
      </c>
      <c r="AM17" s="478">
        <v>37.299999999999997</v>
      </c>
      <c r="AN17" s="126">
        <f t="shared" si="23"/>
        <v>0.22362110311750596</v>
      </c>
      <c r="AO17" s="157" t="s">
        <v>222</v>
      </c>
      <c r="AP17" s="156">
        <v>7.76</v>
      </c>
      <c r="AQ17" s="156">
        <v>7.36</v>
      </c>
      <c r="AR17" s="149"/>
      <c r="AS17" s="149">
        <v>6.28</v>
      </c>
      <c r="AT17" s="149">
        <v>166.8</v>
      </c>
      <c r="AU17" s="149">
        <v>1.8</v>
      </c>
      <c r="AV17" s="149"/>
      <c r="AW17" s="149"/>
      <c r="AX17" s="158">
        <f t="shared" si="6"/>
        <v>0</v>
      </c>
      <c r="AY17" s="125">
        <f t="shared" si="33"/>
        <v>123.70000000000002</v>
      </c>
      <c r="AZ17" s="125">
        <f t="shared" si="24"/>
        <v>120.97403878284344</v>
      </c>
      <c r="BA17" s="159">
        <f t="shared" si="8"/>
        <v>3.9356140845070429</v>
      </c>
      <c r="BB17" s="160">
        <f t="shared" si="9"/>
        <v>4.9480000000000004</v>
      </c>
      <c r="BC17" s="161">
        <f t="shared" si="10"/>
        <v>0.89996093661342147</v>
      </c>
      <c r="BD17" s="160">
        <f t="shared" si="25"/>
        <v>8.8836140845070428</v>
      </c>
      <c r="BE17" s="162">
        <v>0.92700000000000005</v>
      </c>
      <c r="BF17" s="25">
        <f t="shared" si="26"/>
        <v>1314.48</v>
      </c>
      <c r="BG17" s="25">
        <f t="shared" si="11"/>
        <v>118.33333333333333</v>
      </c>
      <c r="BH17" s="25">
        <f t="shared" si="27"/>
        <v>1301.6666666666665</v>
      </c>
      <c r="BI17" s="26">
        <f t="shared" si="12"/>
        <v>1</v>
      </c>
      <c r="BJ17" s="37">
        <f t="shared" si="28"/>
        <v>1301.6666666666665</v>
      </c>
      <c r="BK17" s="39"/>
      <c r="BL17" s="31">
        <v>220.459</v>
      </c>
      <c r="BM17" s="31"/>
      <c r="BN17" s="234">
        <v>45.218000000000004</v>
      </c>
      <c r="BO17" s="42"/>
      <c r="BP17" s="40">
        <v>11.223000000000001</v>
      </c>
      <c r="BQ17" s="32">
        <v>5.7370000000000001</v>
      </c>
      <c r="BR17" s="33"/>
      <c r="BS17" s="34">
        <v>1.51</v>
      </c>
      <c r="BT17" s="35"/>
      <c r="BU17" s="28"/>
      <c r="BV17" s="287"/>
      <c r="BW17" s="287">
        <v>1.84</v>
      </c>
      <c r="BX17" s="36"/>
      <c r="BY17" s="33"/>
      <c r="BZ17" s="34">
        <v>36.65</v>
      </c>
      <c r="CA17" s="35"/>
      <c r="CB17" s="405">
        <v>43.02</v>
      </c>
      <c r="CC17" s="404"/>
      <c r="CD17" s="235">
        <v>32.26</v>
      </c>
      <c r="CE17" s="36">
        <v>43.31</v>
      </c>
      <c r="CF17" s="38">
        <v>176.00399999999999</v>
      </c>
      <c r="CG17" s="42"/>
      <c r="CH17" s="234"/>
      <c r="CI17" s="233"/>
      <c r="CJ17" s="33">
        <v>2.95</v>
      </c>
      <c r="CK17" s="33"/>
      <c r="CL17" s="33"/>
      <c r="CM17" s="36"/>
      <c r="CN17" s="286"/>
      <c r="CO17" s="249">
        <f t="shared" si="13"/>
        <v>0</v>
      </c>
      <c r="CP17" s="12">
        <f t="shared" si="13"/>
        <v>217.13006910000001</v>
      </c>
      <c r="CQ17" s="12">
        <f t="shared" si="13"/>
        <v>0</v>
      </c>
      <c r="CR17" s="12">
        <f t="shared" si="13"/>
        <v>45.218000000000004</v>
      </c>
      <c r="CS17" s="11">
        <f t="shared" si="13"/>
        <v>0</v>
      </c>
      <c r="CT17" s="11">
        <f t="shared" si="13"/>
        <v>11.016496800000001</v>
      </c>
      <c r="CU17" s="272">
        <f t="shared" si="13"/>
        <v>5.7370000000000001</v>
      </c>
      <c r="CV17" s="249">
        <f t="shared" si="14"/>
        <v>170.81188199999997</v>
      </c>
      <c r="CW17" s="12">
        <f t="shared" si="14"/>
        <v>0</v>
      </c>
      <c r="CX17" s="254">
        <f t="shared" si="14"/>
        <v>0</v>
      </c>
      <c r="CY17" s="272">
        <f t="shared" si="14"/>
        <v>0</v>
      </c>
      <c r="CZ17" s="13"/>
      <c r="DA17" s="240">
        <f>(D17+'[2]сентябрь 20'!D17)/(AY17+'[2]сентябрь 20'!BA17)</f>
        <v>2.1897642818476135</v>
      </c>
      <c r="DB17" s="241">
        <f>(T17+'[2]сентябрь 20'!T17)/(AY17+'[2]сентябрь 20'!BA17)</f>
        <v>1.3707655063722965</v>
      </c>
      <c r="DD17" s="292">
        <f t="shared" si="15"/>
        <v>11.753</v>
      </c>
      <c r="DE17" s="291">
        <v>0.31</v>
      </c>
      <c r="DF17" s="291">
        <v>6.39</v>
      </c>
      <c r="DG17" s="145">
        <f t="shared" si="16"/>
        <v>11.7165657</v>
      </c>
      <c r="DH17" s="293">
        <f t="shared" si="29"/>
        <v>0.97983058268551237</v>
      </c>
      <c r="DJ17" s="322"/>
    </row>
    <row r="18" spans="1:114" s="76" customFormat="1" ht="16.5" customHeight="1" thickBot="1">
      <c r="A18" s="144">
        <v>12</v>
      </c>
      <c r="B18" s="122">
        <f>'[1]сентябрь 20'!K17</f>
        <v>262.517</v>
      </c>
      <c r="C18" s="123">
        <f t="shared" si="17"/>
        <v>1.6253518819733577</v>
      </c>
      <c r="D18" s="145">
        <f t="shared" si="30"/>
        <v>258.25017500000001</v>
      </c>
      <c r="E18" s="125">
        <f t="shared" si="32"/>
        <v>37.769889873798647</v>
      </c>
      <c r="F18" s="146">
        <f t="shared" si="0"/>
        <v>2.2813619699646646</v>
      </c>
      <c r="G18" s="127">
        <v>16.559999999999999</v>
      </c>
      <c r="H18" s="126">
        <f t="shared" si="20"/>
        <v>1.8643390017667842</v>
      </c>
      <c r="I18" s="230">
        <f>'[1]июль 20'!AI17</f>
        <v>0</v>
      </c>
      <c r="J18" s="247">
        <f>'[1]сентябрь 20'!AA17</f>
        <v>10.577999999999999</v>
      </c>
      <c r="K18" s="464">
        <f>'[1]сентябрь 20'!AM17</f>
        <v>0</v>
      </c>
      <c r="L18" s="247">
        <f>'[1]сентябрь 20'!AE17</f>
        <v>47.207000000000001</v>
      </c>
      <c r="M18" s="468">
        <f t="shared" si="21"/>
        <v>0.41702296819787993</v>
      </c>
      <c r="N18" s="403">
        <f>'[1]сентябрь 20'!W17</f>
        <v>0</v>
      </c>
      <c r="O18" s="403">
        <f>'[1]сентябрь 20'!AU17</f>
        <v>8.5950000000000006</v>
      </c>
      <c r="P18" s="401">
        <f t="shared" si="1"/>
        <v>162.94399999999999</v>
      </c>
      <c r="Q18" s="122">
        <f>'[1]сентябрь 20'!S17</f>
        <v>162.94399999999999</v>
      </c>
      <c r="R18" s="123">
        <f t="shared" si="22"/>
        <v>2.87</v>
      </c>
      <c r="S18" s="502"/>
      <c r="T18" s="125">
        <f t="shared" si="2"/>
        <v>158.26750719999998</v>
      </c>
      <c r="U18" s="147">
        <f t="shared" si="31"/>
        <v>1.3981228551236748</v>
      </c>
      <c r="V18" s="130">
        <v>113.2</v>
      </c>
      <c r="W18" s="130">
        <v>53.36</v>
      </c>
      <c r="X18" s="129">
        <v>0.87</v>
      </c>
      <c r="Y18" s="131">
        <v>580</v>
      </c>
      <c r="Z18" s="150">
        <v>1169</v>
      </c>
      <c r="AA18" s="148" t="s">
        <v>130</v>
      </c>
      <c r="AB18" s="149">
        <v>76.11</v>
      </c>
      <c r="AC18" s="150">
        <v>105</v>
      </c>
      <c r="AD18" s="151">
        <v>5</v>
      </c>
      <c r="AE18" s="149">
        <v>4.0999999999999996</v>
      </c>
      <c r="AF18" s="134">
        <f t="shared" si="4"/>
        <v>36.219081272084807</v>
      </c>
      <c r="AG18" s="152"/>
      <c r="AH18" s="129">
        <v>85.05</v>
      </c>
      <c r="AI18" s="134">
        <f t="shared" si="5"/>
        <v>751.32508833922259</v>
      </c>
      <c r="AJ18" s="153">
        <v>15.56</v>
      </c>
      <c r="AK18" s="154"/>
      <c r="AL18" s="155">
        <v>8.11</v>
      </c>
      <c r="AM18" s="478">
        <v>41.02</v>
      </c>
      <c r="AN18" s="126">
        <f t="shared" si="23"/>
        <v>0.25549672999065709</v>
      </c>
      <c r="AO18" s="157" t="s">
        <v>117</v>
      </c>
      <c r="AP18" s="156">
        <v>7.75</v>
      </c>
      <c r="AQ18" s="156">
        <v>6.86</v>
      </c>
      <c r="AR18" s="151"/>
      <c r="AS18" s="149">
        <v>9.0399999999999991</v>
      </c>
      <c r="AT18" s="149">
        <v>160.55000000000001</v>
      </c>
      <c r="AU18" s="149">
        <v>1.78</v>
      </c>
      <c r="AV18" s="149"/>
      <c r="AW18" s="149"/>
      <c r="AX18" s="158">
        <f t="shared" si="6"/>
        <v>0</v>
      </c>
      <c r="AY18" s="125">
        <f t="shared" si="33"/>
        <v>113.19999999999999</v>
      </c>
      <c r="AZ18" s="125">
        <f t="shared" si="24"/>
        <v>113.46244281367818</v>
      </c>
      <c r="BA18" s="159">
        <f t="shared" si="8"/>
        <v>5.9558957746478862</v>
      </c>
      <c r="BB18" s="160">
        <f t="shared" si="9"/>
        <v>4.5279999999999996</v>
      </c>
      <c r="BC18" s="161">
        <f t="shared" si="10"/>
        <v>0.88328693311070017</v>
      </c>
      <c r="BD18" s="160">
        <f t="shared" si="25"/>
        <v>10.483895774647886</v>
      </c>
      <c r="BE18" s="162">
        <v>0.92300000000000004</v>
      </c>
      <c r="BF18" s="25">
        <f t="shared" si="26"/>
        <v>1427.68</v>
      </c>
      <c r="BG18" s="25">
        <f t="shared" si="11"/>
        <v>118.33333333333333</v>
      </c>
      <c r="BH18" s="25">
        <f t="shared" si="27"/>
        <v>1419.9999999999998</v>
      </c>
      <c r="BI18" s="26">
        <f t="shared" si="12"/>
        <v>1</v>
      </c>
      <c r="BJ18" s="37">
        <f t="shared" si="28"/>
        <v>1419.9999999999998</v>
      </c>
      <c r="BK18" s="38"/>
      <c r="BL18" s="31">
        <v>204.70599999999999</v>
      </c>
      <c r="BM18" s="31"/>
      <c r="BN18" s="234">
        <v>41.997</v>
      </c>
      <c r="BO18" s="42"/>
      <c r="BP18" s="40">
        <v>10.603999999999999</v>
      </c>
      <c r="BQ18" s="411">
        <v>5.21</v>
      </c>
      <c r="BR18" s="41"/>
      <c r="BS18" s="34">
        <v>1.93</v>
      </c>
      <c r="BT18" s="35"/>
      <c r="BU18" s="28"/>
      <c r="BV18" s="287"/>
      <c r="BW18" s="287">
        <v>2.98</v>
      </c>
      <c r="BX18" s="36"/>
      <c r="BY18" s="34"/>
      <c r="BZ18" s="34">
        <v>36.83</v>
      </c>
      <c r="CA18" s="35"/>
      <c r="CB18" s="405">
        <v>43.3</v>
      </c>
      <c r="CC18" s="404"/>
      <c r="CD18" s="235">
        <v>31.3</v>
      </c>
      <c r="CE18" s="405">
        <v>43.29</v>
      </c>
      <c r="CF18" s="38">
        <v>162.94399999999999</v>
      </c>
      <c r="CG18" s="42"/>
      <c r="CH18" s="234"/>
      <c r="CI18" s="233"/>
      <c r="CJ18" s="33">
        <v>2.87</v>
      </c>
      <c r="CK18" s="33"/>
      <c r="CL18" s="33"/>
      <c r="CM18" s="36"/>
      <c r="CN18" s="286"/>
      <c r="CO18" s="249">
        <f t="shared" si="13"/>
        <v>0</v>
      </c>
      <c r="CP18" s="12">
        <f t="shared" si="13"/>
        <v>200.75517419999997</v>
      </c>
      <c r="CQ18" s="12">
        <f t="shared" si="13"/>
        <v>0</v>
      </c>
      <c r="CR18" s="12">
        <f t="shared" si="13"/>
        <v>41.997</v>
      </c>
      <c r="CS18" s="11">
        <f t="shared" si="13"/>
        <v>0</v>
      </c>
      <c r="CT18" s="11">
        <f t="shared" si="13"/>
        <v>10.288000799999999</v>
      </c>
      <c r="CU18" s="272">
        <f t="shared" si="13"/>
        <v>5.21</v>
      </c>
      <c r="CV18" s="249">
        <f t="shared" si="14"/>
        <v>158.26750719999998</v>
      </c>
      <c r="CW18" s="11">
        <f t="shared" si="14"/>
        <v>0</v>
      </c>
      <c r="CX18" s="249">
        <f t="shared" si="14"/>
        <v>0</v>
      </c>
      <c r="CY18" s="272">
        <f t="shared" si="14"/>
        <v>0</v>
      </c>
      <c r="CZ18" s="13"/>
      <c r="DA18" s="240">
        <f>(D18+'[2]сентябрь 20'!D18)/(AY18+'[2]сентябрь 20'!BA18)</f>
        <v>2.1901086261815887</v>
      </c>
      <c r="DB18" s="241">
        <f>(T18+'[2]сентябрь 20'!T18)/(AY18+'[2]сентябрь 20'!BA18)</f>
        <v>1.3693872074313844</v>
      </c>
      <c r="DD18" s="292">
        <f t="shared" si="15"/>
        <v>10.577999999999999</v>
      </c>
      <c r="DE18" s="291">
        <v>0.49</v>
      </c>
      <c r="DF18" s="291">
        <v>11.43</v>
      </c>
      <c r="DG18" s="145">
        <f t="shared" si="16"/>
        <v>10.5261678</v>
      </c>
      <c r="DH18" s="293">
        <f t="shared" si="29"/>
        <v>1.580792247457627</v>
      </c>
      <c r="DJ18" s="322"/>
    </row>
    <row r="19" spans="1:114" s="76" customFormat="1" ht="16.5" customHeight="1" thickBot="1">
      <c r="A19" s="144">
        <v>13</v>
      </c>
      <c r="B19" s="122">
        <f>'[1]сентябрь 20'!K18</f>
        <v>259.98500000000001</v>
      </c>
      <c r="C19" s="123">
        <f t="shared" si="17"/>
        <v>1.9929236302094353</v>
      </c>
      <c r="D19" s="145">
        <f t="shared" si="30"/>
        <v>254.80369750000003</v>
      </c>
      <c r="E19" s="125">
        <f t="shared" si="32"/>
        <v>37.07121087755062</v>
      </c>
      <c r="F19" s="146">
        <f t="shared" si="0"/>
        <v>2.1258442975137659</v>
      </c>
      <c r="G19" s="127">
        <v>9.06</v>
      </c>
      <c r="H19" s="126">
        <f t="shared" si="20"/>
        <v>1.735697459536125</v>
      </c>
      <c r="I19" s="230">
        <f>'[1]июль 20'!AI18</f>
        <v>0</v>
      </c>
      <c r="J19" s="247">
        <f>'[1]сентябрь 20'!AA18</f>
        <v>10.220000000000001</v>
      </c>
      <c r="K19" s="465">
        <f>'[1]сентябрь 20'!AM18</f>
        <v>0</v>
      </c>
      <c r="L19" s="247">
        <f>'[1]сентябрь 20'!AE18</f>
        <v>46.762999999999998</v>
      </c>
      <c r="M19" s="469">
        <f t="shared" si="21"/>
        <v>0.39014683797764049</v>
      </c>
      <c r="N19" s="403">
        <f>'[1]сентябрь 20'!W18</f>
        <v>0</v>
      </c>
      <c r="O19" s="403">
        <f>'[1]сентябрь 20'!AU18</f>
        <v>8.4700000000000006</v>
      </c>
      <c r="P19" s="401">
        <f t="shared" si="1"/>
        <v>160.25200000000001</v>
      </c>
      <c r="Q19" s="122">
        <f>'[1]сентябрь 20'!S18</f>
        <v>160.25200000000001</v>
      </c>
      <c r="R19" s="123">
        <f t="shared" si="22"/>
        <v>2.75</v>
      </c>
      <c r="S19" s="501">
        <v>17.690000000000001</v>
      </c>
      <c r="T19" s="125">
        <f t="shared" si="2"/>
        <v>155.84507000000002</v>
      </c>
      <c r="U19" s="147">
        <f t="shared" si="31"/>
        <v>1.3002258468212913</v>
      </c>
      <c r="V19" s="130">
        <v>119.86</v>
      </c>
      <c r="W19" s="130">
        <v>74.84</v>
      </c>
      <c r="X19" s="129">
        <v>1.04</v>
      </c>
      <c r="Y19" s="131">
        <v>578</v>
      </c>
      <c r="Z19" s="150">
        <v>1172</v>
      </c>
      <c r="AA19" s="148" t="s">
        <v>150</v>
      </c>
      <c r="AB19" s="149">
        <v>76.510000000000005</v>
      </c>
      <c r="AC19" s="150">
        <v>104</v>
      </c>
      <c r="AD19" s="151">
        <v>5</v>
      </c>
      <c r="AE19" s="149">
        <v>4.75</v>
      </c>
      <c r="AF19" s="134">
        <f t="shared" si="4"/>
        <v>39.629567829133983</v>
      </c>
      <c r="AG19" s="152"/>
      <c r="AH19" s="129">
        <v>76.25</v>
      </c>
      <c r="AI19" s="134">
        <f t="shared" si="5"/>
        <v>636.15885199399281</v>
      </c>
      <c r="AJ19" s="136">
        <v>14.84</v>
      </c>
      <c r="AK19" s="154"/>
      <c r="AL19" s="155">
        <v>7.98</v>
      </c>
      <c r="AM19" s="478">
        <v>33.659999999999997</v>
      </c>
      <c r="AN19" s="126">
        <f t="shared" si="23"/>
        <v>0.2106382978723404</v>
      </c>
      <c r="AO19" s="157" t="s">
        <v>224</v>
      </c>
      <c r="AP19" s="156">
        <v>7.69</v>
      </c>
      <c r="AQ19" s="156">
        <v>6.75</v>
      </c>
      <c r="AR19" s="151"/>
      <c r="AS19" s="149">
        <v>6.18</v>
      </c>
      <c r="AT19" s="149">
        <v>159.80000000000001</v>
      </c>
      <c r="AU19" s="149">
        <v>1.7</v>
      </c>
      <c r="AV19" s="164"/>
      <c r="AW19" s="149"/>
      <c r="AX19" s="158">
        <f t="shared" si="6"/>
        <v>0</v>
      </c>
      <c r="AY19" s="125">
        <f t="shared" si="33"/>
        <v>119.86000000000003</v>
      </c>
      <c r="AZ19" s="125">
        <f t="shared" si="24"/>
        <v>109.65373557047509</v>
      </c>
      <c r="BA19" s="159">
        <f t="shared" si="8"/>
        <v>3.6503345070422535</v>
      </c>
      <c r="BB19" s="160">
        <f t="shared" si="9"/>
        <v>4.7944000000000013</v>
      </c>
      <c r="BC19" s="161">
        <f t="shared" si="10"/>
        <v>0.97084517740174914</v>
      </c>
      <c r="BD19" s="160">
        <f t="shared" si="25"/>
        <v>8.4447345070422557</v>
      </c>
      <c r="BE19" s="162">
        <v>0.92700000000000005</v>
      </c>
      <c r="BF19" s="25">
        <f t="shared" si="26"/>
        <v>1547.5400000000002</v>
      </c>
      <c r="BG19" s="25">
        <f t="shared" si="11"/>
        <v>118.33333333333333</v>
      </c>
      <c r="BH19" s="25">
        <f t="shared" si="27"/>
        <v>1538.333333333333</v>
      </c>
      <c r="BI19" s="26">
        <f t="shared" si="12"/>
        <v>1</v>
      </c>
      <c r="BJ19" s="37">
        <f t="shared" si="28"/>
        <v>1538.333333333333</v>
      </c>
      <c r="BK19" s="38"/>
      <c r="BL19" s="31">
        <v>202.81899999999999</v>
      </c>
      <c r="BM19" s="31"/>
      <c r="BN19" s="234">
        <v>41.582000000000001</v>
      </c>
      <c r="BO19" s="42"/>
      <c r="BP19" s="40">
        <v>10.403</v>
      </c>
      <c r="BQ19" s="411">
        <v>5.181</v>
      </c>
      <c r="BR19" s="33"/>
      <c r="BS19" s="34">
        <v>2.41</v>
      </c>
      <c r="BT19" s="35"/>
      <c r="BU19" s="28"/>
      <c r="BV19" s="287"/>
      <c r="BW19" s="512">
        <v>2.82</v>
      </c>
      <c r="BX19" s="36"/>
      <c r="BY19" s="33"/>
      <c r="BZ19" s="34">
        <v>35.96</v>
      </c>
      <c r="CA19" s="35"/>
      <c r="CB19" s="405">
        <v>43.01</v>
      </c>
      <c r="CC19" s="404"/>
      <c r="CD19" s="235">
        <v>32.01</v>
      </c>
      <c r="CE19" s="413">
        <v>43.07</v>
      </c>
      <c r="CF19" s="41">
        <v>137.75800000000001</v>
      </c>
      <c r="CG19" s="41">
        <v>22.494</v>
      </c>
      <c r="CH19" s="30"/>
      <c r="CI19" s="32"/>
      <c r="CJ19" s="33">
        <v>2.75</v>
      </c>
      <c r="CK19" s="33">
        <v>2.75</v>
      </c>
      <c r="CL19" s="33"/>
      <c r="CM19" s="36"/>
      <c r="CN19" s="286"/>
      <c r="CO19" s="249">
        <f t="shared" si="13"/>
        <v>0</v>
      </c>
      <c r="CP19" s="12">
        <f t="shared" si="13"/>
        <v>197.93106209999999</v>
      </c>
      <c r="CQ19" s="12">
        <f t="shared" si="13"/>
        <v>0</v>
      </c>
      <c r="CR19" s="12">
        <f t="shared" si="13"/>
        <v>41.582000000000001</v>
      </c>
      <c r="CS19" s="11">
        <f t="shared" si="13"/>
        <v>0</v>
      </c>
      <c r="CT19" s="11">
        <f t="shared" si="13"/>
        <v>10.109635400000002</v>
      </c>
      <c r="CU19" s="272">
        <f t="shared" si="13"/>
        <v>5.181</v>
      </c>
      <c r="CV19" s="249">
        <f t="shared" si="14"/>
        <v>133.96965500000002</v>
      </c>
      <c r="CW19" s="251">
        <f t="shared" si="14"/>
        <v>21.875415</v>
      </c>
      <c r="CX19" s="249">
        <f t="shared" si="14"/>
        <v>0</v>
      </c>
      <c r="CY19" s="272">
        <f t="shared" si="14"/>
        <v>0</v>
      </c>
      <c r="CZ19" s="13"/>
      <c r="DA19" s="240">
        <f>(D19+'[2]сентябрь 20'!D19)/(AY19+'[2]сентябрь 20'!BA19)</f>
        <v>2.039039373956522</v>
      </c>
      <c r="DB19" s="241">
        <f>(T19+'[2]сентябрь 20'!T19)/(AY19+'[2]сентябрь 20'!BA19)</f>
        <v>1.2707648748983651</v>
      </c>
      <c r="DD19" s="292">
        <f t="shared" si="15"/>
        <v>10.220000000000001</v>
      </c>
      <c r="DE19" s="291">
        <v>0.52</v>
      </c>
      <c r="DF19" s="291">
        <v>14.1</v>
      </c>
      <c r="DG19" s="145">
        <f t="shared" si="16"/>
        <v>10.166856000000001</v>
      </c>
      <c r="DH19" s="293">
        <f t="shared" si="29"/>
        <v>1.8736461848124428</v>
      </c>
      <c r="DJ19" s="322"/>
    </row>
    <row r="20" spans="1:114" s="76" customFormat="1" ht="16.5" customHeight="1" thickBot="1">
      <c r="A20" s="144">
        <v>14</v>
      </c>
      <c r="B20" s="122">
        <f>'[1]сентябрь 20'!K19</f>
        <v>277.476</v>
      </c>
      <c r="C20" s="123">
        <f t="shared" si="17"/>
        <v>1.4253498680967003</v>
      </c>
      <c r="D20" s="145">
        <f t="shared" si="30"/>
        <v>273.52099620000001</v>
      </c>
      <c r="E20" s="125">
        <f t="shared" si="32"/>
        <v>37.442504793207341</v>
      </c>
      <c r="F20" s="146">
        <f t="shared" si="0"/>
        <v>1.9943200597885531</v>
      </c>
      <c r="G20" s="127">
        <v>9.18</v>
      </c>
      <c r="H20" s="126">
        <f t="shared" si="20"/>
        <v>1.6298213357637623</v>
      </c>
      <c r="I20" s="230">
        <f>'[1]июль 20'!AI19</f>
        <v>0</v>
      </c>
      <c r="J20" s="247">
        <f>'[1]сентябрь 20'!AA19</f>
        <v>10.837999999999999</v>
      </c>
      <c r="K20" s="464">
        <f>'[1]сентябрь 20'!AM19</f>
        <v>0</v>
      </c>
      <c r="L20" s="247">
        <f>'[1]сентябрь 20'!AE19</f>
        <v>49.991</v>
      </c>
      <c r="M20" s="468">
        <f t="shared" si="21"/>
        <v>0.36449872402479044</v>
      </c>
      <c r="N20" s="403">
        <f>'[1]сентябрь 20'!W19</f>
        <v>0</v>
      </c>
      <c r="O20" s="403">
        <f>'[1]сентябрь 20'!AU19</f>
        <v>9.0830000000000002</v>
      </c>
      <c r="P20" s="401">
        <f t="shared" si="1"/>
        <v>168.571</v>
      </c>
      <c r="Q20" s="122">
        <f>'[1]сентябрь 20'!S19</f>
        <v>168.571</v>
      </c>
      <c r="R20" s="123">
        <f t="shared" si="22"/>
        <v>2.66</v>
      </c>
      <c r="S20" s="503">
        <v>12.77</v>
      </c>
      <c r="T20" s="125">
        <f t="shared" si="2"/>
        <v>164.08701139999999</v>
      </c>
      <c r="U20" s="147">
        <f t="shared" si="31"/>
        <v>1.1964054786729859</v>
      </c>
      <c r="V20" s="130">
        <v>137.15</v>
      </c>
      <c r="W20" s="130">
        <v>85.57</v>
      </c>
      <c r="X20" s="129">
        <v>1.21</v>
      </c>
      <c r="Y20" s="131">
        <v>580</v>
      </c>
      <c r="Z20" s="150">
        <v>1170</v>
      </c>
      <c r="AA20" s="168" t="s">
        <v>159</v>
      </c>
      <c r="AB20" s="149">
        <v>75.89</v>
      </c>
      <c r="AC20" s="150">
        <v>111</v>
      </c>
      <c r="AD20" s="151">
        <v>5</v>
      </c>
      <c r="AE20" s="149">
        <v>6.2</v>
      </c>
      <c r="AF20" s="134">
        <f t="shared" si="4"/>
        <v>45.205978855267965</v>
      </c>
      <c r="AG20" s="152"/>
      <c r="AH20" s="129">
        <v>86.75</v>
      </c>
      <c r="AI20" s="134">
        <f t="shared" si="5"/>
        <v>632.51913962814444</v>
      </c>
      <c r="AJ20" s="153">
        <v>14.75</v>
      </c>
      <c r="AK20" s="154"/>
      <c r="AL20" s="155">
        <v>7.84</v>
      </c>
      <c r="AM20" s="478">
        <v>32</v>
      </c>
      <c r="AN20" s="126">
        <f t="shared" si="23"/>
        <v>0.18249215854006273</v>
      </c>
      <c r="AO20" s="157" t="s">
        <v>400</v>
      </c>
      <c r="AP20" s="156">
        <v>7.53</v>
      </c>
      <c r="AQ20" s="156">
        <v>7.33</v>
      </c>
      <c r="AR20" s="149"/>
      <c r="AS20" s="149">
        <v>6.74</v>
      </c>
      <c r="AT20" s="149">
        <v>175.35</v>
      </c>
      <c r="AU20" s="149">
        <v>1.64</v>
      </c>
      <c r="AV20" s="149"/>
      <c r="AW20" s="149"/>
      <c r="AX20" s="158">
        <f t="shared" si="6"/>
        <v>0</v>
      </c>
      <c r="AY20" s="125">
        <f t="shared" si="33"/>
        <v>137.14999999999998</v>
      </c>
      <c r="AZ20" s="125">
        <f t="shared" si="24"/>
        <v>118.71097519830224</v>
      </c>
      <c r="BA20" s="159">
        <f t="shared" si="8"/>
        <v>4.5293274647887323</v>
      </c>
      <c r="BB20" s="160">
        <f t="shared" si="9"/>
        <v>5.4859999999999989</v>
      </c>
      <c r="BC20" s="161">
        <f t="shared" si="10"/>
        <v>1.0163067292159831</v>
      </c>
      <c r="BD20" s="160">
        <f t="shared" si="25"/>
        <v>10.015327464788731</v>
      </c>
      <c r="BE20" s="162">
        <v>0.93300000000000005</v>
      </c>
      <c r="BF20" s="25">
        <f t="shared" si="26"/>
        <v>1684.69</v>
      </c>
      <c r="BG20" s="25">
        <f t="shared" si="11"/>
        <v>118.33333333333333</v>
      </c>
      <c r="BH20" s="25">
        <f t="shared" si="27"/>
        <v>1656.6666666666663</v>
      </c>
      <c r="BI20" s="26">
        <f t="shared" si="12"/>
        <v>1</v>
      </c>
      <c r="BJ20" s="37">
        <f t="shared" si="28"/>
        <v>1656.6666666666663</v>
      </c>
      <c r="BK20" s="38"/>
      <c r="BL20" s="31">
        <v>216.47399999999999</v>
      </c>
      <c r="BM20" s="31"/>
      <c r="BN20" s="234">
        <v>44.42</v>
      </c>
      <c r="BO20" s="42"/>
      <c r="BP20" s="40">
        <v>11.010999999999999</v>
      </c>
      <c r="BQ20" s="411">
        <v>5.5709999999999997</v>
      </c>
      <c r="BR20" s="33"/>
      <c r="BS20" s="34">
        <v>1.65</v>
      </c>
      <c r="BT20" s="35"/>
      <c r="BU20" s="28"/>
      <c r="BV20" s="287"/>
      <c r="BW20" s="287">
        <v>3.48</v>
      </c>
      <c r="BX20" s="36"/>
      <c r="BY20" s="33"/>
      <c r="BZ20" s="34">
        <v>36.44</v>
      </c>
      <c r="CA20" s="35"/>
      <c r="CB20" s="405">
        <v>43.24</v>
      </c>
      <c r="CC20" s="404"/>
      <c r="CD20" s="235">
        <v>30.8</v>
      </c>
      <c r="CE20" s="413">
        <v>43.3</v>
      </c>
      <c r="CF20" s="30">
        <v>113.08</v>
      </c>
      <c r="CG20" s="30">
        <v>55.491</v>
      </c>
      <c r="CH20" s="31"/>
      <c r="CI20" s="32"/>
      <c r="CJ20" s="33">
        <v>2.66</v>
      </c>
      <c r="CK20" s="33">
        <v>2.66</v>
      </c>
      <c r="CL20" s="35"/>
      <c r="CM20" s="36"/>
      <c r="CN20" s="286"/>
      <c r="CO20" s="249">
        <f t="shared" si="13"/>
        <v>0</v>
      </c>
      <c r="CP20" s="12">
        <f t="shared" si="13"/>
        <v>212.90217899999996</v>
      </c>
      <c r="CQ20" s="12">
        <f t="shared" si="13"/>
        <v>0</v>
      </c>
      <c r="CR20" s="12">
        <f t="shared" si="13"/>
        <v>44.42</v>
      </c>
      <c r="CS20" s="11">
        <f t="shared" si="13"/>
        <v>0</v>
      </c>
      <c r="CT20" s="11">
        <f t="shared" si="13"/>
        <v>10.627817199999999</v>
      </c>
      <c r="CU20" s="272">
        <f t="shared" si="13"/>
        <v>5.5709999999999997</v>
      </c>
      <c r="CV20" s="249">
        <f t="shared" si="14"/>
        <v>110.07207200000001</v>
      </c>
      <c r="CW20" s="12">
        <f t="shared" si="14"/>
        <v>54.014939400000003</v>
      </c>
      <c r="CX20" s="249">
        <f t="shared" si="14"/>
        <v>0</v>
      </c>
      <c r="CY20" s="272">
        <f t="shared" si="14"/>
        <v>0</v>
      </c>
      <c r="CZ20" s="13"/>
      <c r="DA20" s="240">
        <f>(D20+'[2]сентябрь 20'!D20)/(AY20+'[2]сентябрь 20'!BA20)</f>
        <v>2.047399159429359</v>
      </c>
      <c r="DB20" s="241">
        <f>(T20+'[2]сентябрь 20'!T20)/(AY20+'[2]сентябрь 20'!BA20)</f>
        <v>1.2493185836018257</v>
      </c>
      <c r="DD20" s="292">
        <f t="shared" si="15"/>
        <v>10.837999999999999</v>
      </c>
      <c r="DE20" s="291">
        <v>0.27</v>
      </c>
      <c r="DF20" s="407">
        <v>6.32</v>
      </c>
      <c r="DG20" s="145">
        <f t="shared" si="16"/>
        <v>10.8087374</v>
      </c>
      <c r="DH20" s="293">
        <f t="shared" si="29"/>
        <v>0.90013467344841214</v>
      </c>
      <c r="DJ20" s="322"/>
    </row>
    <row r="21" spans="1:114" s="76" customFormat="1" ht="16.5" customHeight="1" thickBot="1">
      <c r="A21" s="144">
        <v>15</v>
      </c>
      <c r="B21" s="122">
        <f>'[1]сентябрь 20'!K20</f>
        <v>280.03199999999998</v>
      </c>
      <c r="C21" s="123">
        <f t="shared" si="17"/>
        <v>1.3066758084790309</v>
      </c>
      <c r="D21" s="145">
        <f t="shared" si="30"/>
        <v>276.37288960000001</v>
      </c>
      <c r="E21" s="125">
        <f t="shared" si="32"/>
        <v>37.166749264369784</v>
      </c>
      <c r="F21" s="146">
        <f t="shared" si="0"/>
        <v>2.2627549500573112</v>
      </c>
      <c r="G21" s="127">
        <v>12.9</v>
      </c>
      <c r="H21" s="126">
        <f t="shared" si="20"/>
        <v>1.850244715899787</v>
      </c>
      <c r="I21" s="230">
        <f>'[1]июль 20'!AI20</f>
        <v>0</v>
      </c>
      <c r="J21" s="247">
        <f>'[1]сентябрь 20'!AA20</f>
        <v>11.045</v>
      </c>
      <c r="K21" s="465">
        <f>'[1]сентябрь 20'!AM20</f>
        <v>0</v>
      </c>
      <c r="L21" s="247">
        <f>'[1]сентябрь 20'!AE20</f>
        <v>50.384</v>
      </c>
      <c r="M21" s="469">
        <f t="shared" si="21"/>
        <v>0.41251023415752408</v>
      </c>
      <c r="N21" s="403">
        <f>'[1]сентябрь 20'!W20</f>
        <v>0</v>
      </c>
      <c r="O21" s="403">
        <f>'[1]сентябрь 20'!AU20</f>
        <v>9.8040000000000003</v>
      </c>
      <c r="P21" s="401">
        <f t="shared" si="1"/>
        <v>167.74799999999999</v>
      </c>
      <c r="Q21" s="122">
        <f>'[1]сентябрь 20'!S20</f>
        <v>167.74799999999999</v>
      </c>
      <c r="R21" s="123">
        <f t="shared" si="22"/>
        <v>2.63</v>
      </c>
      <c r="S21" s="501">
        <v>1.56</v>
      </c>
      <c r="T21" s="125">
        <f t="shared" si="2"/>
        <v>163.3362276</v>
      </c>
      <c r="U21" s="147">
        <f t="shared" si="31"/>
        <v>1.3372869461273946</v>
      </c>
      <c r="V21" s="130">
        <v>122.14</v>
      </c>
      <c r="W21" s="130">
        <v>94.63</v>
      </c>
      <c r="X21" s="129">
        <v>0.76</v>
      </c>
      <c r="Y21" s="131">
        <v>557</v>
      </c>
      <c r="Z21" s="150">
        <v>1173</v>
      </c>
      <c r="AA21" s="168" t="s">
        <v>130</v>
      </c>
      <c r="AB21" s="149">
        <v>76.41</v>
      </c>
      <c r="AC21" s="150">
        <v>112</v>
      </c>
      <c r="AD21" s="151">
        <v>5</v>
      </c>
      <c r="AE21" s="149">
        <v>3.6</v>
      </c>
      <c r="AF21" s="134">
        <f t="shared" si="4"/>
        <v>29.474373669559519</v>
      </c>
      <c r="AG21" s="152"/>
      <c r="AH21" s="129">
        <v>81.2</v>
      </c>
      <c r="AI21" s="134">
        <f t="shared" si="5"/>
        <v>664.81087276895357</v>
      </c>
      <c r="AJ21" s="136">
        <v>17.71</v>
      </c>
      <c r="AK21" s="154"/>
      <c r="AL21" s="155">
        <v>9.35</v>
      </c>
      <c r="AM21" s="478">
        <v>35.200000000000003</v>
      </c>
      <c r="AN21" s="126">
        <f t="shared" si="23"/>
        <v>0.21313957008779899</v>
      </c>
      <c r="AO21" s="157" t="s">
        <v>398</v>
      </c>
      <c r="AP21" s="156">
        <v>7.6</v>
      </c>
      <c r="AQ21" s="156">
        <v>6.86</v>
      </c>
      <c r="AR21" s="149"/>
      <c r="AS21" s="149">
        <v>6.23</v>
      </c>
      <c r="AT21" s="149">
        <v>165.15</v>
      </c>
      <c r="AU21" s="149">
        <v>1.54</v>
      </c>
      <c r="AV21" s="149"/>
      <c r="AW21" s="149"/>
      <c r="AX21" s="158">
        <f t="shared" si="6"/>
        <v>0</v>
      </c>
      <c r="AY21" s="125">
        <f t="shared" si="33"/>
        <v>122.14000000000001</v>
      </c>
      <c r="AZ21" s="125">
        <f t="shared" si="24"/>
        <v>118.95864760660933</v>
      </c>
      <c r="BA21" s="159">
        <f t="shared" si="8"/>
        <v>3.9187577464788732</v>
      </c>
      <c r="BB21" s="160">
        <f t="shared" si="9"/>
        <v>4.8856000000000011</v>
      </c>
      <c r="BC21" s="161">
        <f t="shared" si="10"/>
        <v>0.9085693837626615</v>
      </c>
      <c r="BD21" s="160">
        <f t="shared" si="25"/>
        <v>8.8043577464788747</v>
      </c>
      <c r="BE21" s="162">
        <v>0.93200000000000005</v>
      </c>
      <c r="BF21" s="25">
        <f t="shared" si="26"/>
        <v>1806.8300000000002</v>
      </c>
      <c r="BG21" s="25">
        <f t="shared" si="11"/>
        <v>118.33333333333333</v>
      </c>
      <c r="BH21" s="25">
        <f t="shared" si="27"/>
        <v>1774.9999999999995</v>
      </c>
      <c r="BI21" s="26">
        <f t="shared" si="12"/>
        <v>1</v>
      </c>
      <c r="BJ21" s="37">
        <f t="shared" si="28"/>
        <v>1774.9999999999995</v>
      </c>
      <c r="BK21" s="38"/>
      <c r="BL21" s="31">
        <v>218.452</v>
      </c>
      <c r="BM21" s="31"/>
      <c r="BN21" s="234">
        <v>44.805</v>
      </c>
      <c r="BO21" s="42"/>
      <c r="BP21" s="40">
        <v>11.196</v>
      </c>
      <c r="BQ21" s="411">
        <v>5.5789999999999997</v>
      </c>
      <c r="BR21" s="33"/>
      <c r="BS21" s="34">
        <v>1.49</v>
      </c>
      <c r="BT21" s="35"/>
      <c r="BU21" s="35"/>
      <c r="BV21" s="235"/>
      <c r="BW21" s="235">
        <v>3.61</v>
      </c>
      <c r="BX21" s="36"/>
      <c r="BY21" s="33"/>
      <c r="BZ21" s="34">
        <v>36.11</v>
      </c>
      <c r="CA21" s="35"/>
      <c r="CB21" s="405">
        <v>43.06</v>
      </c>
      <c r="CC21" s="404"/>
      <c r="CD21" s="235">
        <v>31.25</v>
      </c>
      <c r="CE21" s="413">
        <v>43.09</v>
      </c>
      <c r="CF21" s="30">
        <v>111.745</v>
      </c>
      <c r="CG21" s="30">
        <v>56.003</v>
      </c>
      <c r="CH21" s="31"/>
      <c r="CI21" s="32"/>
      <c r="CJ21" s="33">
        <v>2.63</v>
      </c>
      <c r="CK21" s="33">
        <v>2.63</v>
      </c>
      <c r="CL21" s="35"/>
      <c r="CM21" s="36"/>
      <c r="CN21" s="286"/>
      <c r="CO21" s="249">
        <f t="shared" si="13"/>
        <v>0</v>
      </c>
      <c r="CP21" s="12">
        <f t="shared" si="13"/>
        <v>215.19706520000003</v>
      </c>
      <c r="CQ21" s="12">
        <f t="shared" si="13"/>
        <v>0</v>
      </c>
      <c r="CR21" s="12">
        <f t="shared" si="13"/>
        <v>44.805</v>
      </c>
      <c r="CS21" s="11">
        <f t="shared" si="13"/>
        <v>0</v>
      </c>
      <c r="CT21" s="11">
        <f t="shared" si="13"/>
        <v>10.791824399999999</v>
      </c>
      <c r="CU21" s="272">
        <f t="shared" si="13"/>
        <v>5.5789999999999997</v>
      </c>
      <c r="CV21" s="249">
        <f t="shared" si="14"/>
        <v>108.8061065</v>
      </c>
      <c r="CW21" s="12">
        <f t="shared" si="14"/>
        <v>54.530121100000002</v>
      </c>
      <c r="CX21" s="249">
        <f t="shared" si="14"/>
        <v>0</v>
      </c>
      <c r="CY21" s="272">
        <f t="shared" si="14"/>
        <v>0</v>
      </c>
      <c r="CZ21" s="13"/>
      <c r="DA21" s="240">
        <f>(D21+'[2]сентябрь 20'!D21)/(AY21+'[2]сентябрь 20'!BA21)</f>
        <v>2.1491341872130731</v>
      </c>
      <c r="DB21" s="241">
        <f>(T21+'[2]сентябрь 20'!T21)/(AY21+'[2]сентябрь 20'!BA21)</f>
        <v>1.2919482907254944</v>
      </c>
      <c r="DD21" s="292">
        <f t="shared" si="15"/>
        <v>11.045</v>
      </c>
      <c r="DE21" s="291">
        <v>0.71</v>
      </c>
      <c r="DF21" s="291">
        <v>11.15</v>
      </c>
      <c r="DG21" s="145">
        <f t="shared" si="16"/>
        <v>10.966580500000001</v>
      </c>
      <c r="DH21" s="293">
        <f t="shared" si="29"/>
        <v>1.6002797091349303</v>
      </c>
      <c r="DJ21" s="322"/>
    </row>
    <row r="22" spans="1:114" s="76" customFormat="1" ht="16.5" customHeight="1" thickBot="1">
      <c r="A22" s="144">
        <v>16</v>
      </c>
      <c r="B22" s="122">
        <f>'[1]сентябрь 20'!K21</f>
        <v>267.23200000000003</v>
      </c>
      <c r="C22" s="123">
        <f t="shared" si="17"/>
        <v>1.8959132139863488</v>
      </c>
      <c r="D22" s="145">
        <f t="shared" si="30"/>
        <v>262.16551320000002</v>
      </c>
      <c r="E22" s="125">
        <f t="shared" si="32"/>
        <v>37.819436519578488</v>
      </c>
      <c r="F22" s="146">
        <f t="shared" si="0"/>
        <v>2.187081948777843</v>
      </c>
      <c r="G22" s="127">
        <v>7.04</v>
      </c>
      <c r="H22" s="126">
        <f t="shared" si="20"/>
        <v>1.7865647217819303</v>
      </c>
      <c r="I22" s="230">
        <f>'[1]июль 20'!AI21</f>
        <v>0</v>
      </c>
      <c r="J22" s="247">
        <f>'[1]сентябрь 20'!AA21</f>
        <v>10.55</v>
      </c>
      <c r="K22" s="464">
        <f>'[1]сентябрь 20'!AM21</f>
        <v>0</v>
      </c>
      <c r="L22" s="247">
        <f>'[1]сентябрь 20'!AE21</f>
        <v>48.01</v>
      </c>
      <c r="M22" s="468">
        <f t="shared" si="21"/>
        <v>0.40051722699591225</v>
      </c>
      <c r="N22" s="403">
        <f>'[1]сентябрь 20'!W21</f>
        <v>0</v>
      </c>
      <c r="O22" s="403">
        <f>'[1]сентябрь 20'!AU21</f>
        <v>8.7430000000000003</v>
      </c>
      <c r="P22" s="401">
        <f t="shared" si="1"/>
        <v>160.22800000000001</v>
      </c>
      <c r="Q22" s="122">
        <f>'[1]сентябрь 20'!S21</f>
        <v>160.22800000000001</v>
      </c>
      <c r="R22" s="123">
        <f t="shared" si="22"/>
        <v>3.0299999999999994</v>
      </c>
      <c r="S22" s="501">
        <v>16.809999999999999</v>
      </c>
      <c r="T22" s="125">
        <f t="shared" si="2"/>
        <v>155.37309160000001</v>
      </c>
      <c r="U22" s="147">
        <f t="shared" si="31"/>
        <v>1.2961799582881457</v>
      </c>
      <c r="V22" s="130">
        <v>119.87</v>
      </c>
      <c r="W22" s="130">
        <v>78.92</v>
      </c>
      <c r="X22" s="129">
        <v>0.86</v>
      </c>
      <c r="Y22" s="131">
        <v>572</v>
      </c>
      <c r="Z22" s="150">
        <v>1167</v>
      </c>
      <c r="AA22" s="148" t="s">
        <v>134</v>
      </c>
      <c r="AB22" s="149">
        <v>75.98</v>
      </c>
      <c r="AC22" s="150">
        <v>107</v>
      </c>
      <c r="AD22" s="151">
        <v>5</v>
      </c>
      <c r="AE22" s="149">
        <v>3.9</v>
      </c>
      <c r="AF22" s="134">
        <f t="shared" si="4"/>
        <v>32.535246517060152</v>
      </c>
      <c r="AG22" s="152"/>
      <c r="AH22" s="129">
        <v>88.5</v>
      </c>
      <c r="AI22" s="134">
        <f t="shared" si="5"/>
        <v>738.29982481021113</v>
      </c>
      <c r="AJ22" s="153">
        <v>14.38</v>
      </c>
      <c r="AK22" s="154"/>
      <c r="AL22" s="155">
        <v>8.4</v>
      </c>
      <c r="AM22" s="478">
        <v>35.61</v>
      </c>
      <c r="AN22" s="126">
        <f t="shared" si="23"/>
        <v>0.22035891089108911</v>
      </c>
      <c r="AO22" s="157" t="s">
        <v>401</v>
      </c>
      <c r="AP22" s="156">
        <v>7.27</v>
      </c>
      <c r="AQ22" s="156">
        <v>6.97</v>
      </c>
      <c r="AR22" s="151"/>
      <c r="AS22" s="149">
        <v>8.6</v>
      </c>
      <c r="AT22" s="149">
        <v>161.6</v>
      </c>
      <c r="AU22" s="149">
        <v>2.2799999999999998</v>
      </c>
      <c r="AV22" s="149"/>
      <c r="AW22" s="149"/>
      <c r="AX22" s="158">
        <f t="shared" si="6"/>
        <v>0</v>
      </c>
      <c r="AY22" s="125">
        <f t="shared" si="33"/>
        <v>119.86999999999999</v>
      </c>
      <c r="AZ22" s="125">
        <f t="shared" si="24"/>
        <v>115.78244684996935</v>
      </c>
      <c r="BA22" s="159">
        <f t="shared" si="8"/>
        <v>5.8958450704225358</v>
      </c>
      <c r="BB22" s="160">
        <f t="shared" si="9"/>
        <v>4.7947999999999995</v>
      </c>
      <c r="BC22" s="161">
        <f t="shared" si="10"/>
        <v>0.91858464010865337</v>
      </c>
      <c r="BD22" s="160">
        <f t="shared" si="25"/>
        <v>10.690645070422535</v>
      </c>
      <c r="BE22" s="162">
        <v>0.93100000000000005</v>
      </c>
      <c r="BF22" s="25">
        <f t="shared" si="26"/>
        <v>1926.7</v>
      </c>
      <c r="BG22" s="25">
        <f t="shared" si="11"/>
        <v>118.33333333333333</v>
      </c>
      <c r="BH22" s="25">
        <f t="shared" si="27"/>
        <v>1893.3333333333328</v>
      </c>
      <c r="BI22" s="26">
        <f t="shared" si="12"/>
        <v>1</v>
      </c>
      <c r="BJ22" s="37">
        <f t="shared" si="28"/>
        <v>1893.3333333333328</v>
      </c>
      <c r="BK22" s="38"/>
      <c r="BL22" s="31">
        <v>208.601</v>
      </c>
      <c r="BM22" s="31"/>
      <c r="BN22" s="234">
        <v>42.725999999999999</v>
      </c>
      <c r="BO22" s="42"/>
      <c r="BP22" s="40">
        <v>10.621</v>
      </c>
      <c r="BQ22" s="411">
        <v>5.2839999999999998</v>
      </c>
      <c r="BR22" s="33"/>
      <c r="BS22" s="34">
        <v>2.19</v>
      </c>
      <c r="BT22" s="35"/>
      <c r="BU22" s="35"/>
      <c r="BV22" s="235"/>
      <c r="BW22" s="235">
        <v>4.6900000000000004</v>
      </c>
      <c r="BX22" s="36"/>
      <c r="BY22" s="33"/>
      <c r="BZ22" s="34">
        <v>36.950000000000003</v>
      </c>
      <c r="CA22" s="35"/>
      <c r="CB22" s="405">
        <v>43.15</v>
      </c>
      <c r="CC22" s="404"/>
      <c r="CD22" s="235">
        <v>30.77</v>
      </c>
      <c r="CE22" s="413">
        <v>43.21</v>
      </c>
      <c r="CF22" s="30">
        <v>106.735</v>
      </c>
      <c r="CG22" s="30">
        <v>53.493000000000002</v>
      </c>
      <c r="CH22" s="31"/>
      <c r="CI22" s="32"/>
      <c r="CJ22" s="33">
        <v>3.03</v>
      </c>
      <c r="CK22" s="33">
        <v>3.03</v>
      </c>
      <c r="CL22" s="35"/>
      <c r="CM22" s="36"/>
      <c r="CN22" s="286"/>
      <c r="CO22" s="249">
        <f t="shared" si="13"/>
        <v>0</v>
      </c>
      <c r="CP22" s="12">
        <f t="shared" si="13"/>
        <v>204.03263809999999</v>
      </c>
      <c r="CQ22" s="12">
        <f t="shared" si="13"/>
        <v>0</v>
      </c>
      <c r="CR22" s="12">
        <f t="shared" si="13"/>
        <v>42.725999999999999</v>
      </c>
      <c r="CS22" s="11">
        <f t="shared" si="13"/>
        <v>0</v>
      </c>
      <c r="CT22" s="11">
        <f t="shared" si="13"/>
        <v>10.122875100000002</v>
      </c>
      <c r="CU22" s="272">
        <f t="shared" si="13"/>
        <v>5.2839999999999998</v>
      </c>
      <c r="CV22" s="249">
        <f t="shared" si="14"/>
        <v>103.5009295</v>
      </c>
      <c r="CW22" s="12">
        <f t="shared" si="14"/>
        <v>51.872162100000004</v>
      </c>
      <c r="CX22" s="249">
        <f t="shared" si="14"/>
        <v>0</v>
      </c>
      <c r="CY22" s="272">
        <f t="shared" si="14"/>
        <v>0</v>
      </c>
      <c r="CZ22" s="13"/>
      <c r="DA22" s="240">
        <f>(D22+'[2]сентябрь 20'!D22)/(AY22+'[2]сентябрь 20'!BA22)</f>
        <v>1.912000567496235</v>
      </c>
      <c r="DB22" s="241">
        <f>(T22+'[2]сентябрь 20'!T22)/(AY22+'[2]сентябрь 20'!BA22)</f>
        <v>1.1431337993476585</v>
      </c>
      <c r="DD22" s="292">
        <f t="shared" si="15"/>
        <v>10.55</v>
      </c>
      <c r="DE22" s="291">
        <v>3.37</v>
      </c>
      <c r="DF22" s="291">
        <v>13.87</v>
      </c>
      <c r="DG22" s="145">
        <f t="shared" si="16"/>
        <v>10.194464999999999</v>
      </c>
      <c r="DH22" s="293">
        <f t="shared" si="29"/>
        <v>1.8609795939720977</v>
      </c>
      <c r="DJ22" s="322"/>
    </row>
    <row r="23" spans="1:114" s="76" customFormat="1" ht="16.5" customHeight="1" thickBot="1">
      <c r="A23" s="144">
        <v>17</v>
      </c>
      <c r="B23" s="122">
        <f>'[1]сентябрь 20'!K22</f>
        <v>297.61399999999998</v>
      </c>
      <c r="C23" s="123">
        <f t="shared" si="17"/>
        <v>1.7698196321409614</v>
      </c>
      <c r="D23" s="145">
        <f t="shared" si="30"/>
        <v>292.34676899999994</v>
      </c>
      <c r="E23" s="125">
        <f t="shared" si="32"/>
        <v>37.493334318950055</v>
      </c>
      <c r="F23" s="146">
        <f t="shared" si="0"/>
        <v>2.2912984481542438</v>
      </c>
      <c r="G23" s="127">
        <v>13.37</v>
      </c>
      <c r="H23" s="126">
        <f t="shared" si="20"/>
        <v>1.8713282310525905</v>
      </c>
      <c r="I23" s="230">
        <f>'[1]июль 20'!AI22</f>
        <v>0</v>
      </c>
      <c r="J23" s="247">
        <f>'[1]сентябрь 20'!AA22</f>
        <v>11.911</v>
      </c>
      <c r="K23" s="465">
        <f>'[1]сентябрь 20'!AM22</f>
        <v>0</v>
      </c>
      <c r="L23" s="247">
        <f>'[1]сентябрь 20'!AE22</f>
        <v>53.584000000000003</v>
      </c>
      <c r="M23" s="469">
        <f t="shared" si="21"/>
        <v>0.41997021710165372</v>
      </c>
      <c r="N23" s="403">
        <f>'[1]сентябрь 20'!W22</f>
        <v>0</v>
      </c>
      <c r="O23" s="403">
        <f>'[1]сентябрь 20'!AU22</f>
        <v>9.4649999999999999</v>
      </c>
      <c r="P23" s="401">
        <f t="shared" si="1"/>
        <v>179.721</v>
      </c>
      <c r="Q23" s="122">
        <f>'[1]сентябрь 20'!S22</f>
        <v>179.721</v>
      </c>
      <c r="R23" s="123">
        <f t="shared" si="22"/>
        <v>3.21</v>
      </c>
      <c r="S23" s="501">
        <v>16.5</v>
      </c>
      <c r="T23" s="125">
        <f t="shared" si="2"/>
        <v>173.95195590000003</v>
      </c>
      <c r="U23" s="147">
        <f t="shared" si="31"/>
        <v>1.363366689395721</v>
      </c>
      <c r="V23" s="130">
        <v>127.59</v>
      </c>
      <c r="W23" s="130">
        <v>81.61</v>
      </c>
      <c r="X23" s="129">
        <v>0.72</v>
      </c>
      <c r="Y23" s="131">
        <v>515</v>
      </c>
      <c r="Z23" s="150">
        <v>1173</v>
      </c>
      <c r="AA23" s="148" t="s">
        <v>402</v>
      </c>
      <c r="AB23" s="149">
        <v>76.650000000000006</v>
      </c>
      <c r="AC23" s="150">
        <v>119</v>
      </c>
      <c r="AD23" s="151">
        <v>5</v>
      </c>
      <c r="AE23" s="149">
        <v>6.2</v>
      </c>
      <c r="AF23" s="134">
        <f t="shared" si="4"/>
        <v>48.59314993338036</v>
      </c>
      <c r="AG23" s="152"/>
      <c r="AH23" s="129">
        <v>95.85</v>
      </c>
      <c r="AI23" s="134">
        <f t="shared" si="5"/>
        <v>751.23442276040441</v>
      </c>
      <c r="AJ23" s="136">
        <v>18.059999999999999</v>
      </c>
      <c r="AK23" s="154"/>
      <c r="AL23" s="155">
        <v>12.49</v>
      </c>
      <c r="AM23" s="478">
        <v>36.340000000000003</v>
      </c>
      <c r="AN23" s="126">
        <f t="shared" si="23"/>
        <v>0.20975468975468978</v>
      </c>
      <c r="AO23" s="157" t="s">
        <v>183</v>
      </c>
      <c r="AP23" s="156">
        <v>6.86</v>
      </c>
      <c r="AQ23" s="156">
        <v>6.78</v>
      </c>
      <c r="AR23" s="151"/>
      <c r="AS23" s="149">
        <v>8.3800000000000008</v>
      </c>
      <c r="AT23" s="149">
        <v>173.25</v>
      </c>
      <c r="AU23" s="149">
        <v>3.17</v>
      </c>
      <c r="AV23" s="149"/>
      <c r="AW23" s="149"/>
      <c r="AX23" s="158">
        <f t="shared" si="6"/>
        <v>0</v>
      </c>
      <c r="AY23" s="125">
        <f t="shared" si="33"/>
        <v>127.58999999999999</v>
      </c>
      <c r="AZ23" s="125">
        <f t="shared" si="24"/>
        <v>127.1140536189402</v>
      </c>
      <c r="BA23" s="159">
        <f t="shared" si="8"/>
        <v>6.2221500000000001</v>
      </c>
      <c r="BB23" s="160">
        <f t="shared" si="9"/>
        <v>5.1035999999999992</v>
      </c>
      <c r="BC23" s="161">
        <f t="shared" si="10"/>
        <v>0.89222920318163212</v>
      </c>
      <c r="BD23" s="160">
        <f t="shared" si="25"/>
        <v>11.325749999999999</v>
      </c>
      <c r="BE23" s="162">
        <v>0.92800000000000005</v>
      </c>
      <c r="BF23" s="25">
        <f t="shared" si="26"/>
        <v>2054.29</v>
      </c>
      <c r="BG23" s="25">
        <f t="shared" si="11"/>
        <v>118.33333333333333</v>
      </c>
      <c r="BH23" s="25">
        <f t="shared" si="27"/>
        <v>2011.6666666666661</v>
      </c>
      <c r="BI23" s="26">
        <f t="shared" si="12"/>
        <v>1</v>
      </c>
      <c r="BJ23" s="37">
        <f t="shared" si="28"/>
        <v>2011.6666666666661</v>
      </c>
      <c r="BK23" s="38"/>
      <c r="BL23" s="31">
        <v>232.06</v>
      </c>
      <c r="BM23" s="31"/>
      <c r="BN23" s="234">
        <v>47.607999999999997</v>
      </c>
      <c r="BO23" s="42"/>
      <c r="BP23" s="40">
        <v>11.97</v>
      </c>
      <c r="BQ23" s="411">
        <v>5.976</v>
      </c>
      <c r="BR23" s="33"/>
      <c r="BS23" s="34">
        <v>2</v>
      </c>
      <c r="BT23" s="35"/>
      <c r="BU23" s="35"/>
      <c r="BV23" s="235"/>
      <c r="BW23" s="235">
        <v>5.23</v>
      </c>
      <c r="BX23" s="36"/>
      <c r="BY23" s="33"/>
      <c r="BZ23" s="34">
        <v>36.380000000000003</v>
      </c>
      <c r="CA23" s="35"/>
      <c r="CB23" s="405">
        <v>42.92</v>
      </c>
      <c r="CC23" s="404"/>
      <c r="CD23" s="235">
        <v>34.6</v>
      </c>
      <c r="CE23" s="413">
        <v>43.29</v>
      </c>
      <c r="CF23" s="30">
        <v>120.22499999999999</v>
      </c>
      <c r="CG23" s="30">
        <v>59.496000000000002</v>
      </c>
      <c r="CH23" s="31"/>
      <c r="CI23" s="32"/>
      <c r="CJ23" s="33">
        <v>3.21</v>
      </c>
      <c r="CK23" s="33">
        <v>3.21</v>
      </c>
      <c r="CL23" s="35"/>
      <c r="CM23" s="36"/>
      <c r="CN23" s="286"/>
      <c r="CO23" s="249">
        <f t="shared" ref="CO23:CU23" si="34">BK23*((100-BR23)/100)</f>
        <v>0</v>
      </c>
      <c r="CP23" s="12">
        <f t="shared" si="34"/>
        <v>227.4188</v>
      </c>
      <c r="CQ23" s="12">
        <f t="shared" si="34"/>
        <v>0</v>
      </c>
      <c r="CR23" s="12">
        <f t="shared" si="34"/>
        <v>47.607999999999997</v>
      </c>
      <c r="CS23" s="11">
        <f t="shared" si="34"/>
        <v>0</v>
      </c>
      <c r="CT23" s="11">
        <f t="shared" si="34"/>
        <v>11.343969000000001</v>
      </c>
      <c r="CU23" s="272">
        <f t="shared" si="34"/>
        <v>5.976</v>
      </c>
      <c r="CV23" s="249">
        <f t="shared" si="14"/>
        <v>116.36577750000001</v>
      </c>
      <c r="CW23" s="11">
        <f t="shared" si="14"/>
        <v>57.586178400000009</v>
      </c>
      <c r="CX23" s="249">
        <f t="shared" si="14"/>
        <v>0</v>
      </c>
      <c r="CY23" s="272">
        <f t="shared" si="14"/>
        <v>0</v>
      </c>
      <c r="CZ23" s="13"/>
      <c r="DA23" s="240">
        <f>(D23+'[2]сентябрь 20'!D23)/(AY23+'[2]сентябрь 20'!BA23)</f>
        <v>2.5977900422835138</v>
      </c>
      <c r="DB23" s="241">
        <f>(T23+'[2]сентябрь 20'!T23)/(AY23+'[2]сентябрь 20'!BA23)</f>
        <v>1.5751554541656902</v>
      </c>
      <c r="DD23" s="292">
        <f t="shared" si="15"/>
        <v>11.911</v>
      </c>
      <c r="DE23" s="291">
        <v>0.66</v>
      </c>
      <c r="DF23" s="291">
        <v>14.73</v>
      </c>
      <c r="DG23" s="145">
        <f t="shared" si="16"/>
        <v>11.8323874</v>
      </c>
      <c r="DH23" s="293">
        <f t="shared" si="29"/>
        <v>2.2738560522113502</v>
      </c>
      <c r="DJ23" s="322"/>
    </row>
    <row r="24" spans="1:114" s="76" customFormat="1" ht="16.5" customHeight="1" thickBot="1">
      <c r="A24" s="144">
        <v>18</v>
      </c>
      <c r="B24" s="122">
        <f>'[1]сентябрь 20'!K23</f>
        <v>299.94499999999999</v>
      </c>
      <c r="C24" s="123">
        <f t="shared" si="17"/>
        <v>2.4664400473420125</v>
      </c>
      <c r="D24" s="145">
        <f t="shared" si="30"/>
        <v>292.54703639999997</v>
      </c>
      <c r="E24" s="125">
        <f t="shared" si="32"/>
        <v>37.863467135641542</v>
      </c>
      <c r="F24" s="146">
        <f t="shared" si="0"/>
        <v>2.2472502412044864</v>
      </c>
      <c r="G24" s="127">
        <v>17.04</v>
      </c>
      <c r="H24" s="126">
        <f t="shared" si="20"/>
        <v>1.8331697372868339</v>
      </c>
      <c r="I24" s="230">
        <f>'[1]июль 20'!AI23</f>
        <v>0</v>
      </c>
      <c r="J24" s="247">
        <f>'[1]сентябрь 20'!AA23</f>
        <v>11.907999999999999</v>
      </c>
      <c r="K24" s="464">
        <f>'[1]сентябрь 20'!AM23</f>
        <v>0</v>
      </c>
      <c r="L24" s="247">
        <f>'[1]сентябрь 20'!AE23</f>
        <v>53.905000000000001</v>
      </c>
      <c r="M24" s="468">
        <f t="shared" si="21"/>
        <v>0.41408050391765255</v>
      </c>
      <c r="N24" s="403">
        <f>'[1]сентябрь 20'!W23</f>
        <v>0</v>
      </c>
      <c r="O24" s="403">
        <f>'[1]сентябрь 20'!AU23</f>
        <v>9.7140000000000004</v>
      </c>
      <c r="P24" s="401">
        <f t="shared" si="1"/>
        <v>182.322</v>
      </c>
      <c r="Q24" s="122">
        <f>'[1]сентябрь 20'!S23</f>
        <v>182.322</v>
      </c>
      <c r="R24" s="123">
        <f t="shared" si="22"/>
        <v>2.9099999999999997</v>
      </c>
      <c r="S24" s="129">
        <v>3.28</v>
      </c>
      <c r="T24" s="125">
        <f t="shared" si="2"/>
        <v>177.0164298</v>
      </c>
      <c r="U24" s="147">
        <f t="shared" si="31"/>
        <v>1.3597820694423108</v>
      </c>
      <c r="V24" s="130">
        <v>133.81</v>
      </c>
      <c r="W24" s="130">
        <v>132.57</v>
      </c>
      <c r="X24" s="129">
        <v>0.82</v>
      </c>
      <c r="Y24" s="150">
        <v>560</v>
      </c>
      <c r="Z24" s="150">
        <v>1178</v>
      </c>
      <c r="AA24" s="148">
        <v>486.9</v>
      </c>
      <c r="AB24" s="149">
        <v>76.38</v>
      </c>
      <c r="AC24" s="150">
        <v>120</v>
      </c>
      <c r="AD24" s="151">
        <v>5</v>
      </c>
      <c r="AE24" s="149">
        <v>5.65</v>
      </c>
      <c r="AF24" s="134">
        <f t="shared" si="4"/>
        <v>43.401444154247976</v>
      </c>
      <c r="AG24" s="152"/>
      <c r="AH24" s="129">
        <v>94.9</v>
      </c>
      <c r="AI24" s="134">
        <f t="shared" si="5"/>
        <v>728.99062836073142</v>
      </c>
      <c r="AJ24" s="153">
        <v>15.61</v>
      </c>
      <c r="AK24" s="154"/>
      <c r="AL24" s="155">
        <v>8.2200000000000006</v>
      </c>
      <c r="AM24" s="478">
        <v>38.47</v>
      </c>
      <c r="AN24" s="126">
        <f t="shared" si="23"/>
        <v>0.22083811710677384</v>
      </c>
      <c r="AO24" s="157" t="s">
        <v>185</v>
      </c>
      <c r="AP24" s="156">
        <v>6.95</v>
      </c>
      <c r="AQ24" s="156">
        <v>7.05</v>
      </c>
      <c r="AR24" s="151"/>
      <c r="AS24" s="149">
        <v>8.2899999999999991</v>
      </c>
      <c r="AT24" s="149">
        <v>174.2</v>
      </c>
      <c r="AU24" s="149">
        <v>2.67</v>
      </c>
      <c r="AV24" s="164"/>
      <c r="AW24" s="149"/>
      <c r="AX24" s="158">
        <f t="shared" si="6"/>
        <v>0</v>
      </c>
      <c r="AY24" s="125">
        <f t="shared" si="33"/>
        <v>130.17999999999998</v>
      </c>
      <c r="AZ24" s="125">
        <f t="shared" si="24"/>
        <v>126.60494593962972</v>
      </c>
      <c r="BA24" s="159">
        <f t="shared" si="8"/>
        <v>6.0943176056338029</v>
      </c>
      <c r="BB24" s="160">
        <f t="shared" si="9"/>
        <v>5.2071999999999994</v>
      </c>
      <c r="BC24" s="161">
        <f t="shared" si="10"/>
        <v>0.89765166089318094</v>
      </c>
      <c r="BD24" s="160">
        <f t="shared" si="25"/>
        <v>11.301517605633801</v>
      </c>
      <c r="BE24" s="162">
        <v>0.92600000000000005</v>
      </c>
      <c r="BF24" s="25">
        <f t="shared" si="26"/>
        <v>2184.4699999999998</v>
      </c>
      <c r="BG24" s="25">
        <f t="shared" si="11"/>
        <v>118.33333333333333</v>
      </c>
      <c r="BH24" s="25">
        <f t="shared" si="27"/>
        <v>2129.9999999999995</v>
      </c>
      <c r="BI24" s="26">
        <f t="shared" si="12"/>
        <v>1</v>
      </c>
      <c r="BJ24" s="37">
        <f t="shared" si="28"/>
        <v>2129.9999999999995</v>
      </c>
      <c r="BK24" s="38"/>
      <c r="BL24" s="31">
        <v>234.00399999999999</v>
      </c>
      <c r="BM24" s="31"/>
      <c r="BN24" s="234">
        <v>47.923000000000002</v>
      </c>
      <c r="BO24" s="42"/>
      <c r="BP24" s="40">
        <v>12.036</v>
      </c>
      <c r="BQ24" s="411">
        <v>5.9820000000000002</v>
      </c>
      <c r="BR24" s="33"/>
      <c r="BS24" s="34">
        <v>2.84</v>
      </c>
      <c r="BT24" s="35"/>
      <c r="BU24" s="35"/>
      <c r="BV24" s="235"/>
      <c r="BW24" s="235">
        <v>6.25</v>
      </c>
      <c r="BX24" s="36"/>
      <c r="BY24" s="33"/>
      <c r="BZ24" s="34">
        <v>37.020000000000003</v>
      </c>
      <c r="CA24" s="35"/>
      <c r="CB24" s="405">
        <v>43.11</v>
      </c>
      <c r="CC24" s="404"/>
      <c r="CD24" s="235">
        <v>30.73</v>
      </c>
      <c r="CE24" s="413">
        <v>43.18</v>
      </c>
      <c r="CF24" s="30">
        <v>122.32</v>
      </c>
      <c r="CG24" s="30">
        <v>60.002000000000002</v>
      </c>
      <c r="CH24" s="31"/>
      <c r="CI24" s="32"/>
      <c r="CJ24" s="33">
        <v>2.91</v>
      </c>
      <c r="CK24" s="33">
        <v>2.91</v>
      </c>
      <c r="CL24" s="35"/>
      <c r="CM24" s="36"/>
      <c r="CN24" s="286"/>
      <c r="CO24" s="249">
        <f t="shared" ref="CO24:CU37" si="35">BK24*((100-BR24)/100)</f>
        <v>0</v>
      </c>
      <c r="CP24" s="12">
        <f t="shared" si="35"/>
        <v>227.3582864</v>
      </c>
      <c r="CQ24" s="12">
        <f t="shared" si="35"/>
        <v>0</v>
      </c>
      <c r="CR24" s="12">
        <f t="shared" si="35"/>
        <v>47.923000000000002</v>
      </c>
      <c r="CS24" s="11">
        <f t="shared" si="35"/>
        <v>0</v>
      </c>
      <c r="CT24" s="11">
        <f t="shared" si="35"/>
        <v>11.28375</v>
      </c>
      <c r="CU24" s="272">
        <f t="shared" si="35"/>
        <v>5.9820000000000002</v>
      </c>
      <c r="CV24" s="249">
        <f t="shared" si="14"/>
        <v>118.760488</v>
      </c>
      <c r="CW24" s="12">
        <f t="shared" si="14"/>
        <v>58.255941800000002</v>
      </c>
      <c r="CX24" s="249">
        <f t="shared" si="14"/>
        <v>0</v>
      </c>
      <c r="CY24" s="272">
        <f t="shared" si="14"/>
        <v>0</v>
      </c>
      <c r="CZ24" s="13"/>
      <c r="DA24" s="240">
        <f>(D24+'[2]сентябрь 20'!D24)/(AY24+'[2]сентябрь 20'!BA24)</f>
        <v>2.2479918190868511</v>
      </c>
      <c r="DB24" s="241">
        <f>(T24+'[2]сентябрь 20'!T24)/(AY24+'[2]сентябрь 20'!BA24)</f>
        <v>1.3725156988167424</v>
      </c>
      <c r="DD24" s="292">
        <f t="shared" si="15"/>
        <v>11.907999999999999</v>
      </c>
      <c r="DE24" s="291">
        <v>2.4500000000000002</v>
      </c>
      <c r="DF24" s="291"/>
      <c r="DG24" s="145">
        <f t="shared" si="16"/>
        <v>11.616253999999998</v>
      </c>
      <c r="DH24" s="293">
        <f t="shared" si="29"/>
        <v>0</v>
      </c>
      <c r="DJ24" s="322"/>
    </row>
    <row r="25" spans="1:114" s="76" customFormat="1" ht="16.5" customHeight="1" thickBot="1">
      <c r="A25" s="144">
        <v>19</v>
      </c>
      <c r="B25" s="122">
        <f>'[1]сентябрь 20'!K24</f>
        <v>312.39800000000002</v>
      </c>
      <c r="C25" s="123">
        <f t="shared" si="17"/>
        <v>1.8285392672168193</v>
      </c>
      <c r="D25" s="145">
        <f t="shared" si="30"/>
        <v>306.68567990000003</v>
      </c>
      <c r="E25" s="125">
        <f t="shared" si="32"/>
        <v>37.242334201883494</v>
      </c>
      <c r="F25" s="146">
        <f t="shared" si="0"/>
        <v>2.2776507976234686</v>
      </c>
      <c r="G25" s="127">
        <v>19.98</v>
      </c>
      <c r="H25" s="126">
        <f t="shared" si="20"/>
        <v>1.859722836242109</v>
      </c>
      <c r="I25" s="230">
        <f>'[1]июль 20'!AI24</f>
        <v>0</v>
      </c>
      <c r="J25" s="247">
        <f>'[1]сентябрь 20'!AA24</f>
        <v>12.593</v>
      </c>
      <c r="K25" s="465">
        <f>'[1]сентябрь 20'!AM24</f>
        <v>0</v>
      </c>
      <c r="L25" s="247">
        <f>'[1]сентябрь 20'!AE24</f>
        <v>56.274000000000001</v>
      </c>
      <c r="M25" s="469">
        <f t="shared" si="21"/>
        <v>0.41792796138135907</v>
      </c>
      <c r="N25" s="403">
        <f>'[1]сентябрь 20'!W24</f>
        <v>0</v>
      </c>
      <c r="O25" s="403">
        <f>'[1]сентябрь 20'!AU24</f>
        <v>9.9309999999999992</v>
      </c>
      <c r="P25" s="401">
        <f t="shared" si="1"/>
        <v>189.71699999999998</v>
      </c>
      <c r="Q25" s="122">
        <f>'[1]сентябрь 20'!S24</f>
        <v>189.71700000000001</v>
      </c>
      <c r="R25" s="123">
        <f>IF(Q25=0,0,(CI25*CM25+CG25*CK25+CH25*CL25+CF25*CJ25)/Q25)</f>
        <v>2.6499999999999995</v>
      </c>
      <c r="S25" s="501">
        <v>9.23</v>
      </c>
      <c r="T25" s="125">
        <f t="shared" si="2"/>
        <v>184.68949950000001</v>
      </c>
      <c r="U25" s="147">
        <f t="shared" si="31"/>
        <v>1.3716264352023766</v>
      </c>
      <c r="V25" s="130">
        <v>102.87</v>
      </c>
      <c r="W25" s="130">
        <v>48.16</v>
      </c>
      <c r="X25" s="129">
        <v>0.92</v>
      </c>
      <c r="Y25" s="150">
        <v>509</v>
      </c>
      <c r="Z25" s="150">
        <v>1170</v>
      </c>
      <c r="AA25" s="148" t="s">
        <v>403</v>
      </c>
      <c r="AB25" s="149">
        <v>76.87</v>
      </c>
      <c r="AC25" s="150">
        <v>125</v>
      </c>
      <c r="AD25" s="151">
        <v>5</v>
      </c>
      <c r="AE25" s="149">
        <v>5.25</v>
      </c>
      <c r="AF25" s="134">
        <f t="shared" si="4"/>
        <v>38.989974006683994</v>
      </c>
      <c r="AG25" s="152"/>
      <c r="AH25" s="129">
        <v>80.349999999999994</v>
      </c>
      <c r="AI25" s="134">
        <f t="shared" si="5"/>
        <v>596.73226884515407</v>
      </c>
      <c r="AJ25" s="136">
        <v>18.47</v>
      </c>
      <c r="AK25" s="154"/>
      <c r="AL25" s="155">
        <v>8.2100000000000009</v>
      </c>
      <c r="AM25" s="478">
        <v>35.89</v>
      </c>
      <c r="AN25" s="126">
        <f t="shared" si="23"/>
        <v>0.20322763306908267</v>
      </c>
      <c r="AO25" s="157" t="s">
        <v>254</v>
      </c>
      <c r="AP25" s="156">
        <v>7.3</v>
      </c>
      <c r="AQ25" s="156">
        <v>6.88</v>
      </c>
      <c r="AR25" s="152"/>
      <c r="AS25" s="149">
        <v>6.19</v>
      </c>
      <c r="AT25" s="149">
        <v>176.6</v>
      </c>
      <c r="AU25" s="149">
        <v>2.15</v>
      </c>
      <c r="AV25" s="164"/>
      <c r="AW25" s="149"/>
      <c r="AX25" s="158">
        <f t="shared" si="6"/>
        <v>0</v>
      </c>
      <c r="AY25" s="125">
        <f t="shared" si="33"/>
        <v>134.65</v>
      </c>
      <c r="AZ25" s="125">
        <f t="shared" si="24"/>
        <v>129.71426930369677</v>
      </c>
      <c r="BA25" s="159">
        <f t="shared" si="8"/>
        <v>3.8528390845070417</v>
      </c>
      <c r="BB25" s="160">
        <f t="shared" si="9"/>
        <v>5.3860000000000001</v>
      </c>
      <c r="BC25" s="161">
        <f t="shared" si="10"/>
        <v>0.9062183415209657</v>
      </c>
      <c r="BD25" s="160">
        <f t="shared" si="25"/>
        <v>9.2388390845070418</v>
      </c>
      <c r="BE25" s="162">
        <v>0.92500000000000004</v>
      </c>
      <c r="BF25" s="25">
        <f t="shared" si="26"/>
        <v>2319.12</v>
      </c>
      <c r="BG25" s="25">
        <f t="shared" si="11"/>
        <v>118.33333333333333</v>
      </c>
      <c r="BH25" s="25">
        <f t="shared" si="27"/>
        <v>2248.333333333333</v>
      </c>
      <c r="BI25" s="26">
        <f t="shared" si="12"/>
        <v>1</v>
      </c>
      <c r="BJ25" s="37">
        <f t="shared" si="28"/>
        <v>2248.333333333333</v>
      </c>
      <c r="BK25" s="38"/>
      <c r="BL25" s="31">
        <v>243.785</v>
      </c>
      <c r="BM25" s="31"/>
      <c r="BN25" s="234">
        <v>49.969000000000001</v>
      </c>
      <c r="BO25" s="42"/>
      <c r="BP25" s="40">
        <v>12.339</v>
      </c>
      <c r="BQ25" s="411">
        <v>6.3049999999999997</v>
      </c>
      <c r="BR25" s="33"/>
      <c r="BS25" s="34">
        <v>2.04</v>
      </c>
      <c r="BT25" s="35"/>
      <c r="BU25" s="35"/>
      <c r="BV25" s="235"/>
      <c r="BW25" s="235">
        <v>5.99</v>
      </c>
      <c r="BX25" s="36"/>
      <c r="BY25" s="33"/>
      <c r="BZ25" s="34">
        <v>36.1</v>
      </c>
      <c r="CA25" s="35"/>
      <c r="CB25" s="405">
        <v>43.07</v>
      </c>
      <c r="CC25" s="404"/>
      <c r="CD25" s="235">
        <v>33.06</v>
      </c>
      <c r="CE25" s="413">
        <v>43.41</v>
      </c>
      <c r="CF25" s="30">
        <v>127.22499999999999</v>
      </c>
      <c r="CG25" s="30">
        <v>62.491999999999997</v>
      </c>
      <c r="CH25" s="31"/>
      <c r="CI25" s="32"/>
      <c r="CJ25" s="33">
        <v>2.65</v>
      </c>
      <c r="CK25" s="33">
        <v>2.65</v>
      </c>
      <c r="CL25" s="35"/>
      <c r="CM25" s="36"/>
      <c r="CN25" s="286"/>
      <c r="CO25" s="249">
        <f t="shared" si="35"/>
        <v>0</v>
      </c>
      <c r="CP25" s="12">
        <f t="shared" si="35"/>
        <v>238.81178599999998</v>
      </c>
      <c r="CQ25" s="12">
        <f t="shared" si="35"/>
        <v>0</v>
      </c>
      <c r="CR25" s="12">
        <f t="shared" si="35"/>
        <v>49.969000000000001</v>
      </c>
      <c r="CS25" s="11">
        <f t="shared" si="35"/>
        <v>0</v>
      </c>
      <c r="CT25" s="11">
        <f t="shared" si="35"/>
        <v>11.599893900000001</v>
      </c>
      <c r="CU25" s="272">
        <f t="shared" si="35"/>
        <v>6.3049999999999997</v>
      </c>
      <c r="CV25" s="249">
        <f t="shared" si="14"/>
        <v>123.85353749999999</v>
      </c>
      <c r="CW25" s="251">
        <f t="shared" si="14"/>
        <v>60.835961999999995</v>
      </c>
      <c r="CX25" s="249">
        <f t="shared" si="14"/>
        <v>0</v>
      </c>
      <c r="CY25" s="272">
        <f t="shared" si="14"/>
        <v>0</v>
      </c>
      <c r="CZ25" s="13"/>
      <c r="DA25" s="240">
        <f>(D25+'[2]сентябрь 20'!D25)/(AY25+'[2]сентябрь 20'!BA25)</f>
        <v>2.9135148296477982</v>
      </c>
      <c r="DB25" s="241">
        <f>(T25+'[2]сентябрь 20'!T25)/(AY25+'[2]сентябрь 20'!BA25)</f>
        <v>1.7684417257502012</v>
      </c>
      <c r="DD25" s="292">
        <f t="shared" si="15"/>
        <v>12.593</v>
      </c>
      <c r="DE25" s="291"/>
      <c r="DF25" s="291"/>
      <c r="DG25" s="145">
        <f t="shared" si="16"/>
        <v>12.593</v>
      </c>
      <c r="DH25" s="293">
        <f t="shared" si="29"/>
        <v>0</v>
      </c>
      <c r="DJ25" s="322"/>
    </row>
    <row r="26" spans="1:114" s="76" customFormat="1" ht="16.5" customHeight="1" thickBot="1">
      <c r="A26" s="144">
        <v>20</v>
      </c>
      <c r="B26" s="122">
        <f>'[1]сентябрь 20'!K25</f>
        <v>267.745</v>
      </c>
      <c r="C26" s="123">
        <f t="shared" si="17"/>
        <v>1.2899690750527553</v>
      </c>
      <c r="D26" s="145">
        <f t="shared" si="30"/>
        <v>264.29117230000003</v>
      </c>
      <c r="E26" s="125">
        <f t="shared" si="32"/>
        <v>37.345740536704696</v>
      </c>
      <c r="F26" s="146">
        <f t="shared" si="0"/>
        <v>2.1854888968824939</v>
      </c>
      <c r="G26" s="127">
        <v>18.87</v>
      </c>
      <c r="H26" s="126">
        <f t="shared" si="20"/>
        <v>1.7864563987430742</v>
      </c>
      <c r="I26" s="230">
        <f>'[1]июль 20'!AI25</f>
        <v>0</v>
      </c>
      <c r="J26" s="247">
        <f>'[1]сентябрь 20'!AA25</f>
        <v>11.116</v>
      </c>
      <c r="K26" s="464">
        <f>'[1]сентябрь 20'!AM25</f>
        <v>0</v>
      </c>
      <c r="L26" s="247">
        <f>'[1]сентябрь 20'!AE25</f>
        <v>48.255000000000003</v>
      </c>
      <c r="M26" s="468">
        <f t="shared" si="21"/>
        <v>0.39903249813941943</v>
      </c>
      <c r="N26" s="403">
        <f>'[1]сентябрь 20'!W25</f>
        <v>0</v>
      </c>
      <c r="O26" s="403">
        <f>'[1]сентябрь 20'!AU25</f>
        <v>8.5909999999999993</v>
      </c>
      <c r="P26" s="401">
        <f t="shared" si="1"/>
        <v>160.84399999999999</v>
      </c>
      <c r="Q26" s="122">
        <f>'[1]сентябрь 20'!S25</f>
        <v>160.84399999999999</v>
      </c>
      <c r="R26" s="123">
        <f t="shared" ref="R26:R36" si="36">IF(Q26=0,0,(CI26*CM26+CG26*CK26+CH26*CL26+CF26*CJ26)/Q26)</f>
        <v>2.6500000000000004</v>
      </c>
      <c r="S26" s="501">
        <v>14.22</v>
      </c>
      <c r="T26" s="125">
        <f t="shared" si="2"/>
        <v>156.58163399999998</v>
      </c>
      <c r="U26" s="147">
        <f t="shared" si="31"/>
        <v>1.2948121557926069</v>
      </c>
      <c r="V26" s="169">
        <v>123.76</v>
      </c>
      <c r="W26" s="169">
        <v>72.7</v>
      </c>
      <c r="X26" s="170">
        <v>1.1399999999999999</v>
      </c>
      <c r="Y26" s="166">
        <v>555</v>
      </c>
      <c r="Z26" s="166">
        <v>1170</v>
      </c>
      <c r="AA26" s="148" t="s">
        <v>116</v>
      </c>
      <c r="AB26" s="164">
        <v>76.66</v>
      </c>
      <c r="AC26" s="166">
        <v>107</v>
      </c>
      <c r="AD26" s="171">
        <v>5</v>
      </c>
      <c r="AE26" s="164">
        <v>6.15</v>
      </c>
      <c r="AF26" s="172">
        <f t="shared" si="4"/>
        <v>50.855867030513515</v>
      </c>
      <c r="AG26" s="173"/>
      <c r="AH26" s="170">
        <v>80.900000000000006</v>
      </c>
      <c r="AI26" s="134">
        <f t="shared" si="5"/>
        <v>668.98205573472251</v>
      </c>
      <c r="AJ26" s="174">
        <v>15.78</v>
      </c>
      <c r="AK26" s="175"/>
      <c r="AL26" s="176">
        <v>6.14</v>
      </c>
      <c r="AM26" s="478">
        <v>34.94</v>
      </c>
      <c r="AN26" s="126">
        <f t="shared" si="23"/>
        <v>0.21762690750545</v>
      </c>
      <c r="AO26" s="178" t="s">
        <v>404</v>
      </c>
      <c r="AP26" s="177">
        <v>7.84</v>
      </c>
      <c r="AQ26" s="177">
        <v>7.22</v>
      </c>
      <c r="AR26" s="171"/>
      <c r="AS26" s="164">
        <v>7.46</v>
      </c>
      <c r="AT26" s="149">
        <v>160.55000000000001</v>
      </c>
      <c r="AU26" s="164">
        <v>1.46</v>
      </c>
      <c r="AV26" s="164"/>
      <c r="AW26" s="164"/>
      <c r="AX26" s="179">
        <f t="shared" si="6"/>
        <v>0</v>
      </c>
      <c r="AY26" s="125">
        <f t="shared" si="33"/>
        <v>120.93000000000002</v>
      </c>
      <c r="AZ26" s="125">
        <f t="shared" si="24"/>
        <v>112.4007377303214</v>
      </c>
      <c r="BA26" s="159">
        <f t="shared" si="8"/>
        <v>4.6751084507042249</v>
      </c>
      <c r="BB26" s="159">
        <f t="shared" si="9"/>
        <v>4.8372000000000011</v>
      </c>
      <c r="BC26" s="180">
        <f t="shared" si="10"/>
        <v>0.93924552571260222</v>
      </c>
      <c r="BD26" s="159">
        <f t="shared" si="25"/>
        <v>9.512308450704225</v>
      </c>
      <c r="BE26" s="167">
        <v>0.92600000000000005</v>
      </c>
      <c r="BF26" s="25">
        <f t="shared" si="26"/>
        <v>2440.0499999999997</v>
      </c>
      <c r="BG26" s="25">
        <f t="shared" si="11"/>
        <v>118.33333333333333</v>
      </c>
      <c r="BH26" s="25">
        <f t="shared" si="27"/>
        <v>2366.6666666666665</v>
      </c>
      <c r="BI26" s="26">
        <f t="shared" si="12"/>
        <v>1</v>
      </c>
      <c r="BJ26" s="37">
        <f t="shared" si="28"/>
        <v>2366.6666666666665</v>
      </c>
      <c r="BK26" s="38"/>
      <c r="BL26" s="43">
        <v>208.721</v>
      </c>
      <c r="BM26" s="31"/>
      <c r="BN26" s="406">
        <v>42.801000000000002</v>
      </c>
      <c r="BO26" s="42"/>
      <c r="BP26" s="40">
        <v>10.769</v>
      </c>
      <c r="BQ26" s="412">
        <v>5.4539999999999997</v>
      </c>
      <c r="BR26" s="33"/>
      <c r="BS26" s="34">
        <v>1.42</v>
      </c>
      <c r="BT26" s="35"/>
      <c r="BU26" s="35"/>
      <c r="BV26" s="235"/>
      <c r="BW26" s="235">
        <v>4.55</v>
      </c>
      <c r="BX26" s="36"/>
      <c r="BY26" s="33"/>
      <c r="BZ26" s="34">
        <v>36.07</v>
      </c>
      <c r="CA26" s="35"/>
      <c r="CB26" s="405">
        <v>43.27</v>
      </c>
      <c r="CC26" s="404"/>
      <c r="CD26" s="235">
        <v>35.479999999999997</v>
      </c>
      <c r="CE26" s="413">
        <v>43.36</v>
      </c>
      <c r="CF26" s="30">
        <v>107.342</v>
      </c>
      <c r="CG26" s="30">
        <v>53.502000000000002</v>
      </c>
      <c r="CH26" s="43"/>
      <c r="CI26" s="32"/>
      <c r="CJ26" s="33">
        <v>2.65</v>
      </c>
      <c r="CK26" s="33">
        <v>2.65</v>
      </c>
      <c r="CL26" s="35"/>
      <c r="CM26" s="36"/>
      <c r="CN26" s="286"/>
      <c r="CO26" s="249">
        <f t="shared" si="35"/>
        <v>0</v>
      </c>
      <c r="CP26" s="12">
        <f t="shared" si="35"/>
        <v>205.75716180000001</v>
      </c>
      <c r="CQ26" s="12">
        <f t="shared" si="35"/>
        <v>0</v>
      </c>
      <c r="CR26" s="12">
        <f t="shared" si="35"/>
        <v>42.801000000000002</v>
      </c>
      <c r="CS26" s="11">
        <f t="shared" si="35"/>
        <v>0</v>
      </c>
      <c r="CT26" s="11">
        <f t="shared" si="35"/>
        <v>10.2790105</v>
      </c>
      <c r="CU26" s="272">
        <f t="shared" si="35"/>
        <v>5.4539999999999997</v>
      </c>
      <c r="CV26" s="249">
        <f t="shared" si="14"/>
        <v>104.49743699999999</v>
      </c>
      <c r="CW26" s="12">
        <f t="shared" si="14"/>
        <v>52.084196999999996</v>
      </c>
      <c r="CX26" s="249">
        <f t="shared" si="14"/>
        <v>0</v>
      </c>
      <c r="CY26" s="274">
        <f t="shared" si="14"/>
        <v>0</v>
      </c>
      <c r="CZ26" s="13"/>
      <c r="DA26" s="240">
        <f>(D26+'[2]сентябрь 20'!D26)/(AY26+'[2]сентябрь 20'!BA26)</f>
        <v>2.0765420770712857</v>
      </c>
      <c r="DB26" s="241">
        <f>(T26+'[2]сентябрь 20'!T26)/(AY26+'[2]сентябрь 20'!BA26)</f>
        <v>1.2473945720671713</v>
      </c>
      <c r="DD26" s="292">
        <f t="shared" si="15"/>
        <v>11.116</v>
      </c>
      <c r="DE26" s="291"/>
      <c r="DF26" s="291"/>
      <c r="DG26" s="145">
        <f t="shared" si="16"/>
        <v>11.116</v>
      </c>
      <c r="DH26" s="293">
        <f t="shared" si="29"/>
        <v>0</v>
      </c>
      <c r="DJ26" s="322"/>
    </row>
    <row r="27" spans="1:114" s="76" customFormat="1" ht="16.5" customHeight="1" thickBot="1">
      <c r="A27" s="144">
        <v>21</v>
      </c>
      <c r="B27" s="122">
        <f>'[1]сентябрь 20'!K26</f>
        <v>280.28399999999999</v>
      </c>
      <c r="C27" s="123">
        <f t="shared" si="17"/>
        <v>1.9783125330022409</v>
      </c>
      <c r="D27" s="145">
        <f t="shared" si="30"/>
        <v>274.73910649999999</v>
      </c>
      <c r="E27" s="125">
        <f t="shared" si="32"/>
        <v>37.376170312968277</v>
      </c>
      <c r="F27" s="146">
        <f t="shared" si="0"/>
        <v>2.3302723197625106</v>
      </c>
      <c r="G27" s="127">
        <v>17.690000000000001</v>
      </c>
      <c r="H27" s="126">
        <f t="shared" si="20"/>
        <v>1.9017651102629352</v>
      </c>
      <c r="I27" s="230">
        <f>'[1]июль 20'!AI26</f>
        <v>0</v>
      </c>
      <c r="J27" s="247">
        <f>'[1]сентябрь 20'!AA26</f>
        <v>10.885</v>
      </c>
      <c r="K27" s="465">
        <f>'[1]сентябрь 20'!AM26</f>
        <v>0</v>
      </c>
      <c r="L27" s="247">
        <f>'[1]сентябрь 20'!AE26</f>
        <v>50.521000000000001</v>
      </c>
      <c r="M27" s="469">
        <f t="shared" si="21"/>
        <v>0.42850720949957594</v>
      </c>
      <c r="N27" s="403">
        <f>'[1]сентябрь 20'!W26</f>
        <v>0</v>
      </c>
      <c r="O27" s="403">
        <f>'[1]сентябрь 20'!AU26</f>
        <v>9.3490000000000002</v>
      </c>
      <c r="P27" s="401">
        <f t="shared" si="1"/>
        <v>167.46</v>
      </c>
      <c r="Q27" s="122">
        <f>'[1]сентябрь 20'!S26</f>
        <v>167.46</v>
      </c>
      <c r="R27" s="123">
        <f t="shared" si="36"/>
        <v>2.2799999999999998</v>
      </c>
      <c r="S27" s="501">
        <v>19.649999999999999</v>
      </c>
      <c r="T27" s="125">
        <f t="shared" si="2"/>
        <v>163.64191199999999</v>
      </c>
      <c r="U27" s="147">
        <f t="shared" si="31"/>
        <v>1.3879721119592876</v>
      </c>
      <c r="V27" s="130">
        <v>122.99</v>
      </c>
      <c r="W27" s="130">
        <v>74.22</v>
      </c>
      <c r="X27" s="129">
        <v>1.02</v>
      </c>
      <c r="Y27" s="150">
        <v>505</v>
      </c>
      <c r="Z27" s="150">
        <v>1170</v>
      </c>
      <c r="AA27" s="148" t="s">
        <v>155</v>
      </c>
      <c r="AB27" s="149">
        <v>76.66</v>
      </c>
      <c r="AC27" s="150">
        <v>112</v>
      </c>
      <c r="AD27" s="151">
        <v>5</v>
      </c>
      <c r="AE27" s="149">
        <v>3.85</v>
      </c>
      <c r="AF27" s="134">
        <f t="shared" si="4"/>
        <v>32.654792196776931</v>
      </c>
      <c r="AG27" s="152"/>
      <c r="AH27" s="129">
        <v>77.75</v>
      </c>
      <c r="AI27" s="134">
        <f t="shared" si="5"/>
        <v>659.45716709075498</v>
      </c>
      <c r="AJ27" s="136">
        <v>16.010000000000002</v>
      </c>
      <c r="AK27" s="154"/>
      <c r="AL27" s="155">
        <v>8.34</v>
      </c>
      <c r="AM27" s="478">
        <v>37.590000000000003</v>
      </c>
      <c r="AN27" s="126">
        <f t="shared" si="23"/>
        <v>0.23132307692307694</v>
      </c>
      <c r="AO27" s="157" t="s">
        <v>191</v>
      </c>
      <c r="AP27" s="156">
        <v>7.43</v>
      </c>
      <c r="AQ27" s="156">
        <v>6.85</v>
      </c>
      <c r="AR27" s="151"/>
      <c r="AS27" s="149">
        <v>6.46</v>
      </c>
      <c r="AT27" s="149">
        <v>162.5</v>
      </c>
      <c r="AU27" s="149">
        <v>1.33</v>
      </c>
      <c r="AV27" s="164"/>
      <c r="AW27" s="149"/>
      <c r="AX27" s="158">
        <f t="shared" si="6"/>
        <v>0</v>
      </c>
      <c r="AY27" s="125">
        <f t="shared" si="33"/>
        <v>117.89999999999999</v>
      </c>
      <c r="AZ27" s="125">
        <f t="shared" si="24"/>
        <v>116.9393593840632</v>
      </c>
      <c r="BA27" s="159">
        <f t="shared" si="8"/>
        <v>3.8907852112676053</v>
      </c>
      <c r="BB27" s="160">
        <f t="shared" si="9"/>
        <v>4.7160000000000002</v>
      </c>
      <c r="BC27" s="161">
        <f t="shared" si="10"/>
        <v>0.88017157390061007</v>
      </c>
      <c r="BD27" s="160">
        <f t="shared" si="25"/>
        <v>8.6067852112676064</v>
      </c>
      <c r="BE27" s="162">
        <v>0.92400000000000004</v>
      </c>
      <c r="BF27" s="25">
        <f t="shared" si="26"/>
        <v>2557.9499999999998</v>
      </c>
      <c r="BG27" s="25">
        <f t="shared" si="11"/>
        <v>118.33333333333333</v>
      </c>
      <c r="BH27" s="25">
        <f t="shared" si="27"/>
        <v>2485</v>
      </c>
      <c r="BI27" s="26">
        <f t="shared" si="12"/>
        <v>1</v>
      </c>
      <c r="BJ27" s="37">
        <f t="shared" si="28"/>
        <v>2485</v>
      </c>
      <c r="BK27" s="38"/>
      <c r="BL27" s="31">
        <v>218.52500000000001</v>
      </c>
      <c r="BM27" s="31"/>
      <c r="BN27" s="234">
        <v>44.923000000000002</v>
      </c>
      <c r="BO27" s="42"/>
      <c r="BP27" s="40">
        <v>11.238</v>
      </c>
      <c r="BQ27" s="411">
        <v>5.5979999999999999</v>
      </c>
      <c r="BR27" s="33"/>
      <c r="BS27" s="34">
        <v>2.27</v>
      </c>
      <c r="BT27" s="35"/>
      <c r="BU27" s="35"/>
      <c r="BV27" s="235"/>
      <c r="BW27" s="235">
        <v>5.2</v>
      </c>
      <c r="BX27" s="36"/>
      <c r="BY27" s="33"/>
      <c r="BZ27" s="34">
        <v>36.270000000000003</v>
      </c>
      <c r="CA27" s="35"/>
      <c r="CB27" s="405">
        <v>43.17</v>
      </c>
      <c r="CC27" s="404"/>
      <c r="CD27" s="235">
        <v>32.68</v>
      </c>
      <c r="CE27" s="413">
        <v>43.49</v>
      </c>
      <c r="CF27" s="30">
        <v>111.464</v>
      </c>
      <c r="CG27" s="30">
        <v>55.996000000000002</v>
      </c>
      <c r="CH27" s="31"/>
      <c r="CI27" s="32"/>
      <c r="CJ27" s="33">
        <v>2.2799999999999998</v>
      </c>
      <c r="CK27" s="33">
        <v>2.2799999999999998</v>
      </c>
      <c r="CL27" s="35"/>
      <c r="CM27" s="36"/>
      <c r="CN27" s="286"/>
      <c r="CO27" s="249">
        <f t="shared" si="35"/>
        <v>0</v>
      </c>
      <c r="CP27" s="12">
        <f t="shared" si="35"/>
        <v>213.56448250000003</v>
      </c>
      <c r="CQ27" s="12">
        <f t="shared" si="35"/>
        <v>0</v>
      </c>
      <c r="CR27" s="12">
        <f t="shared" si="35"/>
        <v>44.923000000000002</v>
      </c>
      <c r="CS27" s="11">
        <f t="shared" si="35"/>
        <v>0</v>
      </c>
      <c r="CT27" s="11">
        <f t="shared" si="35"/>
        <v>10.653623999999999</v>
      </c>
      <c r="CU27" s="272">
        <f t="shared" si="35"/>
        <v>5.5979999999999999</v>
      </c>
      <c r="CV27" s="249">
        <f t="shared" si="14"/>
        <v>108.92262079999999</v>
      </c>
      <c r="CW27" s="11">
        <f t="shared" si="14"/>
        <v>54.719291200000001</v>
      </c>
      <c r="CX27" s="249">
        <f t="shared" si="14"/>
        <v>0</v>
      </c>
      <c r="CY27" s="272">
        <f t="shared" si="14"/>
        <v>0</v>
      </c>
      <c r="CZ27" s="13"/>
      <c r="DA27" s="240">
        <f>(D27+'[2]сентябрь 20'!D27)/(AY27+'[2]сентябрь 20'!BA27)</f>
        <v>2.1442252002220519</v>
      </c>
      <c r="DB27" s="241">
        <f>(T27+'[2]сентябрь 20'!T27)/(AY27+'[2]сентябрь 20'!BA27)</f>
        <v>1.2874050780346948</v>
      </c>
      <c r="DD27" s="292">
        <f t="shared" si="15"/>
        <v>10.885</v>
      </c>
      <c r="DE27" s="291"/>
      <c r="DF27" s="291"/>
      <c r="DG27" s="145">
        <f t="shared" si="16"/>
        <v>10.885</v>
      </c>
      <c r="DH27" s="293">
        <f t="shared" si="29"/>
        <v>0</v>
      </c>
      <c r="DJ27" s="322"/>
    </row>
    <row r="28" spans="1:114" s="76" customFormat="1" ht="16.5" customHeight="1" thickBot="1">
      <c r="A28" s="144">
        <v>22</v>
      </c>
      <c r="B28" s="122">
        <f>'[1]сентябрь 20'!K27</f>
        <v>287.44400000000002</v>
      </c>
      <c r="C28" s="123">
        <f t="shared" si="17"/>
        <v>1.6240209571255619</v>
      </c>
      <c r="D28" s="145">
        <f t="shared" si="30"/>
        <v>282.77584919999998</v>
      </c>
      <c r="E28" s="125">
        <f t="shared" si="32"/>
        <v>37.648620740039803</v>
      </c>
      <c r="F28" s="146">
        <f t="shared" si="0"/>
        <v>2.2636555331412103</v>
      </c>
      <c r="G28" s="127">
        <v>21.61</v>
      </c>
      <c r="H28" s="126">
        <f t="shared" si="20"/>
        <v>1.8482696861991676</v>
      </c>
      <c r="I28" s="230">
        <f>'[1]июль 20'!AI27</f>
        <v>0</v>
      </c>
      <c r="J28" s="247">
        <f>'[1]сентябрь 20'!AA27</f>
        <v>11.541</v>
      </c>
      <c r="K28" s="464">
        <f>'[1]сентябрь 20'!AM27</f>
        <v>0</v>
      </c>
      <c r="L28" s="247">
        <f>'[1]сентябрь 20'!AE27</f>
        <v>51.89</v>
      </c>
      <c r="M28" s="468">
        <f t="shared" si="21"/>
        <v>0.41538584694204289</v>
      </c>
      <c r="N28" s="403">
        <f>'[1]сентябрь 20'!W27</f>
        <v>0</v>
      </c>
      <c r="O28" s="403">
        <f>'[1]сентябрь 20'!AU27</f>
        <v>9.2520000000000007</v>
      </c>
      <c r="P28" s="401">
        <f t="shared" si="1"/>
        <v>170.14699999999999</v>
      </c>
      <c r="Q28" s="122">
        <f>'[1]сентябрь 20'!S27</f>
        <v>170.14699999999999</v>
      </c>
      <c r="R28" s="123">
        <f t="shared" si="36"/>
        <v>2.85</v>
      </c>
      <c r="S28" s="501">
        <v>2.9</v>
      </c>
      <c r="T28" s="125">
        <f t="shared" si="2"/>
        <v>165.2978105</v>
      </c>
      <c r="U28" s="147">
        <f t="shared" si="31"/>
        <v>1.3232293507845021</v>
      </c>
      <c r="V28" s="130">
        <v>127.34</v>
      </c>
      <c r="W28" s="130">
        <v>54.49</v>
      </c>
      <c r="X28" s="129">
        <v>1.33</v>
      </c>
      <c r="Y28" s="150">
        <v>520</v>
      </c>
      <c r="Z28" s="150">
        <v>1176</v>
      </c>
      <c r="AA28" s="148" t="s">
        <v>178</v>
      </c>
      <c r="AB28" s="149">
        <v>76.540000000000006</v>
      </c>
      <c r="AC28" s="150">
        <v>115</v>
      </c>
      <c r="AD28" s="151">
        <v>5</v>
      </c>
      <c r="AE28" s="149">
        <v>2.9</v>
      </c>
      <c r="AF28" s="134">
        <f t="shared" si="4"/>
        <v>23.214857508805636</v>
      </c>
      <c r="AG28" s="152"/>
      <c r="AH28" s="129">
        <v>91.55</v>
      </c>
      <c r="AI28" s="134">
        <f t="shared" si="5"/>
        <v>732.86903618315728</v>
      </c>
      <c r="AJ28" s="153">
        <v>16.489999999999998</v>
      </c>
      <c r="AK28" s="154"/>
      <c r="AL28" s="155">
        <v>8.4700000000000006</v>
      </c>
      <c r="AM28" s="478">
        <v>35.94</v>
      </c>
      <c r="AN28" s="126">
        <f t="shared" si="23"/>
        <v>0.21443914081145585</v>
      </c>
      <c r="AO28" s="157" t="s">
        <v>185</v>
      </c>
      <c r="AP28" s="156">
        <v>7.18</v>
      </c>
      <c r="AQ28" s="156">
        <v>7.04</v>
      </c>
      <c r="AR28" s="151"/>
      <c r="AS28" s="149">
        <v>7.69</v>
      </c>
      <c r="AT28" s="149">
        <v>167.6</v>
      </c>
      <c r="AU28" s="149">
        <v>1.73</v>
      </c>
      <c r="AV28" s="164"/>
      <c r="AW28" s="149"/>
      <c r="AX28" s="158">
        <f t="shared" si="6"/>
        <v>0</v>
      </c>
      <c r="AY28" s="125">
        <f t="shared" si="33"/>
        <v>124.92</v>
      </c>
      <c r="AZ28" s="125">
        <f t="shared" si="24"/>
        <v>121.42753294943627</v>
      </c>
      <c r="BA28" s="159">
        <f t="shared" si="8"/>
        <v>5.4536721830985915</v>
      </c>
      <c r="BB28" s="160">
        <f t="shared" si="9"/>
        <v>4.9968000000000004</v>
      </c>
      <c r="BC28" s="161">
        <f t="shared" si="10"/>
        <v>0.89810899843787262</v>
      </c>
      <c r="BD28" s="160">
        <f t="shared" si="25"/>
        <v>10.450472183098592</v>
      </c>
      <c r="BE28" s="162">
        <v>0.92200000000000004</v>
      </c>
      <c r="BF28" s="25">
        <f t="shared" si="26"/>
        <v>2682.87</v>
      </c>
      <c r="BG28" s="25">
        <f t="shared" si="11"/>
        <v>118.33333333333333</v>
      </c>
      <c r="BH28" s="25">
        <f t="shared" si="27"/>
        <v>2603.3333333333335</v>
      </c>
      <c r="BI28" s="26">
        <f t="shared" si="12"/>
        <v>1</v>
      </c>
      <c r="BJ28" s="37">
        <f t="shared" si="28"/>
        <v>2603.3333333333335</v>
      </c>
      <c r="BK28" s="38"/>
      <c r="BL28" s="31">
        <v>224.34399999999999</v>
      </c>
      <c r="BM28" s="31"/>
      <c r="BN28" s="234">
        <v>46.036000000000001</v>
      </c>
      <c r="BO28" s="42"/>
      <c r="BP28" s="40">
        <v>11.21</v>
      </c>
      <c r="BQ28" s="411">
        <v>5.8540000000000001</v>
      </c>
      <c r="BR28" s="33"/>
      <c r="BS28" s="34">
        <v>1.77</v>
      </c>
      <c r="BT28" s="35"/>
      <c r="BU28" s="35"/>
      <c r="BV28" s="235"/>
      <c r="BW28" s="235">
        <v>6.22</v>
      </c>
      <c r="BX28" s="36"/>
      <c r="BY28" s="33"/>
      <c r="BZ28" s="34">
        <v>36.51</v>
      </c>
      <c r="CA28" s="35"/>
      <c r="CB28" s="405">
        <v>43.23</v>
      </c>
      <c r="CC28" s="404"/>
      <c r="CD28" s="235">
        <v>34.6</v>
      </c>
      <c r="CE28" s="36">
        <v>43.23</v>
      </c>
      <c r="CF28" s="30">
        <v>112.639</v>
      </c>
      <c r="CG28" s="30">
        <v>57.508000000000003</v>
      </c>
      <c r="CH28" s="31"/>
      <c r="CI28" s="32"/>
      <c r="CJ28" s="33">
        <v>2.85</v>
      </c>
      <c r="CK28" s="33">
        <v>2.85</v>
      </c>
      <c r="CL28" s="35"/>
      <c r="CM28" s="36"/>
      <c r="CN28" s="286"/>
      <c r="CO28" s="249">
        <f t="shared" si="35"/>
        <v>0</v>
      </c>
      <c r="CP28" s="12">
        <f t="shared" si="35"/>
        <v>220.37311120000001</v>
      </c>
      <c r="CQ28" s="12">
        <f t="shared" si="35"/>
        <v>0</v>
      </c>
      <c r="CR28" s="12">
        <f t="shared" si="35"/>
        <v>46.036000000000001</v>
      </c>
      <c r="CS28" s="11">
        <f t="shared" si="35"/>
        <v>0</v>
      </c>
      <c r="CT28" s="11">
        <f t="shared" si="35"/>
        <v>10.512738000000001</v>
      </c>
      <c r="CU28" s="272">
        <f t="shared" si="35"/>
        <v>5.8540000000000001</v>
      </c>
      <c r="CV28" s="249">
        <f t="shared" si="14"/>
        <v>109.4287885</v>
      </c>
      <c r="CW28" s="12">
        <f t="shared" si="14"/>
        <v>55.869022000000001</v>
      </c>
      <c r="CX28" s="249">
        <f t="shared" si="14"/>
        <v>0</v>
      </c>
      <c r="CY28" s="272">
        <f t="shared" si="14"/>
        <v>0</v>
      </c>
      <c r="CZ28" s="13"/>
      <c r="DA28" s="240">
        <f>(D28+'[2]сентябрь 20'!D28)/(AY28+'[2]сентябрь 20'!BA28)</f>
        <v>2.0324510934713542</v>
      </c>
      <c r="DB28" s="241">
        <f>(T28+'[2]сентябрь 20'!T28)/(AY28+'[2]сентябрь 20'!BA28)</f>
        <v>1.2057449914423979</v>
      </c>
      <c r="DD28" s="292">
        <f t="shared" si="15"/>
        <v>11.541</v>
      </c>
      <c r="DE28" s="305"/>
      <c r="DF28" s="291"/>
      <c r="DG28" s="145">
        <f t="shared" si="16"/>
        <v>11.541</v>
      </c>
      <c r="DH28" s="293">
        <f t="shared" si="29"/>
        <v>0</v>
      </c>
      <c r="DJ28" s="322"/>
    </row>
    <row r="29" spans="1:114" s="76" customFormat="1" ht="16.5" customHeight="1" thickBot="1">
      <c r="A29" s="144">
        <v>23</v>
      </c>
      <c r="B29" s="122">
        <f>'[1]сентябрь 20'!K28</f>
        <v>292.37900000000002</v>
      </c>
      <c r="C29" s="123">
        <f t="shared" si="17"/>
        <v>1.9074314844773392</v>
      </c>
      <c r="D29" s="145">
        <f t="shared" si="30"/>
        <v>286.80207089999999</v>
      </c>
      <c r="E29" s="125">
        <f t="shared" si="32"/>
        <v>37.396201573984449</v>
      </c>
      <c r="F29" s="146">
        <f t="shared" si="0"/>
        <v>2.3692860049566296</v>
      </c>
      <c r="G29" s="127">
        <v>15.16</v>
      </c>
      <c r="H29" s="126">
        <f t="shared" si="20"/>
        <v>1.9349200404791407</v>
      </c>
      <c r="I29" s="230">
        <f>'[1]июль 20'!AI28</f>
        <v>0</v>
      </c>
      <c r="J29" s="247">
        <f>'[1]сентябрь 20'!AA28</f>
        <v>12.048999999999999</v>
      </c>
      <c r="K29" s="465">
        <f>'[1]сентябрь 20'!AM28</f>
        <v>0</v>
      </c>
      <c r="L29" s="247">
        <f>'[1]сентябрь 20'!AE28</f>
        <v>52.58</v>
      </c>
      <c r="M29" s="469">
        <f t="shared" si="21"/>
        <v>0.43436596447748865</v>
      </c>
      <c r="N29" s="403">
        <f>'[1]сентябрь 20'!W28</f>
        <v>0</v>
      </c>
      <c r="O29" s="403">
        <f>'[1]сентябрь 20'!AU28</f>
        <v>6.923</v>
      </c>
      <c r="P29" s="401">
        <f t="shared" si="1"/>
        <v>172.53800000000001</v>
      </c>
      <c r="Q29" s="122">
        <f>'[1]сентябрь 20'!S28</f>
        <v>172.53800000000001</v>
      </c>
      <c r="R29" s="123">
        <f t="shared" si="36"/>
        <v>2.92</v>
      </c>
      <c r="S29" s="501">
        <v>11.5</v>
      </c>
      <c r="T29" s="125">
        <f t="shared" si="2"/>
        <v>167.4998904</v>
      </c>
      <c r="U29" s="147">
        <f t="shared" si="31"/>
        <v>1.3837248277571252</v>
      </c>
      <c r="V29" s="130">
        <v>124.72</v>
      </c>
      <c r="W29" s="130">
        <v>101.57</v>
      </c>
      <c r="X29" s="129">
        <v>0.43</v>
      </c>
      <c r="Y29" s="150">
        <v>545</v>
      </c>
      <c r="Z29" s="150">
        <v>1182</v>
      </c>
      <c r="AA29" s="148" t="s">
        <v>174</v>
      </c>
      <c r="AB29" s="149">
        <v>76.58</v>
      </c>
      <c r="AC29" s="150">
        <v>117</v>
      </c>
      <c r="AD29" s="151">
        <v>5</v>
      </c>
      <c r="AE29" s="149"/>
      <c r="AF29" s="134">
        <f t="shared" si="4"/>
        <v>0</v>
      </c>
      <c r="AG29" s="152"/>
      <c r="AH29" s="129">
        <v>93.85</v>
      </c>
      <c r="AI29" s="134">
        <f t="shared" si="5"/>
        <v>775.29946303180498</v>
      </c>
      <c r="AJ29" s="136">
        <v>14.74</v>
      </c>
      <c r="AK29" s="154"/>
      <c r="AL29" s="155">
        <v>10.130000000000001</v>
      </c>
      <c r="AM29" s="478">
        <v>36.409999999999997</v>
      </c>
      <c r="AN29" s="126">
        <f t="shared" si="23"/>
        <v>0.22241905925473426</v>
      </c>
      <c r="AO29" s="157" t="s">
        <v>119</v>
      </c>
      <c r="AP29" s="156">
        <v>6.63</v>
      </c>
      <c r="AQ29" s="156">
        <v>6.75</v>
      </c>
      <c r="AR29" s="149"/>
      <c r="AS29" s="149">
        <v>9.82</v>
      </c>
      <c r="AT29" s="149">
        <v>163.69999999999999</v>
      </c>
      <c r="AU29" s="149">
        <v>3.89</v>
      </c>
      <c r="AV29" s="164"/>
      <c r="AW29" s="149"/>
      <c r="AX29" s="158">
        <f t="shared" si="6"/>
        <v>0</v>
      </c>
      <c r="AY29" s="125">
        <f t="shared" si="33"/>
        <v>121.05</v>
      </c>
      <c r="AZ29" s="125">
        <f t="shared" si="24"/>
        <v>122.26683118569576</v>
      </c>
      <c r="BA29" s="159">
        <f t="shared" si="8"/>
        <v>7.1392091549295777</v>
      </c>
      <c r="BB29" s="160">
        <f t="shared" si="9"/>
        <v>4.8419999999999996</v>
      </c>
      <c r="BC29" s="161">
        <f t="shared" si="10"/>
        <v>0.86431167778856544</v>
      </c>
      <c r="BD29" s="160">
        <f t="shared" si="25"/>
        <v>11.981209154929576</v>
      </c>
      <c r="BE29" s="162">
        <v>0.92100000000000004</v>
      </c>
      <c r="BF29" s="25">
        <f t="shared" si="26"/>
        <v>2803.92</v>
      </c>
      <c r="BG29" s="25">
        <f t="shared" si="11"/>
        <v>118.33333333333333</v>
      </c>
      <c r="BH29" s="25">
        <f t="shared" si="27"/>
        <v>2721.666666666667</v>
      </c>
      <c r="BI29" s="26">
        <f t="shared" si="12"/>
        <v>1</v>
      </c>
      <c r="BJ29" s="37">
        <f t="shared" si="28"/>
        <v>2721.666666666667</v>
      </c>
      <c r="BK29" s="328">
        <v>48.593000000000004</v>
      </c>
      <c r="BL29" s="31">
        <v>179.6</v>
      </c>
      <c r="BM29" s="31"/>
      <c r="BN29" s="31">
        <v>32.411000000000001</v>
      </c>
      <c r="BO29" s="40"/>
      <c r="BP29" s="40">
        <v>11.606</v>
      </c>
      <c r="BQ29" s="32">
        <v>20.169</v>
      </c>
      <c r="BR29" s="33">
        <v>2.0099999999999998</v>
      </c>
      <c r="BS29" s="34">
        <v>2.12</v>
      </c>
      <c r="BT29" s="35"/>
      <c r="BU29" s="35"/>
      <c r="BV29" s="235"/>
      <c r="BW29" s="235">
        <v>6.83</v>
      </c>
      <c r="BX29" s="36"/>
      <c r="BY29" s="33">
        <v>37.74</v>
      </c>
      <c r="BZ29" s="34">
        <v>35.94</v>
      </c>
      <c r="CA29" s="35"/>
      <c r="CB29" s="35">
        <v>43.19</v>
      </c>
      <c r="CC29" s="235"/>
      <c r="CD29" s="235">
        <v>31.93</v>
      </c>
      <c r="CE29" s="36">
        <v>43.37</v>
      </c>
      <c r="CF29" s="30">
        <v>114.02200000000001</v>
      </c>
      <c r="CG29" s="30">
        <v>58.515999999999998</v>
      </c>
      <c r="CH29" s="31"/>
      <c r="CI29" s="32"/>
      <c r="CJ29" s="33">
        <v>2.92</v>
      </c>
      <c r="CK29" s="33">
        <v>2.92</v>
      </c>
      <c r="CL29" s="35"/>
      <c r="CM29" s="36"/>
      <c r="CN29" s="286"/>
      <c r="CO29" s="249">
        <f t="shared" si="35"/>
        <v>47.616280700000004</v>
      </c>
      <c r="CP29" s="12">
        <f t="shared" si="35"/>
        <v>175.79247999999998</v>
      </c>
      <c r="CQ29" s="12">
        <f t="shared" si="35"/>
        <v>0</v>
      </c>
      <c r="CR29" s="12">
        <f t="shared" si="35"/>
        <v>32.411000000000001</v>
      </c>
      <c r="CS29" s="11">
        <f t="shared" si="35"/>
        <v>0</v>
      </c>
      <c r="CT29" s="11">
        <f t="shared" si="35"/>
        <v>10.8133102</v>
      </c>
      <c r="CU29" s="272">
        <f t="shared" si="35"/>
        <v>20.169</v>
      </c>
      <c r="CV29" s="249">
        <f t="shared" si="14"/>
        <v>110.6925576</v>
      </c>
      <c r="CW29" s="12">
        <f t="shared" si="14"/>
        <v>56.807332799999998</v>
      </c>
      <c r="CX29" s="249">
        <f t="shared" si="14"/>
        <v>0</v>
      </c>
      <c r="CY29" s="272">
        <f t="shared" si="14"/>
        <v>0</v>
      </c>
      <c r="CZ29" s="13"/>
      <c r="DA29" s="240">
        <f>(D29+'[2]сентябрь 20'!D29)/(AY29+'[2]сентябрь 20'!BA29)</f>
        <v>2.437323504587035</v>
      </c>
      <c r="DB29" s="241">
        <f>(T29+'[2]сентябрь 20'!T29)/(AY29+'[2]сентябрь 20'!BA29)</f>
        <v>1.4398262029399322</v>
      </c>
      <c r="DD29" s="292">
        <f t="shared" si="15"/>
        <v>12.048999999999999</v>
      </c>
      <c r="DE29" s="291"/>
      <c r="DF29" s="291"/>
      <c r="DG29" s="145">
        <f t="shared" si="16"/>
        <v>12.048999999999999</v>
      </c>
      <c r="DH29" s="293">
        <f t="shared" si="29"/>
        <v>0</v>
      </c>
      <c r="DJ29" s="322"/>
    </row>
    <row r="30" spans="1:114" s="76" customFormat="1" ht="16.5" customHeight="1" thickBot="1">
      <c r="A30" s="144">
        <v>24</v>
      </c>
      <c r="B30" s="122">
        <f>'[1]сентябрь 20'!K29</f>
        <v>177.726</v>
      </c>
      <c r="C30" s="123">
        <f t="shared" si="17"/>
        <v>1.4407486242868235</v>
      </c>
      <c r="D30" s="145">
        <f t="shared" si="30"/>
        <v>175.16541509999999</v>
      </c>
      <c r="E30" s="125">
        <f t="shared" si="32"/>
        <v>37.663941179118424</v>
      </c>
      <c r="F30" s="146">
        <f t="shared" si="0"/>
        <v>2.0930268263830798</v>
      </c>
      <c r="G30" s="127">
        <v>6.13</v>
      </c>
      <c r="H30" s="126">
        <f t="shared" si="20"/>
        <v>1.7108425749790892</v>
      </c>
      <c r="I30" s="230">
        <f>'[1]июль 20'!AI29</f>
        <v>0</v>
      </c>
      <c r="J30" s="247">
        <f>'[1]сентябрь 20'!AA29</f>
        <v>7.2140000000000004</v>
      </c>
      <c r="K30" s="464">
        <f>'[1]сентябрь 20'!AM29</f>
        <v>0</v>
      </c>
      <c r="L30" s="247">
        <f>'[1]сентябрь 20'!AE29</f>
        <v>31.984999999999999</v>
      </c>
      <c r="M30" s="468">
        <f t="shared" si="21"/>
        <v>0.38218425140399087</v>
      </c>
      <c r="N30" s="403">
        <f>'[1]сентябрь 20'!W29</f>
        <v>0</v>
      </c>
      <c r="O30" s="403">
        <f>'[1]сентябрь 20'!AU29</f>
        <v>2.1850000000000001</v>
      </c>
      <c r="P30" s="401">
        <f t="shared" si="1"/>
        <v>105.11099999999999</v>
      </c>
      <c r="Q30" s="122">
        <f>'[1]сентябрь 20'!S29</f>
        <v>105.111</v>
      </c>
      <c r="R30" s="123">
        <f t="shared" si="36"/>
        <v>2.65</v>
      </c>
      <c r="S30" s="501">
        <v>22.66</v>
      </c>
      <c r="T30" s="125">
        <f t="shared" si="2"/>
        <v>102.3255585</v>
      </c>
      <c r="U30" s="147">
        <f t="shared" si="31"/>
        <v>1.2226736587405902</v>
      </c>
      <c r="V30" s="169">
        <v>70.92</v>
      </c>
      <c r="W30" s="169">
        <v>90.88</v>
      </c>
      <c r="X30" s="170">
        <v>0.46</v>
      </c>
      <c r="Y30" s="166">
        <v>543</v>
      </c>
      <c r="Z30" s="166">
        <v>1179</v>
      </c>
      <c r="AA30" s="148" t="s">
        <v>195</v>
      </c>
      <c r="AB30" s="164">
        <v>76.31</v>
      </c>
      <c r="AC30" s="166">
        <v>71</v>
      </c>
      <c r="AD30" s="171">
        <v>4</v>
      </c>
      <c r="AE30" s="164"/>
      <c r="AF30" s="172">
        <f t="shared" si="4"/>
        <v>0</v>
      </c>
      <c r="AG30" s="173"/>
      <c r="AH30" s="170">
        <v>64.849999999999994</v>
      </c>
      <c r="AI30" s="134">
        <f t="shared" si="5"/>
        <v>774.88349862588097</v>
      </c>
      <c r="AJ30" s="174">
        <v>12.63</v>
      </c>
      <c r="AK30" s="175"/>
      <c r="AL30" s="176">
        <v>6.02</v>
      </c>
      <c r="AM30" s="478">
        <v>30.92</v>
      </c>
      <c r="AN30" s="126">
        <f t="shared" si="23"/>
        <v>0.26059839865149598</v>
      </c>
      <c r="AO30" s="178" t="s">
        <v>339</v>
      </c>
      <c r="AP30" s="177">
        <v>6.54</v>
      </c>
      <c r="AQ30" s="177">
        <v>7.33</v>
      </c>
      <c r="AR30" s="171"/>
      <c r="AS30" s="164">
        <v>11.75</v>
      </c>
      <c r="AT30" s="149">
        <v>118.65</v>
      </c>
      <c r="AU30" s="164">
        <v>1.98</v>
      </c>
      <c r="AV30" s="164"/>
      <c r="AW30" s="164"/>
      <c r="AX30" s="179">
        <f t="shared" si="6"/>
        <v>0</v>
      </c>
      <c r="AY30" s="125">
        <f t="shared" si="33"/>
        <v>83.690000000000012</v>
      </c>
      <c r="AZ30" s="125">
        <f t="shared" si="24"/>
        <v>75.475659347301729</v>
      </c>
      <c r="BA30" s="159">
        <f t="shared" si="8"/>
        <v>5.9027200704225349</v>
      </c>
      <c r="BB30" s="159">
        <f t="shared" si="9"/>
        <v>3.3476000000000004</v>
      </c>
      <c r="BC30" s="180">
        <f t="shared" si="10"/>
        <v>0.96801234506356082</v>
      </c>
      <c r="BD30" s="159">
        <f t="shared" si="25"/>
        <v>9.2503200704225357</v>
      </c>
      <c r="BE30" s="167">
        <v>0.92200000000000004</v>
      </c>
      <c r="BF30" s="25">
        <f t="shared" si="26"/>
        <v>2887.61</v>
      </c>
      <c r="BG30" s="25">
        <f t="shared" si="11"/>
        <v>118.33333333333333</v>
      </c>
      <c r="BH30" s="25">
        <f t="shared" si="27"/>
        <v>2840.0000000000005</v>
      </c>
      <c r="BI30" s="26">
        <f t="shared" si="12"/>
        <v>1</v>
      </c>
      <c r="BJ30" s="37">
        <f t="shared" si="28"/>
        <v>2840.0000000000005</v>
      </c>
      <c r="BK30" s="38">
        <v>95.905000000000001</v>
      </c>
      <c r="BL30" s="31">
        <v>42.656999999999996</v>
      </c>
      <c r="BM30" s="31"/>
      <c r="BN30" s="31"/>
      <c r="BO30" s="40"/>
      <c r="BP30" s="40">
        <v>7.1790000000000003</v>
      </c>
      <c r="BQ30" s="44">
        <v>31.984999999999999</v>
      </c>
      <c r="BR30" s="45">
        <v>1.5</v>
      </c>
      <c r="BS30" s="46">
        <v>1.91</v>
      </c>
      <c r="BT30" s="47"/>
      <c r="BU30" s="47"/>
      <c r="BV30" s="283"/>
      <c r="BW30" s="283">
        <v>4.28</v>
      </c>
      <c r="BX30" s="48"/>
      <c r="BY30" s="45">
        <v>36.880000000000003</v>
      </c>
      <c r="BZ30" s="46">
        <v>36.81</v>
      </c>
      <c r="CA30" s="47"/>
      <c r="CB30" s="47"/>
      <c r="CC30" s="283"/>
      <c r="CD30" s="283">
        <v>27.61</v>
      </c>
      <c r="CE30" s="48">
        <v>43.41</v>
      </c>
      <c r="CF30" s="49">
        <v>69.617999999999995</v>
      </c>
      <c r="CG30" s="49">
        <v>35.493000000000002</v>
      </c>
      <c r="CH30" s="43"/>
      <c r="CI30" s="32"/>
      <c r="CJ30" s="33">
        <v>2.65</v>
      </c>
      <c r="CK30" s="33">
        <v>2.65</v>
      </c>
      <c r="CL30" s="35"/>
      <c r="CM30" s="36"/>
      <c r="CN30" s="286"/>
      <c r="CO30" s="249">
        <f t="shared" si="35"/>
        <v>94.466425000000001</v>
      </c>
      <c r="CP30" s="12">
        <f t="shared" si="35"/>
        <v>41.842251299999994</v>
      </c>
      <c r="CQ30" s="12">
        <f t="shared" si="35"/>
        <v>0</v>
      </c>
      <c r="CR30" s="12">
        <f t="shared" si="35"/>
        <v>0</v>
      </c>
      <c r="CS30" s="11">
        <f t="shared" si="35"/>
        <v>0</v>
      </c>
      <c r="CT30" s="11">
        <f t="shared" si="35"/>
        <v>6.8717388000000001</v>
      </c>
      <c r="CU30" s="272">
        <f t="shared" si="35"/>
        <v>31.984999999999999</v>
      </c>
      <c r="CV30" s="249">
        <f t="shared" si="14"/>
        <v>67.773122999999984</v>
      </c>
      <c r="CW30" s="11">
        <f t="shared" si="14"/>
        <v>34.552435500000001</v>
      </c>
      <c r="CX30" s="252">
        <f t="shared" si="14"/>
        <v>0</v>
      </c>
      <c r="CY30" s="272">
        <f t="shared" si="14"/>
        <v>0</v>
      </c>
      <c r="CZ30" s="13"/>
      <c r="DA30" s="240">
        <f>(D30+'[2]сентябрь 20'!D30)/(AY30+'[2]сентябрь 20'!BA30)</f>
        <v>2.1861081579373431</v>
      </c>
      <c r="DB30" s="241">
        <f>(T30+'[2]сентябрь 20'!T30)/(AY30+'[2]сентябрь 20'!BA30)</f>
        <v>1.2895840366037941</v>
      </c>
      <c r="DD30" s="292">
        <f t="shared" si="15"/>
        <v>7.2140000000000004</v>
      </c>
      <c r="DE30" s="291"/>
      <c r="DF30" s="291"/>
      <c r="DG30" s="145">
        <f t="shared" si="16"/>
        <v>7.2140000000000004</v>
      </c>
      <c r="DH30" s="293">
        <f t="shared" si="29"/>
        <v>0</v>
      </c>
      <c r="DJ30" s="322"/>
    </row>
    <row r="31" spans="1:114" s="76" customFormat="1" ht="16.5" customHeight="1" thickBot="1">
      <c r="A31" s="144">
        <v>25</v>
      </c>
      <c r="B31" s="122">
        <f>'[1]сентябрь 20'!K30</f>
        <v>175.01499999999999</v>
      </c>
      <c r="C31" s="123">
        <f t="shared" si="17"/>
        <v>1.0125084135645517</v>
      </c>
      <c r="D31" s="145">
        <f t="shared" si="30"/>
        <v>173.24295839999999</v>
      </c>
      <c r="E31" s="125">
        <f t="shared" si="32"/>
        <v>37.89391800702797</v>
      </c>
      <c r="F31" s="146">
        <f t="shared" si="0"/>
        <v>3.1579102880058332</v>
      </c>
      <c r="G31" s="127"/>
      <c r="H31" s="126">
        <f t="shared" si="20"/>
        <v>2.5837214436748086</v>
      </c>
      <c r="I31" s="230">
        <f>'[1]июль 20'!AI30</f>
        <v>0</v>
      </c>
      <c r="J31" s="247">
        <f>'[1]сентябрь 20'!AA30</f>
        <v>6.9870000000000001</v>
      </c>
      <c r="K31" s="465">
        <f>'[1]сентябрь 20'!AM30</f>
        <v>0</v>
      </c>
      <c r="L31" s="247">
        <f>'[1]сентябрь 20'!AE30</f>
        <v>31.5</v>
      </c>
      <c r="M31" s="469">
        <f t="shared" si="21"/>
        <v>0.57418884433102446</v>
      </c>
      <c r="N31" s="403">
        <f>'[1]сентябрь 20'!W30</f>
        <v>0</v>
      </c>
      <c r="O31" s="403">
        <f>'[1]сентябрь 20'!AU30</f>
        <v>2.1589999999999998</v>
      </c>
      <c r="P31" s="401">
        <f t="shared" si="1"/>
        <v>110.96899999999999</v>
      </c>
      <c r="Q31" s="122">
        <f>'[1]сентябрь 20'!S30</f>
        <v>110.96899999999999</v>
      </c>
      <c r="R31" s="123">
        <f t="shared" si="36"/>
        <v>2.64</v>
      </c>
      <c r="S31" s="501">
        <v>1.27</v>
      </c>
      <c r="T31" s="125">
        <f t="shared" si="2"/>
        <v>108.0394184</v>
      </c>
      <c r="U31" s="147">
        <f t="shared" si="31"/>
        <v>1.969365993437842</v>
      </c>
      <c r="V31" s="130">
        <v>58.61</v>
      </c>
      <c r="W31" s="130">
        <v>32.58</v>
      </c>
      <c r="X31" s="129">
        <v>1.06</v>
      </c>
      <c r="Y31" s="150">
        <v>530</v>
      </c>
      <c r="Z31" s="150">
        <v>1080</v>
      </c>
      <c r="AA31" s="148" t="s">
        <v>406</v>
      </c>
      <c r="AB31" s="149">
        <v>75.91</v>
      </c>
      <c r="AC31" s="150">
        <v>72</v>
      </c>
      <c r="AD31" s="151">
        <v>3</v>
      </c>
      <c r="AE31" s="149"/>
      <c r="AF31" s="134">
        <f t="shared" si="4"/>
        <v>0</v>
      </c>
      <c r="AG31" s="152"/>
      <c r="AH31" s="129">
        <v>29.55</v>
      </c>
      <c r="AI31" s="134">
        <f t="shared" si="5"/>
        <v>538.64382063434198</v>
      </c>
      <c r="AJ31" s="136">
        <v>9.8000000000000007</v>
      </c>
      <c r="AK31" s="154"/>
      <c r="AL31" s="155">
        <v>4.45</v>
      </c>
      <c r="AM31" s="478">
        <v>19.27</v>
      </c>
      <c r="AN31" s="126">
        <f t="shared" si="23"/>
        <v>0.24832474226804124</v>
      </c>
      <c r="AO31" s="157" t="s">
        <v>151</v>
      </c>
      <c r="AP31" s="156">
        <v>8.35</v>
      </c>
      <c r="AQ31" s="156">
        <v>6.97</v>
      </c>
      <c r="AR31" s="151"/>
      <c r="AS31" s="149">
        <v>7.12</v>
      </c>
      <c r="AT31" s="149">
        <v>77.599999999999994</v>
      </c>
      <c r="AU31" s="149">
        <v>0.98</v>
      </c>
      <c r="AV31" s="164"/>
      <c r="AW31" s="149"/>
      <c r="AX31" s="158">
        <f t="shared" si="6"/>
        <v>0</v>
      </c>
      <c r="AY31" s="125">
        <f t="shared" si="33"/>
        <v>54.859999999999992</v>
      </c>
      <c r="AZ31" s="125">
        <f t="shared" si="24"/>
        <v>75.498853173095497</v>
      </c>
      <c r="BA31" s="159">
        <f t="shared" si="8"/>
        <v>1.6298281690140846</v>
      </c>
      <c r="BB31" s="160">
        <f t="shared" si="9"/>
        <v>2.1943999999999999</v>
      </c>
      <c r="BC31" s="161">
        <f t="shared" si="10"/>
        <v>0.63435109259470035</v>
      </c>
      <c r="BD31" s="160">
        <f t="shared" si="25"/>
        <v>3.8242281690140842</v>
      </c>
      <c r="BE31" s="162">
        <v>0.91500000000000004</v>
      </c>
      <c r="BF31" s="25">
        <f t="shared" si="26"/>
        <v>2942.4700000000003</v>
      </c>
      <c r="BG31" s="25">
        <f t="shared" si="11"/>
        <v>118.33333333333333</v>
      </c>
      <c r="BH31" s="25">
        <f t="shared" si="27"/>
        <v>2958.3333333333339</v>
      </c>
      <c r="BI31" s="26">
        <f t="shared" si="12"/>
        <v>1</v>
      </c>
      <c r="BJ31" s="37">
        <f t="shared" si="28"/>
        <v>2958.3333333333339</v>
      </c>
      <c r="BK31" s="38">
        <v>94.518000000000001</v>
      </c>
      <c r="BL31" s="31">
        <v>42.009</v>
      </c>
      <c r="BM31" s="31"/>
      <c r="BN31" s="31"/>
      <c r="BO31" s="40"/>
      <c r="BP31" s="40">
        <v>6.9880000000000004</v>
      </c>
      <c r="BQ31" s="32">
        <v>31.5</v>
      </c>
      <c r="BR31" s="33">
        <v>1.17</v>
      </c>
      <c r="BS31" s="34">
        <v>1.1399999999999999</v>
      </c>
      <c r="BT31" s="35"/>
      <c r="BU31" s="35"/>
      <c r="BV31" s="235"/>
      <c r="BW31" s="235">
        <v>2.68</v>
      </c>
      <c r="BX31" s="36"/>
      <c r="BY31" s="33">
        <v>37.4</v>
      </c>
      <c r="BZ31" s="34">
        <v>36.06</v>
      </c>
      <c r="CA31" s="35"/>
      <c r="CB31" s="35"/>
      <c r="CC31" s="235"/>
      <c r="CD31" s="235">
        <v>31.14</v>
      </c>
      <c r="CE31" s="36">
        <v>43.32</v>
      </c>
      <c r="CF31" s="30">
        <v>75.968000000000004</v>
      </c>
      <c r="CG31" s="30">
        <v>35.000999999999998</v>
      </c>
      <c r="CH31" s="31"/>
      <c r="CI31" s="32"/>
      <c r="CJ31" s="33">
        <v>2.64</v>
      </c>
      <c r="CK31" s="33">
        <v>2.64</v>
      </c>
      <c r="CL31" s="35"/>
      <c r="CM31" s="36"/>
      <c r="CN31" s="286"/>
      <c r="CO31" s="249">
        <f t="shared" si="35"/>
        <v>93.412139400000001</v>
      </c>
      <c r="CP31" s="12">
        <f t="shared" si="35"/>
        <v>41.530097400000002</v>
      </c>
      <c r="CQ31" s="12">
        <f t="shared" si="35"/>
        <v>0</v>
      </c>
      <c r="CR31" s="12">
        <f t="shared" si="35"/>
        <v>0</v>
      </c>
      <c r="CS31" s="11">
        <f t="shared" si="35"/>
        <v>0</v>
      </c>
      <c r="CT31" s="11">
        <f t="shared" si="35"/>
        <v>6.8007216000000001</v>
      </c>
      <c r="CU31" s="272">
        <f t="shared" si="35"/>
        <v>31.5</v>
      </c>
      <c r="CV31" s="249">
        <f t="shared" si="14"/>
        <v>73.9624448</v>
      </c>
      <c r="CW31" s="12">
        <f t="shared" si="14"/>
        <v>34.076973599999995</v>
      </c>
      <c r="CX31" s="249">
        <f t="shared" si="14"/>
        <v>0</v>
      </c>
      <c r="CY31" s="272">
        <f t="shared" si="14"/>
        <v>0</v>
      </c>
      <c r="CZ31" s="13"/>
      <c r="DA31" s="240">
        <f>(D31+'[2]сентябрь 20'!D31)/(AY31+'[2]сентябрь 20'!BA31)</f>
        <v>2.3351292504707071</v>
      </c>
      <c r="DB31" s="241">
        <f>(T31+'[2]сентябрь 20'!T31)/(AY31+'[2]сентябрь 20'!BA31)</f>
        <v>1.3881939735860085</v>
      </c>
      <c r="DD31" s="292">
        <f t="shared" si="15"/>
        <v>6.9870000000000001</v>
      </c>
      <c r="DE31" s="291"/>
      <c r="DF31" s="291"/>
      <c r="DG31" s="145">
        <f t="shared" si="16"/>
        <v>6.9870000000000001</v>
      </c>
      <c r="DH31" s="293">
        <f t="shared" si="29"/>
        <v>0</v>
      </c>
      <c r="DJ31" s="322"/>
    </row>
    <row r="32" spans="1:114" s="76" customFormat="1" ht="16.5" customHeight="1" thickBot="1">
      <c r="A32" s="144">
        <v>26</v>
      </c>
      <c r="B32" s="122">
        <f>'[1]сентябрь 20'!K31</f>
        <v>279.37299999999999</v>
      </c>
      <c r="C32" s="123">
        <f t="shared" si="17"/>
        <v>0.90293625368235297</v>
      </c>
      <c r="D32" s="145">
        <f t="shared" si="30"/>
        <v>276.85043989999997</v>
      </c>
      <c r="E32" s="125">
        <f t="shared" si="32"/>
        <v>38.106732683544941</v>
      </c>
      <c r="F32" s="146">
        <f t="shared" si="0"/>
        <v>1.9862996118524898</v>
      </c>
      <c r="G32" s="127"/>
      <c r="H32" s="126">
        <f t="shared" si="20"/>
        <v>1.6276972298751617</v>
      </c>
      <c r="I32" s="230">
        <f>'[1]июль 20'!AI31</f>
        <v>0</v>
      </c>
      <c r="J32" s="247">
        <f>'[1]сентябрь 20'!AA31</f>
        <v>11.503</v>
      </c>
      <c r="K32" s="464">
        <f>'[1]сентябрь 20'!AM31</f>
        <v>0</v>
      </c>
      <c r="L32" s="247">
        <f>'[1]сентябрь 20'!AE31</f>
        <v>49.981999999999999</v>
      </c>
      <c r="M32" s="468">
        <f t="shared" si="21"/>
        <v>0.35860238197732824</v>
      </c>
      <c r="N32" s="403">
        <f>'[1]сентябрь 20'!W31</f>
        <v>0</v>
      </c>
      <c r="O32" s="403">
        <f>'[1]сентябрь 20'!AU31</f>
        <v>3.452</v>
      </c>
      <c r="P32" s="401">
        <f t="shared" si="1"/>
        <v>166.87200000000001</v>
      </c>
      <c r="Q32" s="122">
        <f>'[1]сентябрь 20'!S31</f>
        <v>166.87200000000001</v>
      </c>
      <c r="R32" s="123">
        <f t="shared" si="36"/>
        <v>2.64</v>
      </c>
      <c r="S32" s="501"/>
      <c r="T32" s="125">
        <f t="shared" si="2"/>
        <v>162.46657920000001</v>
      </c>
      <c r="U32" s="147">
        <f t="shared" si="31"/>
        <v>1.1656376754197162</v>
      </c>
      <c r="V32" s="130">
        <v>129.66</v>
      </c>
      <c r="W32" s="130">
        <v>129.66</v>
      </c>
      <c r="X32" s="129">
        <v>0.57999999999999996</v>
      </c>
      <c r="Y32" s="150">
        <v>540</v>
      </c>
      <c r="Z32" s="150">
        <v>1162</v>
      </c>
      <c r="AA32" s="148" t="s">
        <v>130</v>
      </c>
      <c r="AB32" s="149">
        <v>75.97</v>
      </c>
      <c r="AC32" s="150">
        <v>111</v>
      </c>
      <c r="AD32" s="151">
        <v>5</v>
      </c>
      <c r="AE32" s="149"/>
      <c r="AF32" s="134">
        <f t="shared" si="4"/>
        <v>0</v>
      </c>
      <c r="AG32" s="152"/>
      <c r="AH32" s="129">
        <v>84.05</v>
      </c>
      <c r="AI32" s="134">
        <f t="shared" si="5"/>
        <v>603.02769407375536</v>
      </c>
      <c r="AJ32" s="153">
        <v>17.54</v>
      </c>
      <c r="AK32" s="154"/>
      <c r="AL32" s="155">
        <v>8.99</v>
      </c>
      <c r="AM32" s="478">
        <v>24.47</v>
      </c>
      <c r="AN32" s="126">
        <f t="shared" si="23"/>
        <v>0.14314126937701083</v>
      </c>
      <c r="AO32" s="157" t="s">
        <v>319</v>
      </c>
      <c r="AP32" s="156">
        <v>7.43</v>
      </c>
      <c r="AQ32" s="156">
        <v>8.14</v>
      </c>
      <c r="AR32" s="151"/>
      <c r="AS32" s="149">
        <v>9.4499999999999993</v>
      </c>
      <c r="AT32" s="149">
        <v>170.95</v>
      </c>
      <c r="AU32" s="149">
        <v>1.89</v>
      </c>
      <c r="AV32" s="149"/>
      <c r="AW32" s="149"/>
      <c r="AX32" s="158">
        <f t="shared" si="6"/>
        <v>0</v>
      </c>
      <c r="AY32" s="125">
        <f t="shared" si="33"/>
        <v>139.37999999999997</v>
      </c>
      <c r="AZ32" s="125">
        <f t="shared" si="24"/>
        <v>121.23249653618601</v>
      </c>
      <c r="BA32" s="159">
        <f t="shared" si="8"/>
        <v>6.1528151408450693</v>
      </c>
      <c r="BB32" s="160">
        <f t="shared" si="9"/>
        <v>5.5751999999999988</v>
      </c>
      <c r="BC32" s="161">
        <f t="shared" si="10"/>
        <v>1.0036808898320491</v>
      </c>
      <c r="BD32" s="160">
        <f t="shared" si="25"/>
        <v>11.728015140845068</v>
      </c>
      <c r="BE32" s="162">
        <v>0.91800000000000004</v>
      </c>
      <c r="BF32" s="25">
        <f t="shared" si="26"/>
        <v>3081.8500000000004</v>
      </c>
      <c r="BG32" s="25">
        <f t="shared" si="11"/>
        <v>118.33333333333333</v>
      </c>
      <c r="BH32" s="25">
        <f t="shared" si="27"/>
        <v>3076.6666666666674</v>
      </c>
      <c r="BI32" s="26">
        <f t="shared" si="12"/>
        <v>1</v>
      </c>
      <c r="BJ32" s="37">
        <f t="shared" si="28"/>
        <v>3076.6666666666674</v>
      </c>
      <c r="BK32" s="38">
        <v>151.63300000000001</v>
      </c>
      <c r="BL32" s="31">
        <v>66.558999999999997</v>
      </c>
      <c r="BM32" s="31"/>
      <c r="BN32" s="31"/>
      <c r="BO32" s="40"/>
      <c r="BP32" s="40">
        <v>11.199</v>
      </c>
      <c r="BQ32" s="32">
        <v>49.981999999999999</v>
      </c>
      <c r="BR32" s="33">
        <v>1</v>
      </c>
      <c r="BS32" s="34">
        <v>0.97</v>
      </c>
      <c r="BT32" s="35"/>
      <c r="BU32" s="35"/>
      <c r="BV32" s="235"/>
      <c r="BW32" s="235">
        <v>3.22</v>
      </c>
      <c r="BX32" s="36"/>
      <c r="BY32" s="33">
        <v>37.57</v>
      </c>
      <c r="BZ32" s="34">
        <v>36.68</v>
      </c>
      <c r="CA32" s="35"/>
      <c r="CB32" s="35"/>
      <c r="CC32" s="235"/>
      <c r="CD32" s="235">
        <v>30.14</v>
      </c>
      <c r="CE32" s="36">
        <v>43.42</v>
      </c>
      <c r="CF32" s="30">
        <v>111.372</v>
      </c>
      <c r="CG32" s="30">
        <v>55.5</v>
      </c>
      <c r="CH32" s="31"/>
      <c r="CI32" s="50"/>
      <c r="CJ32" s="33">
        <v>2.64</v>
      </c>
      <c r="CK32" s="33">
        <v>2.64</v>
      </c>
      <c r="CL32" s="35"/>
      <c r="CM32" s="36"/>
      <c r="CN32" s="286"/>
      <c r="CO32" s="249">
        <f t="shared" si="35"/>
        <v>150.11667</v>
      </c>
      <c r="CP32" s="12">
        <f t="shared" si="35"/>
        <v>65.913377699999998</v>
      </c>
      <c r="CQ32" s="12">
        <f t="shared" si="35"/>
        <v>0</v>
      </c>
      <c r="CR32" s="12">
        <f t="shared" si="35"/>
        <v>0</v>
      </c>
      <c r="CS32" s="11">
        <f t="shared" si="35"/>
        <v>0</v>
      </c>
      <c r="CT32" s="11">
        <f t="shared" si="35"/>
        <v>10.838392199999999</v>
      </c>
      <c r="CU32" s="272">
        <f t="shared" si="35"/>
        <v>49.981999999999999</v>
      </c>
      <c r="CV32" s="249">
        <f t="shared" si="14"/>
        <v>108.43177920000001</v>
      </c>
      <c r="CW32" s="11">
        <f t="shared" si="14"/>
        <v>54.034800000000004</v>
      </c>
      <c r="CX32" s="249">
        <f t="shared" si="14"/>
        <v>0</v>
      </c>
      <c r="CY32" s="272">
        <f t="shared" si="14"/>
        <v>0</v>
      </c>
      <c r="CZ32" s="13"/>
      <c r="DA32" s="240">
        <f>(D32+'[2]сентябрь 20'!D32)/(AY32+'[2]сентябрь 20'!BA32)</f>
        <v>2.120773471747893</v>
      </c>
      <c r="DB32" s="241">
        <f>(T32+'[2]сентябрь 20'!T32)/(AY32+'[2]сентябрь 20'!BA32)</f>
        <v>1.2398106245873393</v>
      </c>
      <c r="DD32" s="292">
        <f t="shared" si="15"/>
        <v>11.503</v>
      </c>
      <c r="DE32" s="291"/>
      <c r="DF32" s="291"/>
      <c r="DG32" s="145">
        <f t="shared" si="16"/>
        <v>11.503</v>
      </c>
      <c r="DH32" s="293">
        <f t="shared" si="29"/>
        <v>0</v>
      </c>
      <c r="DJ32" s="322"/>
    </row>
    <row r="33" spans="1:114" s="76" customFormat="1" ht="16.5" customHeight="1" thickBot="1">
      <c r="A33" s="144">
        <v>27</v>
      </c>
      <c r="B33" s="122">
        <f>'[1]сентябрь 20'!K32</f>
        <v>269.99200000000002</v>
      </c>
      <c r="C33" s="123">
        <f t="shared" si="17"/>
        <v>0.68178553438620404</v>
      </c>
      <c r="D33" s="145">
        <f t="shared" si="30"/>
        <v>268.15123360000001</v>
      </c>
      <c r="E33" s="125">
        <f t="shared" si="32"/>
        <v>38.400180227562295</v>
      </c>
      <c r="F33" s="146">
        <f t="shared" si="0"/>
        <v>2.1122586341079161</v>
      </c>
      <c r="G33" s="127">
        <v>9.5</v>
      </c>
      <c r="H33" s="126">
        <f t="shared" si="20"/>
        <v>1.7294307491138243</v>
      </c>
      <c r="I33" s="230">
        <f>'[1]июль 20'!AI32</f>
        <v>0</v>
      </c>
      <c r="J33" s="247">
        <f>'[1]сентябрь 20'!AA32</f>
        <v>10.503</v>
      </c>
      <c r="K33" s="465">
        <f>'[1]сентябрь 20'!AM32</f>
        <v>0</v>
      </c>
      <c r="L33" s="247">
        <f>'[1]сентябрь 20'!AE32</f>
        <v>48.6</v>
      </c>
      <c r="M33" s="469">
        <f t="shared" si="21"/>
        <v>0.38282788499409215</v>
      </c>
      <c r="N33" s="403">
        <f>'[1]сентябрь 20'!W32</f>
        <v>0</v>
      </c>
      <c r="O33" s="403">
        <f>'[1]сентябрь 20'!AU32</f>
        <v>3.2570000000000001</v>
      </c>
      <c r="P33" s="401">
        <f t="shared" si="1"/>
        <v>163.58100000000002</v>
      </c>
      <c r="Q33" s="122">
        <f>'[1]сентябрь 20'!S32</f>
        <v>163.58099999999999</v>
      </c>
      <c r="R33" s="123">
        <f t="shared" si="36"/>
        <v>2.6100000000000003</v>
      </c>
      <c r="S33" s="501">
        <v>16.309999999999999</v>
      </c>
      <c r="T33" s="125">
        <f t="shared" si="2"/>
        <v>159.3115359</v>
      </c>
      <c r="U33" s="147">
        <f t="shared" si="31"/>
        <v>1.2549156037810159</v>
      </c>
      <c r="V33" s="130">
        <v>77.87</v>
      </c>
      <c r="W33" s="130">
        <v>99.68</v>
      </c>
      <c r="X33" s="129">
        <v>0.65</v>
      </c>
      <c r="Y33" s="150">
        <v>556</v>
      </c>
      <c r="Z33" s="150">
        <v>1169</v>
      </c>
      <c r="AA33" s="148" t="s">
        <v>110</v>
      </c>
      <c r="AB33" s="149">
        <v>75.25</v>
      </c>
      <c r="AC33" s="150">
        <v>108</v>
      </c>
      <c r="AD33" s="151">
        <v>5</v>
      </c>
      <c r="AE33" s="149">
        <v>2.1</v>
      </c>
      <c r="AF33" s="134">
        <f t="shared" si="4"/>
        <v>16.54194564789287</v>
      </c>
      <c r="AG33" s="152"/>
      <c r="AH33" s="129">
        <v>77.8</v>
      </c>
      <c r="AI33" s="134">
        <f t="shared" si="5"/>
        <v>612.83970066955487</v>
      </c>
      <c r="AJ33" s="136">
        <v>16.489999999999998</v>
      </c>
      <c r="AK33" s="154"/>
      <c r="AL33" s="155">
        <v>9.23</v>
      </c>
      <c r="AM33" s="478">
        <v>31.64</v>
      </c>
      <c r="AN33" s="126">
        <f t="shared" si="23"/>
        <v>0.19169948500454406</v>
      </c>
      <c r="AO33" s="157" t="s">
        <v>407</v>
      </c>
      <c r="AP33" s="156">
        <v>7.45</v>
      </c>
      <c r="AQ33" s="156">
        <v>7.77</v>
      </c>
      <c r="AR33" s="151"/>
      <c r="AS33" s="149">
        <v>8.51</v>
      </c>
      <c r="AT33" s="149">
        <v>165.05</v>
      </c>
      <c r="AU33" s="149">
        <v>2.77</v>
      </c>
      <c r="AV33" s="149"/>
      <c r="AW33" s="149"/>
      <c r="AX33" s="158">
        <f t="shared" si="6"/>
        <v>0</v>
      </c>
      <c r="AY33" s="125">
        <f t="shared" si="33"/>
        <v>126.95000000000002</v>
      </c>
      <c r="AZ33" s="125">
        <f t="shared" si="24"/>
        <v>119.45952989735279</v>
      </c>
      <c r="BA33" s="159">
        <f t="shared" si="8"/>
        <v>5.1287732394366197</v>
      </c>
      <c r="BB33" s="160">
        <f t="shared" si="9"/>
        <v>5.0780000000000012</v>
      </c>
      <c r="BC33" s="161">
        <f t="shared" si="10"/>
        <v>0.92773971314996728</v>
      </c>
      <c r="BD33" s="160">
        <f t="shared" si="25"/>
        <v>10.206773239436622</v>
      </c>
      <c r="BE33" s="162">
        <v>0.91900000000000004</v>
      </c>
      <c r="BF33" s="25">
        <f t="shared" si="26"/>
        <v>3208.8</v>
      </c>
      <c r="BG33" s="25">
        <f t="shared" si="11"/>
        <v>118.33333333333333</v>
      </c>
      <c r="BH33" s="25">
        <f t="shared" si="27"/>
        <v>3195.0000000000009</v>
      </c>
      <c r="BI33" s="26">
        <f t="shared" si="12"/>
        <v>1</v>
      </c>
      <c r="BJ33" s="37">
        <f t="shared" si="28"/>
        <v>3195.0000000000009</v>
      </c>
      <c r="BK33" s="38">
        <v>145.791</v>
      </c>
      <c r="BL33" s="31">
        <v>64.831000000000003</v>
      </c>
      <c r="BM33" s="31"/>
      <c r="BN33" s="31"/>
      <c r="BO33" s="40"/>
      <c r="BP33" s="40">
        <v>10.77</v>
      </c>
      <c r="BQ33" s="32">
        <v>48.6</v>
      </c>
      <c r="BR33" s="33">
        <v>0.78</v>
      </c>
      <c r="BS33" s="34">
        <v>0.66</v>
      </c>
      <c r="BT33" s="35"/>
      <c r="BU33" s="35"/>
      <c r="BV33" s="235"/>
      <c r="BW33" s="235">
        <v>2.56</v>
      </c>
      <c r="BX33" s="36"/>
      <c r="BY33" s="33">
        <v>38.03</v>
      </c>
      <c r="BZ33" s="34">
        <v>36.33</v>
      </c>
      <c r="CA33" s="35"/>
      <c r="CB33" s="35"/>
      <c r="CC33" s="235"/>
      <c r="CD33" s="235">
        <v>32.950000000000003</v>
      </c>
      <c r="CE33" s="36">
        <v>43.48</v>
      </c>
      <c r="CF33" s="30">
        <v>109.578</v>
      </c>
      <c r="CG33" s="30">
        <v>54.003</v>
      </c>
      <c r="CH33" s="31"/>
      <c r="CI33" s="32"/>
      <c r="CJ33" s="33">
        <v>2.61</v>
      </c>
      <c r="CK33" s="33">
        <v>2.61</v>
      </c>
      <c r="CL33" s="35"/>
      <c r="CM33" s="36"/>
      <c r="CN33" s="270"/>
      <c r="CO33" s="249">
        <f t="shared" si="35"/>
        <v>144.65383019999999</v>
      </c>
      <c r="CP33" s="12">
        <f t="shared" si="35"/>
        <v>64.403115400000004</v>
      </c>
      <c r="CQ33" s="12">
        <f t="shared" si="35"/>
        <v>0</v>
      </c>
      <c r="CR33" s="12">
        <f t="shared" si="35"/>
        <v>0</v>
      </c>
      <c r="CS33" s="11">
        <f t="shared" si="35"/>
        <v>0</v>
      </c>
      <c r="CT33" s="11">
        <f t="shared" si="35"/>
        <v>10.494287999999999</v>
      </c>
      <c r="CU33" s="272">
        <f t="shared" si="35"/>
        <v>48.6</v>
      </c>
      <c r="CV33" s="249">
        <f t="shared" si="14"/>
        <v>106.7180142</v>
      </c>
      <c r="CW33" s="12">
        <f t="shared" si="14"/>
        <v>52.593521699999997</v>
      </c>
      <c r="CX33" s="254">
        <f t="shared" si="14"/>
        <v>0</v>
      </c>
      <c r="CY33" s="275">
        <f t="shared" si="14"/>
        <v>0</v>
      </c>
      <c r="CZ33" s="13"/>
      <c r="DA33" s="240">
        <f>(D33+'[2]сентябрь 20'!D33)/(AY33+'[2]сентябрь 20'!BA33)</f>
        <v>2.1192751114365285</v>
      </c>
      <c r="DB33" s="241">
        <f>(T33+'[2]сентябрь 20'!T33)/(AY33+'[2]сентябрь 20'!BA33)</f>
        <v>1.238951219472139</v>
      </c>
      <c r="DD33" s="292">
        <f t="shared" si="15"/>
        <v>10.503</v>
      </c>
      <c r="DE33" s="291"/>
      <c r="DF33" s="291"/>
      <c r="DG33" s="145">
        <f t="shared" si="16"/>
        <v>10.503</v>
      </c>
      <c r="DH33" s="293">
        <f t="shared" si="29"/>
        <v>0</v>
      </c>
      <c r="DJ33" s="322"/>
    </row>
    <row r="34" spans="1:114" s="76" customFormat="1" ht="16.5" customHeight="1" thickBot="1">
      <c r="A34" s="144">
        <v>28</v>
      </c>
      <c r="B34" s="122">
        <f>'[1]сентябрь 20'!K33</f>
        <v>255.27</v>
      </c>
      <c r="C34" s="123">
        <f t="shared" si="17"/>
        <v>0.82391522701453357</v>
      </c>
      <c r="D34" s="145">
        <f t="shared" si="30"/>
        <v>253.16679160000001</v>
      </c>
      <c r="E34" s="125">
        <f t="shared" si="32"/>
        <v>37.565569592979976</v>
      </c>
      <c r="F34" s="146">
        <f t="shared" si="0"/>
        <v>1.9535982066517479</v>
      </c>
      <c r="G34" s="127">
        <v>1.53</v>
      </c>
      <c r="H34" s="126">
        <f t="shared" si="20"/>
        <v>1.5993270437533762</v>
      </c>
      <c r="I34" s="230">
        <f>'[1]июль 20'!AI33</f>
        <v>0</v>
      </c>
      <c r="J34" s="247">
        <f>'[1]сентябрь 20'!AA33</f>
        <v>10.412000000000001</v>
      </c>
      <c r="K34" s="464">
        <f>'[1]сентябрь 20'!AM33</f>
        <v>0</v>
      </c>
      <c r="L34" s="247">
        <f>'[1]сентябрь 20'!AE33</f>
        <v>45.91</v>
      </c>
      <c r="M34" s="468">
        <f t="shared" si="21"/>
        <v>0.35427116289837174</v>
      </c>
      <c r="N34" s="403">
        <f>'[1]сентябрь 20'!W33</f>
        <v>0</v>
      </c>
      <c r="O34" s="403">
        <f>'[1]сентябрь 20'!AU33</f>
        <v>3.1309999999999998</v>
      </c>
      <c r="P34" s="401">
        <f t="shared" si="1"/>
        <v>153.90899999999999</v>
      </c>
      <c r="Q34" s="122">
        <f>'[1]сентябрь 20'!S33</f>
        <v>153.90899999999999</v>
      </c>
      <c r="R34" s="123">
        <f t="shared" si="36"/>
        <v>2.89</v>
      </c>
      <c r="S34" s="501">
        <v>27.89</v>
      </c>
      <c r="T34" s="125">
        <f t="shared" si="2"/>
        <v>149.4610299</v>
      </c>
      <c r="U34" s="147">
        <f t="shared" si="31"/>
        <v>1.1533376796049077</v>
      </c>
      <c r="V34" s="169">
        <v>132.26</v>
      </c>
      <c r="W34" s="169">
        <v>77.680000000000007</v>
      </c>
      <c r="X34" s="170">
        <v>0.73</v>
      </c>
      <c r="Y34" s="166">
        <v>604</v>
      </c>
      <c r="Z34" s="166">
        <v>1179</v>
      </c>
      <c r="AA34" s="148" t="s">
        <v>116</v>
      </c>
      <c r="AB34" s="164">
        <v>75.77</v>
      </c>
      <c r="AC34" s="166">
        <v>102</v>
      </c>
      <c r="AD34" s="171">
        <v>5</v>
      </c>
      <c r="AE34" s="164"/>
      <c r="AF34" s="172">
        <f t="shared" si="4"/>
        <v>0</v>
      </c>
      <c r="AG34" s="173"/>
      <c r="AH34" s="170">
        <v>83.05</v>
      </c>
      <c r="AI34" s="134">
        <f t="shared" si="5"/>
        <v>640.86735087583918</v>
      </c>
      <c r="AJ34" s="174">
        <v>15.3</v>
      </c>
      <c r="AK34" s="175"/>
      <c r="AL34" s="176">
        <v>8.8699999999999992</v>
      </c>
      <c r="AM34" s="478">
        <v>37.35</v>
      </c>
      <c r="AN34" s="126">
        <f t="shared" si="23"/>
        <v>0.21539792387543252</v>
      </c>
      <c r="AO34" s="178" t="s">
        <v>409</v>
      </c>
      <c r="AP34" s="177">
        <v>7.28</v>
      </c>
      <c r="AQ34" s="177">
        <v>8.3699999999999992</v>
      </c>
      <c r="AR34" s="171"/>
      <c r="AS34" s="164">
        <v>7.16</v>
      </c>
      <c r="AT34" s="149">
        <v>173.4</v>
      </c>
      <c r="AU34" s="164">
        <v>2.41</v>
      </c>
      <c r="AV34" s="164"/>
      <c r="AW34" s="164"/>
      <c r="AX34" s="179">
        <f t="shared" si="6"/>
        <v>0</v>
      </c>
      <c r="AY34" s="125">
        <f t="shared" si="33"/>
        <v>129.59</v>
      </c>
      <c r="AZ34" s="125">
        <f t="shared" si="24"/>
        <v>109.57555335837586</v>
      </c>
      <c r="BA34" s="159">
        <f t="shared" si="8"/>
        <v>4.6063507042253526</v>
      </c>
      <c r="BB34" s="159">
        <f t="shared" si="9"/>
        <v>5.1836000000000002</v>
      </c>
      <c r="BC34" s="180">
        <f t="shared" si="10"/>
        <v>1.0324572090454542</v>
      </c>
      <c r="BD34" s="159">
        <f t="shared" si="25"/>
        <v>9.7899507042253529</v>
      </c>
      <c r="BE34" s="167">
        <v>0.92200000000000004</v>
      </c>
      <c r="BF34" s="25">
        <f t="shared" si="26"/>
        <v>3338.3900000000003</v>
      </c>
      <c r="BG34" s="25">
        <f t="shared" si="11"/>
        <v>118.33333333333333</v>
      </c>
      <c r="BH34" s="25">
        <f t="shared" si="27"/>
        <v>3313.3333333333344</v>
      </c>
      <c r="BI34" s="26">
        <f t="shared" si="12"/>
        <v>1</v>
      </c>
      <c r="BJ34" s="37">
        <f t="shared" si="28"/>
        <v>3313.3333333333344</v>
      </c>
      <c r="BK34" s="38">
        <v>137.69900000000001</v>
      </c>
      <c r="BL34" s="30">
        <v>61.491</v>
      </c>
      <c r="BM34" s="43"/>
      <c r="BN34" s="43"/>
      <c r="BO34" s="281"/>
      <c r="BP34" s="281">
        <v>10.17</v>
      </c>
      <c r="BQ34" s="44">
        <v>45.91</v>
      </c>
      <c r="BR34" s="45">
        <v>0.91</v>
      </c>
      <c r="BS34" s="46">
        <v>0.85</v>
      </c>
      <c r="BT34" s="47"/>
      <c r="BU34" s="47"/>
      <c r="BV34" s="283"/>
      <c r="BW34" s="283">
        <v>3.22</v>
      </c>
      <c r="BX34" s="48"/>
      <c r="BY34" s="45">
        <v>37.08</v>
      </c>
      <c r="BZ34" s="46">
        <v>35.83</v>
      </c>
      <c r="CA34" s="47"/>
      <c r="CB34" s="47"/>
      <c r="CC34" s="283"/>
      <c r="CD34" s="283">
        <v>29.65</v>
      </c>
      <c r="CE34" s="48">
        <v>43.1</v>
      </c>
      <c r="CF34" s="49">
        <v>102.922</v>
      </c>
      <c r="CG34" s="49"/>
      <c r="CH34" s="43"/>
      <c r="CI34" s="32">
        <v>50.987000000000002</v>
      </c>
      <c r="CJ34" s="33">
        <v>2.89</v>
      </c>
      <c r="CK34" s="33"/>
      <c r="CL34" s="35"/>
      <c r="CM34" s="36">
        <v>2.89</v>
      </c>
      <c r="CN34" s="270"/>
      <c r="CO34" s="249">
        <f t="shared" si="35"/>
        <v>136.4459391</v>
      </c>
      <c r="CP34" s="12">
        <f t="shared" si="35"/>
        <v>60.968326500000003</v>
      </c>
      <c r="CQ34" s="12">
        <f t="shared" si="35"/>
        <v>0</v>
      </c>
      <c r="CR34" s="12">
        <f t="shared" si="35"/>
        <v>0</v>
      </c>
      <c r="CS34" s="11">
        <f t="shared" si="35"/>
        <v>0</v>
      </c>
      <c r="CT34" s="11">
        <f t="shared" si="35"/>
        <v>9.8425259999999994</v>
      </c>
      <c r="CU34" s="272">
        <f t="shared" si="35"/>
        <v>45.91</v>
      </c>
      <c r="CV34" s="249">
        <f t="shared" si="14"/>
        <v>99.947554199999999</v>
      </c>
      <c r="CW34" s="12">
        <f t="shared" si="14"/>
        <v>0</v>
      </c>
      <c r="CX34" s="249">
        <f t="shared" si="14"/>
        <v>0</v>
      </c>
      <c r="CY34" s="272">
        <f t="shared" si="14"/>
        <v>49.513475700000001</v>
      </c>
      <c r="CZ34" s="13"/>
      <c r="DA34" s="240">
        <f>(D34+'[2]сентябрь 20'!D34)/(AY34+'[2]сентябрь 20'!BA34)</f>
        <v>2.1237206942567615</v>
      </c>
      <c r="DB34" s="241">
        <f>(T34+'[2]сентябрь 20'!T34)/(AY34+'[2]сентябрь 20'!BA34)</f>
        <v>1.2396748688716646</v>
      </c>
      <c r="DD34" s="292">
        <f t="shared" si="15"/>
        <v>10.412000000000001</v>
      </c>
      <c r="DE34" s="291"/>
      <c r="DF34" s="291"/>
      <c r="DG34" s="145">
        <f t="shared" si="16"/>
        <v>10.412000000000001</v>
      </c>
      <c r="DH34" s="293">
        <f t="shared" si="29"/>
        <v>0</v>
      </c>
      <c r="DJ34" s="322"/>
    </row>
    <row r="35" spans="1:114" s="76" customFormat="1" ht="16.5" customHeight="1" thickBot="1">
      <c r="A35" s="144">
        <v>29</v>
      </c>
      <c r="B35" s="122">
        <f>'[1]сентябрь 20'!K34</f>
        <v>300.12299999999999</v>
      </c>
      <c r="C35" s="123">
        <f t="shared" si="17"/>
        <v>0.91713030990627176</v>
      </c>
      <c r="D35" s="145">
        <f t="shared" si="30"/>
        <v>297.37048099999998</v>
      </c>
      <c r="E35" s="125">
        <f t="shared" si="32"/>
        <v>38.189488909547094</v>
      </c>
      <c r="F35" s="146">
        <f t="shared" si="0"/>
        <v>2.4368637302302716</v>
      </c>
      <c r="G35" s="127"/>
      <c r="H35" s="126">
        <f t="shared" si="20"/>
        <v>1.9943413996558226</v>
      </c>
      <c r="I35" s="230">
        <f>'[1]июль 20'!AI34</f>
        <v>0</v>
      </c>
      <c r="J35" s="247">
        <f>'[1]сентябрь 20'!AA34</f>
        <v>12.260999999999999</v>
      </c>
      <c r="K35" s="465">
        <f>'[1]сентябрь 20'!AM34</f>
        <v>0</v>
      </c>
      <c r="L35" s="247">
        <f>'[1]сентябрь 20'!AE34</f>
        <v>54.000999999999998</v>
      </c>
      <c r="M35" s="469">
        <f t="shared" si="21"/>
        <v>0.44252233057444895</v>
      </c>
      <c r="N35" s="403">
        <f>'[1]сентябрь 20'!W34</f>
        <v>0</v>
      </c>
      <c r="O35" s="403">
        <f>'[1]сентябрь 20'!AU34</f>
        <v>3.762</v>
      </c>
      <c r="P35" s="401">
        <f t="shared" si="1"/>
        <v>182.13400000000001</v>
      </c>
      <c r="Q35" s="122">
        <f>'[1]сентябрь 20'!S34</f>
        <v>182.13399999999999</v>
      </c>
      <c r="R35" s="123">
        <f t="shared" si="36"/>
        <v>2.8100000000000005</v>
      </c>
      <c r="S35" s="501">
        <v>2.76</v>
      </c>
      <c r="T35" s="125">
        <f t="shared" si="2"/>
        <v>177.01603459999998</v>
      </c>
      <c r="U35" s="147">
        <f t="shared" si="31"/>
        <v>1.4505943997377695</v>
      </c>
      <c r="V35" s="130">
        <v>127.19</v>
      </c>
      <c r="W35" s="130">
        <v>127.19</v>
      </c>
      <c r="X35" s="129">
        <v>0.56000000000000005</v>
      </c>
      <c r="Y35" s="150">
        <v>527</v>
      </c>
      <c r="Z35" s="150">
        <v>1176</v>
      </c>
      <c r="AA35" s="148" t="s">
        <v>159</v>
      </c>
      <c r="AB35" s="149">
        <v>76.12</v>
      </c>
      <c r="AC35" s="150">
        <v>120</v>
      </c>
      <c r="AD35" s="151">
        <v>5</v>
      </c>
      <c r="AE35" s="181"/>
      <c r="AF35" s="134">
        <f t="shared" si="4"/>
        <v>0</v>
      </c>
      <c r="AG35" s="182"/>
      <c r="AH35" s="129">
        <v>84.45</v>
      </c>
      <c r="AI35" s="134">
        <f t="shared" si="5"/>
        <v>692.04294026059176</v>
      </c>
      <c r="AJ35" s="136">
        <v>17.09</v>
      </c>
      <c r="AK35" s="154"/>
      <c r="AL35" s="155">
        <v>10.06</v>
      </c>
      <c r="AM35" s="478">
        <v>39.03</v>
      </c>
      <c r="AN35" s="126">
        <f t="shared" si="23"/>
        <v>0.23046944198405669</v>
      </c>
      <c r="AO35" s="184" t="s">
        <v>410</v>
      </c>
      <c r="AP35" s="183">
        <v>7.03</v>
      </c>
      <c r="AQ35" s="183">
        <v>7.64</v>
      </c>
      <c r="AR35" s="185"/>
      <c r="AS35" s="181">
        <v>9</v>
      </c>
      <c r="AT35" s="149">
        <v>169.35</v>
      </c>
      <c r="AU35" s="181">
        <v>1.77</v>
      </c>
      <c r="AV35" s="149"/>
      <c r="AW35" s="149"/>
      <c r="AX35" s="158">
        <f t="shared" si="6"/>
        <v>0</v>
      </c>
      <c r="AY35" s="125">
        <f t="shared" si="33"/>
        <v>122.02999999999999</v>
      </c>
      <c r="AZ35" s="125">
        <f t="shared" si="24"/>
        <v>130.24383206820559</v>
      </c>
      <c r="BA35" s="159">
        <f t="shared" si="8"/>
        <v>5.887711267605634</v>
      </c>
      <c r="BB35" s="160">
        <f t="shared" si="9"/>
        <v>4.8811999999999998</v>
      </c>
      <c r="BC35" s="161">
        <f t="shared" si="10"/>
        <v>0.81794422283438062</v>
      </c>
      <c r="BD35" s="160">
        <f t="shared" si="25"/>
        <v>10.768911267605635</v>
      </c>
      <c r="BE35" s="162">
        <v>0.91800000000000004</v>
      </c>
      <c r="BF35" s="25">
        <f t="shared" si="26"/>
        <v>3460.4200000000005</v>
      </c>
      <c r="BG35" s="25">
        <f t="shared" si="11"/>
        <v>118.33333333333333</v>
      </c>
      <c r="BH35" s="25">
        <f t="shared" si="27"/>
        <v>3431.6666666666679</v>
      </c>
      <c r="BI35" s="26">
        <f t="shared" si="12"/>
        <v>1</v>
      </c>
      <c r="BJ35" s="37">
        <f t="shared" si="28"/>
        <v>3431.6666666666679</v>
      </c>
      <c r="BK35" s="38">
        <v>162.154</v>
      </c>
      <c r="BL35" s="31">
        <v>83.968000000000004</v>
      </c>
      <c r="BM35" s="31"/>
      <c r="BN35" s="31"/>
      <c r="BO35" s="40"/>
      <c r="BP35" s="40"/>
      <c r="BQ35" s="32">
        <v>54.000999999999998</v>
      </c>
      <c r="BR35" s="33">
        <v>1.19</v>
      </c>
      <c r="BS35" s="34">
        <v>0.98</v>
      </c>
      <c r="BT35" s="35"/>
      <c r="BU35" s="35"/>
      <c r="BV35" s="235"/>
      <c r="BW35" s="235">
        <v>2.06</v>
      </c>
      <c r="BX35" s="36"/>
      <c r="BY35" s="33">
        <v>37.520000000000003</v>
      </c>
      <c r="BZ35" s="34">
        <v>36.17</v>
      </c>
      <c r="CA35" s="35"/>
      <c r="CB35" s="35"/>
      <c r="CC35" s="235"/>
      <c r="CD35" s="235">
        <v>28.81</v>
      </c>
      <c r="CE35" s="36">
        <v>43.34</v>
      </c>
      <c r="CF35" s="30">
        <v>122.134</v>
      </c>
      <c r="CG35" s="30"/>
      <c r="CH35" s="31"/>
      <c r="CI35" s="50">
        <v>60</v>
      </c>
      <c r="CJ35" s="33">
        <v>2.81</v>
      </c>
      <c r="CK35" s="33"/>
      <c r="CL35" s="35"/>
      <c r="CM35" s="36">
        <v>2.81</v>
      </c>
      <c r="CN35" s="270"/>
      <c r="CO35" s="249">
        <f t="shared" si="35"/>
        <v>160.22436740000001</v>
      </c>
      <c r="CP35" s="12">
        <f t="shared" si="35"/>
        <v>83.145113600000002</v>
      </c>
      <c r="CQ35" s="12">
        <f t="shared" si="35"/>
        <v>0</v>
      </c>
      <c r="CR35" s="12">
        <f t="shared" si="35"/>
        <v>0</v>
      </c>
      <c r="CS35" s="11">
        <f t="shared" si="35"/>
        <v>0</v>
      </c>
      <c r="CT35" s="11">
        <f t="shared" si="35"/>
        <v>0</v>
      </c>
      <c r="CU35" s="272">
        <f t="shared" si="35"/>
        <v>54.000999999999998</v>
      </c>
      <c r="CV35" s="249">
        <f t="shared" si="14"/>
        <v>118.7020346</v>
      </c>
      <c r="CW35" s="12">
        <f t="shared" si="14"/>
        <v>0</v>
      </c>
      <c r="CX35" s="249">
        <f t="shared" si="14"/>
        <v>0</v>
      </c>
      <c r="CY35" s="272">
        <f t="shared" si="14"/>
        <v>58.314</v>
      </c>
      <c r="CZ35" s="13"/>
      <c r="DA35" s="240">
        <f>(D35+'[2]сентябрь 20'!D35)/(AY35+'[2]сентябрь 20'!BA35)</f>
        <v>2.2926306197826909</v>
      </c>
      <c r="DB35" s="241">
        <f>(T35+'[2]сентябрь 20'!T35)/(AY35+'[2]сентябрь 20'!BA35)</f>
        <v>1.3518794060547319</v>
      </c>
      <c r="DD35" s="292">
        <f t="shared" si="15"/>
        <v>12.260999999999999</v>
      </c>
      <c r="DE35" s="291"/>
      <c r="DF35" s="291"/>
      <c r="DG35" s="145">
        <f t="shared" si="16"/>
        <v>12.260999999999999</v>
      </c>
      <c r="DH35" s="293">
        <f t="shared" si="29"/>
        <v>0</v>
      </c>
      <c r="DJ35" s="322"/>
    </row>
    <row r="36" spans="1:114" s="76" customFormat="1" ht="16.5" customHeight="1" thickBot="1">
      <c r="A36" s="144">
        <v>30</v>
      </c>
      <c r="B36" s="122">
        <f>'[1]сентябрь 20'!K35</f>
        <v>274.911</v>
      </c>
      <c r="C36" s="123">
        <f t="shared" si="17"/>
        <v>0.98819821687746212</v>
      </c>
      <c r="D36" s="145">
        <f t="shared" si="30"/>
        <v>272.1943344</v>
      </c>
      <c r="E36" s="125">
        <f t="shared" si="32"/>
        <v>38.183345118965768</v>
      </c>
      <c r="F36" s="146">
        <f t="shared" si="0"/>
        <v>2.3210909388590437</v>
      </c>
      <c r="G36" s="127"/>
      <c r="H36" s="126">
        <f t="shared" si="20"/>
        <v>1.8994656297433274</v>
      </c>
      <c r="I36" s="230">
        <f>'[1]июль 20'!AI35</f>
        <v>0</v>
      </c>
      <c r="J36" s="247">
        <f>'[1]сентябрь 20'!AA35</f>
        <v>10.983000000000001</v>
      </c>
      <c r="K36" s="464">
        <f>'[1]сентябрь 20'!AM35</f>
        <v>0</v>
      </c>
      <c r="L36" s="247">
        <f>'[1]сентябрь 20'!AE35</f>
        <v>49.444000000000003</v>
      </c>
      <c r="M36" s="468">
        <f t="shared" si="21"/>
        <v>0.42162530911571594</v>
      </c>
      <c r="N36" s="403">
        <f>'[1]сентябрь 20'!W35</f>
        <v>0</v>
      </c>
      <c r="O36" s="403">
        <f>'[1]сентябрь 20'!AU35</f>
        <v>3.327</v>
      </c>
      <c r="P36" s="401">
        <f t="shared" si="1"/>
        <v>167.42400000000001</v>
      </c>
      <c r="Q36" s="122">
        <f>'[1]сентябрь 20'!S35</f>
        <v>167.42400000000001</v>
      </c>
      <c r="R36" s="123">
        <f t="shared" si="36"/>
        <v>2.85</v>
      </c>
      <c r="S36" s="501">
        <v>19.64</v>
      </c>
      <c r="T36" s="125">
        <f t="shared" si="2"/>
        <v>162.65241600000002</v>
      </c>
      <c r="U36" s="147">
        <f t="shared" si="31"/>
        <v>1.3869908416474805</v>
      </c>
      <c r="V36" s="130">
        <v>95.58</v>
      </c>
      <c r="W36" s="130">
        <v>77.349999999999994</v>
      </c>
      <c r="X36" s="129">
        <v>0.65</v>
      </c>
      <c r="Y36" s="150">
        <v>530</v>
      </c>
      <c r="Z36" s="150">
        <v>1169</v>
      </c>
      <c r="AA36" s="148" t="s">
        <v>250</v>
      </c>
      <c r="AB36" s="149">
        <v>75.97</v>
      </c>
      <c r="AC36" s="150">
        <v>110</v>
      </c>
      <c r="AD36" s="151">
        <v>5</v>
      </c>
      <c r="AE36" s="149"/>
      <c r="AF36" s="134">
        <f t="shared" si="4"/>
        <v>0</v>
      </c>
      <c r="AG36" s="152"/>
      <c r="AH36" s="129">
        <v>76.7</v>
      </c>
      <c r="AI36" s="134">
        <f t="shared" si="5"/>
        <v>654.04621812910386</v>
      </c>
      <c r="AJ36" s="153"/>
      <c r="AK36" s="154"/>
      <c r="AL36" s="155">
        <v>7.02</v>
      </c>
      <c r="AM36" s="478">
        <v>31.16</v>
      </c>
      <c r="AN36" s="126">
        <f t="shared" si="23"/>
        <v>0.2004503055644902</v>
      </c>
      <c r="AO36" s="157" t="s">
        <v>411</v>
      </c>
      <c r="AP36" s="156">
        <v>7.61</v>
      </c>
      <c r="AQ36" s="156">
        <v>7.84</v>
      </c>
      <c r="AR36" s="151"/>
      <c r="AS36" s="149">
        <v>9.6199999999999992</v>
      </c>
      <c r="AT36" s="149">
        <v>155.44999999999999</v>
      </c>
      <c r="AU36" s="149"/>
      <c r="AV36" s="149"/>
      <c r="AW36" s="149"/>
      <c r="AX36" s="158">
        <f t="shared" si="6"/>
        <v>0</v>
      </c>
      <c r="AY36" s="125">
        <f t="shared" si="33"/>
        <v>117.26999999999998</v>
      </c>
      <c r="AZ36" s="125">
        <f t="shared" si="24"/>
        <v>119.43322828978457</v>
      </c>
      <c r="BA36" s="159">
        <f t="shared" si="8"/>
        <v>5.7157704225352104</v>
      </c>
      <c r="BB36" s="160">
        <f t="shared" si="9"/>
        <v>4.6907999999999994</v>
      </c>
      <c r="BC36" s="161">
        <f t="shared" si="10"/>
        <v>0.8571878317782734</v>
      </c>
      <c r="BD36" s="160">
        <f t="shared" si="25"/>
        <v>10.406570422535211</v>
      </c>
      <c r="BE36" s="162">
        <v>0.91500000000000004</v>
      </c>
      <c r="BF36" s="25">
        <f t="shared" si="26"/>
        <v>3577.6900000000005</v>
      </c>
      <c r="BG36" s="25">
        <f t="shared" si="11"/>
        <v>118.33333333333333</v>
      </c>
      <c r="BH36" s="25">
        <f t="shared" si="27"/>
        <v>3550.0000000000014</v>
      </c>
      <c r="BI36" s="26">
        <f t="shared" si="12"/>
        <v>1</v>
      </c>
      <c r="BJ36" s="37">
        <f t="shared" si="28"/>
        <v>3550.0000000000014</v>
      </c>
      <c r="BK36" s="38">
        <v>148.44499999999999</v>
      </c>
      <c r="BL36" s="31">
        <v>77.022000000000006</v>
      </c>
      <c r="BM36" s="31"/>
      <c r="BN36" s="31"/>
      <c r="BO36" s="40"/>
      <c r="BP36" s="40"/>
      <c r="BQ36" s="32">
        <v>49.444000000000003</v>
      </c>
      <c r="BR36" s="33">
        <v>1.1399999999999999</v>
      </c>
      <c r="BS36" s="34">
        <v>1.33</v>
      </c>
      <c r="BT36" s="35"/>
      <c r="BU36" s="35"/>
      <c r="BV36" s="235"/>
      <c r="BW36" s="235">
        <v>1.33</v>
      </c>
      <c r="BX36" s="36"/>
      <c r="BY36" s="33">
        <v>37.369999999999997</v>
      </c>
      <c r="BZ36" s="34">
        <v>36.369999999999997</v>
      </c>
      <c r="CA36" s="35"/>
      <c r="CB36" s="35"/>
      <c r="CC36" s="235"/>
      <c r="CD36" s="235">
        <v>36.369999999999997</v>
      </c>
      <c r="CE36" s="36">
        <v>43.45</v>
      </c>
      <c r="CF36" s="30">
        <v>112.417</v>
      </c>
      <c r="CG36" s="30"/>
      <c r="CH36" s="34"/>
      <c r="CI36" s="50">
        <v>55.006999999999998</v>
      </c>
      <c r="CJ36" s="33">
        <v>2.85</v>
      </c>
      <c r="CK36" s="33"/>
      <c r="CL36" s="35"/>
      <c r="CM36" s="36">
        <v>2.85</v>
      </c>
      <c r="CN36" s="270"/>
      <c r="CO36" s="249">
        <f t="shared" si="35"/>
        <v>146.75272699999999</v>
      </c>
      <c r="CP36" s="12">
        <f t="shared" si="35"/>
        <v>75.997607400000007</v>
      </c>
      <c r="CQ36" s="12">
        <f t="shared" si="35"/>
        <v>0</v>
      </c>
      <c r="CR36" s="12">
        <f t="shared" si="35"/>
        <v>0</v>
      </c>
      <c r="CS36" s="11">
        <f t="shared" si="35"/>
        <v>0</v>
      </c>
      <c r="CT36" s="11">
        <f t="shared" si="35"/>
        <v>0</v>
      </c>
      <c r="CU36" s="272">
        <f t="shared" si="35"/>
        <v>49.444000000000003</v>
      </c>
      <c r="CV36" s="249">
        <f t="shared" si="14"/>
        <v>109.2131155</v>
      </c>
      <c r="CW36" s="12">
        <f t="shared" si="14"/>
        <v>0</v>
      </c>
      <c r="CX36" s="249">
        <f t="shared" si="14"/>
        <v>0</v>
      </c>
      <c r="CY36" s="274">
        <f t="shared" si="14"/>
        <v>53.439300500000002</v>
      </c>
      <c r="CZ36" s="13"/>
      <c r="DA36" s="240">
        <f>(D36+'[2]сентябрь 20'!D36)/(AY36+'[2]сентябрь 20'!BA36)</f>
        <v>2.5918053023057777</v>
      </c>
      <c r="DB36" s="241">
        <f>(T36+'[2]сентябрь 20'!T36)/(AY36+'[2]сентябрь 20'!BA36)</f>
        <v>1.5541150792611034</v>
      </c>
      <c r="DD36" s="292">
        <f t="shared" si="15"/>
        <v>10.983000000000001</v>
      </c>
      <c r="DE36" s="291"/>
      <c r="DF36" s="291"/>
      <c r="DG36" s="145">
        <f t="shared" si="16"/>
        <v>10.983000000000001</v>
      </c>
      <c r="DH36" s="293">
        <f t="shared" si="29"/>
        <v>0</v>
      </c>
      <c r="DJ36" s="322"/>
    </row>
    <row r="37" spans="1:114" s="76" customFormat="1" ht="16.5" customHeight="1" thickBot="1">
      <c r="A37" s="186">
        <v>31</v>
      </c>
      <c r="B37" s="122">
        <f>'[1]сентябрь 20'!K36</f>
        <v>0</v>
      </c>
      <c r="C37" s="123">
        <f t="shared" si="17"/>
        <v>0</v>
      </c>
      <c r="D37" s="187">
        <f t="shared" si="18"/>
        <v>0</v>
      </c>
      <c r="E37" s="285">
        <f t="shared" si="19"/>
        <v>0</v>
      </c>
      <c r="F37" s="189">
        <f t="shared" si="0"/>
        <v>0</v>
      </c>
      <c r="G37" s="127"/>
      <c r="H37" s="126">
        <f t="shared" si="20"/>
        <v>0</v>
      </c>
      <c r="I37" s="230">
        <f>'[1]июль 20'!AI36</f>
        <v>0</v>
      </c>
      <c r="J37" s="277">
        <f>'[1]сентябрь 20'!AA36</f>
        <v>0</v>
      </c>
      <c r="K37" s="276">
        <f>'[1]сентябрь 20'!AM36</f>
        <v>0</v>
      </c>
      <c r="L37" s="438">
        <f>'[1]сентябрь 20'!AE36</f>
        <v>0</v>
      </c>
      <c r="M37" s="128">
        <f t="shared" si="21"/>
        <v>0</v>
      </c>
      <c r="N37" s="399">
        <f>'[1]сентябрь 20'!W36</f>
        <v>0</v>
      </c>
      <c r="O37" s="399">
        <f>'[1]сентябрь 20'!AU36</f>
        <v>0</v>
      </c>
      <c r="P37" s="125">
        <f t="shared" si="1"/>
        <v>0</v>
      </c>
      <c r="Q37" s="122">
        <f>'[1]сентябрь 20'!S36</f>
        <v>0</v>
      </c>
      <c r="R37" s="123">
        <f t="shared" si="22"/>
        <v>0</v>
      </c>
      <c r="S37" s="501"/>
      <c r="T37" s="125">
        <f t="shared" si="2"/>
        <v>0</v>
      </c>
      <c r="U37" s="191">
        <f t="shared" si="3"/>
        <v>0</v>
      </c>
      <c r="V37" s="192"/>
      <c r="W37" s="192"/>
      <c r="X37" s="190"/>
      <c r="Y37" s="193"/>
      <c r="Z37" s="194"/>
      <c r="AA37" s="195"/>
      <c r="AB37" s="196"/>
      <c r="AC37" s="194"/>
      <c r="AD37" s="193"/>
      <c r="AE37" s="196"/>
      <c r="AF37" s="134">
        <f t="shared" si="4"/>
        <v>0</v>
      </c>
      <c r="AG37" s="197"/>
      <c r="AH37" s="190"/>
      <c r="AI37" s="134">
        <f t="shared" si="5"/>
        <v>0</v>
      </c>
      <c r="AJ37" s="196"/>
      <c r="AK37" s="198"/>
      <c r="AL37" s="199"/>
      <c r="AM37" s="478">
        <f t="shared" ref="AM37" si="37">AT37*0.2</f>
        <v>0</v>
      </c>
      <c r="AN37" s="126">
        <f t="shared" si="23"/>
        <v>0</v>
      </c>
      <c r="AO37" s="201"/>
      <c r="AP37" s="200"/>
      <c r="AQ37" s="201"/>
      <c r="AR37" s="193"/>
      <c r="AS37" s="196"/>
      <c r="AT37" s="242"/>
      <c r="AU37" s="196"/>
      <c r="AV37" s="196"/>
      <c r="AW37" s="196"/>
      <c r="AX37" s="202">
        <f t="shared" si="6"/>
        <v>0</v>
      </c>
      <c r="AY37" s="188">
        <f t="shared" si="7"/>
        <v>0</v>
      </c>
      <c r="AZ37" s="125">
        <f t="shared" si="24"/>
        <v>0</v>
      </c>
      <c r="BA37" s="203">
        <f t="shared" si="8"/>
        <v>0</v>
      </c>
      <c r="BB37" s="204">
        <f t="shared" si="9"/>
        <v>0</v>
      </c>
      <c r="BC37" s="205">
        <f t="shared" si="10"/>
        <v>0</v>
      </c>
      <c r="BD37" s="206">
        <f t="shared" si="25"/>
        <v>0</v>
      </c>
      <c r="BE37" s="207"/>
      <c r="BF37" s="25">
        <f t="shared" si="26"/>
        <v>3577.6900000000005</v>
      </c>
      <c r="BG37" s="25">
        <f t="shared" si="11"/>
        <v>0</v>
      </c>
      <c r="BH37" s="25">
        <f t="shared" si="27"/>
        <v>3550.0000000000014</v>
      </c>
      <c r="BI37" s="26">
        <f t="shared" si="12"/>
        <v>0</v>
      </c>
      <c r="BJ37" s="37">
        <f t="shared" si="28"/>
        <v>3550.0000000000014</v>
      </c>
      <c r="BK37" s="51"/>
      <c r="BL37" s="53"/>
      <c r="BM37" s="53"/>
      <c r="BN37" s="53"/>
      <c r="BO37" s="282"/>
      <c r="BP37" s="282"/>
      <c r="BQ37" s="54"/>
      <c r="BR37" s="55"/>
      <c r="BS37" s="52"/>
      <c r="BT37" s="56"/>
      <c r="BU37" s="56"/>
      <c r="BV37" s="284"/>
      <c r="BW37" s="284"/>
      <c r="BX37" s="57"/>
      <c r="BY37" s="55"/>
      <c r="BZ37" s="52"/>
      <c r="CA37" s="56"/>
      <c r="CB37" s="56"/>
      <c r="CC37" s="284"/>
      <c r="CD37" s="284"/>
      <c r="CE37" s="57"/>
      <c r="CF37" s="58"/>
      <c r="CG37" s="58"/>
      <c r="CH37" s="52"/>
      <c r="CI37" s="54"/>
      <c r="CJ37" s="33"/>
      <c r="CK37" s="265"/>
      <c r="CL37" s="59"/>
      <c r="CM37" s="60"/>
      <c r="CN37" s="270"/>
      <c r="CO37" s="269">
        <f t="shared" si="35"/>
        <v>0</v>
      </c>
      <c r="CP37" s="18">
        <f t="shared" si="35"/>
        <v>0</v>
      </c>
      <c r="CQ37" s="18">
        <f t="shared" si="35"/>
        <v>0</v>
      </c>
      <c r="CR37" s="18">
        <f t="shared" si="35"/>
        <v>0</v>
      </c>
      <c r="CS37" s="251">
        <f t="shared" si="35"/>
        <v>0</v>
      </c>
      <c r="CT37" s="11">
        <f t="shared" si="35"/>
        <v>0</v>
      </c>
      <c r="CU37" s="273">
        <f t="shared" si="35"/>
        <v>0</v>
      </c>
      <c r="CV37" s="269">
        <f t="shared" si="14"/>
        <v>0</v>
      </c>
      <c r="CW37" s="18">
        <f t="shared" si="14"/>
        <v>0</v>
      </c>
      <c r="CX37" s="261">
        <f t="shared" si="14"/>
        <v>0</v>
      </c>
      <c r="CY37" s="273">
        <f t="shared" si="14"/>
        <v>0</v>
      </c>
      <c r="CZ37" s="13"/>
      <c r="DA37" s="240" t="e">
        <f>(D37+'[2]сентябрь 20'!D37)/(AY37+'[2]сентябрь 20'!BA37)</f>
        <v>#DIV/0!</v>
      </c>
      <c r="DB37" s="241" t="e">
        <f>(T37+'[2]сентябрь 20'!T37)/(AY37+'[2]сентябрь 20'!BA37)</f>
        <v>#DIV/0!</v>
      </c>
      <c r="DD37" s="292">
        <f t="shared" si="15"/>
        <v>0</v>
      </c>
      <c r="DE37" s="294"/>
      <c r="DF37" s="294"/>
      <c r="DG37" s="323">
        <f t="shared" si="16"/>
        <v>0</v>
      </c>
      <c r="DH37" s="293">
        <f t="shared" si="29"/>
        <v>0</v>
      </c>
      <c r="DJ37" s="322">
        <f t="shared" ref="DJ37" si="38">CO37+CP37+CQ37+CR37+CS37+CT37+CU37</f>
        <v>0</v>
      </c>
    </row>
    <row r="38" spans="1:114" s="214" customFormat="1" ht="16.5" customHeight="1" thickBot="1">
      <c r="A38" s="91" t="s">
        <v>56</v>
      </c>
      <c r="B38" s="92">
        <f>SUM(B7:B37)</f>
        <v>8026.5709999999999</v>
      </c>
      <c r="C38" s="330"/>
      <c r="D38" s="331">
        <f>SUM(D7:D37)</f>
        <v>7922.0941454930298</v>
      </c>
      <c r="E38" s="332"/>
      <c r="F38" s="331"/>
      <c r="G38" s="333">
        <f>SUM(G7:G37)</f>
        <v>346.62000000000006</v>
      </c>
      <c r="H38" s="329"/>
      <c r="I38" s="334">
        <f>SUM(I7:I37)</f>
        <v>0</v>
      </c>
      <c r="J38" s="329">
        <f>SUM(J7:J37)</f>
        <v>323.46199999999999</v>
      </c>
      <c r="K38" s="329">
        <f>SUM(K7:K37)</f>
        <v>0</v>
      </c>
      <c r="L38" s="396">
        <f>SUM(L7:L37)</f>
        <v>1447.4449999999997</v>
      </c>
      <c r="M38" s="335"/>
      <c r="N38" s="329">
        <f>SUM(N7:N37)</f>
        <v>0</v>
      </c>
      <c r="O38" s="396">
        <f>SUM(O7:O37)</f>
        <v>197.62900000000002</v>
      </c>
      <c r="P38" s="330">
        <f>SUM(P7:P37)</f>
        <v>4943.3680029999996</v>
      </c>
      <c r="Q38" s="396">
        <f>SUM(Q7:Q37)</f>
        <v>4943.3680000000004</v>
      </c>
      <c r="R38" s="336">
        <f>IF(Q38=0,0,(CA38*CH38+CE38*CI38+CF38*CJ38)/Q38)</f>
        <v>0</v>
      </c>
      <c r="S38" s="396">
        <f>SUM(S7:S37)</f>
        <v>328.96999999999997</v>
      </c>
      <c r="T38" s="331">
        <f>SUM(T7:T37)</f>
        <v>4802.3100180000001</v>
      </c>
      <c r="U38" s="337"/>
      <c r="V38" s="229">
        <f>SUM(V7:V37)</f>
        <v>3463.43</v>
      </c>
      <c r="W38" s="229">
        <f>SUM(W7:W37)</f>
        <v>2248.8199999999997</v>
      </c>
      <c r="X38" s="338"/>
      <c r="Y38" s="337"/>
      <c r="Z38" s="339"/>
      <c r="AA38" s="340"/>
      <c r="AB38" s="338"/>
      <c r="AC38" s="339"/>
      <c r="AD38" s="339">
        <f>SUM(AD7:AD37)</f>
        <v>139</v>
      </c>
      <c r="AE38" s="90">
        <f>SUM(AE7:AE37)</f>
        <v>110.20000000000002</v>
      </c>
      <c r="AF38" s="341"/>
      <c r="AG38" s="342">
        <f>SUM(AG7:AG37)</f>
        <v>0</v>
      </c>
      <c r="AH38" s="90">
        <f>SUM(AH7:AH37)</f>
        <v>2373.5499999999997</v>
      </c>
      <c r="AI38" s="341"/>
      <c r="AJ38" s="332">
        <f>SUM(AJ7:AJ37)</f>
        <v>448.55000000000007</v>
      </c>
      <c r="AK38" s="343"/>
      <c r="AL38" s="397">
        <f>SUM(AL7:AL37)</f>
        <v>230.97</v>
      </c>
      <c r="AM38" s="417">
        <f>SUM(AM7:AM37)</f>
        <v>1056.06</v>
      </c>
      <c r="AN38" s="345"/>
      <c r="AO38" s="342"/>
      <c r="AP38" s="332"/>
      <c r="AQ38" s="342"/>
      <c r="AR38" s="342"/>
      <c r="AS38" s="346"/>
      <c r="AT38" s="332">
        <f>SUM(AT7:AT37)</f>
        <v>4810.2499999999991</v>
      </c>
      <c r="AU38" s="332">
        <f>SUM(AU7:AU37)</f>
        <v>54.469999999999992</v>
      </c>
      <c r="AV38" s="347">
        <f>SUM(AV7:AV37)</f>
        <v>0</v>
      </c>
      <c r="AW38" s="332">
        <f>SUM(AW7:AW37)</f>
        <v>0</v>
      </c>
      <c r="AX38" s="331"/>
      <c r="AY38" s="90">
        <f>SUM(AY7:AY37)</f>
        <v>3577.6900000000005</v>
      </c>
      <c r="AZ38" s="330">
        <f>SUM(AZ7:AZ37)</f>
        <v>3437.0577232132991</v>
      </c>
      <c r="BA38" s="342">
        <f>SUM(BA7:BA37)</f>
        <v>137.85436267605633</v>
      </c>
      <c r="BB38" s="342">
        <f>SUM(BB7:BB37)</f>
        <v>143.10759999999999</v>
      </c>
      <c r="BC38" s="332"/>
      <c r="BD38" s="89">
        <f>SUM(BD7:BD37)</f>
        <v>280.96196267605632</v>
      </c>
      <c r="BE38" s="348"/>
      <c r="BF38" s="19"/>
      <c r="BG38" s="19">
        <f t="shared" si="11"/>
        <v>0</v>
      </c>
      <c r="BH38" s="19"/>
      <c r="BI38" s="208">
        <f>SUM(BI7:BI37)</f>
        <v>30</v>
      </c>
      <c r="BJ38" s="209"/>
      <c r="BK38" s="278">
        <f t="shared" ref="BK38:BQ38" si="39">SUM(BK7:BK37)</f>
        <v>984.73800099999994</v>
      </c>
      <c r="BL38" s="61">
        <f>SUM(BL7:BL37)</f>
        <v>5216.6410000000005</v>
      </c>
      <c r="BM38" s="61">
        <f t="shared" si="39"/>
        <v>9.9999999999999995E-7</v>
      </c>
      <c r="BN38" s="61">
        <f t="shared" si="39"/>
        <v>992.24099999999999</v>
      </c>
      <c r="BO38" s="61">
        <f t="shared" si="39"/>
        <v>9.9999999999999995E-7</v>
      </c>
      <c r="BP38" s="61">
        <f t="shared" si="39"/>
        <v>377.74700000000001</v>
      </c>
      <c r="BQ38" s="64">
        <f t="shared" si="39"/>
        <v>455.20400000000001</v>
      </c>
      <c r="BR38" s="63"/>
      <c r="BS38" s="24"/>
      <c r="BT38" s="24"/>
      <c r="BU38" s="24"/>
      <c r="BV38" s="62"/>
      <c r="BW38" s="62"/>
      <c r="BX38" s="65"/>
      <c r="BY38" s="63"/>
      <c r="BZ38" s="24"/>
      <c r="CA38" s="24"/>
      <c r="CB38" s="24"/>
      <c r="CC38" s="62"/>
      <c r="CD38" s="62"/>
      <c r="CE38" s="62"/>
      <c r="CF38" s="66">
        <f>SUM(CF7:CF37)</f>
        <v>4002.3839999999996</v>
      </c>
      <c r="CG38" s="66">
        <f>SUM(CG7:CG37)</f>
        <v>774.99000100000001</v>
      </c>
      <c r="CH38" s="61">
        <f>SUM(CH7:CH37)</f>
        <v>9.9999999999999995E-7</v>
      </c>
      <c r="CI38" s="67">
        <f>SUM(CI7:CI37)</f>
        <v>165.994001</v>
      </c>
      <c r="CJ38" s="210"/>
      <c r="CK38" s="266"/>
      <c r="CL38" s="211"/>
      <c r="CM38" s="212"/>
      <c r="CN38" s="213"/>
      <c r="CO38" s="68">
        <f t="shared" ref="CO38:CY38" si="40">SUM(CO7:CO37)</f>
        <v>973.68837980000012</v>
      </c>
      <c r="CP38" s="69">
        <f t="shared" si="40"/>
        <v>5135.1457497999991</v>
      </c>
      <c r="CQ38" s="70">
        <f t="shared" si="40"/>
        <v>9.9999998999999992E-7</v>
      </c>
      <c r="CR38" s="69">
        <f t="shared" si="40"/>
        <v>992.24099957192016</v>
      </c>
      <c r="CS38" s="72">
        <f t="shared" si="40"/>
        <v>9.9999998999999992E-7</v>
      </c>
      <c r="CT38" s="72">
        <f t="shared" si="40"/>
        <v>365.81501739999999</v>
      </c>
      <c r="CU38" s="71">
        <f t="shared" si="40"/>
        <v>455.20399992110998</v>
      </c>
      <c r="CV38" s="72">
        <f t="shared" si="40"/>
        <v>3887.3349482000003</v>
      </c>
      <c r="CW38" s="72">
        <f t="shared" si="40"/>
        <v>753.70829460000004</v>
      </c>
      <c r="CX38" s="72">
        <f t="shared" si="40"/>
        <v>9.9999998999999992E-7</v>
      </c>
      <c r="CY38" s="72">
        <f t="shared" si="40"/>
        <v>161.26677719999998</v>
      </c>
      <c r="CZ38" s="70"/>
      <c r="DA38" s="240">
        <f>(D38+'[2]сентябрь 20'!D38)/(AY38+'[2]сентябрь 20'!BA38)</f>
        <v>2.2125864603322021</v>
      </c>
      <c r="DB38" s="241">
        <f>(T38+'[2]сентябрь 20'!T38)/(AY38+'[2]сентябрь 20'!BA38)</f>
        <v>1.3466971321871557</v>
      </c>
      <c r="DD38" s="295">
        <f>SUM(DD7:DD37)</f>
        <v>323.46199999999999</v>
      </c>
      <c r="DE38" s="296">
        <f>(SUMPRODUCT(DD7:DD37,DE7:DE37))/DD38</f>
        <v>0.38145200981877314</v>
      </c>
      <c r="DF38" s="296">
        <f>(SUMPRODUCT(DD7:DD37,DF7:DF37))/DD38</f>
        <v>5.842120589126389</v>
      </c>
      <c r="DG38" s="296">
        <f>(SUMPRODUCT(DE7:DE37,DG7:DG37))/DE38</f>
        <v>317.79025382142339</v>
      </c>
      <c r="DH38" s="324">
        <f>IF(J38=0,0,(DG38*DF38%)/(AB39/100))</f>
        <v>24.354299803213337</v>
      </c>
    </row>
    <row r="39" spans="1:114" s="214" customFormat="1" ht="16.5" customHeight="1" thickBot="1">
      <c r="A39" s="93" t="s">
        <v>57</v>
      </c>
      <c r="B39" s="349">
        <f>B38/AU2</f>
        <v>276.77831034482756</v>
      </c>
      <c r="C39" s="349">
        <f>(BK38*BR39+BM38*BT39+BQ38*BX39+BL38*BS39+BN38*BU39+BO38*BV39+BP38*BW39)/B38</f>
        <v>1.3016374552342471</v>
      </c>
      <c r="D39" s="350">
        <f>D38/AU2</f>
        <v>273.17566018941483</v>
      </c>
      <c r="E39" s="349">
        <f>(BK38*BY39+BM38*CA39+BQ38*CE39+BL38*BZ39+BN38*CB39+BO38*CC39+BP38*CD39)/B38</f>
        <v>37.613034700621213</v>
      </c>
      <c r="F39" s="351">
        <f>IF($AY$38=0,0,$D$38/$AY$38)</f>
        <v>2.214304242540027</v>
      </c>
      <c r="G39" s="352">
        <f>G38/AU2</f>
        <v>11.95241379310345</v>
      </c>
      <c r="H39" s="353">
        <f>IF($AY$38=0,0,(CP38+CO38+CS38+CQ38+CT38)/AY38)</f>
        <v>1.8097289449337419</v>
      </c>
      <c r="I39" s="349">
        <f>I38/AU2</f>
        <v>0</v>
      </c>
      <c r="J39" s="349">
        <f>J38/AU2</f>
        <v>11.153862068965516</v>
      </c>
      <c r="K39" s="349">
        <f>K38/AU2</f>
        <v>0</v>
      </c>
      <c r="L39" s="349">
        <f>L38/AU2</f>
        <v>49.911896551724126</v>
      </c>
      <c r="M39" s="354">
        <f>IF($AY$38=0,0,(CR38+CU38)/$AY$38)</f>
        <v>0.40457529844481493</v>
      </c>
      <c r="N39" s="349">
        <f>N38/AU2</f>
        <v>0</v>
      </c>
      <c r="O39" s="349">
        <f>O38/AU2</f>
        <v>6.8147931034482765</v>
      </c>
      <c r="P39" s="349">
        <f>P38/AU2</f>
        <v>170.46096562068965</v>
      </c>
      <c r="Q39" s="349">
        <f>Q38/AU2</f>
        <v>170.46096551724139</v>
      </c>
      <c r="R39" s="349">
        <f>(SUMPRODUCT(R7:R37,Q7:Q37))/Q38</f>
        <v>2.8534792878053996</v>
      </c>
      <c r="S39" s="355">
        <f>S38/AU2</f>
        <v>11.343793103448276</v>
      </c>
      <c r="T39" s="356"/>
      <c r="U39" s="354">
        <f>IF($AY$38=0,0,$T$38/$AY$38)</f>
        <v>1.3422934960826678</v>
      </c>
      <c r="V39" s="349">
        <f>V38/AU2</f>
        <v>119.42862068965516</v>
      </c>
      <c r="W39" s="349">
        <f>W38/AU2</f>
        <v>77.545517241379301</v>
      </c>
      <c r="X39" s="349">
        <f>(SUMPRODUCT(X7:X37,AY7:AY37))/AY38</f>
        <v>0.98418093797953432</v>
      </c>
      <c r="Y39" s="357">
        <f>AVERAGE(Y7:Y37)</f>
        <v>558.73333333333335</v>
      </c>
      <c r="Z39" s="357">
        <f>AVERAGE(Z7:Z37)</f>
        <v>1169.0333333333333</v>
      </c>
      <c r="AA39" s="357"/>
      <c r="AB39" s="349">
        <f>(SUMPRODUCT(AB7:AB37,AY7:AY37))/AY38</f>
        <v>76.231671609334498</v>
      </c>
      <c r="AC39" s="358">
        <f>AVERAGE(AC7:AC37)</f>
        <v>107.03333333333333</v>
      </c>
      <c r="AD39" s="358">
        <f>AVERAGE(AD7:AD37)</f>
        <v>4.6333333333333337</v>
      </c>
      <c r="AE39" s="349">
        <f>AE38/AU2</f>
        <v>3.8000000000000007</v>
      </c>
      <c r="AF39" s="355">
        <f>IF(AY38=0,0,AE38/AY38*1000)</f>
        <v>30.801997937216473</v>
      </c>
      <c r="AG39" s="356" t="e">
        <f>AG38/$AW$2</f>
        <v>#DIV/0!</v>
      </c>
      <c r="AH39" s="349">
        <f>AH38/AU2</f>
        <v>81.846551724137925</v>
      </c>
      <c r="AI39" s="355">
        <f>IF(AY38=0,0,AH38/AY38*1000)</f>
        <v>663.43087299346769</v>
      </c>
      <c r="AJ39" s="349">
        <f>AJ38/AU2</f>
        <v>15.467241379310348</v>
      </c>
      <c r="AK39" s="359"/>
      <c r="AL39" s="349">
        <f>AL38/AU2</f>
        <v>7.9644827586206892</v>
      </c>
      <c r="AM39" s="349">
        <f>AM38/AU2</f>
        <v>36.415862068965517</v>
      </c>
      <c r="AN39" s="360">
        <f>IF(AM39=0,0,AM39/AT39)</f>
        <v>0.2195436827607713</v>
      </c>
      <c r="AO39" s="356"/>
      <c r="AP39" s="349">
        <f>AVERAGE(AP7:AP37)</f>
        <v>7.7860000000000014</v>
      </c>
      <c r="AQ39" s="349">
        <f>AVERAGE(AQ7:AQ37)</f>
        <v>7.110666666666666</v>
      </c>
      <c r="AR39" s="356"/>
      <c r="AS39" s="349">
        <f>AVERAGE(AS7:AS37)</f>
        <v>7.4493333333333318</v>
      </c>
      <c r="AT39" s="349">
        <f>AT38/AU2</f>
        <v>165.87068965517238</v>
      </c>
      <c r="AU39" s="349">
        <f>AU38/AU2</f>
        <v>1.8782758620689652</v>
      </c>
      <c r="AV39" s="349" t="e">
        <f>AV38/$AW$2</f>
        <v>#DIV/0!</v>
      </c>
      <c r="AW39" s="349" t="e">
        <f>AW38/$AW$2</f>
        <v>#DIV/0!</v>
      </c>
      <c r="AX39" s="349" t="e">
        <f>IF(AY39=0,0,AW39/AY39*100)</f>
        <v>#DIV/0!</v>
      </c>
      <c r="AY39" s="349">
        <f>AY38/AU2</f>
        <v>123.36862068965519</v>
      </c>
      <c r="AZ39" s="349">
        <f>AZ38/AU2</f>
        <v>118.51923183494135</v>
      </c>
      <c r="BA39" s="356"/>
      <c r="BB39" s="356"/>
      <c r="BC39" s="351">
        <f>(AY38*AB39)/(D38*E39)</f>
        <v>0.91529223144657157</v>
      </c>
      <c r="BD39" s="349">
        <f>BD38/AU2</f>
        <v>9.6883435405536655</v>
      </c>
      <c r="BE39" s="361"/>
      <c r="BF39" s="19"/>
      <c r="BG39" s="19"/>
      <c r="BH39" s="19"/>
      <c r="BI39" s="19"/>
      <c r="BJ39" s="215"/>
      <c r="BK39" s="73"/>
      <c r="BL39" s="216"/>
      <c r="BM39" s="216"/>
      <c r="BN39" s="216"/>
      <c r="BO39" s="219"/>
      <c r="BP39" s="219"/>
      <c r="BQ39" s="217"/>
      <c r="BR39" s="73">
        <f>(SUMPRODUCT(BK7:BK37,BR7:BR37))/BK38</f>
        <v>1.1220874170367283</v>
      </c>
      <c r="BS39" s="29">
        <f>(SUMPRODUCT(BL7:BL37,BS7:BS37))/BL38</f>
        <v>1.5622169553166492</v>
      </c>
      <c r="BT39" s="29">
        <f t="shared" ref="BT39:BX39" si="41">(SUMPRODUCT(BM7:BM37,BT7:BT37))/BM38</f>
        <v>9.9999999999999995E-7</v>
      </c>
      <c r="BU39" s="29">
        <f t="shared" si="41"/>
        <v>4.3142744555002267E-8</v>
      </c>
      <c r="BV39" s="29">
        <f t="shared" si="41"/>
        <v>9.9999999999999995E-7</v>
      </c>
      <c r="BW39" s="29">
        <f t="shared" si="41"/>
        <v>3.1587233254003348</v>
      </c>
      <c r="BX39" s="74">
        <f t="shared" si="41"/>
        <v>1.7330691294452597E-8</v>
      </c>
      <c r="BY39" s="73">
        <f t="shared" ref="BY39:CE39" si="42">(SUMPRODUCT(BK7:BK37,BY7:BY37))/BK38</f>
        <v>37.456074176627624</v>
      </c>
      <c r="BZ39" s="29">
        <f t="shared" si="42"/>
        <v>36.442333762281116</v>
      </c>
      <c r="CA39" s="29">
        <f t="shared" si="42"/>
        <v>9.9999999999999995E-7</v>
      </c>
      <c r="CB39" s="29">
        <f t="shared" si="42"/>
        <v>43.157950256036585</v>
      </c>
      <c r="CC39" s="29">
        <f t="shared" si="42"/>
        <v>9.9999999999999995E-7</v>
      </c>
      <c r="CD39" s="29">
        <f t="shared" si="42"/>
        <v>32.721648510775729</v>
      </c>
      <c r="CE39" s="74">
        <f t="shared" si="42"/>
        <v>43.341247484644242</v>
      </c>
      <c r="CF39" s="218"/>
      <c r="CG39" s="218"/>
      <c r="CH39" s="216"/>
      <c r="CI39" s="219"/>
      <c r="CJ39" s="75">
        <f>(SUMPRODUCT(CF7:CF37,CJ7:CJ37))/CF38</f>
        <v>2.8745130852012202</v>
      </c>
      <c r="CK39" s="75">
        <f>(SUMPRODUCT(CG7:CG37,CK7:CK37))/CG38</f>
        <v>2.7460620617736211</v>
      </c>
      <c r="CL39" s="29">
        <f>(SUMPRODUCT(CH7:CH37,CL7:CL37))/CH38</f>
        <v>9.9999999999999995E-7</v>
      </c>
      <c r="CM39" s="74">
        <f>(SUMPRODUCT(CI7:CI37,CM7:CM37))/CI38</f>
        <v>2.847828097112985</v>
      </c>
      <c r="CN39" s="19"/>
      <c r="CO39" s="596">
        <f>CO38+CP38</f>
        <v>6108.834129599999</v>
      </c>
      <c r="CP39" s="596"/>
      <c r="CQ39" s="597">
        <f>CQ38+CR38+CU38+CS38+CT38</f>
        <v>1813.2600188930301</v>
      </c>
      <c r="CR39" s="597"/>
      <c r="CS39" s="597"/>
      <c r="CT39" s="597"/>
      <c r="CU39" s="597"/>
      <c r="CV39" s="597">
        <f>CV38+CX38+CY38+CW38</f>
        <v>4802.3100210000002</v>
      </c>
      <c r="CW39" s="597"/>
      <c r="CX39" s="597"/>
      <c r="CY39" s="597"/>
      <c r="DA39" s="236"/>
      <c r="DB39" s="238"/>
      <c r="DD39" s="297"/>
      <c r="DE39" s="298"/>
      <c r="DF39" s="298"/>
      <c r="DG39" s="299"/>
      <c r="DH39" s="300"/>
    </row>
    <row r="40" spans="1:114" s="214" customFormat="1" ht="16.5" customHeight="1" thickBot="1">
      <c r="A40" s="94" t="s">
        <v>58</v>
      </c>
      <c r="B40" s="362"/>
      <c r="C40" s="362"/>
      <c r="D40" s="363"/>
      <c r="E40" s="364">
        <v>38</v>
      </c>
      <c r="F40" s="363">
        <v>2.12</v>
      </c>
      <c r="G40" s="365">
        <v>7.9024400000000004</v>
      </c>
      <c r="H40" s="363">
        <v>1.484</v>
      </c>
      <c r="I40" s="363"/>
      <c r="J40" s="363">
        <v>9.4670000000000005</v>
      </c>
      <c r="K40" s="363"/>
      <c r="L40" s="363"/>
      <c r="M40" s="363">
        <v>0.63600000000000001</v>
      </c>
      <c r="N40" s="363"/>
      <c r="O40" s="363"/>
      <c r="P40" s="366"/>
      <c r="Q40" s="362"/>
      <c r="R40" s="367"/>
      <c r="S40" s="368">
        <v>14.081</v>
      </c>
      <c r="T40" s="362"/>
      <c r="U40" s="369">
        <v>1.32</v>
      </c>
      <c r="V40" s="370">
        <v>3550</v>
      </c>
      <c r="W40" s="370">
        <v>3550</v>
      </c>
      <c r="X40" s="371"/>
      <c r="Y40" s="371"/>
      <c r="Z40" s="372">
        <v>1190</v>
      </c>
      <c r="AA40" s="372"/>
      <c r="AB40" s="362">
        <v>76</v>
      </c>
      <c r="AC40" s="362"/>
      <c r="AD40" s="362"/>
      <c r="AE40" s="362"/>
      <c r="AF40" s="362"/>
      <c r="AG40" s="362"/>
      <c r="AH40" s="362"/>
      <c r="AI40" s="362">
        <v>730</v>
      </c>
      <c r="AJ40" s="373"/>
      <c r="AK40" s="374"/>
      <c r="AL40" s="375"/>
      <c r="AM40" s="362"/>
      <c r="AN40" s="362"/>
      <c r="AO40" s="362"/>
      <c r="AP40" s="362"/>
      <c r="AQ40" s="362"/>
      <c r="AR40" s="362"/>
      <c r="AS40" s="362"/>
      <c r="AT40" s="376">
        <v>3550</v>
      </c>
      <c r="AU40" s="377">
        <v>42.6</v>
      </c>
      <c r="AV40" s="377"/>
      <c r="AW40" s="378"/>
      <c r="AX40" s="362"/>
      <c r="AY40" s="379">
        <v>118.33</v>
      </c>
      <c r="AZ40" s="362"/>
      <c r="BA40" s="362"/>
      <c r="BB40" s="362"/>
      <c r="BC40" s="363">
        <v>0.9</v>
      </c>
      <c r="BD40" s="362"/>
      <c r="BE40" s="380"/>
      <c r="BF40" s="19"/>
      <c r="BG40" s="19"/>
      <c r="BH40" s="19"/>
      <c r="BI40" s="19"/>
      <c r="BJ40" s="215"/>
      <c r="BK40" s="220"/>
      <c r="BL40" s="221"/>
      <c r="BM40" s="216"/>
      <c r="BN40" s="216"/>
      <c r="BO40" s="219"/>
      <c r="BP40" s="219"/>
      <c r="BQ40" s="217"/>
      <c r="BR40" s="218"/>
      <c r="BS40" s="216"/>
      <c r="BT40" s="216"/>
      <c r="BU40" s="216"/>
      <c r="BV40" s="219"/>
      <c r="BW40" s="219"/>
      <c r="BX40" s="217"/>
      <c r="BY40" s="218"/>
      <c r="BZ40" s="216"/>
      <c r="CA40" s="216"/>
      <c r="CB40" s="216"/>
      <c r="CC40" s="219"/>
      <c r="CD40" s="219"/>
      <c r="CE40" s="217"/>
      <c r="CF40" s="218"/>
      <c r="CG40" s="218"/>
      <c r="CH40" s="216"/>
      <c r="CI40" s="219"/>
      <c r="CJ40" s="220"/>
      <c r="CK40" s="218"/>
      <c r="CL40" s="216"/>
      <c r="CM40" s="217"/>
      <c r="CN40" s="213"/>
      <c r="CO40" s="604">
        <f>CO39+CQ39</f>
        <v>7922.094148493029</v>
      </c>
      <c r="CP40" s="604"/>
      <c r="CQ40" s="604"/>
      <c r="CR40" s="604"/>
      <c r="CS40" s="604"/>
      <c r="CT40" s="604"/>
      <c r="CU40" s="604"/>
      <c r="DA40" s="237"/>
      <c r="DB40" s="239"/>
      <c r="DD40" s="301"/>
      <c r="DE40" s="302"/>
      <c r="DF40" s="302"/>
      <c r="DG40" s="303"/>
      <c r="DH40" s="304"/>
    </row>
    <row r="41" spans="1:114" s="214" customFormat="1" ht="16.5" customHeight="1" thickBot="1">
      <c r="A41" s="95" t="s">
        <v>59</v>
      </c>
      <c r="B41" s="381"/>
      <c r="C41" s="381"/>
      <c r="D41" s="382"/>
      <c r="E41" s="381"/>
      <c r="F41" s="383">
        <f>F39-F40</f>
        <v>9.4304242540026895E-2</v>
      </c>
      <c r="G41" s="384">
        <f>G39-G40</f>
        <v>4.0499737931034492</v>
      </c>
      <c r="H41" s="383"/>
      <c r="I41" s="385">
        <f>I39-I40</f>
        <v>0</v>
      </c>
      <c r="J41" s="385"/>
      <c r="K41" s="385"/>
      <c r="L41" s="385"/>
      <c r="M41" s="385"/>
      <c r="N41" s="385"/>
      <c r="O41" s="385"/>
      <c r="P41" s="383"/>
      <c r="Q41" s="386"/>
      <c r="R41" s="385">
        <f>R39-R40</f>
        <v>2.8534792878053996</v>
      </c>
      <c r="S41" s="386"/>
      <c r="T41" s="386"/>
      <c r="U41" s="383">
        <f>U39-U40</f>
        <v>2.229349608266773E-2</v>
      </c>
      <c r="V41" s="383"/>
      <c r="W41" s="383"/>
      <c r="X41" s="383"/>
      <c r="Y41" s="383"/>
      <c r="Z41" s="387">
        <f>Z39-Z40</f>
        <v>-20.966666666666697</v>
      </c>
      <c r="AA41" s="388"/>
      <c r="AB41" s="381"/>
      <c r="AC41" s="381"/>
      <c r="AD41" s="381"/>
      <c r="AE41" s="381"/>
      <c r="AF41" s="381"/>
      <c r="AG41" s="381"/>
      <c r="AH41" s="381"/>
      <c r="AI41" s="381"/>
      <c r="AJ41" s="381"/>
      <c r="AK41" s="389"/>
      <c r="AL41" s="390"/>
      <c r="AM41" s="381"/>
      <c r="AN41" s="381"/>
      <c r="AO41" s="381"/>
      <c r="AP41" s="381"/>
      <c r="AQ41" s="381"/>
      <c r="AR41" s="381"/>
      <c r="AS41" s="381"/>
      <c r="AT41" s="391">
        <f>AT38+AV38-AT40</f>
        <v>1260.2499999999991</v>
      </c>
      <c r="AU41" s="392"/>
      <c r="AV41" s="393"/>
      <c r="AW41" s="390"/>
      <c r="AX41" s="381"/>
      <c r="AY41" s="385"/>
      <c r="AZ41" s="381"/>
      <c r="BA41" s="381"/>
      <c r="BB41" s="381"/>
      <c r="BC41" s="394"/>
      <c r="BD41" s="381"/>
      <c r="BE41" s="395"/>
      <c r="BF41" s="222"/>
      <c r="BG41" s="222"/>
      <c r="BH41" s="222"/>
      <c r="BI41" s="222"/>
      <c r="BJ41" s="222"/>
      <c r="BK41" s="223"/>
      <c r="BL41" s="224"/>
      <c r="BM41" s="225"/>
      <c r="BN41" s="225"/>
      <c r="BO41" s="224"/>
      <c r="BP41" s="224"/>
      <c r="BQ41" s="226"/>
      <c r="BR41" s="227"/>
      <c r="BS41" s="225"/>
      <c r="BT41" s="225"/>
      <c r="BU41" s="225"/>
      <c r="BV41" s="224"/>
      <c r="BW41" s="224"/>
      <c r="BX41" s="224"/>
      <c r="BY41" s="228"/>
      <c r="BZ41" s="225"/>
      <c r="CA41" s="225"/>
      <c r="CB41" s="225"/>
      <c r="CC41" s="224"/>
      <c r="CD41" s="224"/>
      <c r="CE41" s="226"/>
      <c r="CF41" s="227"/>
      <c r="CG41" s="227"/>
      <c r="CH41" s="225"/>
      <c r="CI41" s="224"/>
      <c r="CJ41" s="228"/>
      <c r="CK41" s="227"/>
      <c r="CL41" s="225"/>
      <c r="CM41" s="226"/>
      <c r="CN41" s="213"/>
      <c r="CO41" s="213"/>
      <c r="CP41" s="213"/>
      <c r="CQ41" s="213"/>
      <c r="DA41" s="21"/>
      <c r="DH41" s="309"/>
    </row>
    <row r="42" spans="1:114" ht="15" hidden="1" customHeight="1">
      <c r="A42" s="96"/>
      <c r="B42" s="96"/>
      <c r="C42" s="96"/>
      <c r="D42" s="97"/>
      <c r="E42" s="96"/>
      <c r="F42" s="98"/>
      <c r="G42" s="99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1"/>
      <c r="AF42" s="101"/>
      <c r="AG42" s="100"/>
      <c r="AH42" s="100"/>
      <c r="AI42" s="100"/>
      <c r="AJ42" s="100"/>
      <c r="AK42" s="100"/>
      <c r="AL42" s="100"/>
      <c r="AM42" s="100"/>
      <c r="AN42" s="100"/>
      <c r="AO42" s="100"/>
      <c r="AP42" s="100"/>
      <c r="AQ42" s="100"/>
      <c r="AR42" s="100"/>
      <c r="AS42" s="96"/>
      <c r="AT42" s="612"/>
      <c r="AU42" s="612"/>
      <c r="AV42" s="612"/>
      <c r="AW42" s="96"/>
      <c r="AX42" s="96"/>
      <c r="AY42" s="100"/>
      <c r="AZ42" s="100"/>
      <c r="BA42" s="100"/>
      <c r="BB42" s="100"/>
      <c r="BC42" s="100"/>
      <c r="BD42" s="100"/>
      <c r="BE42" s="100"/>
      <c r="BK42" s="20"/>
      <c r="BL42" s="20"/>
      <c r="BM42" s="20"/>
    </row>
    <row r="43" spans="1:114" ht="13.5" thickBot="1">
      <c r="A43" s="100"/>
      <c r="B43" s="100"/>
      <c r="C43" s="100"/>
      <c r="D43" s="102"/>
      <c r="E43" s="100"/>
      <c r="F43" s="100"/>
      <c r="G43" s="96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1"/>
      <c r="AF43" s="101"/>
      <c r="AG43" s="100"/>
      <c r="AH43" s="100"/>
      <c r="AI43" s="100"/>
      <c r="AJ43" s="100"/>
      <c r="AK43" s="100"/>
      <c r="AL43" s="100"/>
      <c r="AM43" s="100"/>
      <c r="AN43" s="100"/>
      <c r="AO43" s="100"/>
      <c r="AP43" s="100"/>
      <c r="AQ43" s="100"/>
      <c r="AR43" s="100"/>
      <c r="AS43" s="96" t="s">
        <v>60</v>
      </c>
      <c r="AT43" s="103">
        <f>AT40/BE43</f>
        <v>118.33333333333333</v>
      </c>
      <c r="AU43" s="104"/>
      <c r="AV43" s="96"/>
      <c r="AW43" s="96" t="s">
        <v>61</v>
      </c>
      <c r="AX43" s="96"/>
      <c r="AY43" s="100"/>
      <c r="AZ43" s="100"/>
      <c r="BA43" s="100"/>
      <c r="BB43" s="100"/>
      <c r="BC43" s="100"/>
      <c r="BD43" s="105" t="s">
        <v>62</v>
      </c>
      <c r="BE43" s="100">
        <v>30</v>
      </c>
    </row>
    <row r="44" spans="1:114" ht="16.5" customHeight="1" thickBot="1">
      <c r="A44" s="100"/>
      <c r="B44" s="100"/>
      <c r="C44" s="100"/>
      <c r="D44" s="102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489" t="s">
        <v>343</v>
      </c>
      <c r="AG44" s="488"/>
      <c r="AH44" s="488"/>
      <c r="AI44" s="488"/>
      <c r="AJ44" s="488"/>
      <c r="AK44" s="488"/>
      <c r="AL44" s="488"/>
      <c r="AM44" s="490">
        <f>AM38/AT38</f>
        <v>0.2195436827607713</v>
      </c>
      <c r="AN44" s="479"/>
      <c r="AO44" s="480" t="s">
        <v>88</v>
      </c>
      <c r="AP44" s="100"/>
      <c r="AQ44" s="100"/>
      <c r="AR44" s="100"/>
      <c r="AS44" s="100"/>
      <c r="AT44" s="100"/>
      <c r="AU44" s="100"/>
      <c r="AV44" s="100"/>
      <c r="AW44" s="100"/>
      <c r="AX44" s="100"/>
      <c r="AY44" s="100"/>
      <c r="AZ44" s="100"/>
      <c r="BA44" s="100"/>
      <c r="BB44" s="100"/>
      <c r="BC44" s="100"/>
      <c r="BD44" s="96"/>
      <c r="BE44" s="96"/>
    </row>
    <row r="45" spans="1:114" ht="13.5" thickBot="1">
      <c r="A45" s="100"/>
      <c r="B45" s="100"/>
      <c r="C45" s="100"/>
      <c r="D45" s="102"/>
      <c r="E45" s="100"/>
      <c r="F45" s="100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101"/>
      <c r="AE45" s="101"/>
      <c r="AF45" s="101"/>
      <c r="AG45" s="100"/>
      <c r="AH45" s="100"/>
      <c r="AI45" s="100"/>
      <c r="AJ45" s="100"/>
      <c r="AK45" s="100"/>
      <c r="AL45" s="100"/>
      <c r="AM45" s="106" t="s">
        <v>63</v>
      </c>
      <c r="AN45" s="106"/>
      <c r="AO45" s="106"/>
      <c r="AP45" s="106"/>
      <c r="AQ45" s="106"/>
      <c r="AR45" s="106"/>
      <c r="AS45" s="107" t="s">
        <v>64</v>
      </c>
      <c r="AT45" s="108">
        <v>29</v>
      </c>
      <c r="AU45" s="108"/>
      <c r="AV45" s="100"/>
      <c r="AW45" s="100"/>
      <c r="AX45" s="100"/>
      <c r="AY45" s="100"/>
      <c r="AZ45" s="100"/>
      <c r="BA45" s="100"/>
      <c r="BB45" s="100"/>
      <c r="BC45" s="100"/>
      <c r="BD45" s="96"/>
      <c r="BE45" s="96"/>
      <c r="BM45" s="1"/>
      <c r="BS45" s="1"/>
    </row>
    <row r="46" spans="1:114" ht="12.75" customHeight="1" thickBot="1">
      <c r="A46" s="100"/>
      <c r="B46" s="100"/>
      <c r="C46" s="109" t="s">
        <v>65</v>
      </c>
      <c r="D46" s="102"/>
      <c r="E46" s="100"/>
      <c r="F46" s="100"/>
      <c r="G46" s="100"/>
      <c r="H46" s="100"/>
      <c r="I46" s="100"/>
      <c r="J46" s="100"/>
      <c r="K46" s="100"/>
      <c r="L46" s="110">
        <f>AT38/AD38</f>
        <v>34.606115107913659</v>
      </c>
      <c r="M46" s="109" t="s">
        <v>88</v>
      </c>
      <c r="N46" s="606"/>
      <c r="O46" s="606"/>
      <c r="P46" s="111"/>
      <c r="Q46" s="100"/>
      <c r="R46" s="100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101"/>
      <c r="AE46" s="101"/>
      <c r="AF46" s="101"/>
      <c r="AG46" s="100"/>
      <c r="AH46" s="100"/>
      <c r="AI46" s="100"/>
      <c r="AJ46" s="100"/>
      <c r="AK46" s="100"/>
      <c r="AL46" s="100"/>
      <c r="AM46" s="100"/>
      <c r="AN46" s="100"/>
      <c r="AO46" s="106"/>
      <c r="AP46" s="106"/>
      <c r="AQ46" s="106"/>
      <c r="AR46" s="106"/>
      <c r="AS46" s="107" t="s">
        <v>66</v>
      </c>
      <c r="AT46" s="112">
        <f>AT40/AT45</f>
        <v>122.41379310344827</v>
      </c>
      <c r="AU46" s="112"/>
      <c r="AV46" s="100"/>
      <c r="AW46" s="100"/>
      <c r="AX46" s="100">
        <v>0</v>
      </c>
      <c r="AY46" s="100"/>
      <c r="AZ46" s="607" t="s">
        <v>67</v>
      </c>
      <c r="BA46" s="607"/>
      <c r="BB46" s="607"/>
      <c r="BC46" s="607"/>
      <c r="BD46" s="607"/>
      <c r="BE46" s="607"/>
    </row>
    <row r="47" spans="1:114">
      <c r="A47" s="100"/>
      <c r="B47" s="100"/>
      <c r="C47" s="100"/>
      <c r="D47" s="102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100"/>
      <c r="AI47" s="100"/>
      <c r="AJ47" s="100"/>
      <c r="AK47" s="100"/>
      <c r="AL47" s="100"/>
      <c r="AM47" s="100"/>
      <c r="AN47" s="100"/>
      <c r="AO47" s="100"/>
      <c r="AP47" s="100"/>
      <c r="AQ47" s="100"/>
      <c r="AR47" s="100"/>
      <c r="AS47" s="100"/>
      <c r="AT47" s="100"/>
      <c r="AU47" s="100"/>
      <c r="AV47" s="100"/>
      <c r="AW47" s="100"/>
      <c r="AX47" s="100"/>
      <c r="AY47" s="100"/>
      <c r="AZ47" s="607"/>
      <c r="BA47" s="607"/>
      <c r="BB47" s="607"/>
      <c r="BC47" s="607"/>
      <c r="BD47" s="607"/>
      <c r="BE47" s="607"/>
    </row>
    <row r="48" spans="1:114">
      <c r="A48" s="100"/>
      <c r="B48" s="100"/>
      <c r="C48" s="100"/>
      <c r="D48" s="102"/>
      <c r="E48" s="100"/>
      <c r="F48" s="100"/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13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  <c r="AE48" s="100"/>
      <c r="AF48" s="100"/>
      <c r="AG48" s="100"/>
      <c r="AH48" s="100"/>
      <c r="AI48" s="100"/>
      <c r="AJ48" s="100"/>
      <c r="AK48" s="100"/>
      <c r="AL48" s="100"/>
      <c r="AM48" s="100"/>
      <c r="AN48" s="100"/>
      <c r="AO48" s="100"/>
      <c r="AP48" s="100"/>
      <c r="AQ48" s="100"/>
      <c r="AR48" s="100"/>
      <c r="AS48" s="100"/>
      <c r="AT48" s="100"/>
      <c r="AU48" s="100"/>
      <c r="AV48" s="100"/>
      <c r="AW48" s="100"/>
      <c r="AX48" s="100"/>
      <c r="AY48" s="100"/>
      <c r="AZ48" s="608">
        <f>BF37-BJ37</f>
        <v>27.689999999999145</v>
      </c>
      <c r="BA48" s="608"/>
      <c r="BB48" s="608"/>
      <c r="BC48" s="608"/>
      <c r="BD48" s="609" t="s">
        <v>68</v>
      </c>
      <c r="BE48" s="114"/>
    </row>
    <row r="49" spans="1:57" ht="12" customHeight="1">
      <c r="A49" s="100"/>
      <c r="B49" s="100"/>
      <c r="C49" s="100"/>
      <c r="D49" s="102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15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100"/>
      <c r="AI49" s="100"/>
      <c r="AJ49" s="100"/>
      <c r="AK49" s="100"/>
      <c r="AL49" s="100"/>
      <c r="AM49" s="100"/>
      <c r="AN49" s="100"/>
      <c r="AO49" s="100"/>
      <c r="AP49" s="100"/>
      <c r="AQ49" s="100"/>
      <c r="AR49" s="100"/>
      <c r="AS49" s="100"/>
      <c r="AT49" s="100"/>
      <c r="AU49" s="100"/>
      <c r="AV49" s="100"/>
      <c r="AW49" s="100"/>
      <c r="AX49" s="100"/>
      <c r="AY49" s="100"/>
      <c r="AZ49" s="608"/>
      <c r="BA49" s="608"/>
      <c r="BB49" s="608"/>
      <c r="BC49" s="608"/>
      <c r="BD49" s="609"/>
      <c r="BE49" s="114"/>
    </row>
    <row r="50" spans="1:57" ht="13.5" customHeight="1">
      <c r="A50" s="100"/>
      <c r="B50" s="100"/>
      <c r="C50" s="100"/>
      <c r="D50" s="102"/>
      <c r="E50" s="100"/>
      <c r="F50" s="100"/>
      <c r="G50" s="100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100"/>
      <c r="AC50" s="100"/>
      <c r="AD50" s="100"/>
      <c r="AE50" s="100"/>
      <c r="AF50" s="100"/>
      <c r="AG50" s="100"/>
      <c r="AH50" s="100"/>
      <c r="AI50" s="100"/>
      <c r="AJ50" s="100"/>
      <c r="AK50" s="100"/>
      <c r="AL50" s="100"/>
      <c r="AM50" s="100"/>
      <c r="AN50" s="100"/>
      <c r="AO50" s="100"/>
      <c r="AP50" s="100"/>
      <c r="AQ50" s="100"/>
      <c r="AR50" s="100"/>
      <c r="AS50" s="100"/>
      <c r="AT50" s="100"/>
      <c r="AU50" s="100"/>
      <c r="AV50" s="100"/>
      <c r="AW50" s="100"/>
      <c r="AX50" s="100"/>
      <c r="AY50" s="100"/>
      <c r="AZ50" s="116"/>
      <c r="BA50" s="96"/>
      <c r="BB50" s="96"/>
      <c r="BC50" s="96"/>
      <c r="BD50" s="96"/>
      <c r="BE50" s="114"/>
    </row>
    <row r="51" spans="1:57" ht="13.5" customHeight="1" thickBot="1">
      <c r="A51" s="100"/>
      <c r="B51" s="100"/>
      <c r="C51" s="100"/>
      <c r="D51" s="102"/>
      <c r="E51" s="100"/>
      <c r="F51" s="100"/>
      <c r="G51" s="100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0"/>
      <c r="AC51" s="100"/>
      <c r="AD51" s="100"/>
      <c r="AE51" s="100"/>
      <c r="AF51" s="100"/>
      <c r="AG51" s="100"/>
      <c r="AH51" s="100"/>
      <c r="AI51" s="100"/>
      <c r="AJ51" s="100"/>
      <c r="AK51" s="100"/>
      <c r="AL51" s="100"/>
      <c r="AM51" s="100"/>
      <c r="AN51" s="100"/>
      <c r="AO51" s="100"/>
      <c r="AP51" s="100"/>
      <c r="AQ51" s="100"/>
      <c r="AR51" s="100"/>
      <c r="AS51" s="100"/>
      <c r="AT51" s="100"/>
      <c r="AU51" s="100"/>
      <c r="AV51" s="100"/>
      <c r="AW51" s="100"/>
      <c r="AX51" s="100"/>
      <c r="AY51" s="100"/>
      <c r="AZ51" s="610">
        <f>AZ48/AT40*100</f>
        <v>0.77999999999997593</v>
      </c>
      <c r="BA51" s="610"/>
      <c r="BB51" s="610"/>
      <c r="BC51" s="610"/>
      <c r="BD51" s="611" t="s">
        <v>69</v>
      </c>
      <c r="BE51" s="114"/>
    </row>
    <row r="52" spans="1:57" ht="13.5" thickBot="1">
      <c r="A52" s="100"/>
      <c r="B52" s="100"/>
      <c r="C52" s="100"/>
      <c r="D52" s="102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  <c r="AF52" s="100"/>
      <c r="AG52" s="100"/>
      <c r="AH52" s="100"/>
      <c r="AI52" s="100"/>
      <c r="AJ52" s="100"/>
      <c r="AK52" s="100"/>
      <c r="AL52" s="100"/>
      <c r="AM52" s="100"/>
      <c r="AN52" s="100"/>
      <c r="AO52" s="100"/>
      <c r="AP52" s="100"/>
      <c r="AQ52" s="100"/>
      <c r="AR52" s="100"/>
      <c r="AS52" s="100"/>
      <c r="AT52" s="100"/>
      <c r="AU52" s="100"/>
      <c r="AV52" s="100"/>
      <c r="AW52" s="100"/>
      <c r="AX52" s="100"/>
      <c r="AY52" s="100"/>
      <c r="AZ52" s="610"/>
      <c r="BA52" s="610"/>
      <c r="BB52" s="610"/>
      <c r="BC52" s="610"/>
      <c r="BD52" s="611"/>
      <c r="BE52" s="117"/>
    </row>
    <row r="53" spans="1:57">
      <c r="A53" s="100"/>
      <c r="B53" s="100"/>
      <c r="C53" s="100"/>
      <c r="D53" s="102"/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100"/>
      <c r="AI53" s="100"/>
      <c r="AJ53" s="100"/>
      <c r="AK53" s="100"/>
      <c r="AL53" s="100"/>
      <c r="AM53" s="100"/>
      <c r="AN53" s="100"/>
      <c r="AO53" s="100"/>
      <c r="AP53" s="100"/>
      <c r="AQ53" s="100"/>
      <c r="AR53" s="100"/>
      <c r="AS53" s="100"/>
      <c r="AT53" s="100"/>
      <c r="AU53" s="100"/>
      <c r="AV53" s="100"/>
      <c r="AW53" s="100"/>
      <c r="AX53" s="100"/>
      <c r="AY53" s="100"/>
      <c r="AZ53" s="100"/>
      <c r="BA53" s="100"/>
      <c r="BB53" s="100"/>
      <c r="BC53" s="100"/>
      <c r="BD53" s="100"/>
      <c r="BE53" s="100"/>
    </row>
    <row r="54" spans="1:57">
      <c r="A54" s="100"/>
      <c r="B54" s="100"/>
      <c r="C54" s="100"/>
      <c r="D54" s="102"/>
      <c r="E54" s="100"/>
      <c r="F54" s="100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100"/>
      <c r="AI54" s="100"/>
      <c r="AJ54" s="100"/>
      <c r="AK54" s="100"/>
      <c r="AL54" s="100"/>
      <c r="AM54" s="100"/>
      <c r="AN54" s="100"/>
      <c r="AO54" s="100"/>
      <c r="AP54" s="100"/>
      <c r="AQ54" s="100"/>
      <c r="AR54" s="100"/>
      <c r="AS54" s="100"/>
      <c r="AT54" s="100"/>
      <c r="AU54" s="100"/>
      <c r="AV54" s="100"/>
      <c r="AW54" s="100"/>
      <c r="AX54" s="100"/>
      <c r="AY54" s="100"/>
      <c r="AZ54" s="100"/>
      <c r="BA54" s="100"/>
      <c r="BB54" s="100"/>
      <c r="BC54" s="100"/>
      <c r="BD54" s="100"/>
      <c r="BE54" s="100"/>
    </row>
    <row r="55" spans="1:57">
      <c r="A55" s="100"/>
      <c r="B55" s="100"/>
      <c r="C55" s="100"/>
      <c r="D55" s="102"/>
      <c r="E55" s="100"/>
      <c r="F55" s="100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  <c r="AH55" s="100"/>
      <c r="AI55" s="100"/>
      <c r="AJ55" s="100"/>
      <c r="AK55" s="100"/>
      <c r="AL55" s="100"/>
      <c r="AM55" s="100"/>
      <c r="AN55" s="100"/>
      <c r="AO55" s="100"/>
      <c r="AP55" s="100"/>
      <c r="AQ55" s="100"/>
      <c r="AR55" s="100"/>
      <c r="AS55" s="100"/>
      <c r="AT55" s="100"/>
      <c r="AU55" s="100"/>
      <c r="AV55" s="100"/>
      <c r="AW55" s="100"/>
      <c r="AX55" s="100"/>
      <c r="AY55" s="100"/>
      <c r="AZ55" s="100"/>
      <c r="BA55" s="100"/>
      <c r="BB55" s="100"/>
      <c r="BC55" s="100"/>
      <c r="BD55" s="100"/>
      <c r="BE55" s="100"/>
    </row>
    <row r="56" spans="1:57" ht="13.5" thickBot="1">
      <c r="A56" s="100"/>
      <c r="B56" s="100"/>
      <c r="C56" s="100"/>
      <c r="D56" s="102"/>
      <c r="E56" s="100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/>
      <c r="AE56" s="100"/>
      <c r="AF56" s="100"/>
      <c r="AG56" s="100"/>
      <c r="AH56" s="100"/>
      <c r="AI56" s="100"/>
      <c r="AJ56" s="100"/>
      <c r="AK56" s="100"/>
      <c r="AL56" s="100"/>
      <c r="AM56" s="100"/>
      <c r="AN56" s="100"/>
      <c r="AO56" s="100"/>
      <c r="AP56" s="100"/>
      <c r="AQ56" s="100"/>
      <c r="AR56" s="100"/>
      <c r="AS56" s="100"/>
      <c r="AT56" s="100"/>
      <c r="AU56" s="100"/>
      <c r="AV56" s="100"/>
      <c r="AW56" s="100"/>
      <c r="AX56" s="100"/>
      <c r="AY56" s="100"/>
      <c r="AZ56" s="100"/>
      <c r="BA56" s="100"/>
      <c r="BB56" s="100"/>
      <c r="BC56" s="100"/>
      <c r="BD56" s="100"/>
      <c r="BE56" s="100"/>
    </row>
    <row r="57" spans="1:57" ht="15.75">
      <c r="A57" s="100"/>
      <c r="B57" s="100"/>
      <c r="C57" s="100"/>
      <c r="D57" s="102"/>
      <c r="E57" s="100"/>
      <c r="F57" s="100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100"/>
      <c r="AI57" s="100"/>
      <c r="AJ57" s="100"/>
      <c r="AK57" s="100"/>
      <c r="AL57" s="100"/>
      <c r="AM57" s="100"/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X57" s="100"/>
      <c r="AY57" s="100"/>
      <c r="AZ57" s="481" t="s">
        <v>344</v>
      </c>
      <c r="BA57" s="482"/>
      <c r="BB57" s="482"/>
      <c r="BC57" s="482"/>
      <c r="BD57" s="482"/>
      <c r="BE57" s="483"/>
    </row>
    <row r="58" spans="1:57" ht="15.75">
      <c r="A58" s="100"/>
      <c r="B58" s="100"/>
      <c r="C58" s="100"/>
      <c r="D58" s="102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  <c r="AA58" s="100"/>
      <c r="AB58" s="100"/>
      <c r="AC58" s="100"/>
      <c r="AD58" s="100"/>
      <c r="AE58" s="100"/>
      <c r="AF58" s="100"/>
      <c r="AG58" s="100"/>
      <c r="AH58" s="100"/>
      <c r="AI58" s="100"/>
      <c r="AJ58" s="100"/>
      <c r="AK58" s="100"/>
      <c r="AL58" s="100"/>
      <c r="AM58" s="100"/>
      <c r="AN58" s="100"/>
      <c r="AO58" s="100"/>
      <c r="AP58" s="100"/>
      <c r="AQ58" s="100"/>
      <c r="AR58" s="100"/>
      <c r="AS58" s="100"/>
      <c r="AT58" s="100"/>
      <c r="AU58" s="100"/>
      <c r="AV58" s="100"/>
      <c r="AW58" s="100"/>
      <c r="AX58" s="100"/>
      <c r="AY58" s="100"/>
      <c r="AZ58" s="484" t="s">
        <v>340</v>
      </c>
      <c r="BA58" s="485"/>
      <c r="BB58" s="485"/>
      <c r="BC58" s="485"/>
      <c r="BD58" s="617">
        <f>'[5]сентябрь 20'!$F$38</f>
        <v>1056.06</v>
      </c>
      <c r="BE58" s="618"/>
    </row>
    <row r="59" spans="1:57" ht="16.5" thickBot="1">
      <c r="A59" s="100"/>
      <c r="B59" s="100"/>
      <c r="C59" s="100"/>
      <c r="D59" s="102"/>
      <c r="E59" s="100"/>
      <c r="F59" s="100"/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  <c r="AE59" s="100"/>
      <c r="AF59" s="100"/>
      <c r="AG59" s="100"/>
      <c r="AH59" s="100"/>
      <c r="AI59" s="100"/>
      <c r="AJ59" s="100"/>
      <c r="AK59" s="100"/>
      <c r="AL59" s="100"/>
      <c r="AM59" s="100"/>
      <c r="AN59" s="100"/>
      <c r="AO59" s="100"/>
      <c r="AP59" s="100"/>
      <c r="AQ59" s="100"/>
      <c r="AR59" s="100"/>
      <c r="AS59" s="100"/>
      <c r="AT59" s="100"/>
      <c r="AU59" s="100"/>
      <c r="AV59" s="100"/>
      <c r="AW59" s="100"/>
      <c r="AX59" s="100"/>
      <c r="AY59" s="100"/>
      <c r="AZ59" s="484" t="s">
        <v>341</v>
      </c>
      <c r="BA59" s="485"/>
      <c r="BB59" s="485"/>
      <c r="BC59" s="485"/>
      <c r="BD59" s="619">
        <f>'[5]сентябрь 20'!$B$38</f>
        <v>1056.06</v>
      </c>
      <c r="BE59" s="620"/>
    </row>
    <row r="60" spans="1:57" ht="16.5" thickBot="1">
      <c r="A60" s="100"/>
      <c r="B60" s="100"/>
      <c r="C60" s="100"/>
      <c r="D60" s="102"/>
      <c r="E60" s="100"/>
      <c r="F60" s="100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  <c r="AE60" s="100"/>
      <c r="AF60" s="100"/>
      <c r="AG60" s="100"/>
      <c r="AH60" s="100"/>
      <c r="AI60" s="100"/>
      <c r="AJ60" s="100"/>
      <c r="AK60" s="100"/>
      <c r="AL60" s="100"/>
      <c r="AM60" s="100"/>
      <c r="AN60" s="100"/>
      <c r="AO60" s="100"/>
      <c r="AP60" s="100"/>
      <c r="AQ60" s="100"/>
      <c r="AR60" s="100"/>
      <c r="AS60" s="100"/>
      <c r="AT60" s="100"/>
      <c r="AU60" s="100"/>
      <c r="AV60" s="100"/>
      <c r="AW60" s="100"/>
      <c r="AX60" s="100"/>
      <c r="AY60" s="100"/>
      <c r="AZ60" s="486" t="s">
        <v>342</v>
      </c>
      <c r="BA60" s="487"/>
      <c r="BB60" s="487"/>
      <c r="BC60" s="487"/>
      <c r="BD60" s="621">
        <f>BD59-BD58</f>
        <v>0</v>
      </c>
      <c r="BE60" s="622"/>
    </row>
    <row r="61" spans="1:57">
      <c r="A61" s="100"/>
      <c r="B61" s="100"/>
      <c r="C61" s="100"/>
      <c r="D61" s="102"/>
      <c r="E61" s="100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/>
      <c r="AE61" s="100"/>
      <c r="AF61" s="100"/>
      <c r="AG61" s="100"/>
      <c r="AH61" s="100"/>
      <c r="AI61" s="100"/>
      <c r="AJ61" s="100"/>
      <c r="AK61" s="100"/>
      <c r="AL61" s="100"/>
      <c r="AM61" s="100"/>
      <c r="AN61" s="100"/>
      <c r="AO61" s="100"/>
      <c r="AP61" s="100"/>
      <c r="AQ61" s="100"/>
      <c r="AR61" s="100"/>
      <c r="AS61" s="100"/>
      <c r="AT61" s="100"/>
      <c r="AU61" s="100"/>
      <c r="AV61" s="100"/>
      <c r="AW61" s="100"/>
      <c r="AX61" s="100"/>
      <c r="AY61" s="100"/>
      <c r="AZ61" s="100"/>
      <c r="BA61" s="100"/>
      <c r="BB61" s="100"/>
      <c r="BC61" s="100"/>
      <c r="BD61" s="100"/>
      <c r="BE61" s="100"/>
    </row>
    <row r="62" spans="1:57">
      <c r="A62" s="100"/>
      <c r="B62" s="100"/>
      <c r="C62" s="100"/>
      <c r="D62" s="102"/>
      <c r="E62" s="100"/>
      <c r="F62" s="100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100"/>
      <c r="AC62" s="100"/>
      <c r="AD62" s="100"/>
      <c r="AE62" s="100"/>
      <c r="AF62" s="100"/>
      <c r="AG62" s="100"/>
      <c r="AH62" s="100"/>
      <c r="AI62" s="100"/>
      <c r="AJ62" s="100"/>
      <c r="AK62" s="100"/>
      <c r="AL62" s="100"/>
      <c r="AM62" s="100"/>
      <c r="AN62" s="100"/>
      <c r="AO62" s="100"/>
      <c r="AP62" s="100"/>
      <c r="AQ62" s="100"/>
      <c r="AR62" s="100"/>
      <c r="AS62" s="100"/>
      <c r="AT62" s="100"/>
      <c r="AU62" s="100"/>
      <c r="AV62" s="100"/>
      <c r="AW62" s="100"/>
      <c r="AX62" s="100"/>
      <c r="AY62" s="100"/>
      <c r="AZ62" s="100"/>
      <c r="BA62" s="100"/>
      <c r="BB62" s="100"/>
      <c r="BC62" s="100"/>
      <c r="BD62" s="100"/>
      <c r="BE62" s="100"/>
    </row>
    <row r="63" spans="1:57">
      <c r="A63" s="100"/>
      <c r="B63" s="100"/>
      <c r="C63" s="100"/>
      <c r="D63" s="102"/>
      <c r="E63" s="100"/>
      <c r="F63" s="100"/>
      <c r="G63" s="100"/>
      <c r="H63" s="100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  <c r="AA63" s="100"/>
      <c r="AB63" s="100"/>
      <c r="AC63" s="100"/>
      <c r="AD63" s="100"/>
      <c r="AE63" s="100"/>
      <c r="AF63" s="100"/>
      <c r="AG63" s="100"/>
      <c r="AH63" s="100"/>
      <c r="AI63" s="100"/>
      <c r="AJ63" s="100"/>
      <c r="AK63" s="100"/>
      <c r="AL63" s="100"/>
      <c r="AM63" s="100"/>
      <c r="AN63" s="100"/>
      <c r="AO63" s="100"/>
      <c r="AP63" s="100"/>
      <c r="AQ63" s="100"/>
      <c r="AR63" s="100"/>
      <c r="AS63" s="100"/>
      <c r="AT63" s="100"/>
      <c r="AU63" s="100"/>
      <c r="AV63" s="100"/>
      <c r="AW63" s="100"/>
      <c r="AX63" s="100"/>
      <c r="AY63" s="100"/>
      <c r="AZ63" s="100"/>
      <c r="BA63" s="100"/>
      <c r="BB63" s="100"/>
      <c r="BC63" s="100"/>
      <c r="BD63" s="100"/>
      <c r="BE63" s="100"/>
    </row>
    <row r="64" spans="1:57">
      <c r="A64" s="100"/>
      <c r="B64" s="100"/>
      <c r="C64" s="100"/>
      <c r="D64" s="102"/>
      <c r="E64" s="100"/>
      <c r="F64" s="100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  <c r="AE64" s="100"/>
      <c r="AF64" s="100"/>
      <c r="AG64" s="100"/>
      <c r="AH64" s="100"/>
      <c r="AI64" s="100"/>
      <c r="AJ64" s="100"/>
      <c r="AK64" s="100"/>
      <c r="AL64" s="100"/>
      <c r="AM64" s="100"/>
      <c r="AN64" s="100"/>
      <c r="AO64" s="100"/>
      <c r="AP64" s="100"/>
      <c r="AQ64" s="100"/>
      <c r="AR64" s="100"/>
      <c r="AS64" s="100"/>
      <c r="AT64" s="100"/>
      <c r="AU64" s="100"/>
      <c r="AV64" s="100"/>
      <c r="AW64" s="100"/>
      <c r="AX64" s="100"/>
      <c r="AY64" s="100"/>
      <c r="AZ64" s="100"/>
      <c r="BA64" s="100"/>
      <c r="BB64" s="100"/>
      <c r="BC64" s="100"/>
      <c r="BD64" s="100"/>
      <c r="BE64" s="100"/>
    </row>
    <row r="65" spans="1:57">
      <c r="A65" s="100"/>
      <c r="B65" s="100"/>
      <c r="C65" s="100"/>
      <c r="D65" s="102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/>
      <c r="AE65" s="100"/>
      <c r="AF65" s="100"/>
      <c r="AG65" s="100"/>
      <c r="AH65" s="100"/>
      <c r="AI65" s="100"/>
      <c r="AJ65" s="100"/>
      <c r="AK65" s="100"/>
      <c r="AL65" s="100"/>
      <c r="AM65" s="100"/>
      <c r="AN65" s="100"/>
      <c r="AO65" s="100"/>
      <c r="AP65" s="100"/>
      <c r="AQ65" s="100"/>
      <c r="AR65" s="100"/>
      <c r="AS65" s="100"/>
      <c r="AT65" s="100"/>
      <c r="AU65" s="100"/>
      <c r="AV65" s="100"/>
      <c r="AW65" s="100"/>
      <c r="AX65" s="100"/>
      <c r="AY65" s="100"/>
      <c r="AZ65" s="100"/>
      <c r="BA65" s="100"/>
      <c r="BB65" s="100"/>
      <c r="BC65" s="100"/>
      <c r="BD65" s="100"/>
      <c r="BE65" s="100"/>
    </row>
    <row r="66" spans="1:57">
      <c r="A66" s="100"/>
      <c r="B66" s="100"/>
      <c r="C66" s="100"/>
      <c r="D66" s="102"/>
      <c r="E66" s="100"/>
      <c r="F66" s="100"/>
      <c r="G66" s="100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/>
      <c r="AE66" s="100"/>
      <c r="AF66" s="100"/>
      <c r="AG66" s="100"/>
      <c r="AH66" s="100"/>
      <c r="AI66" s="100"/>
      <c r="AJ66" s="100"/>
      <c r="AK66" s="100"/>
      <c r="AL66" s="100"/>
      <c r="AM66" s="100"/>
      <c r="AN66" s="100"/>
      <c r="AO66" s="100"/>
      <c r="AP66" s="100"/>
      <c r="AQ66" s="100"/>
      <c r="AR66" s="100"/>
      <c r="AS66" s="100"/>
      <c r="AT66" s="100"/>
      <c r="AU66" s="100"/>
      <c r="AV66" s="100"/>
      <c r="AW66" s="100"/>
      <c r="AX66" s="100"/>
      <c r="AY66" s="100"/>
      <c r="AZ66" s="100"/>
      <c r="BA66" s="100"/>
      <c r="BB66" s="100"/>
      <c r="BC66" s="100"/>
      <c r="BD66" s="100"/>
      <c r="BE66" s="100"/>
    </row>
    <row r="67" spans="1:57">
      <c r="A67" s="100"/>
      <c r="B67" s="100"/>
      <c r="C67" s="100"/>
      <c r="D67" s="102"/>
      <c r="E67" s="100"/>
      <c r="F67" s="100"/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  <c r="AD67" s="100"/>
      <c r="AE67" s="100"/>
      <c r="AF67" s="100"/>
      <c r="AG67" s="100"/>
      <c r="AH67" s="100"/>
      <c r="AI67" s="100"/>
      <c r="AJ67" s="100"/>
      <c r="AK67" s="100"/>
      <c r="AL67" s="100"/>
      <c r="AM67" s="100"/>
      <c r="AN67" s="100"/>
      <c r="AO67" s="100"/>
      <c r="AP67" s="100"/>
      <c r="AQ67" s="100"/>
      <c r="AR67" s="100"/>
      <c r="AS67" s="100"/>
      <c r="AT67" s="100"/>
      <c r="AU67" s="100"/>
      <c r="AV67" s="100"/>
      <c r="AW67" s="100"/>
      <c r="AX67" s="100"/>
      <c r="AY67" s="100"/>
      <c r="AZ67" s="100"/>
      <c r="BA67" s="100"/>
      <c r="BB67" s="100"/>
      <c r="BC67" s="100"/>
      <c r="BD67" s="100"/>
      <c r="BE67" s="100"/>
    </row>
    <row r="68" spans="1:57">
      <c r="A68" s="100"/>
      <c r="B68" s="100"/>
      <c r="C68" s="100"/>
      <c r="D68" s="102"/>
      <c r="E68" s="100"/>
      <c r="F68" s="100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  <c r="AI68" s="100"/>
      <c r="AJ68" s="100"/>
      <c r="AK68" s="100"/>
      <c r="AL68" s="100"/>
      <c r="AM68" s="100"/>
      <c r="AN68" s="100"/>
      <c r="AO68" s="100"/>
      <c r="AP68" s="100"/>
      <c r="AQ68" s="100"/>
      <c r="AR68" s="100"/>
      <c r="AS68" s="100"/>
      <c r="AT68" s="100"/>
      <c r="AU68" s="100"/>
      <c r="AV68" s="100"/>
      <c r="AW68" s="100"/>
      <c r="AX68" s="100"/>
      <c r="AY68" s="100"/>
      <c r="AZ68" s="100"/>
      <c r="BA68" s="100"/>
      <c r="BB68" s="100"/>
      <c r="BC68" s="100"/>
      <c r="BD68" s="100"/>
      <c r="BE68" s="100"/>
    </row>
    <row r="69" spans="1:57">
      <c r="A69" s="100"/>
      <c r="B69" s="100"/>
      <c r="C69" s="100"/>
      <c r="D69" s="102"/>
      <c r="E69" s="100"/>
      <c r="F69" s="100"/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100"/>
      <c r="AC69" s="100"/>
      <c r="AD69" s="100"/>
      <c r="AE69" s="100"/>
      <c r="AF69" s="100"/>
      <c r="AG69" s="100"/>
      <c r="AH69" s="100"/>
      <c r="AI69" s="100"/>
      <c r="AJ69" s="100"/>
      <c r="AK69" s="100"/>
      <c r="AL69" s="100"/>
      <c r="AM69" s="100"/>
      <c r="AN69" s="100"/>
      <c r="AO69" s="100"/>
      <c r="AP69" s="100"/>
      <c r="AQ69" s="100"/>
      <c r="AR69" s="100"/>
      <c r="AS69" s="100"/>
      <c r="AT69" s="100"/>
      <c r="AU69" s="100"/>
      <c r="AV69" s="100"/>
      <c r="AW69" s="100"/>
      <c r="AX69" s="100"/>
      <c r="AY69" s="100"/>
      <c r="AZ69" s="100"/>
      <c r="BA69" s="100"/>
      <c r="BB69" s="100"/>
      <c r="BC69" s="100"/>
      <c r="BD69" s="100"/>
      <c r="BE69" s="100"/>
    </row>
    <row r="70" spans="1:57">
      <c r="A70" s="100"/>
      <c r="B70" s="100"/>
      <c r="C70" s="100"/>
      <c r="D70" s="102"/>
      <c r="E70" s="100"/>
      <c r="F70" s="100"/>
      <c r="G70" s="100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  <c r="AE70" s="100"/>
      <c r="AF70" s="100"/>
      <c r="AG70" s="100"/>
      <c r="AH70" s="100"/>
      <c r="AI70" s="100"/>
      <c r="AJ70" s="100"/>
      <c r="AK70" s="100"/>
      <c r="AL70" s="100"/>
      <c r="AM70" s="100"/>
      <c r="AN70" s="100"/>
      <c r="AO70" s="100"/>
      <c r="AP70" s="100"/>
      <c r="AQ70" s="100"/>
      <c r="AR70" s="100"/>
      <c r="AS70" s="100"/>
      <c r="AT70" s="100"/>
      <c r="AU70" s="100"/>
      <c r="AV70" s="100"/>
      <c r="AW70" s="100"/>
      <c r="AX70" s="100"/>
      <c r="AY70" s="100"/>
      <c r="AZ70" s="100"/>
      <c r="BA70" s="100"/>
      <c r="BB70" s="100"/>
      <c r="BC70" s="100"/>
      <c r="BD70" s="100"/>
      <c r="BE70" s="100"/>
    </row>
    <row r="71" spans="1:57" ht="18" customHeight="1">
      <c r="A71" s="318" t="s">
        <v>70</v>
      </c>
      <c r="B71" s="319"/>
      <c r="C71" s="318"/>
      <c r="D71" s="318"/>
      <c r="E71" s="318"/>
      <c r="F71" s="318"/>
      <c r="G71" s="318"/>
      <c r="H71" s="318"/>
      <c r="I71" s="318"/>
      <c r="J71" s="320"/>
      <c r="K71" s="320"/>
      <c r="L71" s="605" t="s">
        <v>158</v>
      </c>
      <c r="M71" s="605"/>
      <c r="N71" s="605"/>
      <c r="O71" s="605"/>
      <c r="P71" s="605"/>
      <c r="Q71" s="605"/>
      <c r="R71" s="109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/>
      <c r="AE71" s="100"/>
      <c r="AF71" s="100"/>
      <c r="AG71" s="100"/>
      <c r="AH71" s="100"/>
      <c r="AI71" s="100"/>
      <c r="AJ71" s="100"/>
      <c r="AK71" s="100"/>
      <c r="AL71" s="100"/>
      <c r="AM71" s="100"/>
      <c r="AN71" s="100"/>
      <c r="AO71" s="100"/>
      <c r="AP71" s="100"/>
      <c r="AQ71" s="100"/>
      <c r="AR71" s="100"/>
      <c r="AS71" s="100"/>
      <c r="AT71" s="100"/>
      <c r="AU71" s="100"/>
      <c r="AV71" s="100"/>
      <c r="AW71" s="100"/>
      <c r="AX71" s="100"/>
      <c r="AY71" s="100"/>
      <c r="AZ71" s="100"/>
      <c r="BA71" s="100"/>
      <c r="BB71" s="100"/>
      <c r="BC71" s="100"/>
      <c r="BD71" s="100"/>
      <c r="BE71" s="100"/>
    </row>
    <row r="72" spans="1:57" ht="15">
      <c r="A72" s="118"/>
      <c r="B72" s="118"/>
      <c r="C72" s="119"/>
      <c r="D72" s="120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  <c r="AE72" s="100"/>
      <c r="AF72" s="100"/>
      <c r="AG72" s="100"/>
      <c r="AH72" s="100"/>
      <c r="AI72" s="100"/>
      <c r="AJ72" s="100"/>
      <c r="AK72" s="100"/>
      <c r="AL72" s="100"/>
      <c r="AM72" s="100"/>
      <c r="AN72" s="100"/>
      <c r="AO72" s="100"/>
      <c r="AP72" s="100"/>
      <c r="AQ72" s="100"/>
      <c r="AR72" s="100"/>
      <c r="AS72" s="100"/>
      <c r="AT72" s="100"/>
      <c r="AU72" s="100"/>
      <c r="AV72" s="100"/>
      <c r="AW72" s="100"/>
      <c r="AX72" s="100"/>
      <c r="AY72" s="100"/>
      <c r="AZ72" s="100"/>
      <c r="BA72" s="100"/>
      <c r="BB72" s="100"/>
      <c r="BC72" s="100"/>
      <c r="BD72" s="100"/>
      <c r="BE72" s="100"/>
    </row>
    <row r="73" spans="1:57" ht="15.75">
      <c r="A73" s="100"/>
      <c r="B73" s="100"/>
      <c r="C73" s="100"/>
      <c r="D73" s="102"/>
      <c r="E73" s="100"/>
      <c r="F73" s="100"/>
      <c r="G73" s="100"/>
      <c r="H73" s="100"/>
      <c r="I73" s="100"/>
      <c r="J73" s="100"/>
      <c r="K73" s="100"/>
      <c r="L73" s="111"/>
      <c r="M73" s="111"/>
      <c r="N73" s="111"/>
      <c r="O73" s="111"/>
      <c r="P73" s="111"/>
      <c r="Q73" s="111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00"/>
      <c r="AK73" s="100"/>
      <c r="AL73" s="100"/>
      <c r="AM73" s="100"/>
      <c r="AN73" s="100"/>
      <c r="AO73" s="100"/>
      <c r="AP73" s="100"/>
      <c r="AQ73" s="100"/>
      <c r="AR73" s="100"/>
      <c r="AS73" s="100"/>
      <c r="AT73" s="100"/>
      <c r="AU73" s="100"/>
      <c r="AV73" s="100"/>
      <c r="AW73" s="100"/>
      <c r="AX73" s="100"/>
      <c r="AY73" s="100"/>
      <c r="AZ73" s="100"/>
      <c r="BA73" s="100"/>
      <c r="BB73" s="100"/>
      <c r="BC73" s="100"/>
      <c r="BD73" s="100"/>
      <c r="BE73" s="100"/>
    </row>
    <row r="74" spans="1:57">
      <c r="A74" s="100"/>
      <c r="B74" s="100"/>
      <c r="C74" s="100"/>
      <c r="D74" s="102"/>
      <c r="E74" s="100"/>
      <c r="F74" s="100"/>
      <c r="G74" s="100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00"/>
      <c r="AK74" s="100"/>
      <c r="AL74" s="100"/>
      <c r="AM74" s="100"/>
      <c r="AN74" s="100"/>
      <c r="AO74" s="100"/>
      <c r="AP74" s="100"/>
      <c r="AQ74" s="100"/>
      <c r="AR74" s="100"/>
      <c r="AS74" s="100"/>
      <c r="AT74" s="100"/>
      <c r="AU74" s="100"/>
      <c r="AV74" s="100"/>
      <c r="AW74" s="100"/>
      <c r="AX74" s="100"/>
      <c r="AY74" s="100"/>
      <c r="AZ74" s="100"/>
      <c r="BA74" s="100"/>
      <c r="BB74" s="100"/>
      <c r="BC74" s="100"/>
      <c r="BD74" s="100"/>
      <c r="BE74" s="100"/>
    </row>
    <row r="75" spans="1:57">
      <c r="A75" s="100"/>
      <c r="B75" s="100"/>
      <c r="C75" s="100"/>
      <c r="D75" s="102"/>
      <c r="E75" s="100"/>
      <c r="F75" s="100"/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  <c r="AD75" s="100"/>
      <c r="AE75" s="100"/>
      <c r="AF75" s="100"/>
      <c r="AG75" s="100"/>
      <c r="AH75" s="100"/>
      <c r="AI75" s="100"/>
      <c r="AJ75" s="100"/>
      <c r="AK75" s="100"/>
      <c r="AL75" s="100"/>
      <c r="AM75" s="100"/>
      <c r="AN75" s="100"/>
      <c r="AO75" s="100"/>
      <c r="AP75" s="100"/>
      <c r="AQ75" s="100"/>
      <c r="AR75" s="100"/>
      <c r="AS75" s="100"/>
      <c r="AT75" s="100"/>
      <c r="AU75" s="100"/>
      <c r="AV75" s="100"/>
      <c r="AW75" s="100"/>
      <c r="AX75" s="100"/>
      <c r="AY75" s="100"/>
      <c r="AZ75" s="100"/>
      <c r="BA75" s="100"/>
      <c r="BB75" s="100"/>
      <c r="BC75" s="100"/>
      <c r="BD75" s="100"/>
      <c r="BE75" s="100"/>
    </row>
    <row r="77" spans="1:57">
      <c r="AY77" t="s">
        <v>302</v>
      </c>
    </row>
  </sheetData>
  <sheetProtection selectLockedCells="1" selectUnlockedCells="1"/>
  <mergeCells count="81">
    <mergeCell ref="AE3:AF4"/>
    <mergeCell ref="AG3:AI4"/>
    <mergeCell ref="AI5:AI6"/>
    <mergeCell ref="AY2:BC2"/>
    <mergeCell ref="A3:A6"/>
    <mergeCell ref="B3:G3"/>
    <mergeCell ref="H3:P3"/>
    <mergeCell ref="Q3:U3"/>
    <mergeCell ref="V3:V6"/>
    <mergeCell ref="W3:W6"/>
    <mergeCell ref="X3:X6"/>
    <mergeCell ref="Y3:Y6"/>
    <mergeCell ref="Z3:Z6"/>
    <mergeCell ref="P4:P6"/>
    <mergeCell ref="L4:L6"/>
    <mergeCell ref="M4:M6"/>
    <mergeCell ref="CJ3:CM5"/>
    <mergeCell ref="B4:B6"/>
    <mergeCell ref="C4:C6"/>
    <mergeCell ref="D4:D6"/>
    <mergeCell ref="E4:E6"/>
    <mergeCell ref="F4:F6"/>
    <mergeCell ref="G4:G6"/>
    <mergeCell ref="H4:H6"/>
    <mergeCell ref="I4:I6"/>
    <mergeCell ref="J4:J6"/>
    <mergeCell ref="BD3:BD6"/>
    <mergeCell ref="BE3:BE6"/>
    <mergeCell ref="BK3:BQ5"/>
    <mergeCell ref="BR3:BX5"/>
    <mergeCell ref="BY3:CE5"/>
    <mergeCell ref="K4:K6"/>
    <mergeCell ref="AA3:AA6"/>
    <mergeCell ref="AB3:AB6"/>
    <mergeCell ref="N4:N6"/>
    <mergeCell ref="O4:O6"/>
    <mergeCell ref="DD4:DH4"/>
    <mergeCell ref="AE5:AE6"/>
    <mergeCell ref="AF5:AF6"/>
    <mergeCell ref="AG5:AG6"/>
    <mergeCell ref="AH5:AH6"/>
    <mergeCell ref="CF3:CI5"/>
    <mergeCell ref="AQ3:AQ6"/>
    <mergeCell ref="AS3:AS6"/>
    <mergeCell ref="AT3:AY4"/>
    <mergeCell ref="AZ3:AZ6"/>
    <mergeCell ref="BA3:BB4"/>
    <mergeCell ref="BC3:BC6"/>
    <mergeCell ref="Q4:Q6"/>
    <mergeCell ref="R4:R6"/>
    <mergeCell ref="S4:S6"/>
    <mergeCell ref="T4:T6"/>
    <mergeCell ref="U4:U6"/>
    <mergeCell ref="AC3:AC6"/>
    <mergeCell ref="AD3:AD6"/>
    <mergeCell ref="DA5:DB5"/>
    <mergeCell ref="CO39:CP39"/>
    <mergeCell ref="CQ39:CU39"/>
    <mergeCell ref="CV39:CY39"/>
    <mergeCell ref="AX5:AX6"/>
    <mergeCell ref="AY5:AY6"/>
    <mergeCell ref="AJ3:AK6"/>
    <mergeCell ref="AL3:AL6"/>
    <mergeCell ref="AM3:AM6"/>
    <mergeCell ref="AN3:AN6"/>
    <mergeCell ref="AO3:AO6"/>
    <mergeCell ref="AP3:AP6"/>
    <mergeCell ref="AT5:AT6"/>
    <mergeCell ref="AW5:AW6"/>
    <mergeCell ref="CO40:CU40"/>
    <mergeCell ref="BD58:BE58"/>
    <mergeCell ref="BD59:BE59"/>
    <mergeCell ref="BD60:BE60"/>
    <mergeCell ref="L71:Q71"/>
    <mergeCell ref="N46:O46"/>
    <mergeCell ref="AZ46:BE47"/>
    <mergeCell ref="AZ48:BC49"/>
    <mergeCell ref="BD48:BD49"/>
    <mergeCell ref="AZ51:BC52"/>
    <mergeCell ref="BD51:BD52"/>
    <mergeCell ref="AT42:AV42"/>
  </mergeCells>
  <printOptions horizontalCentered="1" verticalCentered="1"/>
  <pageMargins left="0" right="0" top="0" bottom="0" header="0" footer="0"/>
  <pageSetup paperSize="9" scale="46" firstPageNumber="0" orientation="landscape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>
  <dimension ref="A1:DJ77"/>
  <sheetViews>
    <sheetView showZeros="0" zoomScale="94" zoomScaleNormal="94" workbookViewId="0">
      <pane xSplit="1" ySplit="6" topLeftCell="CN23" activePane="bottomRight" state="frozen"/>
      <selection pane="topRight" activeCell="B1" sqref="B1"/>
      <selection pane="bottomLeft" activeCell="A7" sqref="A7"/>
      <selection pane="bottomRight" activeCell="CT44" sqref="CT44"/>
    </sheetView>
  </sheetViews>
  <sheetFormatPr defaultColWidth="8.7109375" defaultRowHeight="12.75"/>
  <cols>
    <col min="1" max="1" width="3.5703125" customWidth="1"/>
    <col min="2" max="2" width="9.7109375" customWidth="1"/>
    <col min="3" max="3" width="6" customWidth="1"/>
    <col min="4" max="4" width="12" style="1" hidden="1" customWidth="1"/>
    <col min="5" max="5" width="7.140625" customWidth="1"/>
    <col min="6" max="6" width="7.5703125" customWidth="1"/>
    <col min="7" max="7" width="7.7109375" customWidth="1"/>
    <col min="8" max="8" width="7.28515625" customWidth="1"/>
    <col min="9" max="9" width="7.42578125" hidden="1" customWidth="1"/>
    <col min="10" max="10" width="9.140625" customWidth="1"/>
    <col min="11" max="11" width="5.5703125" hidden="1" customWidth="1"/>
    <col min="12" max="12" width="8.42578125" customWidth="1"/>
    <col min="13" max="13" width="7.42578125" customWidth="1"/>
    <col min="14" max="14" width="6.140625" customWidth="1"/>
    <col min="15" max="15" width="8.140625" customWidth="1"/>
    <col min="16" max="16" width="9.85546875" hidden="1" customWidth="1"/>
    <col min="17" max="17" width="9.28515625" customWidth="1"/>
    <col min="18" max="18" width="6" customWidth="1"/>
    <col min="19" max="19" width="8.140625" customWidth="1"/>
    <col min="20" max="20" width="9.140625" hidden="1" customWidth="1"/>
    <col min="21" max="21" width="7.140625" customWidth="1"/>
    <col min="22" max="22" width="7.85546875" customWidth="1"/>
    <col min="23" max="23" width="8.28515625" customWidth="1"/>
    <col min="24" max="24" width="6" customWidth="1"/>
    <col min="25" max="25" width="5.42578125" customWidth="1"/>
    <col min="26" max="26" width="6.85546875" customWidth="1"/>
    <col min="27" max="27" width="6.5703125" customWidth="1"/>
    <col min="28" max="28" width="7.5703125" customWidth="1"/>
    <col min="29" max="29" width="6.5703125" customWidth="1"/>
    <col min="30" max="30" width="4.28515625" customWidth="1"/>
    <col min="31" max="32" width="6.85546875" customWidth="1"/>
    <col min="33" max="33" width="0" hidden="1" customWidth="1"/>
    <col min="34" max="34" width="8.42578125" customWidth="1"/>
    <col min="35" max="35" width="7" customWidth="1"/>
    <col min="36" max="36" width="7.85546875" customWidth="1"/>
    <col min="37" max="37" width="0" hidden="1" customWidth="1"/>
    <col min="38" max="38" width="6.7109375" customWidth="1"/>
    <col min="39" max="39" width="7.7109375" customWidth="1"/>
    <col min="40" max="40" width="7" hidden="1" customWidth="1"/>
    <col min="41" max="41" width="9.42578125" customWidth="1"/>
    <col min="42" max="42" width="6.28515625" customWidth="1"/>
    <col min="43" max="43" width="6.85546875" customWidth="1"/>
    <col min="44" max="44" width="0" hidden="1" customWidth="1"/>
    <col min="45" max="45" width="6.7109375" customWidth="1"/>
    <col min="46" max="46" width="9.7109375" customWidth="1"/>
    <col min="47" max="47" width="7" customWidth="1"/>
    <col min="48" max="48" width="0" hidden="1" customWidth="1"/>
    <col min="49" max="49" width="6.140625" hidden="1" customWidth="1"/>
    <col min="50" max="50" width="5.140625" hidden="1" customWidth="1"/>
    <col min="51" max="51" width="8.42578125" customWidth="1"/>
    <col min="52" max="52" width="10" customWidth="1"/>
    <col min="53" max="53" width="8.7109375" hidden="1" customWidth="1"/>
    <col min="54" max="54" width="3.85546875" hidden="1" customWidth="1"/>
    <col min="55" max="55" width="6.5703125" customWidth="1"/>
    <col min="56" max="56" width="6.140625" customWidth="1"/>
    <col min="57" max="57" width="6.7109375" customWidth="1"/>
    <col min="58" max="58" width="8.85546875" customWidth="1"/>
    <col min="59" max="59" width="7.85546875" customWidth="1"/>
    <col min="60" max="60" width="9.85546875" customWidth="1"/>
    <col min="61" max="62" width="8.7109375" customWidth="1"/>
    <col min="63" max="63" width="10.28515625" customWidth="1"/>
    <col min="64" max="64" width="10.85546875" customWidth="1"/>
    <col min="65" max="65" width="10.7109375" customWidth="1"/>
    <col min="66" max="66" width="11.28515625" customWidth="1"/>
    <col min="67" max="68" width="8.85546875" customWidth="1"/>
    <col min="69" max="69" width="11.28515625" customWidth="1"/>
    <col min="70" max="70" width="7.7109375" customWidth="1"/>
    <col min="71" max="71" width="10" customWidth="1"/>
    <col min="72" max="72" width="8.85546875" customWidth="1"/>
    <col min="73" max="73" width="10.140625" customWidth="1"/>
    <col min="74" max="75" width="8.85546875" customWidth="1"/>
    <col min="76" max="76" width="10.85546875" customWidth="1"/>
    <col min="77" max="78" width="8.7109375" customWidth="1"/>
    <col min="79" max="79" width="10" customWidth="1"/>
    <col min="80" max="80" width="10.42578125" customWidth="1"/>
    <col min="81" max="82" width="8.42578125" customWidth="1"/>
    <col min="83" max="83" width="9.85546875" customWidth="1"/>
    <col min="84" max="85" width="11.42578125" customWidth="1"/>
    <col min="86" max="86" width="11.140625" customWidth="1"/>
    <col min="87" max="87" width="11.28515625" customWidth="1"/>
    <col min="88" max="89" width="10" customWidth="1"/>
    <col min="90" max="90" width="8.7109375" customWidth="1"/>
    <col min="91" max="91" width="11.85546875" customWidth="1"/>
    <col min="92" max="92" width="8.7109375" customWidth="1"/>
    <col min="93" max="93" width="12.140625" customWidth="1"/>
    <col min="94" max="94" width="12.5703125" customWidth="1"/>
    <col min="95" max="95" width="11.7109375" customWidth="1"/>
    <col min="96" max="98" width="12.28515625" customWidth="1"/>
    <col min="99" max="99" width="13.28515625" customWidth="1"/>
    <col min="100" max="100" width="12.85546875" customWidth="1"/>
    <col min="101" max="101" width="13.42578125" customWidth="1"/>
    <col min="102" max="103" width="12.5703125" customWidth="1"/>
    <col min="104" max="104" width="9.5703125" customWidth="1"/>
    <col min="105" max="105" width="19.140625" customWidth="1"/>
    <col min="106" max="106" width="19.42578125" customWidth="1"/>
    <col min="111" max="111" width="8.7109375" hidden="1" customWidth="1"/>
    <col min="112" max="112" width="9" bestFit="1" customWidth="1"/>
    <col min="114" max="114" width="9.5703125" bestFit="1" customWidth="1"/>
  </cols>
  <sheetData>
    <row r="1" spans="1:114" ht="17.25" customHeight="1">
      <c r="A1" s="310" t="s">
        <v>0</v>
      </c>
      <c r="B1" s="310"/>
      <c r="C1" s="310"/>
      <c r="D1" s="311"/>
      <c r="E1" s="310"/>
      <c r="F1" s="310"/>
      <c r="G1" s="310"/>
      <c r="H1" s="310"/>
      <c r="I1" s="310"/>
      <c r="J1" s="310"/>
      <c r="K1" s="310"/>
      <c r="L1" s="310"/>
      <c r="M1" s="310"/>
      <c r="N1" s="310"/>
      <c r="O1" s="310"/>
      <c r="P1" s="77"/>
      <c r="Q1" s="77"/>
      <c r="R1" s="77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</row>
    <row r="2" spans="1:114" ht="19.5" customHeight="1" thickBot="1">
      <c r="A2" s="22"/>
      <c r="B2" s="78"/>
      <c r="C2" s="78"/>
      <c r="D2" s="79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80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80"/>
      <c r="AT2" s="312" t="s">
        <v>1</v>
      </c>
      <c r="AU2" s="313">
        <v>30</v>
      </c>
      <c r="AV2" s="314"/>
      <c r="AW2" s="314"/>
      <c r="AX2" s="315" t="s">
        <v>81</v>
      </c>
      <c r="AY2" s="556" t="s">
        <v>388</v>
      </c>
      <c r="AZ2" s="556"/>
      <c r="BA2" s="556"/>
      <c r="BB2" s="556"/>
      <c r="BC2" s="556"/>
      <c r="BD2" s="316" t="s">
        <v>107</v>
      </c>
      <c r="BE2" s="317"/>
    </row>
    <row r="3" spans="1:114" ht="39.75" customHeight="1" thickBot="1">
      <c r="A3" s="557" t="s">
        <v>3</v>
      </c>
      <c r="B3" s="558" t="s">
        <v>71</v>
      </c>
      <c r="C3" s="558"/>
      <c r="D3" s="558"/>
      <c r="E3" s="558"/>
      <c r="F3" s="558"/>
      <c r="G3" s="558"/>
      <c r="H3" s="554" t="s">
        <v>4</v>
      </c>
      <c r="I3" s="554"/>
      <c r="J3" s="554"/>
      <c r="K3" s="554"/>
      <c r="L3" s="554"/>
      <c r="M3" s="554"/>
      <c r="N3" s="554"/>
      <c r="O3" s="554"/>
      <c r="P3" s="559"/>
      <c r="Q3" s="560" t="s">
        <v>5</v>
      </c>
      <c r="R3" s="561"/>
      <c r="S3" s="561"/>
      <c r="T3" s="561"/>
      <c r="U3" s="562"/>
      <c r="V3" s="563" t="s">
        <v>6</v>
      </c>
      <c r="W3" s="563" t="s">
        <v>7</v>
      </c>
      <c r="X3" s="564" t="s">
        <v>8</v>
      </c>
      <c r="Y3" s="564" t="s">
        <v>9</v>
      </c>
      <c r="Z3" s="564" t="s">
        <v>10</v>
      </c>
      <c r="AA3" s="564" t="s">
        <v>11</v>
      </c>
      <c r="AB3" s="564" t="s">
        <v>12</v>
      </c>
      <c r="AC3" s="564" t="s">
        <v>13</v>
      </c>
      <c r="AD3" s="564" t="s">
        <v>14</v>
      </c>
      <c r="AE3" s="554" t="s">
        <v>15</v>
      </c>
      <c r="AF3" s="554"/>
      <c r="AG3" s="554" t="s">
        <v>16</v>
      </c>
      <c r="AH3" s="554"/>
      <c r="AI3" s="554"/>
      <c r="AJ3" s="593" t="s">
        <v>17</v>
      </c>
      <c r="AK3" s="593"/>
      <c r="AL3" s="564" t="s">
        <v>18</v>
      </c>
      <c r="AM3" s="599" t="s">
        <v>19</v>
      </c>
      <c r="AN3" s="600" t="s">
        <v>95</v>
      </c>
      <c r="AO3" s="603" t="s">
        <v>20</v>
      </c>
      <c r="AP3" s="564" t="s">
        <v>105</v>
      </c>
      <c r="AQ3" s="564" t="s">
        <v>21</v>
      </c>
      <c r="AR3" s="81"/>
      <c r="AS3" s="593" t="s">
        <v>22</v>
      </c>
      <c r="AT3" s="554" t="s">
        <v>23</v>
      </c>
      <c r="AU3" s="554"/>
      <c r="AV3" s="554"/>
      <c r="AW3" s="554"/>
      <c r="AX3" s="554"/>
      <c r="AY3" s="554"/>
      <c r="AZ3" s="564" t="s">
        <v>24</v>
      </c>
      <c r="BA3" s="594" t="s">
        <v>25</v>
      </c>
      <c r="BB3" s="594"/>
      <c r="BC3" s="564" t="s">
        <v>26</v>
      </c>
      <c r="BD3" s="564" t="s">
        <v>27</v>
      </c>
      <c r="BE3" s="572" t="s">
        <v>28</v>
      </c>
      <c r="BF3" s="3"/>
      <c r="BG3" s="3"/>
      <c r="BH3" s="3"/>
      <c r="BI3" s="3"/>
      <c r="BJ3" s="3"/>
      <c r="BK3" s="573" t="s">
        <v>29</v>
      </c>
      <c r="BL3" s="574"/>
      <c r="BM3" s="574"/>
      <c r="BN3" s="574"/>
      <c r="BO3" s="575"/>
      <c r="BP3" s="575"/>
      <c r="BQ3" s="576"/>
      <c r="BR3" s="573" t="s">
        <v>30</v>
      </c>
      <c r="BS3" s="585"/>
      <c r="BT3" s="585"/>
      <c r="BU3" s="585"/>
      <c r="BV3" s="585"/>
      <c r="BW3" s="585"/>
      <c r="BX3" s="586"/>
      <c r="BY3" s="566" t="s">
        <v>31</v>
      </c>
      <c r="BZ3" s="566"/>
      <c r="CA3" s="566"/>
      <c r="CB3" s="566"/>
      <c r="CC3" s="566"/>
      <c r="CD3" s="566"/>
      <c r="CE3" s="566"/>
      <c r="CF3" s="566" t="s">
        <v>87</v>
      </c>
      <c r="CG3" s="566"/>
      <c r="CH3" s="566"/>
      <c r="CI3" s="566"/>
      <c r="CJ3" s="566" t="s">
        <v>32</v>
      </c>
      <c r="CK3" s="566"/>
      <c r="CL3" s="566"/>
      <c r="CM3" s="566"/>
      <c r="CN3" s="4"/>
      <c r="CO3" s="5"/>
      <c r="CP3" s="6"/>
      <c r="CQ3" s="6"/>
    </row>
    <row r="4" spans="1:114" s="7" customFormat="1" ht="30.75" customHeight="1" thickBot="1">
      <c r="A4" s="557"/>
      <c r="B4" s="565" t="s">
        <v>72</v>
      </c>
      <c r="C4" s="613" t="s">
        <v>73</v>
      </c>
      <c r="D4" s="615" t="s">
        <v>33</v>
      </c>
      <c r="E4" s="613" t="s">
        <v>74</v>
      </c>
      <c r="F4" s="569" t="s">
        <v>75</v>
      </c>
      <c r="G4" s="569" t="s">
        <v>34</v>
      </c>
      <c r="H4" s="555" t="s">
        <v>76</v>
      </c>
      <c r="I4" s="570" t="s">
        <v>101</v>
      </c>
      <c r="J4" s="555" t="s">
        <v>89</v>
      </c>
      <c r="K4" s="565" t="s">
        <v>35</v>
      </c>
      <c r="L4" s="565" t="s">
        <v>77</v>
      </c>
      <c r="M4" s="565" t="s">
        <v>78</v>
      </c>
      <c r="N4" s="565" t="s">
        <v>101</v>
      </c>
      <c r="O4" s="565" t="s">
        <v>96</v>
      </c>
      <c r="P4" s="555" t="s">
        <v>79</v>
      </c>
      <c r="Q4" s="555" t="s">
        <v>36</v>
      </c>
      <c r="R4" s="555" t="s">
        <v>32</v>
      </c>
      <c r="S4" s="555" t="s">
        <v>37</v>
      </c>
      <c r="T4" s="555" t="s">
        <v>38</v>
      </c>
      <c r="U4" s="555" t="s">
        <v>39</v>
      </c>
      <c r="V4" s="563"/>
      <c r="W4" s="563"/>
      <c r="X4" s="564"/>
      <c r="Y4" s="564"/>
      <c r="Z4" s="564"/>
      <c r="AA4" s="564"/>
      <c r="AB4" s="564"/>
      <c r="AC4" s="564"/>
      <c r="AD4" s="564"/>
      <c r="AE4" s="554"/>
      <c r="AF4" s="554"/>
      <c r="AG4" s="554"/>
      <c r="AH4" s="554"/>
      <c r="AI4" s="554"/>
      <c r="AJ4" s="593"/>
      <c r="AK4" s="593"/>
      <c r="AL4" s="564"/>
      <c r="AM4" s="599"/>
      <c r="AN4" s="601"/>
      <c r="AO4" s="603"/>
      <c r="AP4" s="564"/>
      <c r="AQ4" s="564"/>
      <c r="AR4" s="82"/>
      <c r="AS4" s="593"/>
      <c r="AT4" s="554"/>
      <c r="AU4" s="554"/>
      <c r="AV4" s="554"/>
      <c r="AW4" s="554"/>
      <c r="AX4" s="554"/>
      <c r="AY4" s="554"/>
      <c r="AZ4" s="564"/>
      <c r="BA4" s="594"/>
      <c r="BB4" s="594"/>
      <c r="BC4" s="564"/>
      <c r="BD4" s="564"/>
      <c r="BE4" s="572"/>
      <c r="BF4" s="3"/>
      <c r="BG4" s="3"/>
      <c r="BH4" s="3"/>
      <c r="BI4" s="3"/>
      <c r="BJ4" s="3"/>
      <c r="BK4" s="577"/>
      <c r="BL4" s="578"/>
      <c r="BM4" s="578"/>
      <c r="BN4" s="578"/>
      <c r="BO4" s="579"/>
      <c r="BP4" s="579"/>
      <c r="BQ4" s="580"/>
      <c r="BR4" s="577"/>
      <c r="BS4" s="566"/>
      <c r="BT4" s="566"/>
      <c r="BU4" s="566"/>
      <c r="BV4" s="566"/>
      <c r="BW4" s="566"/>
      <c r="BX4" s="587"/>
      <c r="BY4" s="566"/>
      <c r="BZ4" s="566"/>
      <c r="CA4" s="566"/>
      <c r="CB4" s="566"/>
      <c r="CC4" s="566"/>
      <c r="CD4" s="566"/>
      <c r="CE4" s="566"/>
      <c r="CF4" s="566"/>
      <c r="CG4" s="566"/>
      <c r="CH4" s="566"/>
      <c r="CI4" s="566"/>
      <c r="CJ4" s="566"/>
      <c r="CK4" s="566"/>
      <c r="CL4" s="566"/>
      <c r="CM4" s="566"/>
      <c r="CN4" s="4"/>
      <c r="CO4" s="6"/>
      <c r="CP4" s="6"/>
      <c r="CQ4" s="262"/>
      <c r="CR4" s="231"/>
      <c r="CS4" s="231"/>
      <c r="CT4" s="231"/>
      <c r="CU4" s="231"/>
      <c r="CV4" s="231"/>
      <c r="CW4" s="231"/>
      <c r="CX4" s="231"/>
      <c r="CY4" s="231"/>
      <c r="DD4" s="590" t="s">
        <v>90</v>
      </c>
      <c r="DE4" s="591"/>
      <c r="DF4" s="591"/>
      <c r="DG4" s="591"/>
      <c r="DH4" s="592"/>
    </row>
    <row r="5" spans="1:114" s="7" customFormat="1" ht="8.25" hidden="1" customHeight="1">
      <c r="A5" s="557"/>
      <c r="B5" s="565"/>
      <c r="C5" s="614"/>
      <c r="D5" s="616"/>
      <c r="E5" s="614"/>
      <c r="F5" s="569"/>
      <c r="G5" s="569"/>
      <c r="H5" s="555"/>
      <c r="I5" s="570"/>
      <c r="J5" s="565"/>
      <c r="K5" s="565"/>
      <c r="L5" s="565"/>
      <c r="M5" s="565"/>
      <c r="N5" s="565"/>
      <c r="O5" s="565"/>
      <c r="P5" s="555"/>
      <c r="Q5" s="555"/>
      <c r="R5" s="555"/>
      <c r="S5" s="555"/>
      <c r="T5" s="555"/>
      <c r="U5" s="555"/>
      <c r="V5" s="563"/>
      <c r="W5" s="563"/>
      <c r="X5" s="564"/>
      <c r="Y5" s="564"/>
      <c r="Z5" s="564"/>
      <c r="AA5" s="564"/>
      <c r="AB5" s="564"/>
      <c r="AC5" s="564"/>
      <c r="AD5" s="564"/>
      <c r="AE5" s="555" t="s">
        <v>40</v>
      </c>
      <c r="AF5" s="555" t="s">
        <v>41</v>
      </c>
      <c r="AG5" s="555" t="s">
        <v>42</v>
      </c>
      <c r="AH5" s="555" t="s">
        <v>40</v>
      </c>
      <c r="AI5" s="555" t="s">
        <v>41</v>
      </c>
      <c r="AJ5" s="593"/>
      <c r="AK5" s="593"/>
      <c r="AL5" s="564"/>
      <c r="AM5" s="599"/>
      <c r="AN5" s="601"/>
      <c r="AO5" s="603"/>
      <c r="AP5" s="564"/>
      <c r="AQ5" s="564"/>
      <c r="AR5" s="83"/>
      <c r="AS5" s="593"/>
      <c r="AT5" s="555" t="s">
        <v>43</v>
      </c>
      <c r="AU5" s="84"/>
      <c r="AV5" s="85"/>
      <c r="AW5" s="598" t="s">
        <v>44</v>
      </c>
      <c r="AX5" s="598" t="s">
        <v>45</v>
      </c>
      <c r="AY5" s="555" t="s">
        <v>46</v>
      </c>
      <c r="AZ5" s="564"/>
      <c r="BA5" s="86" t="s">
        <v>47</v>
      </c>
      <c r="BB5" s="86" t="s">
        <v>48</v>
      </c>
      <c r="BC5" s="564"/>
      <c r="BD5" s="564"/>
      <c r="BE5" s="572"/>
      <c r="BF5" s="3"/>
      <c r="BG5" s="3"/>
      <c r="BH5" s="3"/>
      <c r="BI5" s="3"/>
      <c r="BJ5" s="3"/>
      <c r="BK5" s="581"/>
      <c r="BL5" s="582"/>
      <c r="BM5" s="582"/>
      <c r="BN5" s="582"/>
      <c r="BO5" s="583"/>
      <c r="BP5" s="583"/>
      <c r="BQ5" s="584"/>
      <c r="BR5" s="581"/>
      <c r="BS5" s="588"/>
      <c r="BT5" s="588"/>
      <c r="BU5" s="588"/>
      <c r="BV5" s="588"/>
      <c r="BW5" s="588"/>
      <c r="BX5" s="589"/>
      <c r="BY5" s="567"/>
      <c r="BZ5" s="566"/>
      <c r="CA5" s="566"/>
      <c r="CB5" s="566"/>
      <c r="CC5" s="566"/>
      <c r="CD5" s="566"/>
      <c r="CE5" s="566"/>
      <c r="CF5" s="567"/>
      <c r="CG5" s="567"/>
      <c r="CH5" s="567"/>
      <c r="CI5" s="567"/>
      <c r="CJ5" s="567"/>
      <c r="CK5" s="567"/>
      <c r="CL5" s="567"/>
      <c r="CM5" s="567"/>
      <c r="CN5" s="4"/>
      <c r="CO5"/>
      <c r="CP5"/>
      <c r="CQ5" s="255"/>
      <c r="CR5" s="256"/>
      <c r="CS5" s="256"/>
      <c r="CT5" s="256"/>
      <c r="CU5" s="256"/>
      <c r="CV5" s="257"/>
      <c r="CW5" s="257"/>
      <c r="CX5" s="257"/>
      <c r="CY5" s="258"/>
      <c r="DA5" s="595" t="s">
        <v>49</v>
      </c>
      <c r="DB5" s="595"/>
    </row>
    <row r="6" spans="1:114" s="7" customFormat="1" ht="106.5" customHeight="1" thickBot="1">
      <c r="A6" s="557"/>
      <c r="B6" s="565"/>
      <c r="C6" s="565"/>
      <c r="D6" s="568"/>
      <c r="E6" s="565"/>
      <c r="F6" s="569"/>
      <c r="G6" s="569"/>
      <c r="H6" s="555"/>
      <c r="I6" s="570"/>
      <c r="J6" s="571"/>
      <c r="K6" s="565"/>
      <c r="L6" s="565"/>
      <c r="M6" s="565"/>
      <c r="N6" s="565"/>
      <c r="O6" s="565"/>
      <c r="P6" s="565"/>
      <c r="Q6" s="565"/>
      <c r="R6" s="565"/>
      <c r="S6" s="565"/>
      <c r="T6" s="555"/>
      <c r="U6" s="555"/>
      <c r="V6" s="563"/>
      <c r="W6" s="563"/>
      <c r="X6" s="564"/>
      <c r="Y6" s="564"/>
      <c r="Z6" s="564"/>
      <c r="AA6" s="564"/>
      <c r="AB6" s="564"/>
      <c r="AC6" s="564"/>
      <c r="AD6" s="564"/>
      <c r="AE6" s="555"/>
      <c r="AF6" s="555"/>
      <c r="AG6" s="555"/>
      <c r="AH6" s="555"/>
      <c r="AI6" s="555"/>
      <c r="AJ6" s="593"/>
      <c r="AK6" s="593"/>
      <c r="AL6" s="564"/>
      <c r="AM6" s="599"/>
      <c r="AN6" s="602"/>
      <c r="AO6" s="603"/>
      <c r="AP6" s="564"/>
      <c r="AQ6" s="564"/>
      <c r="AR6" s="505"/>
      <c r="AS6" s="593"/>
      <c r="AT6" s="555"/>
      <c r="AU6" s="504" t="s">
        <v>50</v>
      </c>
      <c r="AV6" s="504" t="s">
        <v>51</v>
      </c>
      <c r="AW6" s="598"/>
      <c r="AX6" s="598"/>
      <c r="AY6" s="555"/>
      <c r="AZ6" s="555"/>
      <c r="BA6" s="87"/>
      <c r="BB6" s="88">
        <v>0.04</v>
      </c>
      <c r="BC6" s="564"/>
      <c r="BD6" s="564"/>
      <c r="BE6" s="572"/>
      <c r="BF6" s="8" t="s">
        <v>52</v>
      </c>
      <c r="BG6" s="8" t="s">
        <v>53</v>
      </c>
      <c r="BH6" s="8" t="s">
        <v>54</v>
      </c>
      <c r="BI6" s="3"/>
      <c r="BJ6" s="3"/>
      <c r="BK6" s="308" t="s">
        <v>100</v>
      </c>
      <c r="BL6" s="280" t="s">
        <v>82</v>
      </c>
      <c r="BM6" s="279" t="s">
        <v>262</v>
      </c>
      <c r="BN6" s="307" t="s">
        <v>83</v>
      </c>
      <c r="BO6" s="308" t="s">
        <v>97</v>
      </c>
      <c r="BP6" s="326" t="s">
        <v>99</v>
      </c>
      <c r="BQ6" s="495" t="s">
        <v>393</v>
      </c>
      <c r="BR6" s="308" t="s">
        <v>100</v>
      </c>
      <c r="BS6" s="280" t="s">
        <v>82</v>
      </c>
      <c r="BT6" s="279" t="s">
        <v>262</v>
      </c>
      <c r="BU6" s="327"/>
      <c r="BV6" s="308" t="s">
        <v>97</v>
      </c>
      <c r="BW6" s="326" t="s">
        <v>99</v>
      </c>
      <c r="BX6" s="306"/>
      <c r="BY6" s="308" t="s">
        <v>100</v>
      </c>
      <c r="BZ6" s="280" t="s">
        <v>82</v>
      </c>
      <c r="CA6" s="279" t="s">
        <v>262</v>
      </c>
      <c r="CB6" s="307" t="s">
        <v>83</v>
      </c>
      <c r="CC6" s="308" t="s">
        <v>97</v>
      </c>
      <c r="CD6" s="326" t="s">
        <v>99</v>
      </c>
      <c r="CE6" s="495" t="s">
        <v>393</v>
      </c>
      <c r="CF6" s="267" t="s">
        <v>106</v>
      </c>
      <c r="CG6" s="268" t="s">
        <v>85</v>
      </c>
      <c r="CH6" s="244" t="s">
        <v>109</v>
      </c>
      <c r="CI6" s="245" t="s">
        <v>408</v>
      </c>
      <c r="CJ6" s="267" t="s">
        <v>106</v>
      </c>
      <c r="CK6" s="268" t="s">
        <v>85</v>
      </c>
      <c r="CL6" s="244" t="s">
        <v>109</v>
      </c>
      <c r="CM6" s="245" t="s">
        <v>408</v>
      </c>
      <c r="CN6" s="243"/>
      <c r="CO6" s="10" t="s">
        <v>100</v>
      </c>
      <c r="CP6" s="10" t="s">
        <v>82</v>
      </c>
      <c r="CQ6" s="264" t="s">
        <v>263</v>
      </c>
      <c r="CR6" s="23" t="s">
        <v>83</v>
      </c>
      <c r="CS6" s="248" t="s">
        <v>98</v>
      </c>
      <c r="CT6" s="248" t="s">
        <v>99</v>
      </c>
      <c r="CU6" s="496" t="s">
        <v>394</v>
      </c>
      <c r="CV6" s="259" t="s">
        <v>106</v>
      </c>
      <c r="CW6" s="248" t="s">
        <v>84</v>
      </c>
      <c r="CX6" s="232" t="s">
        <v>108</v>
      </c>
      <c r="CY6" s="263" t="s">
        <v>408</v>
      </c>
      <c r="CZ6" s="253"/>
      <c r="DA6" s="321" t="s">
        <v>80</v>
      </c>
      <c r="DB6" s="321" t="s">
        <v>55</v>
      </c>
      <c r="DD6" s="288" t="s">
        <v>91</v>
      </c>
      <c r="DE6" s="289" t="s">
        <v>92</v>
      </c>
      <c r="DF6" s="290" t="s">
        <v>93</v>
      </c>
      <c r="DG6" s="290"/>
      <c r="DH6" s="289" t="s">
        <v>94</v>
      </c>
    </row>
    <row r="7" spans="1:114" s="76" customFormat="1" ht="16.5" customHeight="1" thickBot="1">
      <c r="A7" s="121">
        <v>1</v>
      </c>
      <c r="B7" s="122">
        <f>'[1]сентябрь 20'!K6</f>
        <v>267.84699999999998</v>
      </c>
      <c r="C7" s="123">
        <f>IF(B7=0,0,(BK7*BR7+BL7*BS7+BM7*BT7+BN7*BU7+BQ7*BX7+BO7*BV7+BP7*BW7)/B7)</f>
        <v>1.1737081643513014</v>
      </c>
      <c r="D7" s="124">
        <f>B7*((100-C7)/100)</f>
        <v>264.70325789302996</v>
      </c>
      <c r="E7" s="125">
        <f>IF(B7=0,0,(BK7*BY7+BL7*BZ7+BM7*CA7+BQ7*CE7+BN7*CB7+BO7*CC7+BP7*CD7)/B7)</f>
        <v>37.464639887697103</v>
      </c>
      <c r="F7" s="126">
        <f t="shared" ref="F7:F37" si="0">IF(AY7=0,0,D7/AY7)</f>
        <v>2.0847700865797432</v>
      </c>
      <c r="G7" s="127">
        <v>18.53</v>
      </c>
      <c r="H7" s="126">
        <f>IF(AY7=0,0,(CP7+CO7+CS7+CQ7+CT7)/AY7)</f>
        <v>1.6854868189336063</v>
      </c>
      <c r="I7" s="230">
        <f>'[1]июль 20'!AI6</f>
        <v>0</v>
      </c>
      <c r="J7" s="246">
        <f>'[1]сентябрь 20'!AA6</f>
        <v>10.622999999999999</v>
      </c>
      <c r="K7" s="437">
        <f>'[1]сентябрь 20'!AM6</f>
        <v>0</v>
      </c>
      <c r="L7" s="438">
        <f>'[1]сентябрь 20'!AE6</f>
        <v>50.697000000000003</v>
      </c>
      <c r="M7" s="399">
        <f>IF(AY7=0,0,(CR7+CU7)/AY7)</f>
        <v>0.39928329127376549</v>
      </c>
      <c r="N7" s="399">
        <f>'[1]сентябрь 20'!W6</f>
        <v>0</v>
      </c>
      <c r="O7" s="402">
        <f>'[1]сентябрь 20'!AU6</f>
        <v>2.472</v>
      </c>
      <c r="P7" s="125">
        <f t="shared" ref="P7:P37" si="1">CF7+CH7+CI7+CG7</f>
        <v>176.84800300000001</v>
      </c>
      <c r="Q7" s="122">
        <f>'[1]сентябрь 20'!S6</f>
        <v>176.84800000000001</v>
      </c>
      <c r="R7" s="123">
        <f>IF(Q7=0,0,(CI7*CM7+CG7*CK7+CH7*CL7+CF7*CJ7)/Q7)</f>
        <v>3.1900000000000164</v>
      </c>
      <c r="S7" s="129">
        <v>28.8</v>
      </c>
      <c r="T7" s="125">
        <f t="shared" ref="T7:T37" si="2">Q7*((100-R7)/100)</f>
        <v>171.20654879999998</v>
      </c>
      <c r="U7" s="128">
        <f t="shared" ref="U7:U37" si="3">IF(AY7=0,0,T7/AY7)</f>
        <v>1.3484015814759391</v>
      </c>
      <c r="V7" s="130">
        <v>126.97</v>
      </c>
      <c r="W7" s="130">
        <v>97.51</v>
      </c>
      <c r="X7" s="129">
        <v>0.88</v>
      </c>
      <c r="Y7" s="131">
        <v>558</v>
      </c>
      <c r="Z7" s="131">
        <v>1166</v>
      </c>
      <c r="AA7" s="132" t="s">
        <v>187</v>
      </c>
      <c r="AB7" s="129">
        <v>76.010000000000005</v>
      </c>
      <c r="AC7" s="131">
        <v>107</v>
      </c>
      <c r="AD7" s="133">
        <v>4</v>
      </c>
      <c r="AE7" s="129">
        <v>4.8499999999999996</v>
      </c>
      <c r="AF7" s="134">
        <f t="shared" ref="AF7:AF37" si="4">IF(AY7=0,0,AE7/AY7*1000)</f>
        <v>38.197999527447429</v>
      </c>
      <c r="AG7" s="135"/>
      <c r="AH7" s="129">
        <v>78.400000000000006</v>
      </c>
      <c r="AI7" s="134">
        <f t="shared" ref="AI7:AI37" si="5">IF(AY7=0,0,AH7/AY7*1000)</f>
        <v>617.46869339213993</v>
      </c>
      <c r="AJ7" s="136">
        <v>15.14</v>
      </c>
      <c r="AK7" s="127"/>
      <c r="AL7" s="137">
        <v>6.74</v>
      </c>
      <c r="AM7" s="478">
        <f>AT7*0.2</f>
        <v>32.450000000000003</v>
      </c>
      <c r="AN7" s="126">
        <f>IF(AM7=0,0,AM7/AT7)</f>
        <v>0.2</v>
      </c>
      <c r="AO7" s="139" t="s">
        <v>396</v>
      </c>
      <c r="AP7" s="138">
        <v>9.1</v>
      </c>
      <c r="AQ7" s="138">
        <v>7.12</v>
      </c>
      <c r="AR7" s="129"/>
      <c r="AS7" s="129">
        <v>6.79</v>
      </c>
      <c r="AT7" s="129">
        <v>162.25</v>
      </c>
      <c r="AU7" s="129">
        <v>3.91</v>
      </c>
      <c r="AV7" s="129"/>
      <c r="AW7" s="129"/>
      <c r="AX7" s="140">
        <f t="shared" ref="AX7:AX37" si="6">IF(AY7=0,0,AW7/AY7*100)</f>
        <v>0</v>
      </c>
      <c r="AY7" s="125">
        <f t="shared" ref="AY7:AY37" si="7">AT7-AL7-AM7+AV7+AW7+AU7</f>
        <v>126.96999999999998</v>
      </c>
      <c r="AZ7" s="125">
        <f>IF(AB7=0,0,((D7*0.97)*(E7/100)*0.9)/(AB7/100))+DH7</f>
        <v>115.43565921242778</v>
      </c>
      <c r="BA7" s="141">
        <f t="shared" ref="BA7:BA37" si="8">(AH7*AS7)/100*(55/71)</f>
        <v>4.1237295774647889</v>
      </c>
      <c r="BB7" s="142">
        <f t="shared" ref="BB7:BB37" si="9">AY7*$BB$6</f>
        <v>5.0787999999999993</v>
      </c>
      <c r="BC7" s="122">
        <f t="shared" ref="BC7:BC37" si="10">IF((D7*E7)=0,0,(AY7*AB7)/(D7*E7))</f>
        <v>0.9731751330154802</v>
      </c>
      <c r="BD7" s="142">
        <f>BA7+BB7</f>
        <v>9.2025295774647873</v>
      </c>
      <c r="BE7" s="143">
        <v>0.97299999999999998</v>
      </c>
      <c r="BF7" s="25">
        <f>AY7</f>
        <v>126.96999999999998</v>
      </c>
      <c r="BG7" s="25">
        <f t="shared" ref="BG7:BG38" si="11">IF(A7&lt;=$BE$43,$AT$43,0)</f>
        <v>118.33333333333333</v>
      </c>
      <c r="BH7" s="25">
        <f>BG7</f>
        <v>118.33333333333333</v>
      </c>
      <c r="BI7" s="26">
        <f t="shared" ref="BI7:BI37" si="12">IF(AY7&lt;&gt;0,1,0)</f>
        <v>1</v>
      </c>
      <c r="BJ7" s="27">
        <f>BG7*BI7</f>
        <v>118.33333333333333</v>
      </c>
      <c r="BK7" s="28">
        <v>9.9999999999999995E-7</v>
      </c>
      <c r="BL7" s="28">
        <v>195.76300000000001</v>
      </c>
      <c r="BM7" s="28">
        <v>9.9999999999999995E-7</v>
      </c>
      <c r="BN7" s="28">
        <v>42.808</v>
      </c>
      <c r="BO7" s="28">
        <v>9.9999999999999995E-7</v>
      </c>
      <c r="BP7" s="28">
        <v>21.387</v>
      </c>
      <c r="BQ7" s="28">
        <v>7.8890000000000002</v>
      </c>
      <c r="BR7" s="28">
        <v>9.9999999999999995E-7</v>
      </c>
      <c r="BS7" s="28">
        <v>1.43</v>
      </c>
      <c r="BT7" s="28">
        <v>9.9999999999999995E-7</v>
      </c>
      <c r="BU7" s="28">
        <v>9.9999999999999995E-7</v>
      </c>
      <c r="BV7" s="28">
        <v>9.9999999999999995E-7</v>
      </c>
      <c r="BW7" s="28">
        <v>1.61</v>
      </c>
      <c r="BX7" s="28">
        <v>9.9999999999999995E-7</v>
      </c>
      <c r="BY7" s="28">
        <v>9.9999999999999995E-7</v>
      </c>
      <c r="BZ7" s="28">
        <v>36.299999999999997</v>
      </c>
      <c r="CA7" s="28">
        <v>9.9999999999999995E-7</v>
      </c>
      <c r="CB7" s="28">
        <v>43.19</v>
      </c>
      <c r="CC7" s="28">
        <v>9.9999999999999995E-7</v>
      </c>
      <c r="CD7" s="28">
        <v>34.450000000000003</v>
      </c>
      <c r="CE7" s="28">
        <v>43.47</v>
      </c>
      <c r="CF7" s="28">
        <v>176.84800000000001</v>
      </c>
      <c r="CG7" s="28">
        <v>9.9999999999999995E-7</v>
      </c>
      <c r="CH7" s="28">
        <v>9.9999999999999995E-7</v>
      </c>
      <c r="CI7" s="28">
        <v>9.9999999999999995E-7</v>
      </c>
      <c r="CJ7" s="28">
        <v>3.19</v>
      </c>
      <c r="CK7" s="28">
        <v>9.9999999999999995E-7</v>
      </c>
      <c r="CL7" s="28">
        <v>9.9999999999999995E-7</v>
      </c>
      <c r="CM7" s="28">
        <v>9.9999999999999995E-7</v>
      </c>
      <c r="CN7" s="286"/>
      <c r="CO7" s="252">
        <f t="shared" ref="CO7:CU22" si="13">BK7*((100-BR7)/100)</f>
        <v>9.9999998999999992E-7</v>
      </c>
      <c r="CP7" s="11">
        <f t="shared" si="13"/>
        <v>192.96358909999998</v>
      </c>
      <c r="CQ7" s="11">
        <f t="shared" si="13"/>
        <v>9.9999998999999992E-7</v>
      </c>
      <c r="CR7" s="11">
        <f t="shared" si="13"/>
        <v>42.80799957192</v>
      </c>
      <c r="CS7" s="11">
        <f t="shared" si="13"/>
        <v>9.9999998999999992E-7</v>
      </c>
      <c r="CT7" s="11">
        <f t="shared" si="13"/>
        <v>21.0426693</v>
      </c>
      <c r="CU7" s="271">
        <f t="shared" si="13"/>
        <v>7.8889999211100008</v>
      </c>
      <c r="CV7" s="260">
        <f t="shared" ref="CV7:CY37" si="14">CF7*((100-CJ7)/100)</f>
        <v>171.20654880000004</v>
      </c>
      <c r="CW7" s="250">
        <f t="shared" si="14"/>
        <v>9.9999998999999992E-7</v>
      </c>
      <c r="CX7" s="260">
        <f t="shared" si="14"/>
        <v>9.9999998999999992E-7</v>
      </c>
      <c r="CY7" s="271">
        <f t="shared" si="14"/>
        <v>9.9999998999999992E-7</v>
      </c>
      <c r="CZ7" s="13"/>
      <c r="DA7" s="240">
        <f>(D7+'[2]сентябрь 20'!D7)/(AY7+'[2]сентябрь 20'!BA7)</f>
        <v>1.9904302246677059</v>
      </c>
      <c r="DB7" s="241">
        <f>(T7+'[2]сентябрь 20'!T7)/(AY7+'[2]сентябрь 20'!BA7)</f>
        <v>1.2634571624186801</v>
      </c>
      <c r="DD7" s="292">
        <f t="shared" ref="DD7:DD37" si="15">J7</f>
        <v>10.622999999999999</v>
      </c>
      <c r="DE7" s="291">
        <v>0.12</v>
      </c>
      <c r="DF7" s="291">
        <v>11</v>
      </c>
      <c r="DG7" s="145">
        <f t="shared" ref="DG7:DG37" si="16">DD7*((100-DE7)/100)</f>
        <v>10.610252399999998</v>
      </c>
      <c r="DH7" s="293">
        <f>IF(AB7=0,0,(DG7*DF7%)/(AB7/100))</f>
        <v>1.5354923878437043</v>
      </c>
      <c r="DJ7" s="322"/>
    </row>
    <row r="8" spans="1:114" s="76" customFormat="1" ht="16.5" customHeight="1" thickBot="1">
      <c r="A8" s="144">
        <v>2</v>
      </c>
      <c r="B8" s="122">
        <f>'[1]сентябрь 20'!K7</f>
        <v>257.54000000000002</v>
      </c>
      <c r="C8" s="123">
        <f t="shared" ref="C8:C37" si="17">IF(B8=0,0,(BK8*BR8+BL8*BS8+BM8*BT8+BN8*BU8+BQ8*BX8+BO8*BV8+BP8*BW8)/B8)</f>
        <v>0.46302201599751491</v>
      </c>
      <c r="D8" s="145">
        <f t="shared" ref="D8:D37" si="18">B8*((100-C8)/100)</f>
        <v>256.34753310000002</v>
      </c>
      <c r="E8" s="125">
        <f t="shared" ref="E8:E37" si="19">IF(B8=0,0,(BK8*BY8+BL8*BZ8+BM8*CA8+BQ8*CE8+BN8*CB8+BO8*CC8+BP8*CD8)/B8)</f>
        <v>37.734121146229704</v>
      </c>
      <c r="F8" s="146">
        <f t="shared" si="0"/>
        <v>2.1870790299462506</v>
      </c>
      <c r="G8" s="127">
        <v>15.98</v>
      </c>
      <c r="H8" s="126">
        <f t="shared" ref="H8:H37" si="20">IF(AY8=0,0,(CP8+CO8+CS8+CQ8+CT8)/AY8)</f>
        <v>1.792360149304667</v>
      </c>
      <c r="I8" s="230">
        <f>'[1]июль 20'!AI7</f>
        <v>0</v>
      </c>
      <c r="J8" s="247">
        <f>'[1]сентябрь 20'!AA7</f>
        <v>10.063000000000001</v>
      </c>
      <c r="K8" s="464">
        <f>'[1]сентябрь 20'!AM7</f>
        <v>0</v>
      </c>
      <c r="L8" s="247">
        <f>'[1]сентябрь 20'!AE7</f>
        <v>46.265000000000001</v>
      </c>
      <c r="M8" s="468">
        <f t="shared" ref="M8:M37" si="21">IF(AY8=0,0,(CR8+CU8)/AY8)</f>
        <v>0.3947188806415835</v>
      </c>
      <c r="N8" s="403">
        <f>'[1]сентябрь 20'!W7</f>
        <v>0</v>
      </c>
      <c r="O8" s="403">
        <f>'[1]сентябрь 20'!AU7</f>
        <v>3.484</v>
      </c>
      <c r="P8" s="401">
        <f t="shared" si="1"/>
        <v>168.48</v>
      </c>
      <c r="Q8" s="122">
        <f>'[1]сентябрь 20'!S7</f>
        <v>168.48</v>
      </c>
      <c r="R8" s="123">
        <f t="shared" ref="R8:R37" si="22">IF(Q8=0,0,(CI8*CM8+CG8*CK8+CH8*CL8+CF8*CJ8)/Q8)</f>
        <v>2.95</v>
      </c>
      <c r="S8" s="129">
        <v>9.64</v>
      </c>
      <c r="T8" s="125">
        <f t="shared" si="2"/>
        <v>163.50983999999997</v>
      </c>
      <c r="U8" s="147">
        <f t="shared" si="3"/>
        <v>1.3950161249040183</v>
      </c>
      <c r="V8" s="130">
        <v>117.21</v>
      </c>
      <c r="W8" s="130">
        <v>15.71</v>
      </c>
      <c r="X8" s="129">
        <v>1.58</v>
      </c>
      <c r="Y8" s="131">
        <v>582</v>
      </c>
      <c r="Z8" s="131">
        <v>1176</v>
      </c>
      <c r="AA8" s="148" t="s">
        <v>159</v>
      </c>
      <c r="AB8" s="149">
        <v>76.489999999999995</v>
      </c>
      <c r="AC8" s="150">
        <v>103</v>
      </c>
      <c r="AD8" s="151">
        <v>4</v>
      </c>
      <c r="AE8" s="149">
        <v>4.3</v>
      </c>
      <c r="AF8" s="134">
        <f t="shared" si="4"/>
        <v>36.686289565736715</v>
      </c>
      <c r="AG8" s="152"/>
      <c r="AH8" s="129">
        <v>68.5</v>
      </c>
      <c r="AI8" s="134">
        <f t="shared" si="5"/>
        <v>584.42112447743364</v>
      </c>
      <c r="AJ8" s="153">
        <v>16.399999999999999</v>
      </c>
      <c r="AK8" s="154"/>
      <c r="AL8" s="155">
        <v>5.53</v>
      </c>
      <c r="AM8" s="478">
        <f t="shared" ref="AM8:AM37" si="23">AT8*0.2</f>
        <v>30.430000000000003</v>
      </c>
      <c r="AN8" s="126">
        <f t="shared" ref="AN8:AN37" si="24">IF(AM8=0,0,AM8/AT8)</f>
        <v>0.2</v>
      </c>
      <c r="AO8" s="157" t="s">
        <v>148</v>
      </c>
      <c r="AP8" s="156">
        <v>9.4499999999999993</v>
      </c>
      <c r="AQ8" s="156">
        <v>7.05</v>
      </c>
      <c r="AR8" s="149"/>
      <c r="AS8" s="149">
        <v>5.52</v>
      </c>
      <c r="AT8" s="149">
        <v>152.15</v>
      </c>
      <c r="AU8" s="149">
        <v>1.02</v>
      </c>
      <c r="AV8" s="149"/>
      <c r="AW8" s="149"/>
      <c r="AX8" s="158">
        <f t="shared" si="6"/>
        <v>0</v>
      </c>
      <c r="AY8" s="125">
        <f t="shared" si="7"/>
        <v>117.21</v>
      </c>
      <c r="AZ8" s="125">
        <f t="shared" ref="AZ8:AZ37" si="25">IF(AB8=0,0,((D8*0.97)*(E8/100)*0.9)/(AB8/100))+DH8</f>
        <v>111.72678134854097</v>
      </c>
      <c r="BA8" s="159">
        <f t="shared" si="8"/>
        <v>2.9290985915492955</v>
      </c>
      <c r="BB8" s="160">
        <f t="shared" si="9"/>
        <v>4.6883999999999997</v>
      </c>
      <c r="BC8" s="161">
        <f t="shared" si="10"/>
        <v>0.926842510662646</v>
      </c>
      <c r="BD8" s="160">
        <f t="shared" ref="BD8:BD37" si="26">BA8+BB8</f>
        <v>7.6174985915492952</v>
      </c>
      <c r="BE8" s="162">
        <v>0.95</v>
      </c>
      <c r="BF8" s="25">
        <f t="shared" ref="BF8:BF37" si="27">BF7+AY8</f>
        <v>244.17999999999998</v>
      </c>
      <c r="BG8" s="25">
        <f t="shared" si="11"/>
        <v>118.33333333333333</v>
      </c>
      <c r="BH8" s="25">
        <f t="shared" ref="BH8:BH37" si="28">BG8+BH7</f>
        <v>236.66666666666666</v>
      </c>
      <c r="BI8" s="26">
        <f t="shared" si="12"/>
        <v>1</v>
      </c>
      <c r="BJ8" s="27">
        <f t="shared" ref="BJ8:BJ37" si="29">BG8*BI8+BJ7</f>
        <v>236.66666666666666</v>
      </c>
      <c r="BK8" s="30"/>
      <c r="BL8" s="31">
        <v>190.65799999999999</v>
      </c>
      <c r="BM8" s="31"/>
      <c r="BN8" s="31">
        <v>41.192999999999998</v>
      </c>
      <c r="BO8" s="40"/>
      <c r="BP8" s="40">
        <v>20.617000000000001</v>
      </c>
      <c r="BQ8" s="32">
        <v>5.0720000000000001</v>
      </c>
      <c r="BR8" s="33"/>
      <c r="BS8" s="34">
        <v>0.46</v>
      </c>
      <c r="BT8" s="35"/>
      <c r="BU8" s="28"/>
      <c r="BV8" s="287"/>
      <c r="BW8" s="28">
        <v>1.53</v>
      </c>
      <c r="BX8" s="36"/>
      <c r="BY8" s="33"/>
      <c r="BZ8" s="34">
        <v>36.76</v>
      </c>
      <c r="CA8" s="35"/>
      <c r="CB8" s="35">
        <v>43.38</v>
      </c>
      <c r="CC8" s="235"/>
      <c r="CD8" s="235">
        <v>34.1</v>
      </c>
      <c r="CE8" s="36">
        <v>43.27</v>
      </c>
      <c r="CF8" s="30">
        <v>168.48</v>
      </c>
      <c r="CG8" s="30"/>
      <c r="CH8" s="31"/>
      <c r="CI8" s="32"/>
      <c r="CJ8" s="33">
        <v>2.95</v>
      </c>
      <c r="CK8" s="33"/>
      <c r="CL8" s="35"/>
      <c r="CM8" s="28"/>
      <c r="CN8" s="286"/>
      <c r="CO8" s="249">
        <f t="shared" si="13"/>
        <v>0</v>
      </c>
      <c r="CP8" s="12">
        <f t="shared" si="13"/>
        <v>189.78097320000001</v>
      </c>
      <c r="CQ8" s="12">
        <f t="shared" si="13"/>
        <v>0</v>
      </c>
      <c r="CR8" s="12">
        <f t="shared" si="13"/>
        <v>41.192999999999998</v>
      </c>
      <c r="CS8" s="11">
        <f t="shared" si="13"/>
        <v>0</v>
      </c>
      <c r="CT8" s="11">
        <f t="shared" si="13"/>
        <v>20.301559900000001</v>
      </c>
      <c r="CU8" s="272">
        <f t="shared" si="13"/>
        <v>5.0720000000000001</v>
      </c>
      <c r="CV8" s="249">
        <f t="shared" si="14"/>
        <v>163.50983999999997</v>
      </c>
      <c r="CW8" s="12">
        <f t="shared" si="14"/>
        <v>0</v>
      </c>
      <c r="CX8" s="254">
        <f t="shared" si="14"/>
        <v>0</v>
      </c>
      <c r="CY8" s="272">
        <f t="shared" si="14"/>
        <v>0</v>
      </c>
      <c r="CZ8" s="13"/>
      <c r="DA8" s="240">
        <f>(D8+'[2]сентябрь 20'!D8)/(AY8+'[2]сентябрь 20'!BA8)</f>
        <v>2.1936995673875863</v>
      </c>
      <c r="DB8" s="241">
        <f>(T8+'[2]сентябрь 20'!T8)/(AY8+'[2]сентябрь 20'!BA8)</f>
        <v>1.380064869180486</v>
      </c>
      <c r="DD8" s="292">
        <f t="shared" si="15"/>
        <v>10.063000000000001</v>
      </c>
      <c r="DE8" s="291">
        <v>0.42</v>
      </c>
      <c r="DF8" s="291">
        <v>10.119999999999999</v>
      </c>
      <c r="DG8" s="145">
        <f t="shared" si="16"/>
        <v>10.020735400000001</v>
      </c>
      <c r="DH8" s="293">
        <f t="shared" ref="DH8:DH37" si="30">IF(AB8=0,0,(DG8*DF8%)/(AB8/100))</f>
        <v>1.3257921590796184</v>
      </c>
      <c r="DJ8" s="322"/>
    </row>
    <row r="9" spans="1:114" s="76" customFormat="1" ht="16.5" customHeight="1" thickBot="1">
      <c r="A9" s="144">
        <v>3</v>
      </c>
      <c r="B9" s="122">
        <f>'[1]сентябрь 20'!K8</f>
        <v>257.649</v>
      </c>
      <c r="C9" s="123">
        <f t="shared" si="17"/>
        <v>0.65775368815714408</v>
      </c>
      <c r="D9" s="145">
        <f>B9*((100-C9)/100)</f>
        <v>255.9543042</v>
      </c>
      <c r="E9" s="125">
        <f t="shared" si="19"/>
        <v>37.166148170573152</v>
      </c>
      <c r="F9" s="146">
        <f t="shared" si="0"/>
        <v>1.8952558622732318</v>
      </c>
      <c r="G9" s="127"/>
      <c r="H9" s="126">
        <f t="shared" si="20"/>
        <v>1.5513461991854869</v>
      </c>
      <c r="I9" s="230">
        <f>'[1]июль 20'!AI8</f>
        <v>0</v>
      </c>
      <c r="J9" s="247">
        <f>'[1]сентябрь 20'!AA8</f>
        <v>10.5</v>
      </c>
      <c r="K9" s="465">
        <f>'[1]сентябрь 20'!AM8</f>
        <v>0</v>
      </c>
      <c r="L9" s="247">
        <f>'[1]сентябрь 20'!AE8</f>
        <v>46.445</v>
      </c>
      <c r="M9" s="469">
        <f t="shared" si="21"/>
        <v>0.34390966308774523</v>
      </c>
      <c r="N9" s="403">
        <f>'[1]сентябрь 20'!W8</f>
        <v>0</v>
      </c>
      <c r="O9" s="403">
        <f>'[1]сентябрь 20'!AU8</f>
        <v>4.4210000000000003</v>
      </c>
      <c r="P9" s="401">
        <f t="shared" si="1"/>
        <v>166.315</v>
      </c>
      <c r="Q9" s="122">
        <f>'[1]сентябрь 20'!S8</f>
        <v>166.315</v>
      </c>
      <c r="R9" s="123">
        <f t="shared" si="22"/>
        <v>2.97</v>
      </c>
      <c r="S9" s="129">
        <v>9.08</v>
      </c>
      <c r="T9" s="125">
        <f t="shared" si="2"/>
        <v>161.37544450000001</v>
      </c>
      <c r="U9" s="147">
        <f>IF(AY9=0,0,T9/AY9)</f>
        <v>1.1949310958904109</v>
      </c>
      <c r="V9" s="130">
        <v>135.05000000000001</v>
      </c>
      <c r="W9" s="130">
        <v>69.66</v>
      </c>
      <c r="X9" s="129">
        <v>1.38</v>
      </c>
      <c r="Y9" s="131">
        <v>567</v>
      </c>
      <c r="Z9" s="131">
        <v>1181</v>
      </c>
      <c r="AA9" s="148" t="s">
        <v>116</v>
      </c>
      <c r="AB9" s="149">
        <v>76.64</v>
      </c>
      <c r="AC9" s="150">
        <v>103</v>
      </c>
      <c r="AD9" s="151">
        <v>4</v>
      </c>
      <c r="AE9" s="149">
        <v>5.8</v>
      </c>
      <c r="AF9" s="134">
        <f t="shared" si="4"/>
        <v>42.947056645686779</v>
      </c>
      <c r="AG9" s="152"/>
      <c r="AH9" s="129">
        <v>68</v>
      </c>
      <c r="AI9" s="134">
        <f t="shared" si="5"/>
        <v>503.51721584598295</v>
      </c>
      <c r="AJ9" s="153">
        <v>17.600000000000001</v>
      </c>
      <c r="AK9" s="154"/>
      <c r="AL9" s="155">
        <v>5.65</v>
      </c>
      <c r="AM9" s="478">
        <f t="shared" si="23"/>
        <v>34.85</v>
      </c>
      <c r="AN9" s="126">
        <f t="shared" si="24"/>
        <v>0.2</v>
      </c>
      <c r="AO9" s="157" t="s">
        <v>397</v>
      </c>
      <c r="AP9" s="156">
        <v>9.59</v>
      </c>
      <c r="AQ9" s="156">
        <v>6.94</v>
      </c>
      <c r="AR9" s="149"/>
      <c r="AS9" s="149">
        <v>5.26</v>
      </c>
      <c r="AT9" s="149">
        <v>174.25</v>
      </c>
      <c r="AU9" s="149">
        <v>1.3</v>
      </c>
      <c r="AV9" s="149"/>
      <c r="AW9" s="149"/>
      <c r="AX9" s="158">
        <f t="shared" si="6"/>
        <v>0</v>
      </c>
      <c r="AY9" s="125">
        <f t="shared" si="7"/>
        <v>135.05000000000001</v>
      </c>
      <c r="AZ9" s="125">
        <f t="shared" si="25"/>
        <v>109.89237373766211</v>
      </c>
      <c r="BA9" s="159">
        <f t="shared" si="8"/>
        <v>2.7707605633802816</v>
      </c>
      <c r="BB9" s="160">
        <f t="shared" si="9"/>
        <v>5.4020000000000001</v>
      </c>
      <c r="BC9" s="161">
        <f t="shared" si="10"/>
        <v>1.0880280539763765</v>
      </c>
      <c r="BD9" s="160">
        <f t="shared" si="26"/>
        <v>8.1727605633802813</v>
      </c>
      <c r="BE9" s="162">
        <v>0.996</v>
      </c>
      <c r="BF9" s="25">
        <f t="shared" si="27"/>
        <v>379.23</v>
      </c>
      <c r="BG9" s="25">
        <f t="shared" si="11"/>
        <v>118.33333333333333</v>
      </c>
      <c r="BH9" s="25">
        <f t="shared" si="28"/>
        <v>355</v>
      </c>
      <c r="BI9" s="26">
        <f t="shared" si="12"/>
        <v>1</v>
      </c>
      <c r="BJ9" s="37">
        <f t="shared" si="29"/>
        <v>355</v>
      </c>
      <c r="BK9" s="38"/>
      <c r="BL9" s="31">
        <v>190.62200000000001</v>
      </c>
      <c r="BM9" s="31"/>
      <c r="BN9" s="31">
        <v>41.238</v>
      </c>
      <c r="BO9" s="40"/>
      <c r="BP9" s="40">
        <v>20.582000000000001</v>
      </c>
      <c r="BQ9" s="32">
        <v>5.2069999999999999</v>
      </c>
      <c r="BR9" s="33"/>
      <c r="BS9" s="34">
        <v>0.55000000000000004</v>
      </c>
      <c r="BT9" s="35"/>
      <c r="BU9" s="28"/>
      <c r="BV9" s="287"/>
      <c r="BW9" s="287">
        <v>3.14</v>
      </c>
      <c r="BX9" s="36"/>
      <c r="BY9" s="33"/>
      <c r="BZ9" s="34">
        <v>36.090000000000003</v>
      </c>
      <c r="CA9" s="35"/>
      <c r="CB9" s="35">
        <v>43.13</v>
      </c>
      <c r="CC9" s="235"/>
      <c r="CD9" s="235">
        <v>33.67</v>
      </c>
      <c r="CE9" s="36">
        <v>43.15</v>
      </c>
      <c r="CF9" s="30">
        <v>166.315</v>
      </c>
      <c r="CG9" s="30"/>
      <c r="CH9" s="31"/>
      <c r="CI9" s="32"/>
      <c r="CJ9" s="33">
        <v>2.97</v>
      </c>
      <c r="CK9" s="33"/>
      <c r="CL9" s="35"/>
      <c r="CM9" s="36"/>
      <c r="CN9" s="286"/>
      <c r="CO9" s="249">
        <f t="shared" si="13"/>
        <v>0</v>
      </c>
      <c r="CP9" s="12">
        <f t="shared" si="13"/>
        <v>189.57357900000002</v>
      </c>
      <c r="CQ9" s="12">
        <f t="shared" si="13"/>
        <v>0</v>
      </c>
      <c r="CR9" s="12">
        <f t="shared" si="13"/>
        <v>41.238</v>
      </c>
      <c r="CS9" s="11">
        <f t="shared" si="13"/>
        <v>0</v>
      </c>
      <c r="CT9" s="11">
        <f t="shared" si="13"/>
        <v>19.9357252</v>
      </c>
      <c r="CU9" s="272">
        <f t="shared" si="13"/>
        <v>5.2069999999999999</v>
      </c>
      <c r="CV9" s="249">
        <f t="shared" si="14"/>
        <v>161.37544450000001</v>
      </c>
      <c r="CW9" s="251">
        <f t="shared" si="14"/>
        <v>0</v>
      </c>
      <c r="CX9" s="249">
        <f t="shared" si="14"/>
        <v>0</v>
      </c>
      <c r="CY9" s="272">
        <f t="shared" si="14"/>
        <v>0</v>
      </c>
      <c r="CZ9" s="13"/>
      <c r="DA9" s="240">
        <f>(D9+'[2]сентябрь 20'!D9)/(AY9+'[2]сентябрь 20'!BA9)</f>
        <v>2.0083754372982345</v>
      </c>
      <c r="DB9" s="241">
        <f>(T9+'[2]сентябрь 20'!T9)/(AY9+'[2]сентябрь 20'!BA9)</f>
        <v>1.254394149550013</v>
      </c>
      <c r="DD9" s="292">
        <f t="shared" si="15"/>
        <v>10.5</v>
      </c>
      <c r="DE9" s="291">
        <v>0.22</v>
      </c>
      <c r="DF9" s="291">
        <v>11.21</v>
      </c>
      <c r="DG9" s="145">
        <f t="shared" si="16"/>
        <v>10.476900000000001</v>
      </c>
      <c r="DH9" s="293">
        <f t="shared" si="30"/>
        <v>1.5324380088726517</v>
      </c>
      <c r="DJ9" s="322"/>
    </row>
    <row r="10" spans="1:114" s="76" customFormat="1" ht="16.5" customHeight="1" thickBot="1">
      <c r="A10" s="144">
        <v>4</v>
      </c>
      <c r="B10" s="122">
        <f>'[1]сентябрь 20'!K9</f>
        <v>260.13</v>
      </c>
      <c r="C10" s="123">
        <f t="shared" si="17"/>
        <v>0.79664633068081336</v>
      </c>
      <c r="D10" s="145">
        <f t="shared" si="18"/>
        <v>258.05768389999997</v>
      </c>
      <c r="E10" s="125">
        <f>IF(B10=0,0,(BK10*BY10+BL10*BZ10+BM10*CA10+BQ10*CE10+BN10*CB10+BO10*CC10+BP10*CD10)/B10)</f>
        <v>37.736456963825781</v>
      </c>
      <c r="F10" s="146">
        <f t="shared" si="0"/>
        <v>2.1062494604962452</v>
      </c>
      <c r="G10" s="127">
        <v>28.26</v>
      </c>
      <c r="H10" s="126">
        <f t="shared" si="20"/>
        <v>1.7240914454782892</v>
      </c>
      <c r="I10" s="230">
        <f>'[1]июль 20'!AI9</f>
        <v>0</v>
      </c>
      <c r="J10" s="247">
        <f>'[1]сентябрь 20'!AA9</f>
        <v>10.749000000000001</v>
      </c>
      <c r="K10" s="466">
        <f>'[1]сентябрь 20'!AM9</f>
        <v>0</v>
      </c>
      <c r="L10" s="247">
        <f>'[1]сентябрь 20'!AE9</f>
        <v>46.822000000000003</v>
      </c>
      <c r="M10" s="470">
        <f t="shared" si="21"/>
        <v>0.38215801501795627</v>
      </c>
      <c r="N10" s="403">
        <f>'[1]сентябрь 20'!W9</f>
        <v>0</v>
      </c>
      <c r="O10" s="403">
        <f>'[1]сентябрь 20'!AU9</f>
        <v>5.79</v>
      </c>
      <c r="P10" s="401">
        <f t="shared" si="1"/>
        <v>166.37200000000001</v>
      </c>
      <c r="Q10" s="122">
        <f>'[1]сентябрь 20'!S9</f>
        <v>166.37200000000001</v>
      </c>
      <c r="R10" s="123">
        <f t="shared" si="22"/>
        <v>2.92</v>
      </c>
      <c r="S10" s="129">
        <v>2.23</v>
      </c>
      <c r="T10" s="125">
        <f t="shared" si="2"/>
        <v>161.51393760000002</v>
      </c>
      <c r="U10" s="147">
        <f t="shared" si="3"/>
        <v>1.3182658961802156</v>
      </c>
      <c r="V10" s="130">
        <v>94.1</v>
      </c>
      <c r="W10" s="130"/>
      <c r="X10" s="129">
        <v>1.99</v>
      </c>
      <c r="Y10" s="131">
        <v>598</v>
      </c>
      <c r="Z10" s="131">
        <v>1173</v>
      </c>
      <c r="AA10" s="148" t="s">
        <v>150</v>
      </c>
      <c r="AB10" s="149">
        <v>75.84</v>
      </c>
      <c r="AC10" s="150">
        <v>104</v>
      </c>
      <c r="AD10" s="151">
        <v>4</v>
      </c>
      <c r="AE10" s="149">
        <v>4.6500000000000004</v>
      </c>
      <c r="AF10" s="134">
        <f t="shared" si="4"/>
        <v>37.952987267384913</v>
      </c>
      <c r="AG10" s="152"/>
      <c r="AH10" s="129">
        <v>73.900000000000006</v>
      </c>
      <c r="AI10" s="134">
        <f t="shared" si="5"/>
        <v>603.16682990532161</v>
      </c>
      <c r="AJ10" s="153">
        <v>18.100000000000001</v>
      </c>
      <c r="AK10" s="154"/>
      <c r="AL10" s="155">
        <v>6.63</v>
      </c>
      <c r="AM10" s="478">
        <f t="shared" si="23"/>
        <v>31.980000000000004</v>
      </c>
      <c r="AN10" s="126">
        <f t="shared" si="24"/>
        <v>0.2</v>
      </c>
      <c r="AO10" s="157" t="s">
        <v>154</v>
      </c>
      <c r="AP10" s="156">
        <v>9.26</v>
      </c>
      <c r="AQ10" s="156">
        <v>7.12</v>
      </c>
      <c r="AR10" s="149"/>
      <c r="AS10" s="149">
        <v>5.78</v>
      </c>
      <c r="AT10" s="149">
        <v>159.9</v>
      </c>
      <c r="AU10" s="149">
        <v>1.23</v>
      </c>
      <c r="AV10" s="149"/>
      <c r="AW10" s="149"/>
      <c r="AX10" s="158">
        <f t="shared" si="6"/>
        <v>0</v>
      </c>
      <c r="AY10" s="125">
        <f>AT10-AL10-AM10+AV10+AW10+AU10</f>
        <v>122.52000000000001</v>
      </c>
      <c r="AZ10" s="125">
        <f t="shared" si="25"/>
        <v>113.6260255616685</v>
      </c>
      <c r="BA10" s="159">
        <f t="shared" si="8"/>
        <v>3.3088464788732401</v>
      </c>
      <c r="BB10" s="160">
        <f t="shared" si="9"/>
        <v>4.9008000000000003</v>
      </c>
      <c r="BC10" s="161">
        <f t="shared" si="10"/>
        <v>0.95417359714654348</v>
      </c>
      <c r="BD10" s="160">
        <f t="shared" si="26"/>
        <v>8.2096464788732408</v>
      </c>
      <c r="BE10" s="162">
        <v>0.98499999999999999</v>
      </c>
      <c r="BF10" s="25">
        <f t="shared" si="27"/>
        <v>501.75</v>
      </c>
      <c r="BG10" s="25">
        <f t="shared" si="11"/>
        <v>118.33333333333333</v>
      </c>
      <c r="BH10" s="25">
        <f t="shared" si="28"/>
        <v>473.33333333333331</v>
      </c>
      <c r="BI10" s="26">
        <f t="shared" si="12"/>
        <v>1</v>
      </c>
      <c r="BJ10" s="37">
        <f t="shared" si="29"/>
        <v>473.33333333333331</v>
      </c>
      <c r="BK10" s="38"/>
      <c r="BL10" s="31">
        <v>192.45699999999999</v>
      </c>
      <c r="BM10" s="31"/>
      <c r="BN10" s="31">
        <v>41.609000000000002</v>
      </c>
      <c r="BO10" s="40"/>
      <c r="BP10" s="40">
        <v>20.850999999999999</v>
      </c>
      <c r="BQ10" s="32">
        <v>5.2130000000000001</v>
      </c>
      <c r="BR10" s="33"/>
      <c r="BS10" s="34">
        <v>0.82</v>
      </c>
      <c r="BT10" s="35"/>
      <c r="BU10" s="28"/>
      <c r="BV10" s="287"/>
      <c r="BW10" s="287">
        <v>2.37</v>
      </c>
      <c r="BX10" s="36"/>
      <c r="BY10" s="33"/>
      <c r="BZ10" s="34">
        <v>36.89</v>
      </c>
      <c r="CA10" s="35"/>
      <c r="CB10" s="35">
        <v>43.61</v>
      </c>
      <c r="CC10" s="235"/>
      <c r="CD10" s="235">
        <v>32.32</v>
      </c>
      <c r="CE10" s="36">
        <v>43.77</v>
      </c>
      <c r="CF10" s="30">
        <v>166.37200000000001</v>
      </c>
      <c r="CG10" s="30"/>
      <c r="CH10" s="31"/>
      <c r="CI10" s="32"/>
      <c r="CJ10" s="33">
        <v>2.92</v>
      </c>
      <c r="CK10" s="33"/>
      <c r="CL10" s="35"/>
      <c r="CM10" s="36"/>
      <c r="CN10" s="286"/>
      <c r="CO10" s="249">
        <f t="shared" si="13"/>
        <v>0</v>
      </c>
      <c r="CP10" s="12">
        <f t="shared" si="13"/>
        <v>190.87885259999999</v>
      </c>
      <c r="CQ10" s="12">
        <f t="shared" si="13"/>
        <v>0</v>
      </c>
      <c r="CR10" s="14">
        <f t="shared" si="13"/>
        <v>41.609000000000002</v>
      </c>
      <c r="CS10" s="11">
        <f t="shared" si="13"/>
        <v>0</v>
      </c>
      <c r="CT10" s="11">
        <f t="shared" si="13"/>
        <v>20.3568313</v>
      </c>
      <c r="CU10" s="272">
        <f t="shared" si="13"/>
        <v>5.2130000000000001</v>
      </c>
      <c r="CV10" s="249">
        <f t="shared" si="14"/>
        <v>161.51393760000002</v>
      </c>
      <c r="CW10" s="12">
        <f t="shared" si="14"/>
        <v>0</v>
      </c>
      <c r="CX10" s="249">
        <f t="shared" si="14"/>
        <v>0</v>
      </c>
      <c r="CY10" s="272">
        <f t="shared" si="14"/>
        <v>0</v>
      </c>
      <c r="CZ10" s="13"/>
      <c r="DA10" s="240">
        <f>(D10+'[2]сентябрь 20'!D10)/(AY10+'[2]сентябрь 20'!BA10)</f>
        <v>2.2779166210180946</v>
      </c>
      <c r="DB10" s="241">
        <f>(T10+'[2]сентябрь 20'!T10)/(AY10+'[2]сентябрь 20'!BA10)</f>
        <v>1.4182594423204817</v>
      </c>
      <c r="DD10" s="292">
        <f t="shared" si="15"/>
        <v>10.749000000000001</v>
      </c>
      <c r="DE10" s="291">
        <v>0.2</v>
      </c>
      <c r="DF10" s="291">
        <v>10.81</v>
      </c>
      <c r="DG10" s="145">
        <f t="shared" si="16"/>
        <v>10.727502000000001</v>
      </c>
      <c r="DH10" s="293">
        <f t="shared" si="30"/>
        <v>1.5290650925632912</v>
      </c>
      <c r="DJ10" s="322"/>
    </row>
    <row r="11" spans="1:114" s="76" customFormat="1" ht="16.5" customHeight="1" thickBot="1">
      <c r="A11" s="144">
        <v>5</v>
      </c>
      <c r="B11" s="122">
        <f>'[1]сентябрь 20'!K10</f>
        <v>252.49</v>
      </c>
      <c r="C11" s="123">
        <f t="shared" si="17"/>
        <v>0.70106190344172048</v>
      </c>
      <c r="D11" s="145">
        <f t="shared" si="18"/>
        <v>250.71988880000001</v>
      </c>
      <c r="E11" s="125">
        <f t="shared" si="19"/>
        <v>37.299917145233479</v>
      </c>
      <c r="F11" s="146">
        <f t="shared" si="0"/>
        <v>1.9131620663868756</v>
      </c>
      <c r="G11" s="127">
        <v>16.350000000000001</v>
      </c>
      <c r="H11" s="126">
        <f t="shared" si="20"/>
        <v>1.5668972819534532</v>
      </c>
      <c r="I11" s="230">
        <f>'[1]июль 20'!AI10</f>
        <v>0</v>
      </c>
      <c r="J11" s="247">
        <f>'[1]сентябрь 20'!AA10</f>
        <v>10.679</v>
      </c>
      <c r="K11" s="464">
        <f>'[1]сентябрь 20'!AM10</f>
        <v>0</v>
      </c>
      <c r="L11" s="247">
        <f>'[1]сентябрь 20'!AE10</f>
        <v>45.378</v>
      </c>
      <c r="M11" s="468">
        <f t="shared" si="21"/>
        <v>0.3462647844334224</v>
      </c>
      <c r="N11" s="403">
        <f>'[1]сентябрь 20'!W10</f>
        <v>0</v>
      </c>
      <c r="O11" s="403">
        <f>'[1]сентябрь 20'!AU10</f>
        <v>5.9850000000000003</v>
      </c>
      <c r="P11" s="401">
        <f t="shared" si="1"/>
        <v>159.714</v>
      </c>
      <c r="Q11" s="122">
        <f>'[1]сентябрь 20'!S10</f>
        <v>159.714</v>
      </c>
      <c r="R11" s="123">
        <f t="shared" si="22"/>
        <v>3.08</v>
      </c>
      <c r="S11" s="129">
        <v>15.8</v>
      </c>
      <c r="T11" s="125">
        <f t="shared" si="2"/>
        <v>154.7948088</v>
      </c>
      <c r="U11" s="147">
        <f t="shared" si="3"/>
        <v>1.1811889263639834</v>
      </c>
      <c r="V11" s="130">
        <v>131.05000000000001</v>
      </c>
      <c r="W11" s="130">
        <v>69.45</v>
      </c>
      <c r="X11" s="129">
        <v>1.1499999999999999</v>
      </c>
      <c r="Y11" s="131">
        <v>582</v>
      </c>
      <c r="Z11" s="131">
        <v>1175</v>
      </c>
      <c r="AA11" s="148" t="s">
        <v>122</v>
      </c>
      <c r="AB11" s="149">
        <v>76.27</v>
      </c>
      <c r="AC11" s="150">
        <v>101</v>
      </c>
      <c r="AD11" s="151">
        <v>4</v>
      </c>
      <c r="AE11" s="149">
        <v>5.15</v>
      </c>
      <c r="AF11" s="134">
        <f t="shared" si="4"/>
        <v>39.297977871041596</v>
      </c>
      <c r="AG11" s="152"/>
      <c r="AH11" s="129">
        <v>83.05</v>
      </c>
      <c r="AI11" s="134">
        <f t="shared" si="5"/>
        <v>633.72758489126295</v>
      </c>
      <c r="AJ11" s="163">
        <v>14.19</v>
      </c>
      <c r="AK11" s="154"/>
      <c r="AL11" s="155">
        <v>6.48</v>
      </c>
      <c r="AM11" s="478">
        <f t="shared" si="23"/>
        <v>34.089999999999996</v>
      </c>
      <c r="AN11" s="126">
        <f t="shared" si="24"/>
        <v>0.19999999999999998</v>
      </c>
      <c r="AO11" s="157" t="s">
        <v>398</v>
      </c>
      <c r="AP11" s="156">
        <v>8.41</v>
      </c>
      <c r="AQ11" s="156">
        <v>7.02</v>
      </c>
      <c r="AR11" s="149"/>
      <c r="AS11" s="149">
        <v>7.18</v>
      </c>
      <c r="AT11" s="149">
        <v>170.45</v>
      </c>
      <c r="AU11" s="149">
        <v>1.17</v>
      </c>
      <c r="AV11" s="149"/>
      <c r="AW11" s="149"/>
      <c r="AX11" s="158">
        <f t="shared" si="6"/>
        <v>0</v>
      </c>
      <c r="AY11" s="125">
        <f t="shared" si="7"/>
        <v>131.04999999999998</v>
      </c>
      <c r="AZ11" s="125">
        <f t="shared" si="25"/>
        <v>108.42082233519835</v>
      </c>
      <c r="BA11" s="159">
        <f t="shared" si="8"/>
        <v>4.6192176056338026</v>
      </c>
      <c r="BB11" s="160">
        <f t="shared" si="9"/>
        <v>5.2419999999999991</v>
      </c>
      <c r="BC11" s="161">
        <f t="shared" si="10"/>
        <v>1.0687942730861826</v>
      </c>
      <c r="BD11" s="160">
        <f t="shared" si="26"/>
        <v>9.8612176056338008</v>
      </c>
      <c r="BE11" s="162">
        <v>1.0009999999999999</v>
      </c>
      <c r="BF11" s="25">
        <f t="shared" si="27"/>
        <v>632.79999999999995</v>
      </c>
      <c r="BG11" s="25">
        <f t="shared" si="11"/>
        <v>118.33333333333333</v>
      </c>
      <c r="BH11" s="25">
        <f t="shared" si="28"/>
        <v>591.66666666666663</v>
      </c>
      <c r="BI11" s="26">
        <f t="shared" si="12"/>
        <v>1</v>
      </c>
      <c r="BJ11" s="37">
        <f t="shared" si="29"/>
        <v>591.66666666666663</v>
      </c>
      <c r="BK11" s="38"/>
      <c r="BL11" s="31">
        <v>186.89500000000001</v>
      </c>
      <c r="BM11" s="31"/>
      <c r="BN11" s="31">
        <v>40.395000000000003</v>
      </c>
      <c r="BO11" s="40"/>
      <c r="BP11" s="40">
        <v>20.216999999999999</v>
      </c>
      <c r="BQ11" s="32">
        <v>4.9829999999999997</v>
      </c>
      <c r="BR11" s="33"/>
      <c r="BS11" s="34">
        <v>0.8</v>
      </c>
      <c r="BT11" s="35"/>
      <c r="BU11" s="28"/>
      <c r="BV11" s="287"/>
      <c r="BW11" s="287">
        <v>1.36</v>
      </c>
      <c r="BX11" s="36"/>
      <c r="BY11" s="33"/>
      <c r="BZ11" s="34">
        <v>36.21</v>
      </c>
      <c r="CA11" s="35"/>
      <c r="CB11" s="35">
        <v>42.99</v>
      </c>
      <c r="CC11" s="235"/>
      <c r="CD11" s="235">
        <v>34.53</v>
      </c>
      <c r="CE11" s="36">
        <v>43.29</v>
      </c>
      <c r="CF11" s="30">
        <v>159.714</v>
      </c>
      <c r="CG11" s="30"/>
      <c r="CH11" s="31"/>
      <c r="CI11" s="32"/>
      <c r="CJ11" s="33">
        <v>3.08</v>
      </c>
      <c r="CK11" s="33"/>
      <c r="CL11" s="35"/>
      <c r="CM11" s="36"/>
      <c r="CN11" s="286"/>
      <c r="CO11" s="249">
        <f t="shared" si="13"/>
        <v>0</v>
      </c>
      <c r="CP11" s="12">
        <f t="shared" si="13"/>
        <v>185.39984000000001</v>
      </c>
      <c r="CQ11" s="15">
        <f t="shared" si="13"/>
        <v>0</v>
      </c>
      <c r="CR11" s="16">
        <f t="shared" si="13"/>
        <v>40.395000000000003</v>
      </c>
      <c r="CS11" s="11">
        <f t="shared" si="13"/>
        <v>0</v>
      </c>
      <c r="CT11" s="11">
        <f t="shared" si="13"/>
        <v>19.942048799999998</v>
      </c>
      <c r="CU11" s="272">
        <f t="shared" si="13"/>
        <v>4.9829999999999997</v>
      </c>
      <c r="CV11" s="249">
        <f t="shared" si="14"/>
        <v>154.7948088</v>
      </c>
      <c r="CW11" s="12">
        <f t="shared" si="14"/>
        <v>0</v>
      </c>
      <c r="CX11" s="249">
        <f t="shared" si="14"/>
        <v>0</v>
      </c>
      <c r="CY11" s="272">
        <f t="shared" si="14"/>
        <v>0</v>
      </c>
      <c r="CZ11" s="13"/>
      <c r="DA11" s="240">
        <f>(D11+'[2]сентябрь 20'!D11)/(AY11+'[2]сентябрь 20'!BA11)</f>
        <v>2.0595837139245661</v>
      </c>
      <c r="DB11" s="241">
        <f>(T11+'[2]сентябрь 20'!T11)/(AY11+'[2]сентябрь 20'!BA11)</f>
        <v>1.2703104695789755</v>
      </c>
      <c r="DD11" s="292">
        <f t="shared" si="15"/>
        <v>10.679</v>
      </c>
      <c r="DE11" s="291">
        <v>0.38</v>
      </c>
      <c r="DF11" s="407">
        <v>9.8800000000000008</v>
      </c>
      <c r="DG11" s="145">
        <f t="shared" si="16"/>
        <v>10.638419800000001</v>
      </c>
      <c r="DH11" s="293">
        <f t="shared" si="30"/>
        <v>1.3780986970499547</v>
      </c>
      <c r="DJ11" s="322"/>
    </row>
    <row r="12" spans="1:114" s="76" customFormat="1" ht="16.5" customHeight="1" thickBot="1">
      <c r="A12" s="144">
        <v>6</v>
      </c>
      <c r="B12" s="122">
        <f>'[1]сентябрь 20'!K11</f>
        <v>277.66899999999998</v>
      </c>
      <c r="C12" s="123">
        <f t="shared" si="17"/>
        <v>1.2164192617829142</v>
      </c>
      <c r="D12" s="145">
        <f t="shared" si="18"/>
        <v>274.29138079999996</v>
      </c>
      <c r="E12" s="125">
        <f t="shared" si="19"/>
        <v>37.63987272615956</v>
      </c>
      <c r="F12" s="146">
        <f t="shared" si="0"/>
        <v>2.3851424417391303</v>
      </c>
      <c r="G12" s="127">
        <v>13.62</v>
      </c>
      <c r="H12" s="126">
        <f t="shared" si="20"/>
        <v>1.9508554852173912</v>
      </c>
      <c r="I12" s="230">
        <f>'[1]июль 20'!AI11</f>
        <v>0</v>
      </c>
      <c r="J12" s="247">
        <f>'[1]сентябрь 20'!AA11</f>
        <v>11.157</v>
      </c>
      <c r="K12" s="465">
        <f>'[1]сентябрь 20'!AM11</f>
        <v>0</v>
      </c>
      <c r="L12" s="247">
        <f>'[1]сентябрь 20'!AE11</f>
        <v>49.942999999999998</v>
      </c>
      <c r="M12" s="469">
        <f t="shared" si="21"/>
        <v>0.4342869565217391</v>
      </c>
      <c r="N12" s="403">
        <f>'[1]сентябрь 20'!W11</f>
        <v>0</v>
      </c>
      <c r="O12" s="403">
        <f>'[1]сентябрь 20'!AU11</f>
        <v>6.7560000000000002</v>
      </c>
      <c r="P12" s="401">
        <f t="shared" si="1"/>
        <v>173.71899999999999</v>
      </c>
      <c r="Q12" s="122">
        <f>'[1]сентябрь 20'!S11</f>
        <v>173.71899999999999</v>
      </c>
      <c r="R12" s="123">
        <f t="shared" si="22"/>
        <v>3.03</v>
      </c>
      <c r="S12" s="129"/>
      <c r="T12" s="125">
        <f t="shared" si="2"/>
        <v>168.4553143</v>
      </c>
      <c r="U12" s="147">
        <f t="shared" si="3"/>
        <v>1.4648288199999999</v>
      </c>
      <c r="V12" s="130">
        <v>115</v>
      </c>
      <c r="W12" s="130">
        <v>28.27</v>
      </c>
      <c r="X12" s="129">
        <v>1.85</v>
      </c>
      <c r="Y12" s="131">
        <v>574</v>
      </c>
      <c r="Z12" s="150">
        <v>1171</v>
      </c>
      <c r="AA12" s="148" t="s">
        <v>399</v>
      </c>
      <c r="AB12" s="149">
        <v>76.3</v>
      </c>
      <c r="AC12" s="150">
        <v>111</v>
      </c>
      <c r="AD12" s="151">
        <v>4</v>
      </c>
      <c r="AE12" s="149">
        <v>5.2</v>
      </c>
      <c r="AF12" s="134">
        <f t="shared" si="4"/>
        <v>45.217391304347828</v>
      </c>
      <c r="AG12" s="152"/>
      <c r="AH12" s="129">
        <v>73.099999999999994</v>
      </c>
      <c r="AI12" s="134">
        <f t="shared" si="5"/>
        <v>635.65217391304338</v>
      </c>
      <c r="AJ12" s="153">
        <v>13.89</v>
      </c>
      <c r="AK12" s="154"/>
      <c r="AL12" s="155">
        <v>6.91</v>
      </c>
      <c r="AM12" s="478">
        <f t="shared" si="23"/>
        <v>30.17</v>
      </c>
      <c r="AN12" s="126">
        <f t="shared" si="24"/>
        <v>0.2</v>
      </c>
      <c r="AO12" s="157" t="s">
        <v>196</v>
      </c>
      <c r="AP12" s="156">
        <v>8.66</v>
      </c>
      <c r="AQ12" s="156">
        <v>6.6</v>
      </c>
      <c r="AR12" s="149"/>
      <c r="AS12" s="149">
        <v>6.02</v>
      </c>
      <c r="AT12" s="149">
        <v>150.85</v>
      </c>
      <c r="AU12" s="149">
        <v>1.23</v>
      </c>
      <c r="AV12" s="164"/>
      <c r="AW12" s="164"/>
      <c r="AX12" s="158">
        <f t="shared" si="6"/>
        <v>0</v>
      </c>
      <c r="AY12" s="125">
        <f t="shared" si="7"/>
        <v>115</v>
      </c>
      <c r="AZ12" s="125">
        <f t="shared" si="25"/>
        <v>118.80164099463769</v>
      </c>
      <c r="BA12" s="159">
        <f t="shared" si="8"/>
        <v>3.4089309859154926</v>
      </c>
      <c r="BB12" s="160">
        <f t="shared" si="9"/>
        <v>4.6000000000000005</v>
      </c>
      <c r="BC12" s="161">
        <f t="shared" si="10"/>
        <v>0.84988873196906989</v>
      </c>
      <c r="BD12" s="160">
        <f t="shared" si="26"/>
        <v>8.0089309859154927</v>
      </c>
      <c r="BE12" s="162">
        <v>0.97499999999999998</v>
      </c>
      <c r="BF12" s="25">
        <f t="shared" si="27"/>
        <v>747.8</v>
      </c>
      <c r="BG12" s="25">
        <f t="shared" si="11"/>
        <v>118.33333333333333</v>
      </c>
      <c r="BH12" s="25">
        <f t="shared" si="28"/>
        <v>710</v>
      </c>
      <c r="BI12" s="26">
        <f t="shared" si="12"/>
        <v>1</v>
      </c>
      <c r="BJ12" s="37">
        <f t="shared" si="29"/>
        <v>710</v>
      </c>
      <c r="BK12" s="38"/>
      <c r="BL12" s="31">
        <v>205.49299999999999</v>
      </c>
      <c r="BM12" s="31"/>
      <c r="BN12" s="31">
        <v>44.381</v>
      </c>
      <c r="BO12" s="40"/>
      <c r="BP12" s="40">
        <v>22.233000000000001</v>
      </c>
      <c r="BQ12" s="32">
        <v>5.5620000000000003</v>
      </c>
      <c r="BR12" s="33"/>
      <c r="BS12" s="34">
        <v>1.45</v>
      </c>
      <c r="BT12" s="33"/>
      <c r="BU12" s="28"/>
      <c r="BV12" s="287"/>
      <c r="BW12" s="287">
        <v>1.79</v>
      </c>
      <c r="BX12" s="36"/>
      <c r="BY12" s="33"/>
      <c r="BZ12" s="34">
        <v>36.630000000000003</v>
      </c>
      <c r="CA12" s="33"/>
      <c r="CB12" s="35">
        <v>43.51</v>
      </c>
      <c r="CC12" s="235"/>
      <c r="CD12" s="235">
        <v>33.799999999999997</v>
      </c>
      <c r="CE12" s="36">
        <v>43.46</v>
      </c>
      <c r="CF12" s="30">
        <v>173.71899999999999</v>
      </c>
      <c r="CG12" s="30"/>
      <c r="CH12" s="31"/>
      <c r="CI12" s="32"/>
      <c r="CJ12" s="33">
        <v>3.03</v>
      </c>
      <c r="CK12" s="33"/>
      <c r="CL12" s="35"/>
      <c r="CM12" s="36"/>
      <c r="CN12" s="286"/>
      <c r="CO12" s="249">
        <f t="shared" si="13"/>
        <v>0</v>
      </c>
      <c r="CP12" s="12">
        <f t="shared" si="13"/>
        <v>202.51335149999997</v>
      </c>
      <c r="CQ12" s="12">
        <f t="shared" si="13"/>
        <v>0</v>
      </c>
      <c r="CR12" s="12">
        <f t="shared" si="13"/>
        <v>44.381</v>
      </c>
      <c r="CS12" s="11">
        <f t="shared" si="13"/>
        <v>0</v>
      </c>
      <c r="CT12" s="11">
        <f t="shared" si="13"/>
        <v>21.835029299999999</v>
      </c>
      <c r="CU12" s="272">
        <f t="shared" si="13"/>
        <v>5.5620000000000003</v>
      </c>
      <c r="CV12" s="249">
        <f t="shared" si="14"/>
        <v>168.4553143</v>
      </c>
      <c r="CW12" s="12">
        <f t="shared" si="14"/>
        <v>0</v>
      </c>
      <c r="CX12" s="252">
        <f t="shared" si="14"/>
        <v>0</v>
      </c>
      <c r="CY12" s="272">
        <f t="shared" si="14"/>
        <v>0</v>
      </c>
      <c r="CZ12" s="13"/>
      <c r="DA12" s="240">
        <f>(D12+'[2]сентябрь 20'!D12)/(AY12+'[2]сентябрь 20'!BA12)</f>
        <v>2.2519085107214698</v>
      </c>
      <c r="DB12" s="241">
        <f>(T12+'[2]сентябрь 20'!T12)/(AY12+'[2]сентябрь 20'!BA12)</f>
        <v>1.3897326301957258</v>
      </c>
      <c r="DD12" s="292">
        <f t="shared" si="15"/>
        <v>11.157</v>
      </c>
      <c r="DE12" s="291">
        <v>0.17</v>
      </c>
      <c r="DF12" s="291">
        <v>4.62</v>
      </c>
      <c r="DG12" s="145">
        <f t="shared" si="16"/>
        <v>11.138033099999999</v>
      </c>
      <c r="DH12" s="293">
        <f t="shared" si="30"/>
        <v>0.67441301339449533</v>
      </c>
      <c r="DJ12" s="322"/>
    </row>
    <row r="13" spans="1:114" s="76" customFormat="1" ht="16.5" customHeight="1" thickBot="1">
      <c r="A13" s="144">
        <v>7</v>
      </c>
      <c r="B13" s="122">
        <f>'[1]сентябрь 20'!K12</f>
        <v>257.45600000000002</v>
      </c>
      <c r="C13" s="123">
        <f t="shared" si="17"/>
        <v>1.1077904573985458</v>
      </c>
      <c r="D13" s="145">
        <f t="shared" si="18"/>
        <v>254.603927</v>
      </c>
      <c r="E13" s="125">
        <f t="shared" si="19"/>
        <v>37.590927265241433</v>
      </c>
      <c r="F13" s="146">
        <f t="shared" si="0"/>
        <v>2.0963682750102923</v>
      </c>
      <c r="G13" s="127">
        <v>9.25</v>
      </c>
      <c r="H13" s="126">
        <f t="shared" si="20"/>
        <v>1.71545431864965</v>
      </c>
      <c r="I13" s="230">
        <f>'[1]июль 20'!AI12</f>
        <v>0</v>
      </c>
      <c r="J13" s="247">
        <f>'[1]сентябрь 20'!AA12</f>
        <v>10.173</v>
      </c>
      <c r="K13" s="464">
        <f>'[1]сентябрь 20'!AM12</f>
        <v>0</v>
      </c>
      <c r="L13" s="247">
        <f>'[1]сентябрь 20'!AE12</f>
        <v>46.262</v>
      </c>
      <c r="M13" s="468">
        <f t="shared" si="21"/>
        <v>0.38091395636064224</v>
      </c>
      <c r="N13" s="403">
        <f>'[1]сентябрь 20'!W12</f>
        <v>0</v>
      </c>
      <c r="O13" s="403">
        <f>'[1]сентябрь 20'!AU12</f>
        <v>6.1070000000000002</v>
      </c>
      <c r="P13" s="401">
        <f t="shared" si="1"/>
        <v>161.137</v>
      </c>
      <c r="Q13" s="122">
        <f>'[1]сентябрь 20'!S12</f>
        <v>161.137</v>
      </c>
      <c r="R13" s="123">
        <f t="shared" si="22"/>
        <v>3.01</v>
      </c>
      <c r="S13" s="129">
        <v>5.58</v>
      </c>
      <c r="T13" s="125">
        <f t="shared" si="2"/>
        <v>156.28677629999999</v>
      </c>
      <c r="U13" s="147">
        <f t="shared" si="3"/>
        <v>1.2868404800329352</v>
      </c>
      <c r="V13" s="130">
        <v>121.45</v>
      </c>
      <c r="W13" s="130">
        <v>121.45</v>
      </c>
      <c r="X13" s="129">
        <v>0.61</v>
      </c>
      <c r="Y13" s="165">
        <v>576</v>
      </c>
      <c r="Z13" s="166">
        <v>1170</v>
      </c>
      <c r="AA13" s="148" t="s">
        <v>128</v>
      </c>
      <c r="AB13" s="149">
        <v>76.28</v>
      </c>
      <c r="AC13" s="150">
        <v>103</v>
      </c>
      <c r="AD13" s="151">
        <v>4</v>
      </c>
      <c r="AE13" s="149">
        <v>4</v>
      </c>
      <c r="AF13" s="134">
        <f t="shared" si="4"/>
        <v>32.935364347468088</v>
      </c>
      <c r="AG13" s="152"/>
      <c r="AH13" s="129">
        <v>79.8</v>
      </c>
      <c r="AI13" s="134">
        <f t="shared" si="5"/>
        <v>657.0605187319884</v>
      </c>
      <c r="AJ13" s="136">
        <v>13.32</v>
      </c>
      <c r="AK13" s="154"/>
      <c r="AL13" s="155">
        <v>7.31</v>
      </c>
      <c r="AM13" s="478">
        <f t="shared" si="23"/>
        <v>31.730000000000004</v>
      </c>
      <c r="AN13" s="126">
        <f t="shared" si="24"/>
        <v>0.2</v>
      </c>
      <c r="AO13" s="157" t="s">
        <v>197</v>
      </c>
      <c r="AP13" s="156">
        <v>7.9</v>
      </c>
      <c r="AQ13" s="156">
        <v>6.47</v>
      </c>
      <c r="AR13" s="149"/>
      <c r="AS13" s="149">
        <v>7.5</v>
      </c>
      <c r="AT13" s="149">
        <v>158.65</v>
      </c>
      <c r="AU13" s="149">
        <v>1.84</v>
      </c>
      <c r="AV13" s="149"/>
      <c r="AW13" s="149"/>
      <c r="AX13" s="158">
        <f t="shared" si="6"/>
        <v>0</v>
      </c>
      <c r="AY13" s="125">
        <f t="shared" si="7"/>
        <v>121.45</v>
      </c>
      <c r="AZ13" s="125">
        <f t="shared" si="25"/>
        <v>110.70935257290907</v>
      </c>
      <c r="BA13" s="159">
        <f t="shared" si="8"/>
        <v>4.6362676056338028</v>
      </c>
      <c r="BB13" s="160">
        <f t="shared" si="9"/>
        <v>4.8580000000000005</v>
      </c>
      <c r="BC13" s="161">
        <f t="shared" si="10"/>
        <v>0.96796591978324487</v>
      </c>
      <c r="BD13" s="160">
        <f t="shared" si="26"/>
        <v>9.4942676056338033</v>
      </c>
      <c r="BE13" s="162">
        <v>0.97399999999999998</v>
      </c>
      <c r="BF13" s="25">
        <f t="shared" si="27"/>
        <v>869.25</v>
      </c>
      <c r="BG13" s="25">
        <f t="shared" si="11"/>
        <v>118.33333333333333</v>
      </c>
      <c r="BH13" s="25">
        <f t="shared" si="28"/>
        <v>828.33333333333337</v>
      </c>
      <c r="BI13" s="26">
        <f t="shared" si="12"/>
        <v>1</v>
      </c>
      <c r="BJ13" s="37">
        <f t="shared" si="29"/>
        <v>828.33333333333337</v>
      </c>
      <c r="BK13" s="39"/>
      <c r="BL13" s="40">
        <v>190.602</v>
      </c>
      <c r="BM13" s="325"/>
      <c r="BN13" s="31">
        <v>41.156999999999996</v>
      </c>
      <c r="BO13" s="40"/>
      <c r="BP13" s="40">
        <v>20.591999999999999</v>
      </c>
      <c r="BQ13" s="32">
        <v>5.1050000000000004</v>
      </c>
      <c r="BR13" s="33"/>
      <c r="BS13" s="34">
        <v>1.29</v>
      </c>
      <c r="BT13" s="33"/>
      <c r="BU13" s="28"/>
      <c r="BV13" s="287"/>
      <c r="BW13" s="287">
        <v>1.91</v>
      </c>
      <c r="BX13" s="36"/>
      <c r="BY13" s="33"/>
      <c r="BZ13" s="34">
        <v>36.68</v>
      </c>
      <c r="CA13" s="33"/>
      <c r="CB13" s="35">
        <v>42.77</v>
      </c>
      <c r="CC13" s="235"/>
      <c r="CD13" s="235">
        <v>34.36</v>
      </c>
      <c r="CE13" s="36">
        <v>42.88</v>
      </c>
      <c r="CF13" s="30">
        <v>161.137</v>
      </c>
      <c r="CG13" s="30"/>
      <c r="CH13" s="30"/>
      <c r="CI13" s="32"/>
      <c r="CJ13" s="33">
        <v>3.01</v>
      </c>
      <c r="CK13" s="33"/>
      <c r="CL13" s="33"/>
      <c r="CM13" s="36"/>
      <c r="CN13" s="286"/>
      <c r="CO13" s="249">
        <f t="shared" si="13"/>
        <v>0</v>
      </c>
      <c r="CP13" s="12">
        <f t="shared" si="13"/>
        <v>188.14323419999999</v>
      </c>
      <c r="CQ13" s="12">
        <f t="shared" si="13"/>
        <v>0</v>
      </c>
      <c r="CR13" s="12">
        <f t="shared" si="13"/>
        <v>41.156999999999996</v>
      </c>
      <c r="CS13" s="11">
        <f t="shared" si="13"/>
        <v>0</v>
      </c>
      <c r="CT13" s="11">
        <f t="shared" si="13"/>
        <v>20.1986928</v>
      </c>
      <c r="CU13" s="272">
        <f t="shared" si="13"/>
        <v>5.1050000000000004</v>
      </c>
      <c r="CV13" s="249">
        <f t="shared" si="14"/>
        <v>156.28677629999999</v>
      </c>
      <c r="CW13" s="251">
        <f t="shared" si="14"/>
        <v>0</v>
      </c>
      <c r="CX13" s="249">
        <f t="shared" si="14"/>
        <v>0</v>
      </c>
      <c r="CY13" s="272">
        <f t="shared" si="14"/>
        <v>0</v>
      </c>
      <c r="CZ13" s="13"/>
      <c r="DA13" s="240">
        <f>(D13+'[2]сентябрь 20'!D13)/(AY13+'[2]сентябрь 20'!BA13)</f>
        <v>2.2478972427734885</v>
      </c>
      <c r="DB13" s="241">
        <f>(T13+'[2]сентябрь 20'!T13)/(AY13+'[2]сентябрь 20'!BA13)</f>
        <v>1.3954760025839958</v>
      </c>
      <c r="DD13" s="292">
        <f t="shared" si="15"/>
        <v>10.173</v>
      </c>
      <c r="DE13" s="291">
        <v>0.25</v>
      </c>
      <c r="DF13" s="291">
        <v>8.83</v>
      </c>
      <c r="DG13" s="145">
        <f t="shared" si="16"/>
        <v>10.147567500000001</v>
      </c>
      <c r="DH13" s="293">
        <f t="shared" si="30"/>
        <v>1.1746594261274252</v>
      </c>
      <c r="DJ13" s="322"/>
    </row>
    <row r="14" spans="1:114" s="76" customFormat="1" ht="16.5" customHeight="1" thickBot="1">
      <c r="A14" s="144">
        <v>8</v>
      </c>
      <c r="B14" s="122">
        <f>'[1]сентябрь 20'!K13</f>
        <v>253.464</v>
      </c>
      <c r="C14" s="123">
        <f t="shared" si="17"/>
        <v>0.91413092194552281</v>
      </c>
      <c r="D14" s="145">
        <f t="shared" si="18"/>
        <v>251.14700719999996</v>
      </c>
      <c r="E14" s="125">
        <f t="shared" si="19"/>
        <v>37.571354590790015</v>
      </c>
      <c r="F14" s="146">
        <f t="shared" si="0"/>
        <v>2.0353919053407892</v>
      </c>
      <c r="G14" s="127">
        <v>12.34</v>
      </c>
      <c r="H14" s="126">
        <f t="shared" si="20"/>
        <v>1.659453822838155</v>
      </c>
      <c r="I14" s="230">
        <f>'[1]июль 20'!AI13</f>
        <v>0</v>
      </c>
      <c r="J14" s="247">
        <f>'[1]сентябрь 20'!AA13</f>
        <v>10.599</v>
      </c>
      <c r="K14" s="467">
        <f>'[1]сентябрь 20'!AM13</f>
        <v>0</v>
      </c>
      <c r="L14" s="247">
        <f>'[1]сентябрь 20'!AE13</f>
        <v>46.387</v>
      </c>
      <c r="M14" s="471">
        <f t="shared" si="21"/>
        <v>0.37593808250263394</v>
      </c>
      <c r="N14" s="403">
        <f>'[1]сентябрь 20'!W13</f>
        <v>0</v>
      </c>
      <c r="O14" s="403">
        <f>'[1]сентябрь 20'!AU13</f>
        <v>6.7930000000000001</v>
      </c>
      <c r="P14" s="401">
        <f t="shared" si="1"/>
        <v>159.90100000000001</v>
      </c>
      <c r="Q14" s="122">
        <f>'[1]сентябрь 20'!S13</f>
        <v>159.90100000000001</v>
      </c>
      <c r="R14" s="123">
        <f t="shared" si="22"/>
        <v>3.11</v>
      </c>
      <c r="S14" s="129">
        <v>2.61</v>
      </c>
      <c r="T14" s="125">
        <f t="shared" si="2"/>
        <v>154.9280789</v>
      </c>
      <c r="U14" s="147">
        <f t="shared" si="3"/>
        <v>1.2555967169138504</v>
      </c>
      <c r="V14" s="130">
        <v>123.39</v>
      </c>
      <c r="W14" s="130">
        <v>88.76</v>
      </c>
      <c r="X14" s="129">
        <v>1.1100000000000001</v>
      </c>
      <c r="Y14" s="131">
        <v>610</v>
      </c>
      <c r="Z14" s="150">
        <v>1174</v>
      </c>
      <c r="AA14" s="148" t="s">
        <v>122</v>
      </c>
      <c r="AB14" s="149">
        <v>75.91</v>
      </c>
      <c r="AC14" s="150">
        <v>101</v>
      </c>
      <c r="AD14" s="151">
        <v>4</v>
      </c>
      <c r="AE14" s="149">
        <v>4.1500000000000004</v>
      </c>
      <c r="AF14" s="134">
        <f t="shared" si="4"/>
        <v>33.633195558797311</v>
      </c>
      <c r="AG14" s="152"/>
      <c r="AH14" s="129">
        <v>81.05</v>
      </c>
      <c r="AI14" s="134">
        <f t="shared" si="5"/>
        <v>656.86036145554738</v>
      </c>
      <c r="AJ14" s="153">
        <v>14.52</v>
      </c>
      <c r="AK14" s="154"/>
      <c r="AL14" s="155">
        <v>5.65</v>
      </c>
      <c r="AM14" s="478">
        <f t="shared" si="23"/>
        <v>31.960000000000004</v>
      </c>
      <c r="AN14" s="126">
        <f t="shared" si="24"/>
        <v>0.2</v>
      </c>
      <c r="AO14" s="157" t="s">
        <v>229</v>
      </c>
      <c r="AP14" s="156">
        <v>7.66</v>
      </c>
      <c r="AQ14" s="156">
        <v>6.77</v>
      </c>
      <c r="AR14" s="149"/>
      <c r="AS14" s="149">
        <v>7.59</v>
      </c>
      <c r="AT14" s="149">
        <v>159.80000000000001</v>
      </c>
      <c r="AU14" s="149">
        <v>1.2</v>
      </c>
      <c r="AV14" s="149"/>
      <c r="AW14" s="149"/>
      <c r="AX14" s="158">
        <f t="shared" si="6"/>
        <v>0</v>
      </c>
      <c r="AY14" s="125">
        <f t="shared" si="7"/>
        <v>123.39</v>
      </c>
      <c r="AZ14" s="125">
        <f t="shared" si="25"/>
        <v>110.34041959312577</v>
      </c>
      <c r="BA14" s="159">
        <f t="shared" si="8"/>
        <v>4.7653975352112674</v>
      </c>
      <c r="BB14" s="160">
        <f t="shared" si="9"/>
        <v>4.9356</v>
      </c>
      <c r="BC14" s="161">
        <f t="shared" si="10"/>
        <v>0.99264531021993252</v>
      </c>
      <c r="BD14" s="159">
        <f t="shared" si="26"/>
        <v>9.7009975352112683</v>
      </c>
      <c r="BE14" s="167">
        <v>0.97599999999999998</v>
      </c>
      <c r="BF14" s="25">
        <f t="shared" si="27"/>
        <v>992.64</v>
      </c>
      <c r="BG14" s="25">
        <f t="shared" si="11"/>
        <v>118.33333333333333</v>
      </c>
      <c r="BH14" s="25">
        <f t="shared" si="28"/>
        <v>946.66666666666674</v>
      </c>
      <c r="BI14" s="26">
        <f t="shared" si="12"/>
        <v>1</v>
      </c>
      <c r="BJ14" s="37">
        <f t="shared" si="29"/>
        <v>946.66666666666674</v>
      </c>
      <c r="BK14" s="39"/>
      <c r="BL14" s="40">
        <v>190.05699999999999</v>
      </c>
      <c r="BM14" s="325"/>
      <c r="BN14" s="31">
        <v>40.381999999999998</v>
      </c>
      <c r="BO14" s="40"/>
      <c r="BP14" s="40">
        <v>17.02</v>
      </c>
      <c r="BQ14" s="32">
        <v>6.0049999999999999</v>
      </c>
      <c r="BR14" s="33"/>
      <c r="BS14" s="34">
        <v>1.04</v>
      </c>
      <c r="BT14" s="33"/>
      <c r="BU14" s="28"/>
      <c r="BV14" s="287"/>
      <c r="BW14" s="287">
        <v>2</v>
      </c>
      <c r="BX14" s="36"/>
      <c r="BY14" s="33"/>
      <c r="BZ14" s="34">
        <v>36.76</v>
      </c>
      <c r="CA14" s="33"/>
      <c r="CB14" s="35">
        <v>42.95</v>
      </c>
      <c r="CC14" s="235"/>
      <c r="CD14" s="235">
        <v>31.87</v>
      </c>
      <c r="CE14" s="36">
        <v>43.24</v>
      </c>
      <c r="CF14" s="30">
        <v>159.90100000000001</v>
      </c>
      <c r="CG14" s="30"/>
      <c r="CH14" s="30"/>
      <c r="CI14" s="32"/>
      <c r="CJ14" s="33">
        <v>3.11</v>
      </c>
      <c r="CK14" s="33"/>
      <c r="CL14" s="33"/>
      <c r="CM14" s="36"/>
      <c r="CN14" s="286"/>
      <c r="CO14" s="249">
        <f t="shared" si="13"/>
        <v>0</v>
      </c>
      <c r="CP14" s="12">
        <f t="shared" si="13"/>
        <v>188.08040719999997</v>
      </c>
      <c r="CQ14" s="12">
        <f t="shared" si="13"/>
        <v>0</v>
      </c>
      <c r="CR14" s="12">
        <f t="shared" si="13"/>
        <v>40.381999999999998</v>
      </c>
      <c r="CS14" s="11">
        <f t="shared" si="13"/>
        <v>0</v>
      </c>
      <c r="CT14" s="11">
        <f t="shared" si="13"/>
        <v>16.679600000000001</v>
      </c>
      <c r="CU14" s="272">
        <f t="shared" si="13"/>
        <v>6.0049999999999999</v>
      </c>
      <c r="CV14" s="249">
        <f t="shared" si="14"/>
        <v>154.9280789</v>
      </c>
      <c r="CW14" s="12">
        <f t="shared" si="14"/>
        <v>0</v>
      </c>
      <c r="CX14" s="252">
        <f t="shared" si="14"/>
        <v>0</v>
      </c>
      <c r="CY14" s="272">
        <f t="shared" si="14"/>
        <v>0</v>
      </c>
      <c r="CZ14" s="13"/>
      <c r="DA14" s="240">
        <f>(D14+'[2]сентябрь 20'!D14)/(AY14+'[2]сентябрь 20'!BA14)</f>
        <v>2.0411523614359899</v>
      </c>
      <c r="DB14" s="241">
        <f>(T14+'[2]сентябрь 20'!T14)/(AY14+'[2]сентябрь 20'!BA14)</f>
        <v>1.2716200752612685</v>
      </c>
      <c r="DD14" s="292">
        <f t="shared" si="15"/>
        <v>10.599</v>
      </c>
      <c r="DE14" s="291">
        <v>0.19</v>
      </c>
      <c r="DF14" s="291">
        <v>13.08</v>
      </c>
      <c r="DG14" s="145">
        <f t="shared" si="16"/>
        <v>10.5788619</v>
      </c>
      <c r="DH14" s="293">
        <f t="shared" si="30"/>
        <v>1.8228364333025953</v>
      </c>
      <c r="DJ14" s="322"/>
    </row>
    <row r="15" spans="1:114" s="76" customFormat="1" ht="16.5" customHeight="1" thickBot="1">
      <c r="A15" s="144">
        <v>9</v>
      </c>
      <c r="B15" s="122">
        <f>'[1]сентябрь 20'!K14</f>
        <v>287.24400000000003</v>
      </c>
      <c r="C15" s="123">
        <f t="shared" si="17"/>
        <v>1.2436779532383617</v>
      </c>
      <c r="D15" s="145">
        <f t="shared" si="18"/>
        <v>283.67160970000003</v>
      </c>
      <c r="E15" s="125">
        <f t="shared" si="19"/>
        <v>37.411341054991574</v>
      </c>
      <c r="F15" s="146">
        <f t="shared" si="0"/>
        <v>3.3907675077695441</v>
      </c>
      <c r="G15" s="127"/>
      <c r="H15" s="126">
        <f t="shared" si="20"/>
        <v>2.7737820906048292</v>
      </c>
      <c r="I15" s="230">
        <f>'[1]июль 20'!AI14</f>
        <v>0</v>
      </c>
      <c r="J15" s="247">
        <f>'[1]сентябрь 20'!AA14</f>
        <v>11.726000000000001</v>
      </c>
      <c r="K15" s="465">
        <f>'[1]сентябрь 20'!AM14</f>
        <v>0</v>
      </c>
      <c r="L15" s="247">
        <f>'[1]сентябрь 20'!AE14</f>
        <v>51.616999999999997</v>
      </c>
      <c r="M15" s="469">
        <f t="shared" si="21"/>
        <v>0.61698541716471433</v>
      </c>
      <c r="N15" s="403">
        <f>'[1]сентябрь 20'!W14</f>
        <v>0</v>
      </c>
      <c r="O15" s="403">
        <f>'[1]сентябрь 20'!AU14</f>
        <v>9.173</v>
      </c>
      <c r="P15" s="401">
        <f t="shared" si="1"/>
        <v>182.15600000000001</v>
      </c>
      <c r="Q15" s="122">
        <f>'[1]сентябрь 20'!S14</f>
        <v>182.15600000000001</v>
      </c>
      <c r="R15" s="123">
        <f t="shared" si="22"/>
        <v>2.91</v>
      </c>
      <c r="S15" s="129">
        <v>18.62</v>
      </c>
      <c r="T15" s="125">
        <f t="shared" si="2"/>
        <v>176.85526039999999</v>
      </c>
      <c r="U15" s="147">
        <f t="shared" si="3"/>
        <v>2.1139763375567773</v>
      </c>
      <c r="V15" s="130">
        <v>83.66</v>
      </c>
      <c r="W15" s="130">
        <v>52.54</v>
      </c>
      <c r="X15" s="129">
        <v>1.1599999999999999</v>
      </c>
      <c r="Y15" s="131">
        <v>572</v>
      </c>
      <c r="Z15" s="150">
        <v>1161</v>
      </c>
      <c r="AA15" s="148" t="s">
        <v>391</v>
      </c>
      <c r="AB15" s="149">
        <v>76.2</v>
      </c>
      <c r="AC15" s="150">
        <v>115</v>
      </c>
      <c r="AD15" s="151">
        <v>5</v>
      </c>
      <c r="AE15" s="149">
        <v>5.8</v>
      </c>
      <c r="AF15" s="134">
        <f t="shared" si="4"/>
        <v>69.328233325364565</v>
      </c>
      <c r="AG15" s="152"/>
      <c r="AH15" s="129">
        <v>76.150000000000006</v>
      </c>
      <c r="AI15" s="134">
        <f t="shared" si="5"/>
        <v>910.23189098732985</v>
      </c>
      <c r="AJ15" s="136">
        <v>12.02</v>
      </c>
      <c r="AK15" s="154"/>
      <c r="AL15" s="155">
        <v>5.52</v>
      </c>
      <c r="AM15" s="478">
        <v>71.8</v>
      </c>
      <c r="AN15" s="126">
        <f t="shared" si="24"/>
        <v>0.45015673981191223</v>
      </c>
      <c r="AO15" s="157" t="s">
        <v>196</v>
      </c>
      <c r="AP15" s="156">
        <v>7.87</v>
      </c>
      <c r="AQ15" s="156">
        <v>6.52</v>
      </c>
      <c r="AR15" s="149"/>
      <c r="AS15" s="149">
        <v>6.25</v>
      </c>
      <c r="AT15" s="149">
        <v>159.5</v>
      </c>
      <c r="AU15" s="149">
        <v>1.48</v>
      </c>
      <c r="AV15" s="149"/>
      <c r="AW15" s="149"/>
      <c r="AX15" s="158">
        <f t="shared" si="6"/>
        <v>0</v>
      </c>
      <c r="AY15" s="125">
        <f t="shared" si="7"/>
        <v>83.66</v>
      </c>
      <c r="AZ15" s="125">
        <f t="shared" si="25"/>
        <v>123.39739107632286</v>
      </c>
      <c r="BA15" s="159">
        <f t="shared" si="8"/>
        <v>3.6868397887323945</v>
      </c>
      <c r="BB15" s="160">
        <f t="shared" si="9"/>
        <v>3.3464</v>
      </c>
      <c r="BC15" s="161">
        <f t="shared" si="10"/>
        <v>0.60069453687569263</v>
      </c>
      <c r="BD15" s="159">
        <f t="shared" si="26"/>
        <v>7.033239788732395</v>
      </c>
      <c r="BE15" s="167">
        <v>0.93100000000000005</v>
      </c>
      <c r="BF15" s="25">
        <f t="shared" si="27"/>
        <v>1076.3</v>
      </c>
      <c r="BG15" s="25">
        <f t="shared" si="11"/>
        <v>118.33333333333333</v>
      </c>
      <c r="BH15" s="25">
        <f t="shared" si="28"/>
        <v>1065</v>
      </c>
      <c r="BI15" s="26">
        <f t="shared" si="12"/>
        <v>1</v>
      </c>
      <c r="BJ15" s="37">
        <f t="shared" si="29"/>
        <v>1065</v>
      </c>
      <c r="BK15" s="38"/>
      <c r="BL15" s="42">
        <v>224.066</v>
      </c>
      <c r="BM15" s="31"/>
      <c r="BN15" s="31">
        <v>45.906999999999996</v>
      </c>
      <c r="BO15" s="40"/>
      <c r="BP15" s="40">
        <v>11.561</v>
      </c>
      <c r="BQ15" s="32">
        <v>5.71</v>
      </c>
      <c r="BR15" s="33"/>
      <c r="BS15" s="35">
        <v>1.47</v>
      </c>
      <c r="BT15" s="35"/>
      <c r="BU15" s="28"/>
      <c r="BV15" s="287"/>
      <c r="BW15" s="287">
        <v>2.41</v>
      </c>
      <c r="BX15" s="36"/>
      <c r="BY15" s="33"/>
      <c r="BZ15" s="34">
        <v>36.26</v>
      </c>
      <c r="CA15" s="35"/>
      <c r="CB15" s="35">
        <v>43.19</v>
      </c>
      <c r="CC15" s="35"/>
      <c r="CD15" s="35">
        <v>33.96</v>
      </c>
      <c r="CE15" s="35">
        <v>43.12</v>
      </c>
      <c r="CF15" s="38">
        <v>182.15600000000001</v>
      </c>
      <c r="CG15" s="30"/>
      <c r="CH15" s="30"/>
      <c r="CI15" s="32"/>
      <c r="CJ15" s="33">
        <v>2.91</v>
      </c>
      <c r="CK15" s="33"/>
      <c r="CL15" s="33"/>
      <c r="CM15" s="36"/>
      <c r="CN15" s="286"/>
      <c r="CO15" s="249">
        <f t="shared" si="13"/>
        <v>0</v>
      </c>
      <c r="CP15" s="12">
        <f t="shared" si="13"/>
        <v>220.77222980000002</v>
      </c>
      <c r="CQ15" s="12">
        <f t="shared" si="13"/>
        <v>0</v>
      </c>
      <c r="CR15" s="17">
        <f t="shared" si="13"/>
        <v>45.906999999999996</v>
      </c>
      <c r="CS15" s="11">
        <f t="shared" si="13"/>
        <v>0</v>
      </c>
      <c r="CT15" s="11">
        <f t="shared" si="13"/>
        <v>11.2823799</v>
      </c>
      <c r="CU15" s="272">
        <f t="shared" si="13"/>
        <v>5.71</v>
      </c>
      <c r="CV15" s="249">
        <f t="shared" si="14"/>
        <v>176.85526039999999</v>
      </c>
      <c r="CW15" s="12">
        <f t="shared" si="14"/>
        <v>0</v>
      </c>
      <c r="CX15" s="249">
        <f t="shared" si="14"/>
        <v>0</v>
      </c>
      <c r="CY15" s="274">
        <f t="shared" si="14"/>
        <v>0</v>
      </c>
      <c r="CZ15" s="13"/>
      <c r="DA15" s="240">
        <f>(D15+'[2]сентябрь 20'!D15)/(AY15+'[2]сентябрь 20'!BA15)</f>
        <v>3.0516971131478363</v>
      </c>
      <c r="DB15" s="241">
        <f>(T15+'[2]сентябрь 20'!T15)/(AY15+'[2]сентябрь 20'!BA15)</f>
        <v>1.9210277440302497</v>
      </c>
      <c r="DD15" s="292">
        <f t="shared" si="15"/>
        <v>11.726000000000001</v>
      </c>
      <c r="DE15" s="291">
        <v>0.25</v>
      </c>
      <c r="DF15" s="291">
        <v>11.81</v>
      </c>
      <c r="DG15" s="145">
        <f t="shared" si="16"/>
        <v>11.696685000000002</v>
      </c>
      <c r="DH15" s="293">
        <f t="shared" si="30"/>
        <v>1.8128326751968509</v>
      </c>
      <c r="DJ15" s="322"/>
    </row>
    <row r="16" spans="1:114" s="76" customFormat="1" ht="16.5" customHeight="1" thickBot="1">
      <c r="A16" s="144">
        <v>10</v>
      </c>
      <c r="B16" s="122">
        <f>'[1]сентябрь 20'!K15</f>
        <v>254.98400000000001</v>
      </c>
      <c r="C16" s="123">
        <f t="shared" si="17"/>
        <v>1.1493359191164936</v>
      </c>
      <c r="D16" s="145">
        <f t="shared" si="18"/>
        <v>252.05337729999999</v>
      </c>
      <c r="E16" s="125">
        <f t="shared" si="19"/>
        <v>37.600144361999192</v>
      </c>
      <c r="F16" s="146">
        <f t="shared" si="0"/>
        <v>2.0326885266129033</v>
      </c>
      <c r="G16" s="127">
        <v>14.55</v>
      </c>
      <c r="H16" s="126">
        <f t="shared" si="20"/>
        <v>1.662624010483871</v>
      </c>
      <c r="I16" s="230">
        <f>'[1]июль 20'!AI15</f>
        <v>0</v>
      </c>
      <c r="J16" s="247">
        <f>'[1]сентябрь 20'!AA15</f>
        <v>10.343</v>
      </c>
      <c r="K16" s="464">
        <f>'[1]сентябрь 20'!AM15</f>
        <v>0</v>
      </c>
      <c r="L16" s="247">
        <f>'[1]сентябрь 20'!AE15</f>
        <v>45.887999999999998</v>
      </c>
      <c r="M16" s="468">
        <f t="shared" si="21"/>
        <v>0.37006451612903229</v>
      </c>
      <c r="N16" s="403">
        <f>'[1]сентябрь 20'!W15</f>
        <v>0</v>
      </c>
      <c r="O16" s="403">
        <f>'[1]сентябрь 20'!AU15</f>
        <v>8.2520000000000007</v>
      </c>
      <c r="P16" s="401">
        <f t="shared" si="1"/>
        <v>160.22999999999999</v>
      </c>
      <c r="Q16" s="122">
        <f>'[1]сентябрь 20'!S15</f>
        <v>160.22999999999999</v>
      </c>
      <c r="R16" s="123">
        <f t="shared" si="22"/>
        <v>2.82</v>
      </c>
      <c r="S16" s="501">
        <v>10.27</v>
      </c>
      <c r="T16" s="125">
        <f t="shared" si="2"/>
        <v>155.71151399999999</v>
      </c>
      <c r="U16" s="147">
        <f t="shared" si="3"/>
        <v>1.2557380161290321</v>
      </c>
      <c r="V16" s="130">
        <v>124</v>
      </c>
      <c r="W16" s="130">
        <v>47.89</v>
      </c>
      <c r="X16" s="129">
        <v>1.43</v>
      </c>
      <c r="Y16" s="131">
        <v>590</v>
      </c>
      <c r="Z16" s="150">
        <v>1173</v>
      </c>
      <c r="AA16" s="148" t="s">
        <v>161</v>
      </c>
      <c r="AB16" s="149">
        <v>76.5</v>
      </c>
      <c r="AC16" s="150">
        <v>102</v>
      </c>
      <c r="AD16" s="151">
        <v>5</v>
      </c>
      <c r="AE16" s="149">
        <v>6.95</v>
      </c>
      <c r="AF16" s="134">
        <f t="shared" si="4"/>
        <v>56.048387096774199</v>
      </c>
      <c r="AG16" s="152"/>
      <c r="AH16" s="129">
        <v>77.349999999999994</v>
      </c>
      <c r="AI16" s="134">
        <f t="shared" si="5"/>
        <v>623.79032258064512</v>
      </c>
      <c r="AJ16" s="153">
        <v>14.82</v>
      </c>
      <c r="AK16" s="154"/>
      <c r="AL16" s="155">
        <v>8.6300000000000008</v>
      </c>
      <c r="AM16" s="478">
        <f t="shared" si="23"/>
        <v>32.869999999999997</v>
      </c>
      <c r="AN16" s="126">
        <f t="shared" si="24"/>
        <v>0.19999999999999998</v>
      </c>
      <c r="AO16" s="157" t="s">
        <v>199</v>
      </c>
      <c r="AP16" s="156">
        <v>8.1999999999999993</v>
      </c>
      <c r="AQ16" s="156">
        <v>6.95</v>
      </c>
      <c r="AR16" s="149"/>
      <c r="AS16" s="149">
        <v>5.62</v>
      </c>
      <c r="AT16" s="149">
        <v>164.35</v>
      </c>
      <c r="AU16" s="149">
        <v>1.1499999999999999</v>
      </c>
      <c r="AV16" s="149"/>
      <c r="AW16" s="149"/>
      <c r="AX16" s="158">
        <f t="shared" si="6"/>
        <v>0</v>
      </c>
      <c r="AY16" s="125">
        <f t="shared" si="7"/>
        <v>124</v>
      </c>
      <c r="AZ16" s="125">
        <f t="shared" si="25"/>
        <v>108.92896945561374</v>
      </c>
      <c r="BA16" s="159">
        <f t="shared" si="8"/>
        <v>3.3674485915492953</v>
      </c>
      <c r="BB16" s="160">
        <f t="shared" si="9"/>
        <v>4.96</v>
      </c>
      <c r="BC16" s="161">
        <f t="shared" si="10"/>
        <v>1.0009239634612654</v>
      </c>
      <c r="BD16" s="160">
        <f t="shared" si="26"/>
        <v>8.3274485915492953</v>
      </c>
      <c r="BE16" s="162">
        <v>0.93700000000000006</v>
      </c>
      <c r="BF16" s="25">
        <f t="shared" si="27"/>
        <v>1200.3</v>
      </c>
      <c r="BG16" s="25">
        <f t="shared" si="11"/>
        <v>118.33333333333333</v>
      </c>
      <c r="BH16" s="25">
        <f t="shared" si="28"/>
        <v>1183.3333333333333</v>
      </c>
      <c r="BI16" s="26">
        <f t="shared" si="12"/>
        <v>1</v>
      </c>
      <c r="BJ16" s="37">
        <f t="shared" si="29"/>
        <v>1183.3333333333333</v>
      </c>
      <c r="BK16" s="38"/>
      <c r="BL16" s="31">
        <v>198.941</v>
      </c>
      <c r="BM16" s="31"/>
      <c r="BN16" s="234">
        <v>40.752000000000002</v>
      </c>
      <c r="BO16" s="42"/>
      <c r="BP16" s="40">
        <v>10.154999999999999</v>
      </c>
      <c r="BQ16" s="32">
        <v>5.1360000000000001</v>
      </c>
      <c r="BR16" s="33"/>
      <c r="BS16" s="34">
        <v>1.37</v>
      </c>
      <c r="BT16" s="35"/>
      <c r="BU16" s="28"/>
      <c r="BV16" s="287"/>
      <c r="BW16" s="287">
        <v>2.02</v>
      </c>
      <c r="BX16" s="36"/>
      <c r="BY16" s="33"/>
      <c r="BZ16" s="34">
        <v>36.64</v>
      </c>
      <c r="CA16" s="35"/>
      <c r="CB16" s="405">
        <v>43.2</v>
      </c>
      <c r="CC16" s="404"/>
      <c r="CD16" s="235">
        <v>31.07</v>
      </c>
      <c r="CE16" s="36">
        <v>43.27</v>
      </c>
      <c r="CF16" s="38">
        <v>160.22999999999999</v>
      </c>
      <c r="CG16" s="30"/>
      <c r="CH16" s="30"/>
      <c r="CI16" s="32"/>
      <c r="CJ16" s="33">
        <v>2.82</v>
      </c>
      <c r="CK16" s="33"/>
      <c r="CL16" s="33"/>
      <c r="CM16" s="36"/>
      <c r="CN16" s="286"/>
      <c r="CO16" s="249">
        <f t="shared" si="13"/>
        <v>0</v>
      </c>
      <c r="CP16" s="12">
        <f t="shared" si="13"/>
        <v>196.21550829999998</v>
      </c>
      <c r="CQ16" s="12">
        <f t="shared" si="13"/>
        <v>0</v>
      </c>
      <c r="CR16" s="11">
        <f t="shared" si="13"/>
        <v>40.752000000000002</v>
      </c>
      <c r="CS16" s="11">
        <f t="shared" si="13"/>
        <v>0</v>
      </c>
      <c r="CT16" s="11">
        <f t="shared" si="13"/>
        <v>9.9498689999999996</v>
      </c>
      <c r="CU16" s="272">
        <f t="shared" si="13"/>
        <v>5.1360000000000001</v>
      </c>
      <c r="CV16" s="249">
        <f t="shared" si="14"/>
        <v>155.71151399999999</v>
      </c>
      <c r="CW16" s="12">
        <f t="shared" si="14"/>
        <v>0</v>
      </c>
      <c r="CX16" s="249">
        <f t="shared" si="14"/>
        <v>0</v>
      </c>
      <c r="CY16" s="272">
        <f t="shared" si="14"/>
        <v>0</v>
      </c>
      <c r="CZ16" s="13"/>
      <c r="DA16" s="240">
        <f>(D16+'[2]сентябрь 20'!D16)/(AY16+'[2]сентябрь 20'!BA16)</f>
        <v>2.1145060119732513</v>
      </c>
      <c r="DB16" s="241">
        <f>(T16+'[2]сентябрь 20'!T16)/(AY16+'[2]сентябрь 20'!BA16)</f>
        <v>1.3324244497665723</v>
      </c>
      <c r="DD16" s="292">
        <f t="shared" si="15"/>
        <v>10.343</v>
      </c>
      <c r="DE16" s="291">
        <v>0.24</v>
      </c>
      <c r="DF16" s="291">
        <v>5.76</v>
      </c>
      <c r="DG16" s="145">
        <f t="shared" si="16"/>
        <v>10.3181768</v>
      </c>
      <c r="DH16" s="293">
        <f t="shared" si="30"/>
        <v>0.7768980178823528</v>
      </c>
      <c r="DJ16" s="322"/>
    </row>
    <row r="17" spans="1:114" s="76" customFormat="1" ht="16.5" customHeight="1" thickBot="1">
      <c r="A17" s="144">
        <v>11</v>
      </c>
      <c r="B17" s="122">
        <f>'[1]сентябрь 20'!K16</f>
        <v>282.637</v>
      </c>
      <c r="C17" s="123">
        <f t="shared" si="17"/>
        <v>1.2508744785714541</v>
      </c>
      <c r="D17" s="145">
        <f t="shared" si="18"/>
        <v>279.10156589999997</v>
      </c>
      <c r="E17" s="125">
        <f t="shared" si="19"/>
        <v>37.629978240640824</v>
      </c>
      <c r="F17" s="146">
        <f t="shared" si="0"/>
        <v>2.1866308829520524</v>
      </c>
      <c r="G17" s="127">
        <v>22.12</v>
      </c>
      <c r="H17" s="126">
        <f t="shared" si="20"/>
        <v>1.7874221709495457</v>
      </c>
      <c r="I17" s="230">
        <f>'[1]июль 20'!AI16</f>
        <v>0</v>
      </c>
      <c r="J17" s="247">
        <f>'[1]сентябрь 20'!AA16</f>
        <v>11.753</v>
      </c>
      <c r="K17" s="465">
        <f>'[1]сентябрь 20'!AM16</f>
        <v>0</v>
      </c>
      <c r="L17" s="247">
        <f>'[1]сентябрь 20'!AE16</f>
        <v>50.954999999999998</v>
      </c>
      <c r="M17" s="469">
        <f t="shared" si="21"/>
        <v>0.39920871200250707</v>
      </c>
      <c r="N17" s="403">
        <f>'[1]сентябрь 20'!W16</f>
        <v>0</v>
      </c>
      <c r="O17" s="403">
        <f>'[1]сентябрь 20'!AU16</f>
        <v>9.2029999999999994</v>
      </c>
      <c r="P17" s="401">
        <f t="shared" si="1"/>
        <v>176.00399999999999</v>
      </c>
      <c r="Q17" s="122">
        <f>'[1]сентябрь 20'!S16</f>
        <v>176.00399999999999</v>
      </c>
      <c r="R17" s="123">
        <f t="shared" si="22"/>
        <v>2.95</v>
      </c>
      <c r="S17" s="129">
        <v>9.6999999999999993</v>
      </c>
      <c r="T17" s="125">
        <f t="shared" si="2"/>
        <v>170.81188199999997</v>
      </c>
      <c r="U17" s="147">
        <f t="shared" si="3"/>
        <v>1.3382316045126916</v>
      </c>
      <c r="V17" s="130">
        <v>127.64</v>
      </c>
      <c r="W17" s="130">
        <v>79.61</v>
      </c>
      <c r="X17" s="129">
        <v>0.67</v>
      </c>
      <c r="Y17" s="131">
        <v>547</v>
      </c>
      <c r="Z17" s="150">
        <v>1167</v>
      </c>
      <c r="AA17" s="148" t="s">
        <v>141</v>
      </c>
      <c r="AB17" s="149">
        <v>76.41</v>
      </c>
      <c r="AC17" s="150">
        <v>113</v>
      </c>
      <c r="AD17" s="151">
        <v>5</v>
      </c>
      <c r="AE17" s="149">
        <v>4.7</v>
      </c>
      <c r="AF17" s="134">
        <f t="shared" si="4"/>
        <v>36.822312754622374</v>
      </c>
      <c r="AG17" s="152"/>
      <c r="AH17" s="129">
        <v>80.900000000000006</v>
      </c>
      <c r="AI17" s="134">
        <f t="shared" si="5"/>
        <v>633.81385145722345</v>
      </c>
      <c r="AJ17" s="136">
        <v>17.3</v>
      </c>
      <c r="AK17" s="154"/>
      <c r="AL17" s="155">
        <v>7.6</v>
      </c>
      <c r="AM17" s="478">
        <f t="shared" si="23"/>
        <v>33.360000000000007</v>
      </c>
      <c r="AN17" s="126">
        <f t="shared" si="24"/>
        <v>0.20000000000000004</v>
      </c>
      <c r="AO17" s="157" t="s">
        <v>222</v>
      </c>
      <c r="AP17" s="156">
        <v>7.76</v>
      </c>
      <c r="AQ17" s="156">
        <v>7.36</v>
      </c>
      <c r="AR17" s="149"/>
      <c r="AS17" s="149">
        <v>6.28</v>
      </c>
      <c r="AT17" s="149">
        <v>166.8</v>
      </c>
      <c r="AU17" s="149">
        <v>1.8</v>
      </c>
      <c r="AV17" s="149"/>
      <c r="AW17" s="149"/>
      <c r="AX17" s="158">
        <f t="shared" si="6"/>
        <v>0</v>
      </c>
      <c r="AY17" s="125">
        <f t="shared" si="7"/>
        <v>127.64</v>
      </c>
      <c r="AZ17" s="125">
        <f t="shared" si="25"/>
        <v>120.97403878284344</v>
      </c>
      <c r="BA17" s="159">
        <f t="shared" si="8"/>
        <v>3.9356140845070429</v>
      </c>
      <c r="BB17" s="160">
        <f t="shared" si="9"/>
        <v>5.1055999999999999</v>
      </c>
      <c r="BC17" s="161">
        <f t="shared" si="10"/>
        <v>0.9286258201239862</v>
      </c>
      <c r="BD17" s="160">
        <f t="shared" si="26"/>
        <v>9.0412140845070432</v>
      </c>
      <c r="BE17" s="162">
        <v>0.93600000000000005</v>
      </c>
      <c r="BF17" s="25">
        <f t="shared" si="27"/>
        <v>1327.94</v>
      </c>
      <c r="BG17" s="25">
        <f t="shared" si="11"/>
        <v>118.33333333333333</v>
      </c>
      <c r="BH17" s="25">
        <f t="shared" si="28"/>
        <v>1301.6666666666665</v>
      </c>
      <c r="BI17" s="26">
        <f t="shared" si="12"/>
        <v>1</v>
      </c>
      <c r="BJ17" s="37">
        <f t="shared" si="29"/>
        <v>1301.6666666666665</v>
      </c>
      <c r="BK17" s="39"/>
      <c r="BL17" s="31">
        <v>220.459</v>
      </c>
      <c r="BM17" s="31"/>
      <c r="BN17" s="234">
        <v>45.218000000000004</v>
      </c>
      <c r="BO17" s="42"/>
      <c r="BP17" s="40">
        <v>11.223000000000001</v>
      </c>
      <c r="BQ17" s="32">
        <v>5.7370000000000001</v>
      </c>
      <c r="BR17" s="33"/>
      <c r="BS17" s="34">
        <v>1.51</v>
      </c>
      <c r="BT17" s="35"/>
      <c r="BU17" s="28"/>
      <c r="BV17" s="287"/>
      <c r="BW17" s="287">
        <v>1.84</v>
      </c>
      <c r="BX17" s="36"/>
      <c r="BY17" s="33"/>
      <c r="BZ17" s="34">
        <v>36.65</v>
      </c>
      <c r="CA17" s="35"/>
      <c r="CB17" s="405">
        <v>43.02</v>
      </c>
      <c r="CC17" s="404"/>
      <c r="CD17" s="235">
        <v>32.26</v>
      </c>
      <c r="CE17" s="36">
        <v>43.31</v>
      </c>
      <c r="CF17" s="38">
        <v>176.00399999999999</v>
      </c>
      <c r="CG17" s="42"/>
      <c r="CH17" s="234"/>
      <c r="CI17" s="233"/>
      <c r="CJ17" s="33">
        <v>2.95</v>
      </c>
      <c r="CK17" s="33"/>
      <c r="CL17" s="33"/>
      <c r="CM17" s="36"/>
      <c r="CN17" s="286"/>
      <c r="CO17" s="249">
        <f t="shared" si="13"/>
        <v>0</v>
      </c>
      <c r="CP17" s="12">
        <f t="shared" si="13"/>
        <v>217.13006910000001</v>
      </c>
      <c r="CQ17" s="12">
        <f t="shared" si="13"/>
        <v>0</v>
      </c>
      <c r="CR17" s="12">
        <f t="shared" si="13"/>
        <v>45.218000000000004</v>
      </c>
      <c r="CS17" s="11">
        <f t="shared" si="13"/>
        <v>0</v>
      </c>
      <c r="CT17" s="11">
        <f t="shared" si="13"/>
        <v>11.016496800000001</v>
      </c>
      <c r="CU17" s="272">
        <f t="shared" si="13"/>
        <v>5.7370000000000001</v>
      </c>
      <c r="CV17" s="249">
        <f t="shared" si="14"/>
        <v>170.81188199999997</v>
      </c>
      <c r="CW17" s="12">
        <f t="shared" si="14"/>
        <v>0</v>
      </c>
      <c r="CX17" s="254">
        <f t="shared" si="14"/>
        <v>0</v>
      </c>
      <c r="CY17" s="272">
        <f t="shared" si="14"/>
        <v>0</v>
      </c>
      <c r="CZ17" s="13"/>
      <c r="DA17" s="240">
        <f>(D17+'[2]сентябрь 20'!D17)/(AY17+'[2]сентябрь 20'!BA17)</f>
        <v>2.1641913778564241</v>
      </c>
      <c r="DB17" s="241">
        <f>(T17+'[2]сентябрь 20'!T17)/(AY17+'[2]сентябрь 20'!BA17)</f>
        <v>1.3547571830201066</v>
      </c>
      <c r="DD17" s="292">
        <f t="shared" si="15"/>
        <v>11.753</v>
      </c>
      <c r="DE17" s="291">
        <v>0.31</v>
      </c>
      <c r="DF17" s="291">
        <v>6.39</v>
      </c>
      <c r="DG17" s="145">
        <f t="shared" si="16"/>
        <v>11.7165657</v>
      </c>
      <c r="DH17" s="293">
        <f t="shared" si="30"/>
        <v>0.97983058268551237</v>
      </c>
      <c r="DJ17" s="322"/>
    </row>
    <row r="18" spans="1:114" s="76" customFormat="1" ht="16.5" customHeight="1" thickBot="1">
      <c r="A18" s="144">
        <v>12</v>
      </c>
      <c r="B18" s="122">
        <f>'[1]сентябрь 20'!K17</f>
        <v>262.517</v>
      </c>
      <c r="C18" s="123">
        <f t="shared" si="17"/>
        <v>1.6253518819733577</v>
      </c>
      <c r="D18" s="145">
        <f t="shared" si="18"/>
        <v>258.25017500000001</v>
      </c>
      <c r="E18" s="125">
        <f t="shared" si="19"/>
        <v>37.769889873798647</v>
      </c>
      <c r="F18" s="146">
        <f t="shared" si="0"/>
        <v>2.1148978380149051</v>
      </c>
      <c r="G18" s="127">
        <v>16.559999999999999</v>
      </c>
      <c r="H18" s="126">
        <f t="shared" si="20"/>
        <v>1.7283037834739168</v>
      </c>
      <c r="I18" s="230">
        <f>'[1]июль 20'!AI17</f>
        <v>0</v>
      </c>
      <c r="J18" s="247">
        <f>'[1]сентябрь 20'!AA17</f>
        <v>10.577999999999999</v>
      </c>
      <c r="K18" s="464">
        <f>'[1]сентябрь 20'!AM17</f>
        <v>0</v>
      </c>
      <c r="L18" s="247">
        <f>'[1]сентябрь 20'!AE17</f>
        <v>47.207000000000001</v>
      </c>
      <c r="M18" s="468">
        <f t="shared" si="21"/>
        <v>0.38659405454098766</v>
      </c>
      <c r="N18" s="403">
        <f>'[1]сентябрь 20'!W17</f>
        <v>0</v>
      </c>
      <c r="O18" s="403">
        <f>'[1]сентябрь 20'!AU17</f>
        <v>8.5950000000000006</v>
      </c>
      <c r="P18" s="401">
        <f t="shared" si="1"/>
        <v>162.94399999999999</v>
      </c>
      <c r="Q18" s="122">
        <f>'[1]сентябрь 20'!S17</f>
        <v>162.94399999999999</v>
      </c>
      <c r="R18" s="123">
        <f t="shared" si="22"/>
        <v>2.87</v>
      </c>
      <c r="S18" s="502"/>
      <c r="T18" s="125">
        <f t="shared" si="2"/>
        <v>158.26750719999998</v>
      </c>
      <c r="U18" s="147">
        <f t="shared" si="3"/>
        <v>1.2961060289902546</v>
      </c>
      <c r="V18" s="130">
        <v>122.11</v>
      </c>
      <c r="W18" s="130">
        <v>53.36</v>
      </c>
      <c r="X18" s="129">
        <v>0.87</v>
      </c>
      <c r="Y18" s="131">
        <v>580</v>
      </c>
      <c r="Z18" s="150">
        <v>1169</v>
      </c>
      <c r="AA18" s="148" t="s">
        <v>130</v>
      </c>
      <c r="AB18" s="149">
        <v>76.11</v>
      </c>
      <c r="AC18" s="150">
        <v>105</v>
      </c>
      <c r="AD18" s="151">
        <v>5</v>
      </c>
      <c r="AE18" s="149">
        <v>4.0999999999999996</v>
      </c>
      <c r="AF18" s="134">
        <f t="shared" si="4"/>
        <v>33.576283678650398</v>
      </c>
      <c r="AG18" s="152"/>
      <c r="AH18" s="129">
        <v>85.05</v>
      </c>
      <c r="AI18" s="134">
        <f t="shared" si="5"/>
        <v>696.50315289493085</v>
      </c>
      <c r="AJ18" s="153">
        <v>15.56</v>
      </c>
      <c r="AK18" s="154"/>
      <c r="AL18" s="155">
        <v>8.11</v>
      </c>
      <c r="AM18" s="478">
        <f t="shared" si="23"/>
        <v>32.110000000000007</v>
      </c>
      <c r="AN18" s="126">
        <f t="shared" si="24"/>
        <v>0.20000000000000004</v>
      </c>
      <c r="AO18" s="157" t="s">
        <v>117</v>
      </c>
      <c r="AP18" s="156">
        <v>7.75</v>
      </c>
      <c r="AQ18" s="156">
        <v>6.86</v>
      </c>
      <c r="AR18" s="151"/>
      <c r="AS18" s="149">
        <v>9.0399999999999991</v>
      </c>
      <c r="AT18" s="149">
        <v>160.55000000000001</v>
      </c>
      <c r="AU18" s="149">
        <v>1.78</v>
      </c>
      <c r="AV18" s="149"/>
      <c r="AW18" s="149"/>
      <c r="AX18" s="158">
        <f t="shared" si="6"/>
        <v>0</v>
      </c>
      <c r="AY18" s="125">
        <f t="shared" si="7"/>
        <v>122.10999999999999</v>
      </c>
      <c r="AZ18" s="125">
        <f t="shared" si="25"/>
        <v>113.46244281367818</v>
      </c>
      <c r="BA18" s="159">
        <f t="shared" si="8"/>
        <v>5.9558957746478862</v>
      </c>
      <c r="BB18" s="160">
        <f t="shared" si="9"/>
        <v>4.8843999999999994</v>
      </c>
      <c r="BC18" s="161">
        <f t="shared" si="10"/>
        <v>0.95281066609671028</v>
      </c>
      <c r="BD18" s="160">
        <f t="shared" si="26"/>
        <v>10.840295774647885</v>
      </c>
      <c r="BE18" s="162">
        <v>0.93700000000000006</v>
      </c>
      <c r="BF18" s="25">
        <f t="shared" si="27"/>
        <v>1450.05</v>
      </c>
      <c r="BG18" s="25">
        <f t="shared" si="11"/>
        <v>118.33333333333333</v>
      </c>
      <c r="BH18" s="25">
        <f t="shared" si="28"/>
        <v>1419.9999999999998</v>
      </c>
      <c r="BI18" s="26">
        <f t="shared" si="12"/>
        <v>1</v>
      </c>
      <c r="BJ18" s="37">
        <f t="shared" si="29"/>
        <v>1419.9999999999998</v>
      </c>
      <c r="BK18" s="38"/>
      <c r="BL18" s="31">
        <v>204.70599999999999</v>
      </c>
      <c r="BM18" s="31"/>
      <c r="BN18" s="234">
        <v>41.997</v>
      </c>
      <c r="BO18" s="42"/>
      <c r="BP18" s="40">
        <v>10.603999999999999</v>
      </c>
      <c r="BQ18" s="411">
        <v>5.21</v>
      </c>
      <c r="BR18" s="41"/>
      <c r="BS18" s="34">
        <v>1.93</v>
      </c>
      <c r="BT18" s="35"/>
      <c r="BU18" s="28"/>
      <c r="BV18" s="287"/>
      <c r="BW18" s="287">
        <v>2.98</v>
      </c>
      <c r="BX18" s="36"/>
      <c r="BY18" s="34"/>
      <c r="BZ18" s="34">
        <v>36.83</v>
      </c>
      <c r="CA18" s="35"/>
      <c r="CB18" s="405">
        <v>43.3</v>
      </c>
      <c r="CC18" s="404"/>
      <c r="CD18" s="235">
        <v>31.3</v>
      </c>
      <c r="CE18" s="405">
        <v>43.29</v>
      </c>
      <c r="CF18" s="38">
        <v>162.94399999999999</v>
      </c>
      <c r="CG18" s="42"/>
      <c r="CH18" s="234"/>
      <c r="CI18" s="233"/>
      <c r="CJ18" s="33">
        <v>2.87</v>
      </c>
      <c r="CK18" s="33"/>
      <c r="CL18" s="33"/>
      <c r="CM18" s="36"/>
      <c r="CN18" s="286"/>
      <c r="CO18" s="249">
        <f t="shared" si="13"/>
        <v>0</v>
      </c>
      <c r="CP18" s="12">
        <f t="shared" si="13"/>
        <v>200.75517419999997</v>
      </c>
      <c r="CQ18" s="12">
        <f t="shared" si="13"/>
        <v>0</v>
      </c>
      <c r="CR18" s="12">
        <f t="shared" si="13"/>
        <v>41.997</v>
      </c>
      <c r="CS18" s="11">
        <f t="shared" si="13"/>
        <v>0</v>
      </c>
      <c r="CT18" s="11">
        <f t="shared" si="13"/>
        <v>10.288000799999999</v>
      </c>
      <c r="CU18" s="272">
        <f t="shared" si="13"/>
        <v>5.21</v>
      </c>
      <c r="CV18" s="249">
        <f t="shared" si="14"/>
        <v>158.26750719999998</v>
      </c>
      <c r="CW18" s="11">
        <f t="shared" si="14"/>
        <v>0</v>
      </c>
      <c r="CX18" s="249">
        <f t="shared" si="14"/>
        <v>0</v>
      </c>
      <c r="CY18" s="272">
        <f t="shared" si="14"/>
        <v>0</v>
      </c>
      <c r="CZ18" s="13"/>
      <c r="DA18" s="240">
        <f>(D18+'[2]сентябрь 20'!D18)/(AY18+'[2]сентябрь 20'!BA18)</f>
        <v>2.1249454320505303</v>
      </c>
      <c r="DB18" s="241">
        <f>(T18+'[2]сентябрь 20'!T18)/(AY18+'[2]сентябрь 20'!BA18)</f>
        <v>1.3286432720065851</v>
      </c>
      <c r="DD18" s="292">
        <f t="shared" si="15"/>
        <v>10.577999999999999</v>
      </c>
      <c r="DE18" s="291">
        <v>0.49</v>
      </c>
      <c r="DF18" s="291">
        <v>11.43</v>
      </c>
      <c r="DG18" s="145">
        <f t="shared" si="16"/>
        <v>10.5261678</v>
      </c>
      <c r="DH18" s="293">
        <f t="shared" si="30"/>
        <v>1.580792247457627</v>
      </c>
      <c r="DJ18" s="322"/>
    </row>
    <row r="19" spans="1:114" s="76" customFormat="1" ht="16.5" customHeight="1" thickBot="1">
      <c r="A19" s="144">
        <v>13</v>
      </c>
      <c r="B19" s="122">
        <f>'[1]сентябрь 20'!K18</f>
        <v>259.98500000000001</v>
      </c>
      <c r="C19" s="123">
        <f t="shared" si="17"/>
        <v>1.9929236302094353</v>
      </c>
      <c r="D19" s="145">
        <f t="shared" si="18"/>
        <v>254.80369750000003</v>
      </c>
      <c r="E19" s="125">
        <f t="shared" si="19"/>
        <v>37.07121087755062</v>
      </c>
      <c r="F19" s="146">
        <f t="shared" si="0"/>
        <v>2.0961146553142482</v>
      </c>
      <c r="G19" s="127">
        <v>9.06</v>
      </c>
      <c r="H19" s="126">
        <f t="shared" si="20"/>
        <v>1.7114239675880221</v>
      </c>
      <c r="I19" s="230">
        <f>'[1]июль 20'!AI18</f>
        <v>0</v>
      </c>
      <c r="J19" s="247">
        <f>'[1]сентябрь 20'!AA18</f>
        <v>10.220000000000001</v>
      </c>
      <c r="K19" s="465">
        <f>'[1]сентябрь 20'!AM18</f>
        <v>0</v>
      </c>
      <c r="L19" s="247">
        <f>'[1]сентябрь 20'!AE18</f>
        <v>46.762999999999998</v>
      </c>
      <c r="M19" s="469">
        <f t="shared" si="21"/>
        <v>0.38469068772622567</v>
      </c>
      <c r="N19" s="403">
        <f>'[1]сентябрь 20'!W18</f>
        <v>0</v>
      </c>
      <c r="O19" s="403">
        <f>'[1]сентябрь 20'!AU18</f>
        <v>8.4700000000000006</v>
      </c>
      <c r="P19" s="401">
        <f t="shared" si="1"/>
        <v>160.25200000000001</v>
      </c>
      <c r="Q19" s="122">
        <f>'[1]сентябрь 20'!S18</f>
        <v>160.25200000000001</v>
      </c>
      <c r="R19" s="123">
        <f t="shared" si="22"/>
        <v>2.75</v>
      </c>
      <c r="S19" s="501">
        <v>17.690000000000001</v>
      </c>
      <c r="T19" s="125">
        <f t="shared" si="2"/>
        <v>155.84507000000002</v>
      </c>
      <c r="U19" s="147">
        <f t="shared" si="3"/>
        <v>1.2820423659098388</v>
      </c>
      <c r="V19" s="130">
        <v>121.56</v>
      </c>
      <c r="W19" s="130">
        <v>74.84</v>
      </c>
      <c r="X19" s="129">
        <v>1.04</v>
      </c>
      <c r="Y19" s="131">
        <v>578</v>
      </c>
      <c r="Z19" s="150">
        <v>1172</v>
      </c>
      <c r="AA19" s="148" t="s">
        <v>150</v>
      </c>
      <c r="AB19" s="149">
        <v>76.510000000000005</v>
      </c>
      <c r="AC19" s="150">
        <v>104</v>
      </c>
      <c r="AD19" s="151">
        <v>5</v>
      </c>
      <c r="AE19" s="149">
        <v>4.75</v>
      </c>
      <c r="AF19" s="134">
        <f t="shared" si="4"/>
        <v>39.075353734781174</v>
      </c>
      <c r="AG19" s="152"/>
      <c r="AH19" s="129">
        <v>76.25</v>
      </c>
      <c r="AI19" s="134">
        <f t="shared" si="5"/>
        <v>627.26225732148725</v>
      </c>
      <c r="AJ19" s="136">
        <v>14.84</v>
      </c>
      <c r="AK19" s="154"/>
      <c r="AL19" s="155">
        <v>7.98</v>
      </c>
      <c r="AM19" s="478">
        <f t="shared" si="23"/>
        <v>31.960000000000004</v>
      </c>
      <c r="AN19" s="126">
        <f t="shared" si="24"/>
        <v>0.2</v>
      </c>
      <c r="AO19" s="157" t="s">
        <v>224</v>
      </c>
      <c r="AP19" s="156">
        <v>7.69</v>
      </c>
      <c r="AQ19" s="156">
        <v>6.75</v>
      </c>
      <c r="AR19" s="151"/>
      <c r="AS19" s="149">
        <v>6.18</v>
      </c>
      <c r="AT19" s="149">
        <v>159.80000000000001</v>
      </c>
      <c r="AU19" s="149">
        <v>1.7</v>
      </c>
      <c r="AV19" s="164"/>
      <c r="AW19" s="149"/>
      <c r="AX19" s="158">
        <f t="shared" si="6"/>
        <v>0</v>
      </c>
      <c r="AY19" s="125">
        <f t="shared" si="7"/>
        <v>121.56000000000002</v>
      </c>
      <c r="AZ19" s="125">
        <f t="shared" si="25"/>
        <v>109.65373557047509</v>
      </c>
      <c r="BA19" s="159">
        <f t="shared" si="8"/>
        <v>3.6503345070422535</v>
      </c>
      <c r="BB19" s="160">
        <f t="shared" si="9"/>
        <v>4.8624000000000009</v>
      </c>
      <c r="BC19" s="161">
        <f t="shared" si="10"/>
        <v>0.98461488207038717</v>
      </c>
      <c r="BD19" s="160">
        <f t="shared" si="26"/>
        <v>8.5127345070422535</v>
      </c>
      <c r="BE19" s="162">
        <v>0.94099999999999995</v>
      </c>
      <c r="BF19" s="25">
        <f t="shared" si="27"/>
        <v>1571.61</v>
      </c>
      <c r="BG19" s="25">
        <f t="shared" si="11"/>
        <v>118.33333333333333</v>
      </c>
      <c r="BH19" s="25">
        <f t="shared" si="28"/>
        <v>1538.333333333333</v>
      </c>
      <c r="BI19" s="26">
        <f t="shared" si="12"/>
        <v>1</v>
      </c>
      <c r="BJ19" s="37">
        <f t="shared" si="29"/>
        <v>1538.333333333333</v>
      </c>
      <c r="BK19" s="38"/>
      <c r="BL19" s="31">
        <v>202.81899999999999</v>
      </c>
      <c r="BM19" s="31"/>
      <c r="BN19" s="234">
        <v>41.582000000000001</v>
      </c>
      <c r="BO19" s="42"/>
      <c r="BP19" s="40">
        <v>10.403</v>
      </c>
      <c r="BQ19" s="411">
        <v>5.181</v>
      </c>
      <c r="BR19" s="33"/>
      <c r="BS19" s="34">
        <v>2.41</v>
      </c>
      <c r="BT19" s="35"/>
      <c r="BU19" s="28"/>
      <c r="BV19" s="287"/>
      <c r="BW19" s="512">
        <v>2.82</v>
      </c>
      <c r="BX19" s="36"/>
      <c r="BY19" s="33"/>
      <c r="BZ19" s="34">
        <v>35.96</v>
      </c>
      <c r="CA19" s="35"/>
      <c r="CB19" s="405">
        <v>43.01</v>
      </c>
      <c r="CC19" s="404"/>
      <c r="CD19" s="235">
        <v>32.01</v>
      </c>
      <c r="CE19" s="413">
        <v>43.07</v>
      </c>
      <c r="CF19" s="41">
        <v>137.75800000000001</v>
      </c>
      <c r="CG19" s="41">
        <v>22.494</v>
      </c>
      <c r="CH19" s="30"/>
      <c r="CI19" s="32"/>
      <c r="CJ19" s="33">
        <v>2.75</v>
      </c>
      <c r="CK19" s="33">
        <v>2.75</v>
      </c>
      <c r="CL19" s="33"/>
      <c r="CM19" s="36"/>
      <c r="CN19" s="286"/>
      <c r="CO19" s="249">
        <f t="shared" si="13"/>
        <v>0</v>
      </c>
      <c r="CP19" s="12">
        <f t="shared" si="13"/>
        <v>197.93106209999999</v>
      </c>
      <c r="CQ19" s="12">
        <f t="shared" si="13"/>
        <v>0</v>
      </c>
      <c r="CR19" s="12">
        <f t="shared" si="13"/>
        <v>41.582000000000001</v>
      </c>
      <c r="CS19" s="11">
        <f t="shared" si="13"/>
        <v>0</v>
      </c>
      <c r="CT19" s="11">
        <f t="shared" si="13"/>
        <v>10.109635400000002</v>
      </c>
      <c r="CU19" s="272">
        <f t="shared" si="13"/>
        <v>5.181</v>
      </c>
      <c r="CV19" s="249">
        <f t="shared" si="14"/>
        <v>133.96965500000002</v>
      </c>
      <c r="CW19" s="251">
        <f t="shared" si="14"/>
        <v>21.875415</v>
      </c>
      <c r="CX19" s="249">
        <f t="shared" si="14"/>
        <v>0</v>
      </c>
      <c r="CY19" s="272">
        <f t="shared" si="14"/>
        <v>0</v>
      </c>
      <c r="CZ19" s="13"/>
      <c r="DA19" s="240">
        <f>(D19+'[2]сентябрь 20'!D19)/(AY19+'[2]сентябрь 20'!BA19)</f>
        <v>2.0290584441648267</v>
      </c>
      <c r="DB19" s="241">
        <f>(T19+'[2]сентябрь 20'!T19)/(AY19+'[2]сентябрь 20'!BA19)</f>
        <v>1.2645445855012543</v>
      </c>
      <c r="DD19" s="292">
        <f t="shared" si="15"/>
        <v>10.220000000000001</v>
      </c>
      <c r="DE19" s="291">
        <v>0.52</v>
      </c>
      <c r="DF19" s="291">
        <v>14.1</v>
      </c>
      <c r="DG19" s="145">
        <f t="shared" si="16"/>
        <v>10.166856000000001</v>
      </c>
      <c r="DH19" s="293">
        <f t="shared" si="30"/>
        <v>1.8736461848124428</v>
      </c>
      <c r="DJ19" s="322"/>
    </row>
    <row r="20" spans="1:114" s="76" customFormat="1" ht="16.5" customHeight="1" thickBot="1">
      <c r="A20" s="144">
        <v>14</v>
      </c>
      <c r="B20" s="122">
        <f>'[1]сентябрь 20'!K19</f>
        <v>277.476</v>
      </c>
      <c r="C20" s="123">
        <f t="shared" si="17"/>
        <v>1.4253498680967003</v>
      </c>
      <c r="D20" s="145">
        <f t="shared" si="18"/>
        <v>273.52099620000001</v>
      </c>
      <c r="E20" s="125">
        <f t="shared" si="19"/>
        <v>37.442504793207341</v>
      </c>
      <c r="F20" s="146">
        <f t="shared" si="0"/>
        <v>2.039983563544153</v>
      </c>
      <c r="G20" s="127">
        <v>9.18</v>
      </c>
      <c r="H20" s="126">
        <f t="shared" si="20"/>
        <v>1.6671389931384248</v>
      </c>
      <c r="I20" s="230">
        <f>'[1]июль 20'!AI19</f>
        <v>0</v>
      </c>
      <c r="J20" s="247">
        <f>'[1]сентябрь 20'!AA19</f>
        <v>10.837999999999999</v>
      </c>
      <c r="K20" s="464">
        <f>'[1]сентябрь 20'!AM19</f>
        <v>0</v>
      </c>
      <c r="L20" s="247">
        <f>'[1]сентябрь 20'!AE19</f>
        <v>49.991</v>
      </c>
      <c r="M20" s="468">
        <f t="shared" si="21"/>
        <v>0.37284457040572799</v>
      </c>
      <c r="N20" s="403">
        <f>'[1]сентябрь 20'!W19</f>
        <v>0</v>
      </c>
      <c r="O20" s="403">
        <f>'[1]сентябрь 20'!AU19</f>
        <v>9.0830000000000002</v>
      </c>
      <c r="P20" s="401">
        <f t="shared" si="1"/>
        <v>168.571</v>
      </c>
      <c r="Q20" s="122">
        <f>'[1]сентябрь 20'!S19</f>
        <v>168.571</v>
      </c>
      <c r="R20" s="123">
        <f t="shared" si="22"/>
        <v>2.66</v>
      </c>
      <c r="S20" s="503">
        <v>12.77</v>
      </c>
      <c r="T20" s="125">
        <f t="shared" si="2"/>
        <v>164.08701139999999</v>
      </c>
      <c r="U20" s="147">
        <f t="shared" si="3"/>
        <v>1.2237993093675419</v>
      </c>
      <c r="V20" s="130">
        <v>134.08000000000001</v>
      </c>
      <c r="W20" s="130">
        <v>85.57</v>
      </c>
      <c r="X20" s="129">
        <v>1.21</v>
      </c>
      <c r="Y20" s="131">
        <v>580</v>
      </c>
      <c r="Z20" s="150">
        <v>1170</v>
      </c>
      <c r="AA20" s="168" t="s">
        <v>159</v>
      </c>
      <c r="AB20" s="149">
        <v>75.89</v>
      </c>
      <c r="AC20" s="150">
        <v>111</v>
      </c>
      <c r="AD20" s="151">
        <v>5</v>
      </c>
      <c r="AE20" s="149">
        <v>6.2</v>
      </c>
      <c r="AF20" s="134">
        <f t="shared" si="4"/>
        <v>46.241050119331753</v>
      </c>
      <c r="AG20" s="152"/>
      <c r="AH20" s="129">
        <v>86.75</v>
      </c>
      <c r="AI20" s="134">
        <f t="shared" si="5"/>
        <v>647.00178997613375</v>
      </c>
      <c r="AJ20" s="153">
        <v>14.75</v>
      </c>
      <c r="AK20" s="154"/>
      <c r="AL20" s="155">
        <v>7.84</v>
      </c>
      <c r="AM20" s="478">
        <f t="shared" si="23"/>
        <v>35.07</v>
      </c>
      <c r="AN20" s="126">
        <f t="shared" si="24"/>
        <v>0.2</v>
      </c>
      <c r="AO20" s="157" t="s">
        <v>400</v>
      </c>
      <c r="AP20" s="156">
        <v>7.53</v>
      </c>
      <c r="AQ20" s="156">
        <v>7.33</v>
      </c>
      <c r="AR20" s="149"/>
      <c r="AS20" s="149">
        <v>6.74</v>
      </c>
      <c r="AT20" s="149">
        <v>175.35</v>
      </c>
      <c r="AU20" s="149">
        <v>1.64</v>
      </c>
      <c r="AV20" s="149"/>
      <c r="AW20" s="149"/>
      <c r="AX20" s="158">
        <f t="shared" si="6"/>
        <v>0</v>
      </c>
      <c r="AY20" s="125">
        <f t="shared" si="7"/>
        <v>134.07999999999998</v>
      </c>
      <c r="AZ20" s="125">
        <f t="shared" si="25"/>
        <v>118.71097519830224</v>
      </c>
      <c r="BA20" s="159">
        <f t="shared" si="8"/>
        <v>4.5293274647887323</v>
      </c>
      <c r="BB20" s="160">
        <f t="shared" si="9"/>
        <v>5.3631999999999991</v>
      </c>
      <c r="BC20" s="161">
        <f t="shared" si="10"/>
        <v>0.9935574644788846</v>
      </c>
      <c r="BD20" s="160">
        <f t="shared" si="26"/>
        <v>9.8925274647887314</v>
      </c>
      <c r="BE20" s="162">
        <v>0.94499999999999995</v>
      </c>
      <c r="BF20" s="25">
        <f t="shared" si="27"/>
        <v>1705.6899999999998</v>
      </c>
      <c r="BG20" s="25">
        <f t="shared" si="11"/>
        <v>118.33333333333333</v>
      </c>
      <c r="BH20" s="25">
        <f t="shared" si="28"/>
        <v>1656.6666666666663</v>
      </c>
      <c r="BI20" s="26">
        <f t="shared" si="12"/>
        <v>1</v>
      </c>
      <c r="BJ20" s="37">
        <f t="shared" si="29"/>
        <v>1656.6666666666663</v>
      </c>
      <c r="BK20" s="38"/>
      <c r="BL20" s="31">
        <v>216.47399999999999</v>
      </c>
      <c r="BM20" s="31"/>
      <c r="BN20" s="234">
        <v>44.42</v>
      </c>
      <c r="BO20" s="42"/>
      <c r="BP20" s="40">
        <v>11.010999999999999</v>
      </c>
      <c r="BQ20" s="411">
        <v>5.5709999999999997</v>
      </c>
      <c r="BR20" s="33"/>
      <c r="BS20" s="34">
        <v>1.65</v>
      </c>
      <c r="BT20" s="35"/>
      <c r="BU20" s="28"/>
      <c r="BV20" s="287"/>
      <c r="BW20" s="287">
        <v>3.48</v>
      </c>
      <c r="BX20" s="36"/>
      <c r="BY20" s="33"/>
      <c r="BZ20" s="34">
        <v>36.44</v>
      </c>
      <c r="CA20" s="35"/>
      <c r="CB20" s="405">
        <v>43.24</v>
      </c>
      <c r="CC20" s="404"/>
      <c r="CD20" s="235">
        <v>30.8</v>
      </c>
      <c r="CE20" s="413">
        <v>43.3</v>
      </c>
      <c r="CF20" s="30">
        <v>113.08</v>
      </c>
      <c r="CG20" s="30">
        <v>55.491</v>
      </c>
      <c r="CH20" s="31"/>
      <c r="CI20" s="32"/>
      <c r="CJ20" s="33">
        <v>2.66</v>
      </c>
      <c r="CK20" s="33">
        <v>2.66</v>
      </c>
      <c r="CL20" s="35"/>
      <c r="CM20" s="36"/>
      <c r="CN20" s="286"/>
      <c r="CO20" s="249">
        <f t="shared" si="13"/>
        <v>0</v>
      </c>
      <c r="CP20" s="12">
        <f t="shared" si="13"/>
        <v>212.90217899999996</v>
      </c>
      <c r="CQ20" s="12">
        <f t="shared" si="13"/>
        <v>0</v>
      </c>
      <c r="CR20" s="12">
        <f t="shared" si="13"/>
        <v>44.42</v>
      </c>
      <c r="CS20" s="11">
        <f t="shared" si="13"/>
        <v>0</v>
      </c>
      <c r="CT20" s="11">
        <f t="shared" si="13"/>
        <v>10.627817199999999</v>
      </c>
      <c r="CU20" s="272">
        <f t="shared" si="13"/>
        <v>5.5709999999999997</v>
      </c>
      <c r="CV20" s="249">
        <f t="shared" si="14"/>
        <v>110.07207200000001</v>
      </c>
      <c r="CW20" s="12">
        <f t="shared" si="14"/>
        <v>54.014939400000003</v>
      </c>
      <c r="CX20" s="249">
        <f t="shared" si="14"/>
        <v>0</v>
      </c>
      <c r="CY20" s="272">
        <f t="shared" si="14"/>
        <v>0</v>
      </c>
      <c r="CZ20" s="13"/>
      <c r="DA20" s="240">
        <f>(D20+'[2]сентябрь 20'!D20)/(AY20+'[2]сентябрь 20'!BA20)</f>
        <v>2.0652715279693137</v>
      </c>
      <c r="DB20" s="241">
        <f>(T20+'[2]сентябрь 20'!T20)/(AY20+'[2]сентябрь 20'!BA20)</f>
        <v>1.2602242646201618</v>
      </c>
      <c r="DD20" s="292">
        <f t="shared" si="15"/>
        <v>10.837999999999999</v>
      </c>
      <c r="DE20" s="291">
        <v>0.27</v>
      </c>
      <c r="DF20" s="407">
        <v>6.32</v>
      </c>
      <c r="DG20" s="145">
        <f t="shared" si="16"/>
        <v>10.8087374</v>
      </c>
      <c r="DH20" s="293">
        <f t="shared" si="30"/>
        <v>0.90013467344841214</v>
      </c>
      <c r="DJ20" s="322"/>
    </row>
    <row r="21" spans="1:114" s="76" customFormat="1" ht="16.5" customHeight="1" thickBot="1">
      <c r="A21" s="144">
        <v>15</v>
      </c>
      <c r="B21" s="122">
        <f>'[1]сентябрь 20'!K20</f>
        <v>280.03199999999998</v>
      </c>
      <c r="C21" s="123">
        <f t="shared" si="17"/>
        <v>1.3066758084790309</v>
      </c>
      <c r="D21" s="145">
        <f t="shared" si="18"/>
        <v>276.37288960000001</v>
      </c>
      <c r="E21" s="125">
        <f t="shared" si="19"/>
        <v>37.166749264369784</v>
      </c>
      <c r="F21" s="146">
        <f t="shared" si="0"/>
        <v>2.2232554870887298</v>
      </c>
      <c r="G21" s="127">
        <v>12.9</v>
      </c>
      <c r="H21" s="126">
        <f t="shared" si="20"/>
        <v>1.8179461797120102</v>
      </c>
      <c r="I21" s="230">
        <f>'[1]июль 20'!AI20</f>
        <v>0</v>
      </c>
      <c r="J21" s="247">
        <f>'[1]сентябрь 20'!AA20</f>
        <v>11.045</v>
      </c>
      <c r="K21" s="465">
        <f>'[1]сентябрь 20'!AM20</f>
        <v>0</v>
      </c>
      <c r="L21" s="247">
        <f>'[1]сентябрь 20'!AE20</f>
        <v>50.384</v>
      </c>
      <c r="M21" s="469">
        <f t="shared" si="21"/>
        <v>0.40530930737671944</v>
      </c>
      <c r="N21" s="403">
        <f>'[1]сентябрь 20'!W20</f>
        <v>0</v>
      </c>
      <c r="O21" s="403">
        <f>'[1]сентябрь 20'!AU20</f>
        <v>9.8040000000000003</v>
      </c>
      <c r="P21" s="401">
        <f t="shared" si="1"/>
        <v>167.74799999999999</v>
      </c>
      <c r="Q21" s="122">
        <f>'[1]сентябрь 20'!S20</f>
        <v>167.74799999999999</v>
      </c>
      <c r="R21" s="123">
        <f t="shared" si="22"/>
        <v>2.63</v>
      </c>
      <c r="S21" s="501">
        <v>1.56</v>
      </c>
      <c r="T21" s="125">
        <f t="shared" si="2"/>
        <v>163.3362276</v>
      </c>
      <c r="U21" s="147">
        <f t="shared" si="3"/>
        <v>1.3139427849730512</v>
      </c>
      <c r="V21" s="130">
        <v>124.31</v>
      </c>
      <c r="W21" s="130">
        <v>94.63</v>
      </c>
      <c r="X21" s="129">
        <v>0.76</v>
      </c>
      <c r="Y21" s="131">
        <v>557</v>
      </c>
      <c r="Z21" s="150">
        <v>1173</v>
      </c>
      <c r="AA21" s="168" t="s">
        <v>130</v>
      </c>
      <c r="AB21" s="149">
        <v>76.41</v>
      </c>
      <c r="AC21" s="150">
        <v>112</v>
      </c>
      <c r="AD21" s="151">
        <v>5</v>
      </c>
      <c r="AE21" s="149">
        <v>3.6</v>
      </c>
      <c r="AF21" s="134">
        <f t="shared" si="4"/>
        <v>28.959858418469953</v>
      </c>
      <c r="AG21" s="152"/>
      <c r="AH21" s="129">
        <v>81.2</v>
      </c>
      <c r="AI21" s="134">
        <f t="shared" si="5"/>
        <v>653.2056954388222</v>
      </c>
      <c r="AJ21" s="136">
        <v>17.71</v>
      </c>
      <c r="AK21" s="154"/>
      <c r="AL21" s="155">
        <v>9.35</v>
      </c>
      <c r="AM21" s="478">
        <f t="shared" si="23"/>
        <v>33.03</v>
      </c>
      <c r="AN21" s="126">
        <f t="shared" si="24"/>
        <v>0.2</v>
      </c>
      <c r="AO21" s="157" t="s">
        <v>398</v>
      </c>
      <c r="AP21" s="156">
        <v>7.6</v>
      </c>
      <c r="AQ21" s="156">
        <v>6.86</v>
      </c>
      <c r="AR21" s="149"/>
      <c r="AS21" s="149">
        <v>6.23</v>
      </c>
      <c r="AT21" s="149">
        <v>165.15</v>
      </c>
      <c r="AU21" s="149">
        <v>1.54</v>
      </c>
      <c r="AV21" s="149"/>
      <c r="AW21" s="149"/>
      <c r="AX21" s="158">
        <f t="shared" si="6"/>
        <v>0</v>
      </c>
      <c r="AY21" s="125">
        <f t="shared" si="7"/>
        <v>124.31000000000002</v>
      </c>
      <c r="AZ21" s="125">
        <f t="shared" si="25"/>
        <v>118.95864760660933</v>
      </c>
      <c r="BA21" s="159">
        <f t="shared" si="8"/>
        <v>3.9187577464788732</v>
      </c>
      <c r="BB21" s="160">
        <f t="shared" si="9"/>
        <v>4.9724000000000004</v>
      </c>
      <c r="BC21" s="161">
        <f t="shared" si="10"/>
        <v>0.92471147941326715</v>
      </c>
      <c r="BD21" s="160">
        <f t="shared" si="26"/>
        <v>8.8911577464788731</v>
      </c>
      <c r="BE21" s="162">
        <v>0.94399999999999995</v>
      </c>
      <c r="BF21" s="25">
        <f t="shared" si="27"/>
        <v>1829.9999999999998</v>
      </c>
      <c r="BG21" s="25">
        <f t="shared" si="11"/>
        <v>118.33333333333333</v>
      </c>
      <c r="BH21" s="25">
        <f t="shared" si="28"/>
        <v>1774.9999999999995</v>
      </c>
      <c r="BI21" s="26">
        <f t="shared" si="12"/>
        <v>1</v>
      </c>
      <c r="BJ21" s="37">
        <f t="shared" si="29"/>
        <v>1774.9999999999995</v>
      </c>
      <c r="BK21" s="38"/>
      <c r="BL21" s="31">
        <v>218.452</v>
      </c>
      <c r="BM21" s="31"/>
      <c r="BN21" s="234">
        <v>44.805</v>
      </c>
      <c r="BO21" s="42"/>
      <c r="BP21" s="40">
        <v>11.196</v>
      </c>
      <c r="BQ21" s="411">
        <v>5.5789999999999997</v>
      </c>
      <c r="BR21" s="33"/>
      <c r="BS21" s="34">
        <v>1.49</v>
      </c>
      <c r="BT21" s="35"/>
      <c r="BU21" s="35"/>
      <c r="BV21" s="235"/>
      <c r="BW21" s="235">
        <v>3.61</v>
      </c>
      <c r="BX21" s="36"/>
      <c r="BY21" s="33"/>
      <c r="BZ21" s="34">
        <v>36.11</v>
      </c>
      <c r="CA21" s="35"/>
      <c r="CB21" s="405">
        <v>43.06</v>
      </c>
      <c r="CC21" s="404"/>
      <c r="CD21" s="235">
        <v>31.25</v>
      </c>
      <c r="CE21" s="413">
        <v>43.09</v>
      </c>
      <c r="CF21" s="30">
        <v>111.745</v>
      </c>
      <c r="CG21" s="30">
        <v>56.003</v>
      </c>
      <c r="CH21" s="31"/>
      <c r="CI21" s="32"/>
      <c r="CJ21" s="33">
        <v>2.63</v>
      </c>
      <c r="CK21" s="33">
        <v>2.63</v>
      </c>
      <c r="CL21" s="35"/>
      <c r="CM21" s="36"/>
      <c r="CN21" s="286"/>
      <c r="CO21" s="249">
        <f t="shared" si="13"/>
        <v>0</v>
      </c>
      <c r="CP21" s="12">
        <f t="shared" si="13"/>
        <v>215.19706520000003</v>
      </c>
      <c r="CQ21" s="12">
        <f t="shared" si="13"/>
        <v>0</v>
      </c>
      <c r="CR21" s="12">
        <f t="shared" si="13"/>
        <v>44.805</v>
      </c>
      <c r="CS21" s="11">
        <f t="shared" si="13"/>
        <v>0</v>
      </c>
      <c r="CT21" s="11">
        <f t="shared" si="13"/>
        <v>10.791824399999999</v>
      </c>
      <c r="CU21" s="272">
        <f t="shared" si="13"/>
        <v>5.5789999999999997</v>
      </c>
      <c r="CV21" s="249">
        <f t="shared" si="14"/>
        <v>108.8061065</v>
      </c>
      <c r="CW21" s="12">
        <f t="shared" si="14"/>
        <v>54.530121100000002</v>
      </c>
      <c r="CX21" s="249">
        <f t="shared" si="14"/>
        <v>0</v>
      </c>
      <c r="CY21" s="272">
        <f t="shared" si="14"/>
        <v>0</v>
      </c>
      <c r="CZ21" s="13"/>
      <c r="DA21" s="240">
        <f>(D21+'[2]сентябрь 20'!D21)/(AY21+'[2]сентябрь 20'!BA21)</f>
        <v>2.1353689984185271</v>
      </c>
      <c r="DB21" s="241">
        <f>(T21+'[2]сентябрь 20'!T21)/(AY21+'[2]сентябрь 20'!BA21)</f>
        <v>1.2836733713461284</v>
      </c>
      <c r="DD21" s="292">
        <f t="shared" si="15"/>
        <v>11.045</v>
      </c>
      <c r="DE21" s="291">
        <v>0.71</v>
      </c>
      <c r="DF21" s="291">
        <v>11.15</v>
      </c>
      <c r="DG21" s="145">
        <f t="shared" si="16"/>
        <v>10.966580500000001</v>
      </c>
      <c r="DH21" s="293">
        <f t="shared" si="30"/>
        <v>1.6002797091349303</v>
      </c>
      <c r="DJ21" s="322"/>
    </row>
    <row r="22" spans="1:114" s="76" customFormat="1" ht="16.5" customHeight="1" thickBot="1">
      <c r="A22" s="144">
        <v>16</v>
      </c>
      <c r="B22" s="122">
        <f>'[1]сентябрь 20'!K21</f>
        <v>267.23200000000003</v>
      </c>
      <c r="C22" s="123">
        <f t="shared" si="17"/>
        <v>1.8959132139863488</v>
      </c>
      <c r="D22" s="145">
        <f t="shared" si="18"/>
        <v>262.16551320000002</v>
      </c>
      <c r="E22" s="125">
        <f t="shared" si="19"/>
        <v>37.819436519578488</v>
      </c>
      <c r="F22" s="146">
        <f t="shared" si="0"/>
        <v>2.1286579506333227</v>
      </c>
      <c r="G22" s="127">
        <v>7.04</v>
      </c>
      <c r="H22" s="126">
        <f t="shared" si="20"/>
        <v>1.7388398278661901</v>
      </c>
      <c r="I22" s="230">
        <f>'[1]июль 20'!AI21</f>
        <v>0</v>
      </c>
      <c r="J22" s="247">
        <f>'[1]сентябрь 20'!AA21</f>
        <v>10.55</v>
      </c>
      <c r="K22" s="464">
        <f>'[1]сентябрь 20'!AM21</f>
        <v>0</v>
      </c>
      <c r="L22" s="247">
        <f>'[1]сентябрь 20'!AE21</f>
        <v>48.01</v>
      </c>
      <c r="M22" s="468">
        <f t="shared" si="21"/>
        <v>0.38981812276713218</v>
      </c>
      <c r="N22" s="403">
        <f>'[1]сентябрь 20'!W21</f>
        <v>0</v>
      </c>
      <c r="O22" s="403">
        <f>'[1]сентябрь 20'!AU21</f>
        <v>8.7430000000000003</v>
      </c>
      <c r="P22" s="401">
        <f t="shared" si="1"/>
        <v>160.22800000000001</v>
      </c>
      <c r="Q22" s="122">
        <f>'[1]сентябрь 20'!S21</f>
        <v>160.22800000000001</v>
      </c>
      <c r="R22" s="123">
        <f t="shared" si="22"/>
        <v>3.0299999999999994</v>
      </c>
      <c r="S22" s="501">
        <v>16.809999999999999</v>
      </c>
      <c r="T22" s="125">
        <f t="shared" si="2"/>
        <v>155.37309160000001</v>
      </c>
      <c r="U22" s="147">
        <f t="shared" si="3"/>
        <v>1.2615548197466711</v>
      </c>
      <c r="V22" s="130">
        <v>123.16</v>
      </c>
      <c r="W22" s="130">
        <v>78.92</v>
      </c>
      <c r="X22" s="129">
        <v>0.86</v>
      </c>
      <c r="Y22" s="131">
        <v>572</v>
      </c>
      <c r="Z22" s="150">
        <v>1167</v>
      </c>
      <c r="AA22" s="148" t="s">
        <v>134</v>
      </c>
      <c r="AB22" s="149">
        <v>75.98</v>
      </c>
      <c r="AC22" s="150">
        <v>107</v>
      </c>
      <c r="AD22" s="151">
        <v>5</v>
      </c>
      <c r="AE22" s="149">
        <v>3.9</v>
      </c>
      <c r="AF22" s="134">
        <f t="shared" si="4"/>
        <v>31.66612536537837</v>
      </c>
      <c r="AG22" s="152"/>
      <c r="AH22" s="129">
        <v>88.5</v>
      </c>
      <c r="AI22" s="134">
        <f t="shared" si="5"/>
        <v>718.57746021435537</v>
      </c>
      <c r="AJ22" s="153">
        <v>14.38</v>
      </c>
      <c r="AK22" s="154"/>
      <c r="AL22" s="155">
        <v>8.4</v>
      </c>
      <c r="AM22" s="478">
        <f t="shared" si="23"/>
        <v>32.32</v>
      </c>
      <c r="AN22" s="126">
        <f t="shared" si="24"/>
        <v>0.2</v>
      </c>
      <c r="AO22" s="157" t="s">
        <v>401</v>
      </c>
      <c r="AP22" s="156">
        <v>7.27</v>
      </c>
      <c r="AQ22" s="156">
        <v>6.97</v>
      </c>
      <c r="AR22" s="151"/>
      <c r="AS22" s="149">
        <v>8.6</v>
      </c>
      <c r="AT22" s="149">
        <v>161.6</v>
      </c>
      <c r="AU22" s="149">
        <v>2.2799999999999998</v>
      </c>
      <c r="AV22" s="149"/>
      <c r="AW22" s="149"/>
      <c r="AX22" s="158">
        <f t="shared" si="6"/>
        <v>0</v>
      </c>
      <c r="AY22" s="125">
        <f t="shared" si="7"/>
        <v>123.16</v>
      </c>
      <c r="AZ22" s="125">
        <f t="shared" si="25"/>
        <v>115.78244684996935</v>
      </c>
      <c r="BA22" s="159">
        <f t="shared" si="8"/>
        <v>5.8958450704225358</v>
      </c>
      <c r="BB22" s="160">
        <f t="shared" si="9"/>
        <v>4.9264000000000001</v>
      </c>
      <c r="BC22" s="161">
        <f t="shared" si="10"/>
        <v>0.94379648182015308</v>
      </c>
      <c r="BD22" s="160">
        <f t="shared" si="26"/>
        <v>10.822245070422536</v>
      </c>
      <c r="BE22" s="162">
        <v>0.94399999999999995</v>
      </c>
      <c r="BF22" s="25">
        <f t="shared" si="27"/>
        <v>1953.1599999999999</v>
      </c>
      <c r="BG22" s="25">
        <f t="shared" si="11"/>
        <v>118.33333333333333</v>
      </c>
      <c r="BH22" s="25">
        <f t="shared" si="28"/>
        <v>1893.3333333333328</v>
      </c>
      <c r="BI22" s="26">
        <f t="shared" si="12"/>
        <v>1</v>
      </c>
      <c r="BJ22" s="37">
        <f t="shared" si="29"/>
        <v>1893.3333333333328</v>
      </c>
      <c r="BK22" s="38"/>
      <c r="BL22" s="31">
        <v>208.601</v>
      </c>
      <c r="BM22" s="31"/>
      <c r="BN22" s="234">
        <v>42.725999999999999</v>
      </c>
      <c r="BO22" s="42"/>
      <c r="BP22" s="40">
        <v>10.621</v>
      </c>
      <c r="BQ22" s="411">
        <v>5.2839999999999998</v>
      </c>
      <c r="BR22" s="33"/>
      <c r="BS22" s="34">
        <v>2.19</v>
      </c>
      <c r="BT22" s="35"/>
      <c r="BU22" s="35"/>
      <c r="BV22" s="235"/>
      <c r="BW22" s="235">
        <v>4.6900000000000004</v>
      </c>
      <c r="BX22" s="36"/>
      <c r="BY22" s="33"/>
      <c r="BZ22" s="34">
        <v>36.950000000000003</v>
      </c>
      <c r="CA22" s="35"/>
      <c r="CB22" s="405">
        <v>43.15</v>
      </c>
      <c r="CC22" s="404"/>
      <c r="CD22" s="235">
        <v>30.77</v>
      </c>
      <c r="CE22" s="413">
        <v>43.21</v>
      </c>
      <c r="CF22" s="30">
        <v>106.735</v>
      </c>
      <c r="CG22" s="30">
        <v>53.493000000000002</v>
      </c>
      <c r="CH22" s="31"/>
      <c r="CI22" s="32"/>
      <c r="CJ22" s="33">
        <v>3.03</v>
      </c>
      <c r="CK22" s="33">
        <v>3.03</v>
      </c>
      <c r="CL22" s="35"/>
      <c r="CM22" s="36"/>
      <c r="CN22" s="286"/>
      <c r="CO22" s="249">
        <f t="shared" si="13"/>
        <v>0</v>
      </c>
      <c r="CP22" s="12">
        <f t="shared" si="13"/>
        <v>204.03263809999999</v>
      </c>
      <c r="CQ22" s="12">
        <f t="shared" si="13"/>
        <v>0</v>
      </c>
      <c r="CR22" s="12">
        <f t="shared" si="13"/>
        <v>42.725999999999999</v>
      </c>
      <c r="CS22" s="11">
        <f t="shared" si="13"/>
        <v>0</v>
      </c>
      <c r="CT22" s="11">
        <f t="shared" si="13"/>
        <v>10.122875100000002</v>
      </c>
      <c r="CU22" s="272">
        <f t="shared" si="13"/>
        <v>5.2839999999999998</v>
      </c>
      <c r="CV22" s="249">
        <f t="shared" si="14"/>
        <v>103.5009295</v>
      </c>
      <c r="CW22" s="12">
        <f t="shared" si="14"/>
        <v>51.872162100000004</v>
      </c>
      <c r="CX22" s="249">
        <f t="shared" si="14"/>
        <v>0</v>
      </c>
      <c r="CY22" s="272">
        <f t="shared" si="14"/>
        <v>0</v>
      </c>
      <c r="CZ22" s="13"/>
      <c r="DA22" s="240">
        <f>(D22+'[2]сентябрь 20'!D22)/(AY22+'[2]сентябрь 20'!BA22)</f>
        <v>1.8937094443588276</v>
      </c>
      <c r="DB22" s="241">
        <f>(T22+'[2]сентябрь 20'!T22)/(AY22+'[2]сентябрь 20'!BA22)</f>
        <v>1.1321980279667005</v>
      </c>
      <c r="DD22" s="292">
        <f t="shared" si="15"/>
        <v>10.55</v>
      </c>
      <c r="DE22" s="291">
        <v>3.37</v>
      </c>
      <c r="DF22" s="291">
        <v>13.87</v>
      </c>
      <c r="DG22" s="145">
        <f t="shared" si="16"/>
        <v>10.194464999999999</v>
      </c>
      <c r="DH22" s="293">
        <f t="shared" si="30"/>
        <v>1.8609795939720977</v>
      </c>
      <c r="DJ22" s="322"/>
    </row>
    <row r="23" spans="1:114" s="76" customFormat="1" ht="16.5" customHeight="1" thickBot="1">
      <c r="A23" s="144">
        <v>17</v>
      </c>
      <c r="B23" s="122">
        <f>'[1]сентябрь 20'!K22</f>
        <v>297.61399999999998</v>
      </c>
      <c r="C23" s="123">
        <f t="shared" si="17"/>
        <v>1.7698196321409614</v>
      </c>
      <c r="D23" s="145">
        <f t="shared" si="18"/>
        <v>292.34676899999994</v>
      </c>
      <c r="E23" s="125">
        <f t="shared" si="19"/>
        <v>37.493334318950055</v>
      </c>
      <c r="F23" s="146">
        <f t="shared" si="0"/>
        <v>2.2613456760519801</v>
      </c>
      <c r="G23" s="127">
        <v>13.37</v>
      </c>
      <c r="H23" s="126">
        <f t="shared" si="20"/>
        <v>1.8468654780321785</v>
      </c>
      <c r="I23" s="230">
        <f>'[1]июль 20'!AI22</f>
        <v>0</v>
      </c>
      <c r="J23" s="247">
        <f>'[1]сентябрь 20'!AA22</f>
        <v>11.911</v>
      </c>
      <c r="K23" s="465">
        <f>'[1]сентябрь 20'!AM22</f>
        <v>0</v>
      </c>
      <c r="L23" s="247">
        <f>'[1]сентябрь 20'!AE22</f>
        <v>53.584000000000003</v>
      </c>
      <c r="M23" s="469">
        <f t="shared" si="21"/>
        <v>0.41448019801980202</v>
      </c>
      <c r="N23" s="403">
        <f>'[1]сентябрь 20'!W22</f>
        <v>0</v>
      </c>
      <c r="O23" s="403">
        <f>'[1]сентябрь 20'!AU22</f>
        <v>9.4649999999999999</v>
      </c>
      <c r="P23" s="401">
        <f t="shared" si="1"/>
        <v>179.721</v>
      </c>
      <c r="Q23" s="122">
        <f>'[1]сентябрь 20'!S22</f>
        <v>179.721</v>
      </c>
      <c r="R23" s="123">
        <f t="shared" si="22"/>
        <v>3.21</v>
      </c>
      <c r="S23" s="501">
        <v>16.5</v>
      </c>
      <c r="T23" s="125">
        <f t="shared" si="2"/>
        <v>173.95195590000003</v>
      </c>
      <c r="U23" s="147">
        <f t="shared" si="3"/>
        <v>1.3455442133353965</v>
      </c>
      <c r="V23" s="130">
        <v>129.28</v>
      </c>
      <c r="W23" s="130">
        <v>81.61</v>
      </c>
      <c r="X23" s="129">
        <v>0.72</v>
      </c>
      <c r="Y23" s="131">
        <v>515</v>
      </c>
      <c r="Z23" s="150">
        <v>1173</v>
      </c>
      <c r="AA23" s="148" t="s">
        <v>402</v>
      </c>
      <c r="AB23" s="149">
        <v>76.650000000000006</v>
      </c>
      <c r="AC23" s="150">
        <v>119</v>
      </c>
      <c r="AD23" s="151">
        <v>5</v>
      </c>
      <c r="AE23" s="149">
        <v>6.2</v>
      </c>
      <c r="AF23" s="134">
        <f t="shared" si="4"/>
        <v>47.957920792079221</v>
      </c>
      <c r="AG23" s="152"/>
      <c r="AH23" s="129">
        <v>95.85</v>
      </c>
      <c r="AI23" s="134">
        <f t="shared" si="5"/>
        <v>741.41398514851494</v>
      </c>
      <c r="AJ23" s="136">
        <v>18.059999999999999</v>
      </c>
      <c r="AK23" s="154"/>
      <c r="AL23" s="155">
        <v>12.49</v>
      </c>
      <c r="AM23" s="478">
        <f t="shared" si="23"/>
        <v>34.65</v>
      </c>
      <c r="AN23" s="126">
        <f t="shared" si="24"/>
        <v>0.19999999999999998</v>
      </c>
      <c r="AO23" s="157" t="s">
        <v>183</v>
      </c>
      <c r="AP23" s="156">
        <v>6.86</v>
      </c>
      <c r="AQ23" s="156">
        <v>6.78</v>
      </c>
      <c r="AR23" s="151"/>
      <c r="AS23" s="149">
        <v>8.3800000000000008</v>
      </c>
      <c r="AT23" s="149">
        <v>173.25</v>
      </c>
      <c r="AU23" s="149">
        <v>3.17</v>
      </c>
      <c r="AV23" s="149"/>
      <c r="AW23" s="149"/>
      <c r="AX23" s="158">
        <f t="shared" si="6"/>
        <v>0</v>
      </c>
      <c r="AY23" s="125">
        <f t="shared" si="7"/>
        <v>129.27999999999997</v>
      </c>
      <c r="AZ23" s="125">
        <f t="shared" si="25"/>
        <v>127.1140536189402</v>
      </c>
      <c r="BA23" s="159">
        <f t="shared" si="8"/>
        <v>6.2221500000000001</v>
      </c>
      <c r="BB23" s="160">
        <f t="shared" si="9"/>
        <v>5.1711999999999989</v>
      </c>
      <c r="BC23" s="161">
        <f t="shared" si="10"/>
        <v>0.90404727163038934</v>
      </c>
      <c r="BD23" s="160">
        <f t="shared" si="26"/>
        <v>11.393349999999998</v>
      </c>
      <c r="BE23" s="162">
        <v>0.94099999999999995</v>
      </c>
      <c r="BF23" s="25">
        <f t="shared" si="27"/>
        <v>2082.4399999999996</v>
      </c>
      <c r="BG23" s="25">
        <f t="shared" si="11"/>
        <v>118.33333333333333</v>
      </c>
      <c r="BH23" s="25">
        <f t="shared" si="28"/>
        <v>2011.6666666666661</v>
      </c>
      <c r="BI23" s="26">
        <f t="shared" si="12"/>
        <v>1</v>
      </c>
      <c r="BJ23" s="37">
        <f t="shared" si="29"/>
        <v>2011.6666666666661</v>
      </c>
      <c r="BK23" s="38"/>
      <c r="BL23" s="31">
        <v>232.06</v>
      </c>
      <c r="BM23" s="31"/>
      <c r="BN23" s="234">
        <v>47.607999999999997</v>
      </c>
      <c r="BO23" s="42"/>
      <c r="BP23" s="40">
        <v>11.97</v>
      </c>
      <c r="BQ23" s="411">
        <v>5.976</v>
      </c>
      <c r="BR23" s="33"/>
      <c r="BS23" s="34">
        <v>2</v>
      </c>
      <c r="BT23" s="35"/>
      <c r="BU23" s="35"/>
      <c r="BV23" s="235"/>
      <c r="BW23" s="235">
        <v>5.23</v>
      </c>
      <c r="BX23" s="36"/>
      <c r="BY23" s="33"/>
      <c r="BZ23" s="34">
        <v>36.380000000000003</v>
      </c>
      <c r="CA23" s="35"/>
      <c r="CB23" s="405">
        <v>42.92</v>
      </c>
      <c r="CC23" s="404"/>
      <c r="CD23" s="235">
        <v>34.6</v>
      </c>
      <c r="CE23" s="413">
        <v>43.29</v>
      </c>
      <c r="CF23" s="30">
        <v>120.22499999999999</v>
      </c>
      <c r="CG23" s="30">
        <v>59.496000000000002</v>
      </c>
      <c r="CH23" s="31"/>
      <c r="CI23" s="32"/>
      <c r="CJ23" s="33">
        <v>3.21</v>
      </c>
      <c r="CK23" s="33">
        <v>3.21</v>
      </c>
      <c r="CL23" s="35"/>
      <c r="CM23" s="36"/>
      <c r="CN23" s="286"/>
      <c r="CO23" s="249">
        <f t="shared" ref="CO23:CU37" si="31">BK23*((100-BR23)/100)</f>
        <v>0</v>
      </c>
      <c r="CP23" s="12">
        <f t="shared" si="31"/>
        <v>227.4188</v>
      </c>
      <c r="CQ23" s="12">
        <f t="shared" si="31"/>
        <v>0</v>
      </c>
      <c r="CR23" s="12">
        <f t="shared" si="31"/>
        <v>47.607999999999997</v>
      </c>
      <c r="CS23" s="11">
        <f t="shared" si="31"/>
        <v>0</v>
      </c>
      <c r="CT23" s="11">
        <f t="shared" si="31"/>
        <v>11.343969000000001</v>
      </c>
      <c r="CU23" s="272">
        <f t="shared" si="31"/>
        <v>5.976</v>
      </c>
      <c r="CV23" s="249">
        <f t="shared" si="14"/>
        <v>116.36577750000001</v>
      </c>
      <c r="CW23" s="11">
        <f t="shared" si="14"/>
        <v>57.586178400000009</v>
      </c>
      <c r="CX23" s="249">
        <f t="shared" si="14"/>
        <v>0</v>
      </c>
      <c r="CY23" s="272">
        <f t="shared" si="14"/>
        <v>0</v>
      </c>
      <c r="CZ23" s="13"/>
      <c r="DA23" s="240">
        <f>(D23+'[2]сентябрь 20'!D23)/(AY23+'[2]сентябрь 20'!BA23)</f>
        <v>2.5800198261538312</v>
      </c>
      <c r="DB23" s="241">
        <f>(T23+'[2]сентябрь 20'!T23)/(AY23+'[2]сентябрь 20'!BA23)</f>
        <v>1.5643805830626476</v>
      </c>
      <c r="DD23" s="292">
        <f t="shared" si="15"/>
        <v>11.911</v>
      </c>
      <c r="DE23" s="291">
        <v>0.66</v>
      </c>
      <c r="DF23" s="291">
        <v>14.73</v>
      </c>
      <c r="DG23" s="145">
        <f t="shared" si="16"/>
        <v>11.8323874</v>
      </c>
      <c r="DH23" s="293">
        <f t="shared" si="30"/>
        <v>2.2738560522113502</v>
      </c>
      <c r="DJ23" s="322"/>
    </row>
    <row r="24" spans="1:114" s="76" customFormat="1" ht="16.5" customHeight="1" thickBot="1">
      <c r="A24" s="144">
        <v>18</v>
      </c>
      <c r="B24" s="122">
        <f>'[1]сентябрь 20'!K23</f>
        <v>299.94499999999999</v>
      </c>
      <c r="C24" s="123">
        <f t="shared" si="17"/>
        <v>2.4664400473420125</v>
      </c>
      <c r="D24" s="145">
        <f t="shared" si="18"/>
        <v>292.54703639999997</v>
      </c>
      <c r="E24" s="125">
        <f t="shared" si="19"/>
        <v>37.863467135641542</v>
      </c>
      <c r="F24" s="146">
        <f t="shared" si="0"/>
        <v>2.1862867976982292</v>
      </c>
      <c r="G24" s="127">
        <v>17.04</v>
      </c>
      <c r="H24" s="126">
        <f t="shared" si="20"/>
        <v>1.7834394768701893</v>
      </c>
      <c r="I24" s="230">
        <f>'[1]июль 20'!AI23</f>
        <v>0</v>
      </c>
      <c r="J24" s="247">
        <f>'[1]сентябрь 20'!AA23</f>
        <v>11.907999999999999</v>
      </c>
      <c r="K24" s="464">
        <f>'[1]сентябрь 20'!AM23</f>
        <v>0</v>
      </c>
      <c r="L24" s="247">
        <f>'[1]сентябрь 20'!AE23</f>
        <v>53.905000000000001</v>
      </c>
      <c r="M24" s="468">
        <f t="shared" si="21"/>
        <v>0.40284732082803987</v>
      </c>
      <c r="N24" s="403">
        <f>'[1]сентябрь 20'!W23</f>
        <v>0</v>
      </c>
      <c r="O24" s="403">
        <f>'[1]сентябрь 20'!AU23</f>
        <v>9.7140000000000004</v>
      </c>
      <c r="P24" s="401">
        <f t="shared" si="1"/>
        <v>182.322</v>
      </c>
      <c r="Q24" s="122">
        <f>'[1]сентябрь 20'!S23</f>
        <v>182.322</v>
      </c>
      <c r="R24" s="123">
        <f t="shared" si="22"/>
        <v>2.9099999999999997</v>
      </c>
      <c r="S24" s="129">
        <v>3.28</v>
      </c>
      <c r="T24" s="125">
        <f t="shared" si="2"/>
        <v>177.0164298</v>
      </c>
      <c r="U24" s="147">
        <f t="shared" si="3"/>
        <v>1.3228938778865558</v>
      </c>
      <c r="V24" s="130">
        <v>133.81</v>
      </c>
      <c r="W24" s="130">
        <v>132.57</v>
      </c>
      <c r="X24" s="129">
        <v>0.82</v>
      </c>
      <c r="Y24" s="150">
        <v>560</v>
      </c>
      <c r="Z24" s="150">
        <v>1178</v>
      </c>
      <c r="AA24" s="148">
        <v>486.9</v>
      </c>
      <c r="AB24" s="149">
        <v>76.38</v>
      </c>
      <c r="AC24" s="150">
        <v>120</v>
      </c>
      <c r="AD24" s="151">
        <v>5</v>
      </c>
      <c r="AE24" s="149">
        <v>5.65</v>
      </c>
      <c r="AF24" s="134">
        <f t="shared" si="4"/>
        <v>42.22404902473658</v>
      </c>
      <c r="AG24" s="152"/>
      <c r="AH24" s="129">
        <v>94.9</v>
      </c>
      <c r="AI24" s="134">
        <f t="shared" si="5"/>
        <v>709.21455795530994</v>
      </c>
      <c r="AJ24" s="153">
        <v>15.61</v>
      </c>
      <c r="AK24" s="154"/>
      <c r="AL24" s="155">
        <v>8.2200000000000006</v>
      </c>
      <c r="AM24" s="478">
        <f t="shared" si="23"/>
        <v>34.839999999999996</v>
      </c>
      <c r="AN24" s="126">
        <f t="shared" si="24"/>
        <v>0.19999999999999998</v>
      </c>
      <c r="AO24" s="157" t="s">
        <v>185</v>
      </c>
      <c r="AP24" s="156">
        <v>6.95</v>
      </c>
      <c r="AQ24" s="156">
        <v>7.05</v>
      </c>
      <c r="AR24" s="151"/>
      <c r="AS24" s="149">
        <v>8.2899999999999991</v>
      </c>
      <c r="AT24" s="149">
        <v>174.2</v>
      </c>
      <c r="AU24" s="149">
        <v>2.67</v>
      </c>
      <c r="AV24" s="164"/>
      <c r="AW24" s="149"/>
      <c r="AX24" s="158">
        <f t="shared" si="6"/>
        <v>0</v>
      </c>
      <c r="AY24" s="125">
        <f t="shared" si="7"/>
        <v>133.80999999999997</v>
      </c>
      <c r="AZ24" s="125">
        <f t="shared" si="25"/>
        <v>128.18809442792508</v>
      </c>
      <c r="BA24" s="159">
        <f t="shared" si="8"/>
        <v>6.0943176056338029</v>
      </c>
      <c r="BB24" s="160">
        <f t="shared" si="9"/>
        <v>5.3523999999999994</v>
      </c>
      <c r="BC24" s="161">
        <f t="shared" si="10"/>
        <v>0.92268219960144815</v>
      </c>
      <c r="BD24" s="160">
        <f t="shared" si="26"/>
        <v>11.446717605633802</v>
      </c>
      <c r="BE24" s="162">
        <v>0.94</v>
      </c>
      <c r="BF24" s="25">
        <f t="shared" si="27"/>
        <v>2216.2499999999995</v>
      </c>
      <c r="BG24" s="25">
        <f t="shared" si="11"/>
        <v>118.33333333333333</v>
      </c>
      <c r="BH24" s="25">
        <f t="shared" si="28"/>
        <v>2129.9999999999995</v>
      </c>
      <c r="BI24" s="26">
        <f t="shared" si="12"/>
        <v>1</v>
      </c>
      <c r="BJ24" s="37">
        <f t="shared" si="29"/>
        <v>2129.9999999999995</v>
      </c>
      <c r="BK24" s="38"/>
      <c r="BL24" s="31">
        <v>234.00399999999999</v>
      </c>
      <c r="BM24" s="31"/>
      <c r="BN24" s="234">
        <v>47.923000000000002</v>
      </c>
      <c r="BO24" s="42"/>
      <c r="BP24" s="40">
        <v>12.036</v>
      </c>
      <c r="BQ24" s="411">
        <v>5.9820000000000002</v>
      </c>
      <c r="BR24" s="33"/>
      <c r="BS24" s="34">
        <v>2.84</v>
      </c>
      <c r="BT24" s="35"/>
      <c r="BU24" s="35"/>
      <c r="BV24" s="235"/>
      <c r="BW24" s="235">
        <v>6.25</v>
      </c>
      <c r="BX24" s="36"/>
      <c r="BY24" s="33"/>
      <c r="BZ24" s="34">
        <v>37.020000000000003</v>
      </c>
      <c r="CA24" s="35"/>
      <c r="CB24" s="405">
        <v>43.11</v>
      </c>
      <c r="CC24" s="404"/>
      <c r="CD24" s="235">
        <v>30.73</v>
      </c>
      <c r="CE24" s="413">
        <v>43.18</v>
      </c>
      <c r="CF24" s="30">
        <v>122.32</v>
      </c>
      <c r="CG24" s="30">
        <v>60.002000000000002</v>
      </c>
      <c r="CH24" s="31"/>
      <c r="CI24" s="32"/>
      <c r="CJ24" s="33">
        <v>2.91</v>
      </c>
      <c r="CK24" s="33">
        <v>2.91</v>
      </c>
      <c r="CL24" s="35"/>
      <c r="CM24" s="36"/>
      <c r="CN24" s="286"/>
      <c r="CO24" s="249">
        <f t="shared" si="31"/>
        <v>0</v>
      </c>
      <c r="CP24" s="12">
        <f t="shared" si="31"/>
        <v>227.3582864</v>
      </c>
      <c r="CQ24" s="12">
        <f t="shared" si="31"/>
        <v>0</v>
      </c>
      <c r="CR24" s="12">
        <f t="shared" si="31"/>
        <v>47.923000000000002</v>
      </c>
      <c r="CS24" s="11">
        <f t="shared" si="31"/>
        <v>0</v>
      </c>
      <c r="CT24" s="11">
        <f t="shared" si="31"/>
        <v>11.28375</v>
      </c>
      <c r="CU24" s="272">
        <f t="shared" si="31"/>
        <v>5.9820000000000002</v>
      </c>
      <c r="CV24" s="249">
        <f t="shared" si="14"/>
        <v>118.760488</v>
      </c>
      <c r="CW24" s="12">
        <f t="shared" si="14"/>
        <v>58.255941800000002</v>
      </c>
      <c r="CX24" s="249">
        <f t="shared" si="14"/>
        <v>0</v>
      </c>
      <c r="CY24" s="272">
        <f t="shared" si="14"/>
        <v>0</v>
      </c>
      <c r="CZ24" s="13"/>
      <c r="DA24" s="240">
        <f>(D24+'[2]сентябрь 20'!D24)/(AY24+'[2]сентябрь 20'!BA24)</f>
        <v>2.2244182291952539</v>
      </c>
      <c r="DB24" s="241">
        <f>(T24+'[2]сентябрь 20'!T24)/(AY24+'[2]сентябрь 20'!BA24)</f>
        <v>1.3581227984827782</v>
      </c>
      <c r="DD24" s="292">
        <f t="shared" si="15"/>
        <v>11.907999999999999</v>
      </c>
      <c r="DE24" s="291">
        <v>0.64</v>
      </c>
      <c r="DF24" s="291">
        <v>10.220000000000001</v>
      </c>
      <c r="DG24" s="145">
        <f t="shared" si="16"/>
        <v>11.8317888</v>
      </c>
      <c r="DH24" s="293">
        <f t="shared" si="30"/>
        <v>1.5831484882953657</v>
      </c>
      <c r="DJ24" s="322"/>
    </row>
    <row r="25" spans="1:114" s="76" customFormat="1" ht="16.5" customHeight="1" thickBot="1">
      <c r="A25" s="144">
        <v>19</v>
      </c>
      <c r="B25" s="122">
        <f>'[1]сентябрь 20'!K24</f>
        <v>312.39800000000002</v>
      </c>
      <c r="C25" s="123">
        <f t="shared" si="17"/>
        <v>1.8285392672168193</v>
      </c>
      <c r="D25" s="145">
        <f t="shared" si="18"/>
        <v>306.68567990000003</v>
      </c>
      <c r="E25" s="125">
        <f t="shared" si="19"/>
        <v>37.242334201883494</v>
      </c>
      <c r="F25" s="146">
        <f t="shared" si="0"/>
        <v>2.9812936706522799</v>
      </c>
      <c r="G25" s="127">
        <v>19.98</v>
      </c>
      <c r="H25" s="126">
        <f t="shared" si="20"/>
        <v>2.4342537173131138</v>
      </c>
      <c r="I25" s="230">
        <f>'[1]июль 20'!AI24</f>
        <v>0</v>
      </c>
      <c r="J25" s="247">
        <f>'[1]сентябрь 20'!AA24</f>
        <v>12.593</v>
      </c>
      <c r="K25" s="465">
        <f>'[1]сентябрь 20'!AM24</f>
        <v>0</v>
      </c>
      <c r="L25" s="247">
        <f>'[1]сентябрь 20'!AE24</f>
        <v>56.274000000000001</v>
      </c>
      <c r="M25" s="469">
        <f t="shared" si="21"/>
        <v>0.547039953339166</v>
      </c>
      <c r="N25" s="403">
        <f>'[1]сентябрь 20'!W24</f>
        <v>0</v>
      </c>
      <c r="O25" s="403">
        <f>'[1]сентябрь 20'!AU24</f>
        <v>9.9309999999999992</v>
      </c>
      <c r="P25" s="401">
        <f t="shared" si="1"/>
        <v>189.71699999999998</v>
      </c>
      <c r="Q25" s="122">
        <f>'[1]сентябрь 20'!S24</f>
        <v>189.71700000000001</v>
      </c>
      <c r="R25" s="123">
        <f>IF(Q25=0,0,(CI25*CM25+CG25*CK25+CH25*CL25+CF25*CJ25)/Q25)</f>
        <v>2.6499999999999995</v>
      </c>
      <c r="S25" s="501">
        <v>9.23</v>
      </c>
      <c r="T25" s="125">
        <f t="shared" si="2"/>
        <v>184.68949950000001</v>
      </c>
      <c r="U25" s="147">
        <f t="shared" si="3"/>
        <v>1.7953679352580929</v>
      </c>
      <c r="V25" s="130">
        <v>102.87</v>
      </c>
      <c r="W25" s="130">
        <v>48.16</v>
      </c>
      <c r="X25" s="129">
        <v>0.92</v>
      </c>
      <c r="Y25" s="150">
        <v>509</v>
      </c>
      <c r="Z25" s="150">
        <v>1170</v>
      </c>
      <c r="AA25" s="148" t="s">
        <v>403</v>
      </c>
      <c r="AB25" s="149">
        <v>76.87</v>
      </c>
      <c r="AC25" s="150">
        <v>125</v>
      </c>
      <c r="AD25" s="151">
        <v>5</v>
      </c>
      <c r="AE25" s="149">
        <v>5.25</v>
      </c>
      <c r="AF25" s="134">
        <f t="shared" si="4"/>
        <v>51.035287255759705</v>
      </c>
      <c r="AG25" s="152"/>
      <c r="AH25" s="129">
        <v>80.349999999999994</v>
      </c>
      <c r="AI25" s="134">
        <f t="shared" si="5"/>
        <v>781.08292019053169</v>
      </c>
      <c r="AJ25" s="136">
        <v>18.47</v>
      </c>
      <c r="AK25" s="154"/>
      <c r="AL25" s="155">
        <v>8.2100000000000009</v>
      </c>
      <c r="AM25" s="478">
        <v>67.67</v>
      </c>
      <c r="AN25" s="126">
        <f t="shared" si="24"/>
        <v>0.38318233295583243</v>
      </c>
      <c r="AO25" s="157" t="s">
        <v>254</v>
      </c>
      <c r="AP25" s="156">
        <v>7.3</v>
      </c>
      <c r="AQ25" s="156">
        <v>6.88</v>
      </c>
      <c r="AR25" s="152"/>
      <c r="AS25" s="149">
        <v>6.19</v>
      </c>
      <c r="AT25" s="149">
        <v>176.6</v>
      </c>
      <c r="AU25" s="149">
        <v>2.15</v>
      </c>
      <c r="AV25" s="164"/>
      <c r="AW25" s="149"/>
      <c r="AX25" s="158">
        <f t="shared" si="6"/>
        <v>0</v>
      </c>
      <c r="AY25" s="125">
        <f t="shared" si="7"/>
        <v>102.86999999999999</v>
      </c>
      <c r="AZ25" s="125">
        <f t="shared" si="25"/>
        <v>131.54336856062406</v>
      </c>
      <c r="BA25" s="159">
        <f t="shared" si="8"/>
        <v>3.8528390845070417</v>
      </c>
      <c r="BB25" s="160">
        <f t="shared" si="9"/>
        <v>4.1147999999999998</v>
      </c>
      <c r="BC25" s="161">
        <f t="shared" si="10"/>
        <v>0.69233331446165425</v>
      </c>
      <c r="BD25" s="160">
        <f t="shared" si="26"/>
        <v>7.9676390845070415</v>
      </c>
      <c r="BE25" s="162">
        <v>0.92500000000000004</v>
      </c>
      <c r="BF25" s="25">
        <f t="shared" si="27"/>
        <v>2319.1199999999994</v>
      </c>
      <c r="BG25" s="25">
        <f t="shared" si="11"/>
        <v>118.33333333333333</v>
      </c>
      <c r="BH25" s="25">
        <f t="shared" si="28"/>
        <v>2248.333333333333</v>
      </c>
      <c r="BI25" s="26">
        <f t="shared" si="12"/>
        <v>1</v>
      </c>
      <c r="BJ25" s="37">
        <f t="shared" si="29"/>
        <v>2248.333333333333</v>
      </c>
      <c r="BK25" s="38"/>
      <c r="BL25" s="31">
        <v>243.785</v>
      </c>
      <c r="BM25" s="31"/>
      <c r="BN25" s="234">
        <v>49.969000000000001</v>
      </c>
      <c r="BO25" s="42"/>
      <c r="BP25" s="40">
        <v>12.339</v>
      </c>
      <c r="BQ25" s="411">
        <v>6.3049999999999997</v>
      </c>
      <c r="BR25" s="33"/>
      <c r="BS25" s="34">
        <v>2.04</v>
      </c>
      <c r="BT25" s="35"/>
      <c r="BU25" s="35"/>
      <c r="BV25" s="235"/>
      <c r="BW25" s="235">
        <v>5.99</v>
      </c>
      <c r="BX25" s="36"/>
      <c r="BY25" s="33"/>
      <c r="BZ25" s="34">
        <v>36.1</v>
      </c>
      <c r="CA25" s="35"/>
      <c r="CB25" s="405">
        <v>43.07</v>
      </c>
      <c r="CC25" s="404"/>
      <c r="CD25" s="235">
        <v>33.06</v>
      </c>
      <c r="CE25" s="413">
        <v>43.41</v>
      </c>
      <c r="CF25" s="30">
        <v>127.22499999999999</v>
      </c>
      <c r="CG25" s="30">
        <v>62.491999999999997</v>
      </c>
      <c r="CH25" s="31"/>
      <c r="CI25" s="32"/>
      <c r="CJ25" s="33">
        <v>2.65</v>
      </c>
      <c r="CK25" s="33">
        <v>2.65</v>
      </c>
      <c r="CL25" s="35"/>
      <c r="CM25" s="36"/>
      <c r="CN25" s="286"/>
      <c r="CO25" s="249">
        <f t="shared" si="31"/>
        <v>0</v>
      </c>
      <c r="CP25" s="12">
        <f t="shared" si="31"/>
        <v>238.81178599999998</v>
      </c>
      <c r="CQ25" s="12">
        <f t="shared" si="31"/>
        <v>0</v>
      </c>
      <c r="CR25" s="12">
        <f t="shared" si="31"/>
        <v>49.969000000000001</v>
      </c>
      <c r="CS25" s="11">
        <f t="shared" si="31"/>
        <v>0</v>
      </c>
      <c r="CT25" s="11">
        <f t="shared" si="31"/>
        <v>11.599893900000001</v>
      </c>
      <c r="CU25" s="272">
        <f t="shared" si="31"/>
        <v>6.3049999999999997</v>
      </c>
      <c r="CV25" s="249">
        <f t="shared" si="14"/>
        <v>123.85353749999999</v>
      </c>
      <c r="CW25" s="251">
        <f t="shared" si="14"/>
        <v>60.835961999999995</v>
      </c>
      <c r="CX25" s="249">
        <f t="shared" si="14"/>
        <v>0</v>
      </c>
      <c r="CY25" s="272">
        <f t="shared" si="14"/>
        <v>0</v>
      </c>
      <c r="CZ25" s="13"/>
      <c r="DA25" s="240">
        <f>(D25+'[2]сентябрь 20'!D25)/(AY25+'[2]сентябрь 20'!BA25)</f>
        <v>3.3175798581715035</v>
      </c>
      <c r="DB25" s="241">
        <f>(T25+'[2]сентябрь 20'!T25)/(AY25+'[2]сентябрь 20'!BA25)</f>
        <v>2.0137006305913161</v>
      </c>
      <c r="DD25" s="292">
        <f t="shared" si="15"/>
        <v>12.593</v>
      </c>
      <c r="DE25" s="291">
        <v>0.4</v>
      </c>
      <c r="DF25" s="291">
        <v>11.21</v>
      </c>
      <c r="DG25" s="145">
        <f t="shared" si="16"/>
        <v>12.542628000000001</v>
      </c>
      <c r="DH25" s="293">
        <f t="shared" si="30"/>
        <v>1.8290992569272797</v>
      </c>
      <c r="DJ25" s="322"/>
    </row>
    <row r="26" spans="1:114" s="76" customFormat="1" ht="16.5" customHeight="1" thickBot="1">
      <c r="A26" s="144">
        <v>20</v>
      </c>
      <c r="B26" s="122">
        <f>'[1]сентябрь 20'!K25</f>
        <v>267.745</v>
      </c>
      <c r="C26" s="123">
        <f t="shared" si="17"/>
        <v>1.2899690750527553</v>
      </c>
      <c r="D26" s="145">
        <f t="shared" si="18"/>
        <v>264.29117230000003</v>
      </c>
      <c r="E26" s="125">
        <f t="shared" si="19"/>
        <v>37.345740536704696</v>
      </c>
      <c r="F26" s="146">
        <f t="shared" si="0"/>
        <v>2.1355136740465417</v>
      </c>
      <c r="G26" s="127">
        <v>18.87</v>
      </c>
      <c r="H26" s="126">
        <f t="shared" si="20"/>
        <v>1.7456057878151261</v>
      </c>
      <c r="I26" s="230">
        <f>'[1]июль 20'!AI25</f>
        <v>0</v>
      </c>
      <c r="J26" s="247">
        <f>'[1]сентябрь 20'!AA25</f>
        <v>11.116</v>
      </c>
      <c r="K26" s="464">
        <f>'[1]сентябрь 20'!AM25</f>
        <v>0</v>
      </c>
      <c r="L26" s="247">
        <f>'[1]сентябрь 20'!AE25</f>
        <v>48.255000000000003</v>
      </c>
      <c r="M26" s="468">
        <f t="shared" si="21"/>
        <v>0.38990788623141565</v>
      </c>
      <c r="N26" s="403">
        <f>'[1]сентябрь 20'!W25</f>
        <v>0</v>
      </c>
      <c r="O26" s="403">
        <f>'[1]сентябрь 20'!AU25</f>
        <v>8.5909999999999993</v>
      </c>
      <c r="P26" s="401">
        <f t="shared" si="1"/>
        <v>160.84399999999999</v>
      </c>
      <c r="Q26" s="122">
        <f>'[1]сентябрь 20'!S25</f>
        <v>160.84399999999999</v>
      </c>
      <c r="R26" s="123">
        <f t="shared" si="22"/>
        <v>2.6500000000000004</v>
      </c>
      <c r="S26" s="501">
        <v>14.22</v>
      </c>
      <c r="T26" s="125">
        <f t="shared" si="2"/>
        <v>156.58163399999998</v>
      </c>
      <c r="U26" s="147">
        <f t="shared" si="3"/>
        <v>1.2652038946347768</v>
      </c>
      <c r="V26" s="169">
        <v>123.76</v>
      </c>
      <c r="W26" s="169">
        <v>72.7</v>
      </c>
      <c r="X26" s="170">
        <v>1.1399999999999999</v>
      </c>
      <c r="Y26" s="166">
        <v>555</v>
      </c>
      <c r="Z26" s="166">
        <v>1170</v>
      </c>
      <c r="AA26" s="148" t="s">
        <v>116</v>
      </c>
      <c r="AB26" s="164">
        <v>76.66</v>
      </c>
      <c r="AC26" s="166">
        <v>107</v>
      </c>
      <c r="AD26" s="171">
        <v>5</v>
      </c>
      <c r="AE26" s="164">
        <v>6.15</v>
      </c>
      <c r="AF26" s="172">
        <f t="shared" si="4"/>
        <v>49.692954104718815</v>
      </c>
      <c r="AG26" s="173"/>
      <c r="AH26" s="170">
        <v>80.900000000000006</v>
      </c>
      <c r="AI26" s="134">
        <f t="shared" si="5"/>
        <v>653.6845507433743</v>
      </c>
      <c r="AJ26" s="174">
        <v>15.78</v>
      </c>
      <c r="AK26" s="175"/>
      <c r="AL26" s="176">
        <v>6.14</v>
      </c>
      <c r="AM26" s="478">
        <f t="shared" si="23"/>
        <v>32.110000000000007</v>
      </c>
      <c r="AN26" s="126">
        <f t="shared" si="24"/>
        <v>0.20000000000000004</v>
      </c>
      <c r="AO26" s="178" t="s">
        <v>404</v>
      </c>
      <c r="AP26" s="177">
        <v>7.84</v>
      </c>
      <c r="AQ26" s="177">
        <v>7.22</v>
      </c>
      <c r="AR26" s="171"/>
      <c r="AS26" s="164">
        <v>7.46</v>
      </c>
      <c r="AT26" s="149">
        <v>160.55000000000001</v>
      </c>
      <c r="AU26" s="164">
        <v>1.46</v>
      </c>
      <c r="AV26" s="164"/>
      <c r="AW26" s="164"/>
      <c r="AX26" s="179">
        <f t="shared" si="6"/>
        <v>0</v>
      </c>
      <c r="AY26" s="125">
        <f t="shared" si="7"/>
        <v>123.76</v>
      </c>
      <c r="AZ26" s="125">
        <f t="shared" si="25"/>
        <v>114.0647898799692</v>
      </c>
      <c r="BA26" s="159">
        <f t="shared" si="8"/>
        <v>4.6751084507042249</v>
      </c>
      <c r="BB26" s="159">
        <f t="shared" si="9"/>
        <v>4.9504000000000001</v>
      </c>
      <c r="BC26" s="180">
        <f t="shared" si="10"/>
        <v>0.96122571952527602</v>
      </c>
      <c r="BD26" s="159">
        <f t="shared" si="26"/>
        <v>9.6255084507042241</v>
      </c>
      <c r="BE26" s="167">
        <v>0.92700000000000005</v>
      </c>
      <c r="BF26" s="25">
        <f t="shared" si="27"/>
        <v>2442.8799999999997</v>
      </c>
      <c r="BG26" s="25">
        <f t="shared" si="11"/>
        <v>118.33333333333333</v>
      </c>
      <c r="BH26" s="25">
        <f t="shared" si="28"/>
        <v>2366.6666666666665</v>
      </c>
      <c r="BI26" s="26">
        <f t="shared" si="12"/>
        <v>1</v>
      </c>
      <c r="BJ26" s="37">
        <f t="shared" si="29"/>
        <v>2366.6666666666665</v>
      </c>
      <c r="BK26" s="38"/>
      <c r="BL26" s="43">
        <v>208.721</v>
      </c>
      <c r="BM26" s="31"/>
      <c r="BN26" s="406">
        <v>42.801000000000002</v>
      </c>
      <c r="BO26" s="42"/>
      <c r="BP26" s="40">
        <v>10.769</v>
      </c>
      <c r="BQ26" s="412">
        <v>5.4539999999999997</v>
      </c>
      <c r="BR26" s="33"/>
      <c r="BS26" s="34">
        <v>1.42</v>
      </c>
      <c r="BT26" s="35"/>
      <c r="BU26" s="35"/>
      <c r="BV26" s="235"/>
      <c r="BW26" s="235">
        <v>4.55</v>
      </c>
      <c r="BX26" s="36"/>
      <c r="BY26" s="33"/>
      <c r="BZ26" s="34">
        <v>36.07</v>
      </c>
      <c r="CA26" s="35"/>
      <c r="CB26" s="405">
        <v>43.27</v>
      </c>
      <c r="CC26" s="404"/>
      <c r="CD26" s="235">
        <v>35.479999999999997</v>
      </c>
      <c r="CE26" s="413">
        <v>43.36</v>
      </c>
      <c r="CF26" s="30">
        <v>107.342</v>
      </c>
      <c r="CG26" s="30">
        <v>53.502000000000002</v>
      </c>
      <c r="CH26" s="43"/>
      <c r="CI26" s="32"/>
      <c r="CJ26" s="33">
        <v>2.65</v>
      </c>
      <c r="CK26" s="33">
        <v>2.65</v>
      </c>
      <c r="CL26" s="35"/>
      <c r="CM26" s="36"/>
      <c r="CN26" s="286"/>
      <c r="CO26" s="249">
        <f t="shared" si="31"/>
        <v>0</v>
      </c>
      <c r="CP26" s="12">
        <f t="shared" si="31"/>
        <v>205.75716180000001</v>
      </c>
      <c r="CQ26" s="12">
        <f t="shared" si="31"/>
        <v>0</v>
      </c>
      <c r="CR26" s="12">
        <f t="shared" si="31"/>
        <v>42.801000000000002</v>
      </c>
      <c r="CS26" s="11">
        <f t="shared" si="31"/>
        <v>0</v>
      </c>
      <c r="CT26" s="11">
        <f t="shared" si="31"/>
        <v>10.2790105</v>
      </c>
      <c r="CU26" s="272">
        <f t="shared" si="31"/>
        <v>5.4539999999999997</v>
      </c>
      <c r="CV26" s="249">
        <f t="shared" si="14"/>
        <v>104.49743699999999</v>
      </c>
      <c r="CW26" s="12">
        <f t="shared" si="14"/>
        <v>52.084196999999996</v>
      </c>
      <c r="CX26" s="249">
        <f t="shared" si="14"/>
        <v>0</v>
      </c>
      <c r="CY26" s="274">
        <f t="shared" si="14"/>
        <v>0</v>
      </c>
      <c r="CZ26" s="13"/>
      <c r="DA26" s="240">
        <f>(D26+'[2]сентябрь 20'!D26)/(AY26+'[2]сентябрь 20'!BA26)</f>
        <v>2.0597418870222377</v>
      </c>
      <c r="DB26" s="241">
        <f>(T26+'[2]сентябрь 20'!T26)/(AY26+'[2]сентябрь 20'!BA26)</f>
        <v>1.2373025705092564</v>
      </c>
      <c r="DD26" s="292">
        <f t="shared" si="15"/>
        <v>11.116</v>
      </c>
      <c r="DE26" s="291">
        <v>1.24</v>
      </c>
      <c r="DF26" s="291">
        <v>11.62</v>
      </c>
      <c r="DG26" s="145">
        <f t="shared" si="16"/>
        <v>10.9781616</v>
      </c>
      <c r="DH26" s="293">
        <f t="shared" si="30"/>
        <v>1.6640521496477956</v>
      </c>
      <c r="DJ26" s="322"/>
    </row>
    <row r="27" spans="1:114" s="76" customFormat="1" ht="16.5" customHeight="1" thickBot="1">
      <c r="A27" s="144">
        <v>21</v>
      </c>
      <c r="B27" s="122">
        <f>'[1]сентябрь 20'!K26</f>
        <v>280.28399999999999</v>
      </c>
      <c r="C27" s="123">
        <f t="shared" si="17"/>
        <v>1.9783125330022409</v>
      </c>
      <c r="D27" s="145">
        <f t="shared" si="18"/>
        <v>274.73910649999999</v>
      </c>
      <c r="E27" s="125">
        <f t="shared" si="19"/>
        <v>37.376170312968277</v>
      </c>
      <c r="F27" s="146">
        <f t="shared" si="0"/>
        <v>2.2338328847873812</v>
      </c>
      <c r="G27" s="127">
        <v>17.690000000000001</v>
      </c>
      <c r="H27" s="126">
        <f t="shared" si="20"/>
        <v>1.8230596511911541</v>
      </c>
      <c r="I27" s="230">
        <f>'[1]июль 20'!AI26</f>
        <v>0</v>
      </c>
      <c r="J27" s="247">
        <f>'[1]сентябрь 20'!AA26</f>
        <v>10.885</v>
      </c>
      <c r="K27" s="465">
        <f>'[1]сентябрь 20'!AM26</f>
        <v>0</v>
      </c>
      <c r="L27" s="247">
        <f>'[1]сентябрь 20'!AE26</f>
        <v>50.521000000000001</v>
      </c>
      <c r="M27" s="469">
        <f t="shared" si="21"/>
        <v>0.41077323359622736</v>
      </c>
      <c r="N27" s="403">
        <f>'[1]сентябрь 20'!W26</f>
        <v>0</v>
      </c>
      <c r="O27" s="403">
        <f>'[1]сентябрь 20'!AU26</f>
        <v>9.3490000000000002</v>
      </c>
      <c r="P27" s="401">
        <f t="shared" si="1"/>
        <v>167.46</v>
      </c>
      <c r="Q27" s="122">
        <f>'[1]сентябрь 20'!S26</f>
        <v>167.46</v>
      </c>
      <c r="R27" s="123">
        <f t="shared" si="22"/>
        <v>2.2799999999999998</v>
      </c>
      <c r="S27" s="501">
        <v>19.649999999999999</v>
      </c>
      <c r="T27" s="125">
        <f t="shared" si="2"/>
        <v>163.64191199999999</v>
      </c>
      <c r="U27" s="147">
        <f t="shared" si="3"/>
        <v>1.3305302219692658</v>
      </c>
      <c r="V27" s="130">
        <v>122.99</v>
      </c>
      <c r="W27" s="130">
        <v>74.22</v>
      </c>
      <c r="X27" s="129">
        <v>1.02</v>
      </c>
      <c r="Y27" s="150">
        <v>505</v>
      </c>
      <c r="Z27" s="150">
        <v>1170</v>
      </c>
      <c r="AA27" s="148" t="s">
        <v>155</v>
      </c>
      <c r="AB27" s="149">
        <v>76.66</v>
      </c>
      <c r="AC27" s="150">
        <v>112</v>
      </c>
      <c r="AD27" s="151">
        <v>5</v>
      </c>
      <c r="AE27" s="149">
        <v>3.85</v>
      </c>
      <c r="AF27" s="134">
        <f t="shared" si="4"/>
        <v>31.303357996585088</v>
      </c>
      <c r="AG27" s="152"/>
      <c r="AH27" s="129">
        <v>77.75</v>
      </c>
      <c r="AI27" s="134">
        <f t="shared" si="5"/>
        <v>632.16521668428322</v>
      </c>
      <c r="AJ27" s="136">
        <v>16.010000000000002</v>
      </c>
      <c r="AK27" s="154"/>
      <c r="AL27" s="155">
        <v>8.34</v>
      </c>
      <c r="AM27" s="478">
        <f t="shared" si="23"/>
        <v>32.5</v>
      </c>
      <c r="AN27" s="126">
        <f t="shared" si="24"/>
        <v>0.2</v>
      </c>
      <c r="AO27" s="157" t="s">
        <v>191</v>
      </c>
      <c r="AP27" s="156">
        <v>7.43</v>
      </c>
      <c r="AQ27" s="156">
        <v>6.85</v>
      </c>
      <c r="AR27" s="151"/>
      <c r="AS27" s="149">
        <v>6.46</v>
      </c>
      <c r="AT27" s="149">
        <v>162.5</v>
      </c>
      <c r="AU27" s="149">
        <v>1.33</v>
      </c>
      <c r="AV27" s="164"/>
      <c r="AW27" s="149"/>
      <c r="AX27" s="158">
        <f t="shared" si="6"/>
        <v>0</v>
      </c>
      <c r="AY27" s="125">
        <f t="shared" si="7"/>
        <v>122.99</v>
      </c>
      <c r="AZ27" s="125">
        <f t="shared" si="25"/>
        <v>118.83881119478586</v>
      </c>
      <c r="BA27" s="159">
        <f t="shared" si="8"/>
        <v>3.8907852112676053</v>
      </c>
      <c r="BB27" s="160">
        <f t="shared" si="9"/>
        <v>4.9196</v>
      </c>
      <c r="BC27" s="161">
        <f t="shared" si="10"/>
        <v>0.91817049935569162</v>
      </c>
      <c r="BD27" s="160">
        <f t="shared" si="26"/>
        <v>8.8103852112676044</v>
      </c>
      <c r="BE27" s="162">
        <v>0.92700000000000005</v>
      </c>
      <c r="BF27" s="25">
        <f t="shared" si="27"/>
        <v>2565.8699999999994</v>
      </c>
      <c r="BG27" s="25">
        <f t="shared" si="11"/>
        <v>118.33333333333333</v>
      </c>
      <c r="BH27" s="25">
        <f t="shared" si="28"/>
        <v>2485</v>
      </c>
      <c r="BI27" s="26">
        <f t="shared" si="12"/>
        <v>1</v>
      </c>
      <c r="BJ27" s="37">
        <f t="shared" si="29"/>
        <v>2485</v>
      </c>
      <c r="BK27" s="38"/>
      <c r="BL27" s="31">
        <v>218.52500000000001</v>
      </c>
      <c r="BM27" s="31"/>
      <c r="BN27" s="234">
        <v>44.923000000000002</v>
      </c>
      <c r="BO27" s="42"/>
      <c r="BP27" s="40">
        <v>11.238</v>
      </c>
      <c r="BQ27" s="411">
        <v>5.5979999999999999</v>
      </c>
      <c r="BR27" s="33"/>
      <c r="BS27" s="34">
        <v>2.27</v>
      </c>
      <c r="BT27" s="35"/>
      <c r="BU27" s="35"/>
      <c r="BV27" s="235"/>
      <c r="BW27" s="235">
        <v>5.2</v>
      </c>
      <c r="BX27" s="36"/>
      <c r="BY27" s="33"/>
      <c r="BZ27" s="34">
        <v>36.270000000000003</v>
      </c>
      <c r="CA27" s="35"/>
      <c r="CB27" s="405">
        <v>43.17</v>
      </c>
      <c r="CC27" s="404"/>
      <c r="CD27" s="235">
        <v>32.68</v>
      </c>
      <c r="CE27" s="413">
        <v>43.49</v>
      </c>
      <c r="CF27" s="30">
        <v>111.464</v>
      </c>
      <c r="CG27" s="30">
        <v>55.996000000000002</v>
      </c>
      <c r="CH27" s="31"/>
      <c r="CI27" s="32"/>
      <c r="CJ27" s="33">
        <v>2.2799999999999998</v>
      </c>
      <c r="CK27" s="33">
        <v>2.2799999999999998</v>
      </c>
      <c r="CL27" s="35"/>
      <c r="CM27" s="36"/>
      <c r="CN27" s="286"/>
      <c r="CO27" s="249">
        <f t="shared" si="31"/>
        <v>0</v>
      </c>
      <c r="CP27" s="12">
        <f t="shared" si="31"/>
        <v>213.56448250000003</v>
      </c>
      <c r="CQ27" s="12">
        <f t="shared" si="31"/>
        <v>0</v>
      </c>
      <c r="CR27" s="12">
        <f t="shared" si="31"/>
        <v>44.923000000000002</v>
      </c>
      <c r="CS27" s="11">
        <f t="shared" si="31"/>
        <v>0</v>
      </c>
      <c r="CT27" s="11">
        <f t="shared" si="31"/>
        <v>10.653623999999999</v>
      </c>
      <c r="CU27" s="272">
        <f t="shared" si="31"/>
        <v>5.5979999999999999</v>
      </c>
      <c r="CV27" s="249">
        <f t="shared" si="14"/>
        <v>108.92262079999999</v>
      </c>
      <c r="CW27" s="11">
        <f t="shared" si="14"/>
        <v>54.719291200000001</v>
      </c>
      <c r="CX27" s="249">
        <f t="shared" si="14"/>
        <v>0</v>
      </c>
      <c r="CY27" s="272">
        <f t="shared" si="14"/>
        <v>0</v>
      </c>
      <c r="CZ27" s="13"/>
      <c r="DA27" s="240">
        <f>(D27+'[2]сентябрь 20'!D27)/(AY27+'[2]сентябрь 20'!BA27)</f>
        <v>2.1125580293659807</v>
      </c>
      <c r="DB27" s="241">
        <f>(T27+'[2]сентябрь 20'!T27)/(AY27+'[2]сентябрь 20'!BA27)</f>
        <v>1.2683919274743543</v>
      </c>
      <c r="DD27" s="292">
        <f t="shared" si="15"/>
        <v>10.885</v>
      </c>
      <c r="DE27" s="291">
        <v>1.42</v>
      </c>
      <c r="DF27" s="291">
        <v>13.57</v>
      </c>
      <c r="DG27" s="145">
        <f t="shared" si="16"/>
        <v>10.730433</v>
      </c>
      <c r="DH27" s="293">
        <f t="shared" si="30"/>
        <v>1.8994518107226717</v>
      </c>
      <c r="DJ27" s="322"/>
    </row>
    <row r="28" spans="1:114" s="76" customFormat="1" ht="16.5" customHeight="1" thickBot="1">
      <c r="A28" s="144">
        <v>22</v>
      </c>
      <c r="B28" s="122">
        <f>'[1]сентябрь 20'!K27</f>
        <v>287.44400000000002</v>
      </c>
      <c r="C28" s="123">
        <f t="shared" si="17"/>
        <v>1.6240209571255619</v>
      </c>
      <c r="D28" s="145">
        <f t="shared" si="18"/>
        <v>282.77584919999998</v>
      </c>
      <c r="E28" s="125">
        <f t="shared" si="19"/>
        <v>37.648620740039803</v>
      </c>
      <c r="F28" s="146">
        <f t="shared" si="0"/>
        <v>2.2206364787183919</v>
      </c>
      <c r="G28" s="127">
        <v>21.61</v>
      </c>
      <c r="H28" s="126">
        <f t="shared" si="20"/>
        <v>1.8131447243599814</v>
      </c>
      <c r="I28" s="230">
        <f>'[1]июль 20'!AI27</f>
        <v>0</v>
      </c>
      <c r="J28" s="247">
        <f>'[1]сентябрь 20'!AA27</f>
        <v>11.541</v>
      </c>
      <c r="K28" s="464">
        <f>'[1]сентябрь 20'!AM27</f>
        <v>0</v>
      </c>
      <c r="L28" s="247">
        <f>'[1]сентябрь 20'!AE27</f>
        <v>51.89</v>
      </c>
      <c r="M28" s="468">
        <f t="shared" si="21"/>
        <v>0.40749175435841062</v>
      </c>
      <c r="N28" s="403">
        <f>'[1]сентябрь 20'!W27</f>
        <v>0</v>
      </c>
      <c r="O28" s="403">
        <f>'[1]сентябрь 20'!AU27</f>
        <v>9.2520000000000007</v>
      </c>
      <c r="P28" s="401">
        <f t="shared" si="1"/>
        <v>170.14699999999999</v>
      </c>
      <c r="Q28" s="122">
        <f>'[1]сентябрь 20'!S27</f>
        <v>170.14699999999999</v>
      </c>
      <c r="R28" s="123">
        <f t="shared" si="22"/>
        <v>2.85</v>
      </c>
      <c r="S28" s="501">
        <v>2.9</v>
      </c>
      <c r="T28" s="125">
        <f t="shared" si="2"/>
        <v>165.2978105</v>
      </c>
      <c r="U28" s="147">
        <f t="shared" si="3"/>
        <v>1.2980823818124707</v>
      </c>
      <c r="V28" s="130">
        <v>127.34</v>
      </c>
      <c r="W28" s="130">
        <v>54.49</v>
      </c>
      <c r="X28" s="129">
        <v>1.33</v>
      </c>
      <c r="Y28" s="150">
        <v>520</v>
      </c>
      <c r="Z28" s="150">
        <v>1176</v>
      </c>
      <c r="AA28" s="148" t="s">
        <v>178</v>
      </c>
      <c r="AB28" s="149">
        <v>76.540000000000006</v>
      </c>
      <c r="AC28" s="150">
        <v>115</v>
      </c>
      <c r="AD28" s="151">
        <v>5</v>
      </c>
      <c r="AE28" s="149">
        <v>2.9</v>
      </c>
      <c r="AF28" s="134">
        <f t="shared" si="4"/>
        <v>22.773676770849697</v>
      </c>
      <c r="AG28" s="152"/>
      <c r="AH28" s="129">
        <v>91.55</v>
      </c>
      <c r="AI28" s="134">
        <f t="shared" si="5"/>
        <v>718.94141667975498</v>
      </c>
      <c r="AJ28" s="153">
        <v>16.489999999999998</v>
      </c>
      <c r="AK28" s="154"/>
      <c r="AL28" s="155">
        <v>8.4700000000000006</v>
      </c>
      <c r="AM28" s="478">
        <f t="shared" si="23"/>
        <v>33.520000000000003</v>
      </c>
      <c r="AN28" s="126">
        <f t="shared" si="24"/>
        <v>0.20000000000000004</v>
      </c>
      <c r="AO28" s="157" t="s">
        <v>185</v>
      </c>
      <c r="AP28" s="156">
        <v>7.18</v>
      </c>
      <c r="AQ28" s="156">
        <v>7.04</v>
      </c>
      <c r="AR28" s="151"/>
      <c r="AS28" s="149">
        <v>7.69</v>
      </c>
      <c r="AT28" s="149">
        <v>167.6</v>
      </c>
      <c r="AU28" s="149">
        <v>1.73</v>
      </c>
      <c r="AV28" s="164"/>
      <c r="AW28" s="149"/>
      <c r="AX28" s="158">
        <f t="shared" si="6"/>
        <v>0</v>
      </c>
      <c r="AY28" s="125">
        <f t="shared" si="7"/>
        <v>127.33999999999999</v>
      </c>
      <c r="AZ28" s="125">
        <f t="shared" si="25"/>
        <v>123.07357599059122</v>
      </c>
      <c r="BA28" s="159">
        <f t="shared" si="8"/>
        <v>5.4536721830985915</v>
      </c>
      <c r="BB28" s="160">
        <f t="shared" si="9"/>
        <v>5.0935999999999995</v>
      </c>
      <c r="BC28" s="161">
        <f t="shared" si="10"/>
        <v>0.91550752370380006</v>
      </c>
      <c r="BD28" s="160">
        <f t="shared" si="26"/>
        <v>10.547272183098592</v>
      </c>
      <c r="BE28" s="162">
        <v>0.92600000000000005</v>
      </c>
      <c r="BF28" s="25">
        <f t="shared" si="27"/>
        <v>2693.2099999999996</v>
      </c>
      <c r="BG28" s="25">
        <f t="shared" si="11"/>
        <v>118.33333333333333</v>
      </c>
      <c r="BH28" s="25">
        <f t="shared" si="28"/>
        <v>2603.3333333333335</v>
      </c>
      <c r="BI28" s="26">
        <f t="shared" si="12"/>
        <v>1</v>
      </c>
      <c r="BJ28" s="37">
        <f t="shared" si="29"/>
        <v>2603.3333333333335</v>
      </c>
      <c r="BK28" s="38"/>
      <c r="BL28" s="31">
        <v>224.34399999999999</v>
      </c>
      <c r="BM28" s="31"/>
      <c r="BN28" s="234">
        <v>46.036000000000001</v>
      </c>
      <c r="BO28" s="42"/>
      <c r="BP28" s="40">
        <v>11.21</v>
      </c>
      <c r="BQ28" s="411">
        <v>5.8540000000000001</v>
      </c>
      <c r="BR28" s="33"/>
      <c r="BS28" s="34">
        <v>1.77</v>
      </c>
      <c r="BT28" s="35"/>
      <c r="BU28" s="35"/>
      <c r="BV28" s="235"/>
      <c r="BW28" s="235">
        <v>6.22</v>
      </c>
      <c r="BX28" s="36"/>
      <c r="BY28" s="33"/>
      <c r="BZ28" s="34">
        <v>36.51</v>
      </c>
      <c r="CA28" s="35"/>
      <c r="CB28" s="405">
        <v>43.23</v>
      </c>
      <c r="CC28" s="404"/>
      <c r="CD28" s="235">
        <v>34.6</v>
      </c>
      <c r="CE28" s="36">
        <v>43.23</v>
      </c>
      <c r="CF28" s="30">
        <v>112.639</v>
      </c>
      <c r="CG28" s="30">
        <v>57.508000000000003</v>
      </c>
      <c r="CH28" s="31"/>
      <c r="CI28" s="32"/>
      <c r="CJ28" s="33">
        <v>2.85</v>
      </c>
      <c r="CK28" s="33">
        <v>2.85</v>
      </c>
      <c r="CL28" s="35"/>
      <c r="CM28" s="36"/>
      <c r="CN28" s="286"/>
      <c r="CO28" s="249">
        <f t="shared" si="31"/>
        <v>0</v>
      </c>
      <c r="CP28" s="12">
        <f t="shared" si="31"/>
        <v>220.37311120000001</v>
      </c>
      <c r="CQ28" s="12">
        <f t="shared" si="31"/>
        <v>0</v>
      </c>
      <c r="CR28" s="12">
        <f t="shared" si="31"/>
        <v>46.036000000000001</v>
      </c>
      <c r="CS28" s="11">
        <f t="shared" si="31"/>
        <v>0</v>
      </c>
      <c r="CT28" s="11">
        <f t="shared" si="31"/>
        <v>10.512738000000001</v>
      </c>
      <c r="CU28" s="272">
        <f t="shared" si="31"/>
        <v>5.8540000000000001</v>
      </c>
      <c r="CV28" s="249">
        <f t="shared" si="14"/>
        <v>109.4287885</v>
      </c>
      <c r="CW28" s="12">
        <f t="shared" si="14"/>
        <v>55.869022000000001</v>
      </c>
      <c r="CX28" s="249">
        <f t="shared" si="14"/>
        <v>0</v>
      </c>
      <c r="CY28" s="272">
        <f t="shared" si="14"/>
        <v>0</v>
      </c>
      <c r="CZ28" s="13"/>
      <c r="DA28" s="240">
        <f>(D28+'[2]сентябрь 20'!D28)/(AY28+'[2]сентябрь 20'!BA28)</f>
        <v>2.0194529112596009</v>
      </c>
      <c r="DB28" s="241">
        <f>(T28+'[2]сентябрь 20'!T28)/(AY28+'[2]сентябрь 20'!BA28)</f>
        <v>1.1980338621807787</v>
      </c>
      <c r="DD28" s="292">
        <f t="shared" si="15"/>
        <v>11.541</v>
      </c>
      <c r="DE28" s="305">
        <v>3.05</v>
      </c>
      <c r="DF28" s="291">
        <v>11.26</v>
      </c>
      <c r="DG28" s="145">
        <f t="shared" si="16"/>
        <v>11.188999500000001</v>
      </c>
      <c r="DH28" s="293">
        <f t="shared" si="30"/>
        <v>1.6460430411549516</v>
      </c>
      <c r="DJ28" s="322"/>
    </row>
    <row r="29" spans="1:114" s="76" customFormat="1" ht="16.5" customHeight="1" thickBot="1">
      <c r="A29" s="144">
        <v>23</v>
      </c>
      <c r="B29" s="122">
        <f>'[1]сентябрь 20'!K28</f>
        <v>292.37900000000002</v>
      </c>
      <c r="C29" s="123">
        <f t="shared" si="17"/>
        <v>1.9074314844773392</v>
      </c>
      <c r="D29" s="145">
        <f t="shared" si="18"/>
        <v>286.80207089999999</v>
      </c>
      <c r="E29" s="125">
        <f t="shared" si="19"/>
        <v>37.396201573984449</v>
      </c>
      <c r="F29" s="146">
        <f t="shared" si="0"/>
        <v>2.2995675986209112</v>
      </c>
      <c r="G29" s="127">
        <v>15.16</v>
      </c>
      <c r="H29" s="126">
        <f t="shared" si="20"/>
        <v>1.8779832496792817</v>
      </c>
      <c r="I29" s="230">
        <f>'[1]июль 20'!AI28</f>
        <v>0</v>
      </c>
      <c r="J29" s="247">
        <f>'[1]сентябрь 20'!AA28</f>
        <v>12.048999999999999</v>
      </c>
      <c r="K29" s="465">
        <f>'[1]сентябрь 20'!AM28</f>
        <v>0</v>
      </c>
      <c r="L29" s="247">
        <f>'[1]сентябрь 20'!AE28</f>
        <v>52.58</v>
      </c>
      <c r="M29" s="469">
        <f t="shared" si="21"/>
        <v>0.42158434894162927</v>
      </c>
      <c r="N29" s="403">
        <f>'[1]сентябрь 20'!W28</f>
        <v>0</v>
      </c>
      <c r="O29" s="403">
        <f>'[1]сентябрь 20'!AU28</f>
        <v>6.923</v>
      </c>
      <c r="P29" s="401">
        <f t="shared" si="1"/>
        <v>172.53800000000001</v>
      </c>
      <c r="Q29" s="122">
        <f>'[1]сентябрь 20'!S28</f>
        <v>172.53800000000001</v>
      </c>
      <c r="R29" s="123">
        <f t="shared" si="22"/>
        <v>2.92</v>
      </c>
      <c r="S29" s="501">
        <v>11.5</v>
      </c>
      <c r="T29" s="125">
        <f t="shared" si="2"/>
        <v>167.4998904</v>
      </c>
      <c r="U29" s="147">
        <f t="shared" si="3"/>
        <v>1.3430074599101991</v>
      </c>
      <c r="V29" s="130">
        <v>124.72</v>
      </c>
      <c r="W29" s="130">
        <v>101.57</v>
      </c>
      <c r="X29" s="129">
        <v>0.43</v>
      </c>
      <c r="Y29" s="150">
        <v>545</v>
      </c>
      <c r="Z29" s="150">
        <v>1182</v>
      </c>
      <c r="AA29" s="148" t="s">
        <v>174</v>
      </c>
      <c r="AB29" s="149">
        <v>76.58</v>
      </c>
      <c r="AC29" s="150">
        <v>117</v>
      </c>
      <c r="AD29" s="151">
        <v>5</v>
      </c>
      <c r="AE29" s="149"/>
      <c r="AF29" s="134">
        <f t="shared" si="4"/>
        <v>0</v>
      </c>
      <c r="AG29" s="152"/>
      <c r="AH29" s="129">
        <v>93.85</v>
      </c>
      <c r="AI29" s="134">
        <f t="shared" si="5"/>
        <v>752.48556767158436</v>
      </c>
      <c r="AJ29" s="136">
        <v>14.74</v>
      </c>
      <c r="AK29" s="154"/>
      <c r="AL29" s="155">
        <v>10.130000000000001</v>
      </c>
      <c r="AM29" s="478">
        <f t="shared" si="23"/>
        <v>32.74</v>
      </c>
      <c r="AN29" s="126">
        <f t="shared" si="24"/>
        <v>0.20000000000000004</v>
      </c>
      <c r="AO29" s="157" t="s">
        <v>119</v>
      </c>
      <c r="AP29" s="156">
        <v>6.63</v>
      </c>
      <c r="AQ29" s="156">
        <v>6.75</v>
      </c>
      <c r="AR29" s="149"/>
      <c r="AS29" s="149">
        <v>9.82</v>
      </c>
      <c r="AT29" s="149">
        <v>163.69999999999999</v>
      </c>
      <c r="AU29" s="149">
        <v>3.89</v>
      </c>
      <c r="AV29" s="164"/>
      <c r="AW29" s="149"/>
      <c r="AX29" s="158">
        <f t="shared" si="6"/>
        <v>0</v>
      </c>
      <c r="AY29" s="125">
        <f t="shared" si="7"/>
        <v>124.71999999999998</v>
      </c>
      <c r="AZ29" s="125">
        <f t="shared" si="25"/>
        <v>124.02729188385456</v>
      </c>
      <c r="BA29" s="159">
        <f t="shared" si="8"/>
        <v>7.1392091549295777</v>
      </c>
      <c r="BB29" s="160">
        <f t="shared" si="9"/>
        <v>4.9887999999999995</v>
      </c>
      <c r="BC29" s="161">
        <f t="shared" si="10"/>
        <v>0.89051592279049863</v>
      </c>
      <c r="BD29" s="160">
        <f t="shared" si="26"/>
        <v>12.128009154929577</v>
      </c>
      <c r="BE29" s="162">
        <v>0.92500000000000004</v>
      </c>
      <c r="BF29" s="25">
        <f t="shared" si="27"/>
        <v>2817.9299999999994</v>
      </c>
      <c r="BG29" s="25">
        <f t="shared" si="11"/>
        <v>118.33333333333333</v>
      </c>
      <c r="BH29" s="25">
        <f t="shared" si="28"/>
        <v>2721.666666666667</v>
      </c>
      <c r="BI29" s="26">
        <f t="shared" si="12"/>
        <v>1</v>
      </c>
      <c r="BJ29" s="37">
        <f t="shared" si="29"/>
        <v>2721.666666666667</v>
      </c>
      <c r="BK29" s="328">
        <v>48.593000000000004</v>
      </c>
      <c r="BL29" s="31">
        <v>179.6</v>
      </c>
      <c r="BM29" s="31"/>
      <c r="BN29" s="31">
        <v>32.411000000000001</v>
      </c>
      <c r="BO29" s="40"/>
      <c r="BP29" s="40">
        <v>11.606</v>
      </c>
      <c r="BQ29" s="32">
        <v>20.169</v>
      </c>
      <c r="BR29" s="33">
        <v>2.0099999999999998</v>
      </c>
      <c r="BS29" s="34">
        <v>2.12</v>
      </c>
      <c r="BT29" s="35"/>
      <c r="BU29" s="35"/>
      <c r="BV29" s="235"/>
      <c r="BW29" s="235">
        <v>6.83</v>
      </c>
      <c r="BX29" s="36"/>
      <c r="BY29" s="33">
        <v>37.74</v>
      </c>
      <c r="BZ29" s="34">
        <v>35.94</v>
      </c>
      <c r="CA29" s="35"/>
      <c r="CB29" s="35">
        <v>43.19</v>
      </c>
      <c r="CC29" s="235"/>
      <c r="CD29" s="235">
        <v>31.93</v>
      </c>
      <c r="CE29" s="36">
        <v>43.37</v>
      </c>
      <c r="CF29" s="30">
        <v>114.02200000000001</v>
      </c>
      <c r="CG29" s="30">
        <v>58.515999999999998</v>
      </c>
      <c r="CH29" s="31"/>
      <c r="CI29" s="32"/>
      <c r="CJ29" s="33">
        <v>2.92</v>
      </c>
      <c r="CK29" s="33">
        <v>2.92</v>
      </c>
      <c r="CL29" s="35"/>
      <c r="CM29" s="36"/>
      <c r="CN29" s="286"/>
      <c r="CO29" s="249">
        <f t="shared" si="31"/>
        <v>47.616280700000004</v>
      </c>
      <c r="CP29" s="12">
        <f t="shared" si="31"/>
        <v>175.79247999999998</v>
      </c>
      <c r="CQ29" s="12">
        <f t="shared" si="31"/>
        <v>0</v>
      </c>
      <c r="CR29" s="12">
        <f t="shared" si="31"/>
        <v>32.411000000000001</v>
      </c>
      <c r="CS29" s="11">
        <f t="shared" si="31"/>
        <v>0</v>
      </c>
      <c r="CT29" s="11">
        <f t="shared" si="31"/>
        <v>10.8133102</v>
      </c>
      <c r="CU29" s="272">
        <f t="shared" si="31"/>
        <v>20.169</v>
      </c>
      <c r="CV29" s="249">
        <f t="shared" si="14"/>
        <v>110.6925576</v>
      </c>
      <c r="CW29" s="12">
        <f t="shared" si="14"/>
        <v>56.807332799999998</v>
      </c>
      <c r="CX29" s="249">
        <f t="shared" si="14"/>
        <v>0</v>
      </c>
      <c r="CY29" s="272">
        <f t="shared" si="14"/>
        <v>0</v>
      </c>
      <c r="CZ29" s="13"/>
      <c r="DA29" s="240">
        <f>(D29+'[2]сентябрь 20'!D29)/(AY29+'[2]сентябрь 20'!BA29)</f>
        <v>2.4081165600041796</v>
      </c>
      <c r="DB29" s="241">
        <f>(T29+'[2]сентябрь 20'!T29)/(AY29+'[2]сентябрь 20'!BA29)</f>
        <v>1.4225724719357935</v>
      </c>
      <c r="DD29" s="292">
        <f t="shared" si="15"/>
        <v>12.048999999999999</v>
      </c>
      <c r="DE29" s="291">
        <v>2.4500000000000002</v>
      </c>
      <c r="DF29" s="291">
        <v>11.47</v>
      </c>
      <c r="DG29" s="145">
        <f t="shared" si="16"/>
        <v>11.753799499999998</v>
      </c>
      <c r="DH29" s="293">
        <f t="shared" si="30"/>
        <v>1.7604606981587878</v>
      </c>
      <c r="DJ29" s="322"/>
    </row>
    <row r="30" spans="1:114" s="76" customFormat="1" ht="16.5" customHeight="1" thickBot="1">
      <c r="A30" s="144">
        <v>24</v>
      </c>
      <c r="B30" s="122">
        <f>'[1]сентябрь 20'!K29</f>
        <v>177.726</v>
      </c>
      <c r="C30" s="123">
        <f t="shared" si="17"/>
        <v>1.4407486242868235</v>
      </c>
      <c r="D30" s="145">
        <f t="shared" si="18"/>
        <v>175.16541509999999</v>
      </c>
      <c r="E30" s="125">
        <f t="shared" si="19"/>
        <v>37.663941179118424</v>
      </c>
      <c r="F30" s="146">
        <f t="shared" si="0"/>
        <v>1.9274363457306334</v>
      </c>
      <c r="G30" s="127">
        <v>6.13</v>
      </c>
      <c r="H30" s="126">
        <f t="shared" si="20"/>
        <v>1.5754887224911971</v>
      </c>
      <c r="I30" s="230">
        <f>'[1]июль 20'!AI29</f>
        <v>0</v>
      </c>
      <c r="J30" s="247">
        <f>'[1]сентябрь 20'!AA29</f>
        <v>7.2140000000000004</v>
      </c>
      <c r="K30" s="464">
        <f>'[1]сентябрь 20'!AM29</f>
        <v>0</v>
      </c>
      <c r="L30" s="247">
        <f>'[1]сентябрь 20'!AE29</f>
        <v>31.984999999999999</v>
      </c>
      <c r="M30" s="468">
        <f t="shared" si="21"/>
        <v>0.35194762323943657</v>
      </c>
      <c r="N30" s="403">
        <f>'[1]сентябрь 20'!W29</f>
        <v>0</v>
      </c>
      <c r="O30" s="403">
        <f>'[1]сентябрь 20'!AU29</f>
        <v>2.1850000000000001</v>
      </c>
      <c r="P30" s="401">
        <f t="shared" si="1"/>
        <v>105.11099999999999</v>
      </c>
      <c r="Q30" s="122">
        <f>'[1]сентябрь 20'!S29</f>
        <v>105.111</v>
      </c>
      <c r="R30" s="123">
        <f t="shared" si="22"/>
        <v>2.65</v>
      </c>
      <c r="S30" s="501">
        <v>22.66</v>
      </c>
      <c r="T30" s="125">
        <f t="shared" si="2"/>
        <v>102.3255585</v>
      </c>
      <c r="U30" s="147">
        <f t="shared" si="3"/>
        <v>1.1259414447623237</v>
      </c>
      <c r="V30" s="169">
        <v>70.92</v>
      </c>
      <c r="W30" s="169">
        <v>90.88</v>
      </c>
      <c r="X30" s="170">
        <v>0.46</v>
      </c>
      <c r="Y30" s="166">
        <v>543</v>
      </c>
      <c r="Z30" s="166">
        <v>1179</v>
      </c>
      <c r="AA30" s="148" t="s">
        <v>195</v>
      </c>
      <c r="AB30" s="164">
        <v>76.31</v>
      </c>
      <c r="AC30" s="166">
        <v>71</v>
      </c>
      <c r="AD30" s="171">
        <v>4</v>
      </c>
      <c r="AE30" s="164"/>
      <c r="AF30" s="172">
        <f t="shared" si="4"/>
        <v>0</v>
      </c>
      <c r="AG30" s="173"/>
      <c r="AH30" s="170">
        <v>64.849999999999994</v>
      </c>
      <c r="AI30" s="134">
        <f t="shared" si="5"/>
        <v>713.57834507042242</v>
      </c>
      <c r="AJ30" s="174">
        <v>12.63</v>
      </c>
      <c r="AK30" s="175"/>
      <c r="AL30" s="176">
        <v>6.02</v>
      </c>
      <c r="AM30" s="478">
        <f t="shared" si="23"/>
        <v>23.730000000000004</v>
      </c>
      <c r="AN30" s="126">
        <f t="shared" si="24"/>
        <v>0.2</v>
      </c>
      <c r="AO30" s="178" t="s">
        <v>339</v>
      </c>
      <c r="AP30" s="177">
        <v>6.54</v>
      </c>
      <c r="AQ30" s="177">
        <v>7.33</v>
      </c>
      <c r="AR30" s="171"/>
      <c r="AS30" s="164">
        <v>11.75</v>
      </c>
      <c r="AT30" s="149">
        <v>118.65</v>
      </c>
      <c r="AU30" s="164">
        <v>1.98</v>
      </c>
      <c r="AV30" s="164"/>
      <c r="AW30" s="164"/>
      <c r="AX30" s="179">
        <f t="shared" si="6"/>
        <v>0</v>
      </c>
      <c r="AY30" s="125">
        <f t="shared" si="7"/>
        <v>90.88000000000001</v>
      </c>
      <c r="AZ30" s="125">
        <f t="shared" si="25"/>
        <v>76.494666295093637</v>
      </c>
      <c r="BA30" s="159">
        <f t="shared" si="8"/>
        <v>5.9027200704225349</v>
      </c>
      <c r="BB30" s="159">
        <f t="shared" si="9"/>
        <v>3.6352000000000007</v>
      </c>
      <c r="BC30" s="180">
        <f t="shared" si="10"/>
        <v>1.0511765075800743</v>
      </c>
      <c r="BD30" s="159">
        <f t="shared" si="26"/>
        <v>9.5379200704225351</v>
      </c>
      <c r="BE30" s="167">
        <v>0.92800000000000005</v>
      </c>
      <c r="BF30" s="25">
        <f t="shared" si="27"/>
        <v>2908.8099999999995</v>
      </c>
      <c r="BG30" s="25">
        <f t="shared" si="11"/>
        <v>118.33333333333333</v>
      </c>
      <c r="BH30" s="25">
        <f t="shared" si="28"/>
        <v>2840.0000000000005</v>
      </c>
      <c r="BI30" s="26">
        <f t="shared" si="12"/>
        <v>1</v>
      </c>
      <c r="BJ30" s="37">
        <f t="shared" si="29"/>
        <v>2840.0000000000005</v>
      </c>
      <c r="BK30" s="38">
        <v>95.905000000000001</v>
      </c>
      <c r="BL30" s="31">
        <v>42.656999999999996</v>
      </c>
      <c r="BM30" s="31"/>
      <c r="BN30" s="31"/>
      <c r="BO30" s="40"/>
      <c r="BP30" s="40">
        <v>7.1790000000000003</v>
      </c>
      <c r="BQ30" s="44">
        <v>31.984999999999999</v>
      </c>
      <c r="BR30" s="45">
        <v>1.5</v>
      </c>
      <c r="BS30" s="46">
        <v>1.91</v>
      </c>
      <c r="BT30" s="47"/>
      <c r="BU30" s="47"/>
      <c r="BV30" s="283"/>
      <c r="BW30" s="283">
        <v>4.28</v>
      </c>
      <c r="BX30" s="48"/>
      <c r="BY30" s="45">
        <v>36.880000000000003</v>
      </c>
      <c r="BZ30" s="46">
        <v>36.81</v>
      </c>
      <c r="CA30" s="47"/>
      <c r="CB30" s="47"/>
      <c r="CC30" s="283"/>
      <c r="CD30" s="283">
        <v>27.61</v>
      </c>
      <c r="CE30" s="48">
        <v>43.41</v>
      </c>
      <c r="CF30" s="49">
        <v>69.617999999999995</v>
      </c>
      <c r="CG30" s="49">
        <v>35.493000000000002</v>
      </c>
      <c r="CH30" s="43"/>
      <c r="CI30" s="32"/>
      <c r="CJ30" s="33">
        <v>2.65</v>
      </c>
      <c r="CK30" s="33">
        <v>2.65</v>
      </c>
      <c r="CL30" s="35"/>
      <c r="CM30" s="36"/>
      <c r="CN30" s="286"/>
      <c r="CO30" s="249">
        <f t="shared" si="31"/>
        <v>94.466425000000001</v>
      </c>
      <c r="CP30" s="12">
        <f t="shared" si="31"/>
        <v>41.842251299999994</v>
      </c>
      <c r="CQ30" s="12">
        <f t="shared" si="31"/>
        <v>0</v>
      </c>
      <c r="CR30" s="12">
        <f t="shared" si="31"/>
        <v>0</v>
      </c>
      <c r="CS30" s="11">
        <f t="shared" si="31"/>
        <v>0</v>
      </c>
      <c r="CT30" s="11">
        <f t="shared" si="31"/>
        <v>6.8717388000000001</v>
      </c>
      <c r="CU30" s="272">
        <f t="shared" si="31"/>
        <v>31.984999999999999</v>
      </c>
      <c r="CV30" s="249">
        <f t="shared" si="14"/>
        <v>67.773122999999984</v>
      </c>
      <c r="CW30" s="11">
        <f t="shared" si="14"/>
        <v>34.552435500000001</v>
      </c>
      <c r="CX30" s="252">
        <f t="shared" si="14"/>
        <v>0</v>
      </c>
      <c r="CY30" s="272">
        <f t="shared" si="14"/>
        <v>0</v>
      </c>
      <c r="CZ30" s="13"/>
      <c r="DA30" s="240">
        <f>(D30+'[2]сентябрь 20'!D30)/(AY30+'[2]сентябрь 20'!BA30)</f>
        <v>2.1343462725003457</v>
      </c>
      <c r="DB30" s="241">
        <f>(T30+'[2]сентябрь 20'!T30)/(AY30+'[2]сентябрь 20'!BA30)</f>
        <v>1.2590497279870383</v>
      </c>
      <c r="DD30" s="292">
        <f t="shared" si="15"/>
        <v>7.2140000000000004</v>
      </c>
      <c r="DE30" s="291">
        <v>0.47</v>
      </c>
      <c r="DF30" s="291">
        <v>10.83</v>
      </c>
      <c r="DG30" s="145">
        <f t="shared" si="16"/>
        <v>7.1800942000000001</v>
      </c>
      <c r="DH30" s="293">
        <f t="shared" si="30"/>
        <v>1.0190069477919015</v>
      </c>
      <c r="DJ30" s="322"/>
    </row>
    <row r="31" spans="1:114" s="76" customFormat="1" ht="16.5" customHeight="1" thickBot="1">
      <c r="A31" s="144">
        <v>25</v>
      </c>
      <c r="B31" s="122">
        <f>'[1]сентябрь 20'!K30</f>
        <v>175.01499999999999</v>
      </c>
      <c r="C31" s="123">
        <f t="shared" si="17"/>
        <v>1.0125084135645517</v>
      </c>
      <c r="D31" s="145">
        <f t="shared" si="18"/>
        <v>173.24295839999999</v>
      </c>
      <c r="E31" s="125">
        <f t="shared" si="19"/>
        <v>37.89391800702797</v>
      </c>
      <c r="F31" s="146">
        <f t="shared" si="0"/>
        <v>2.9558600648353526</v>
      </c>
      <c r="G31" s="127"/>
      <c r="H31" s="126">
        <f t="shared" si="20"/>
        <v>2.4184091178979696</v>
      </c>
      <c r="I31" s="230">
        <f>'[1]июль 20'!AI30</f>
        <v>0</v>
      </c>
      <c r="J31" s="247">
        <f>'[1]сентябрь 20'!AA30</f>
        <v>6.9870000000000001</v>
      </c>
      <c r="K31" s="465">
        <f>'[1]сентябрь 20'!AM30</f>
        <v>0</v>
      </c>
      <c r="L31" s="247">
        <f>'[1]сентябрь 20'!AE30</f>
        <v>31.5</v>
      </c>
      <c r="M31" s="469">
        <f t="shared" si="21"/>
        <v>0.53745094693738282</v>
      </c>
      <c r="N31" s="403">
        <f>'[1]сентябрь 20'!W30</f>
        <v>0</v>
      </c>
      <c r="O31" s="403">
        <f>'[1]сентябрь 20'!AU30</f>
        <v>2.1589999999999998</v>
      </c>
      <c r="P31" s="401">
        <f t="shared" si="1"/>
        <v>110.96899999999999</v>
      </c>
      <c r="Q31" s="122">
        <f>'[1]сентябрь 20'!S30</f>
        <v>110.96899999999999</v>
      </c>
      <c r="R31" s="123">
        <f t="shared" si="22"/>
        <v>2.64</v>
      </c>
      <c r="S31" s="501">
        <v>1.27</v>
      </c>
      <c r="T31" s="125">
        <f t="shared" si="2"/>
        <v>108.0394184</v>
      </c>
      <c r="U31" s="147">
        <f t="shared" si="3"/>
        <v>1.8433615150998126</v>
      </c>
      <c r="V31" s="130">
        <v>58.61</v>
      </c>
      <c r="W31" s="130">
        <v>32.58</v>
      </c>
      <c r="X31" s="129">
        <v>1.06</v>
      </c>
      <c r="Y31" s="150">
        <v>530</v>
      </c>
      <c r="Z31" s="150">
        <v>1080</v>
      </c>
      <c r="AA31" s="148" t="s">
        <v>406</v>
      </c>
      <c r="AB31" s="149">
        <v>75.91</v>
      </c>
      <c r="AC31" s="150">
        <v>72</v>
      </c>
      <c r="AD31" s="151">
        <v>3</v>
      </c>
      <c r="AE31" s="149"/>
      <c r="AF31" s="134">
        <f t="shared" si="4"/>
        <v>0</v>
      </c>
      <c r="AG31" s="152"/>
      <c r="AH31" s="129">
        <v>29.55</v>
      </c>
      <c r="AI31" s="134">
        <f t="shared" si="5"/>
        <v>504.18017403173531</v>
      </c>
      <c r="AJ31" s="136">
        <v>9.8000000000000007</v>
      </c>
      <c r="AK31" s="154"/>
      <c r="AL31" s="155">
        <v>4.45</v>
      </c>
      <c r="AM31" s="478">
        <f t="shared" si="23"/>
        <v>15.52</v>
      </c>
      <c r="AN31" s="126">
        <f t="shared" si="24"/>
        <v>0.2</v>
      </c>
      <c r="AO31" s="157" t="s">
        <v>151</v>
      </c>
      <c r="AP31" s="156">
        <v>8.35</v>
      </c>
      <c r="AQ31" s="156">
        <v>6.97</v>
      </c>
      <c r="AR31" s="151"/>
      <c r="AS31" s="149">
        <v>7.12</v>
      </c>
      <c r="AT31" s="149">
        <v>77.599999999999994</v>
      </c>
      <c r="AU31" s="149">
        <v>0.98</v>
      </c>
      <c r="AV31" s="164"/>
      <c r="AW31" s="149"/>
      <c r="AX31" s="158">
        <f t="shared" si="6"/>
        <v>0</v>
      </c>
      <c r="AY31" s="125">
        <f t="shared" si="7"/>
        <v>58.609999999999992</v>
      </c>
      <c r="AZ31" s="125">
        <f t="shared" si="25"/>
        <v>76.662522053598721</v>
      </c>
      <c r="BA31" s="159">
        <f t="shared" si="8"/>
        <v>1.6298281690140846</v>
      </c>
      <c r="BB31" s="160">
        <f t="shared" si="9"/>
        <v>2.3443999999999998</v>
      </c>
      <c r="BC31" s="161">
        <f t="shared" si="10"/>
        <v>0.67771267839911398</v>
      </c>
      <c r="BD31" s="160">
        <f t="shared" si="26"/>
        <v>3.9742281690140846</v>
      </c>
      <c r="BE31" s="162">
        <v>0.92100000000000004</v>
      </c>
      <c r="BF31" s="25">
        <f t="shared" si="27"/>
        <v>2967.4199999999996</v>
      </c>
      <c r="BG31" s="25">
        <f t="shared" si="11"/>
        <v>118.33333333333333</v>
      </c>
      <c r="BH31" s="25">
        <f t="shared" si="28"/>
        <v>2958.3333333333339</v>
      </c>
      <c r="BI31" s="26">
        <f t="shared" si="12"/>
        <v>1</v>
      </c>
      <c r="BJ31" s="37">
        <f t="shared" si="29"/>
        <v>2958.3333333333339</v>
      </c>
      <c r="BK31" s="38">
        <v>94.518000000000001</v>
      </c>
      <c r="BL31" s="31">
        <v>42.009</v>
      </c>
      <c r="BM31" s="31"/>
      <c r="BN31" s="31"/>
      <c r="BO31" s="40"/>
      <c r="BP31" s="40">
        <v>6.9880000000000004</v>
      </c>
      <c r="BQ31" s="32">
        <v>31.5</v>
      </c>
      <c r="BR31" s="33">
        <v>1.17</v>
      </c>
      <c r="BS31" s="34">
        <v>1.1399999999999999</v>
      </c>
      <c r="BT31" s="35"/>
      <c r="BU31" s="35"/>
      <c r="BV31" s="235"/>
      <c r="BW31" s="235">
        <v>2.68</v>
      </c>
      <c r="BX31" s="36"/>
      <c r="BY31" s="33">
        <v>37.4</v>
      </c>
      <c r="BZ31" s="34">
        <v>36.06</v>
      </c>
      <c r="CA31" s="35"/>
      <c r="CB31" s="35"/>
      <c r="CC31" s="235"/>
      <c r="CD31" s="235">
        <v>31.14</v>
      </c>
      <c r="CE31" s="36">
        <v>43.32</v>
      </c>
      <c r="CF31" s="30">
        <v>75.968000000000004</v>
      </c>
      <c r="CG31" s="30">
        <v>35.000999999999998</v>
      </c>
      <c r="CH31" s="31"/>
      <c r="CI31" s="32"/>
      <c r="CJ31" s="33">
        <v>2.64</v>
      </c>
      <c r="CK31" s="33">
        <v>2.64</v>
      </c>
      <c r="CL31" s="35"/>
      <c r="CM31" s="36"/>
      <c r="CN31" s="286"/>
      <c r="CO31" s="249">
        <f t="shared" si="31"/>
        <v>93.412139400000001</v>
      </c>
      <c r="CP31" s="12">
        <f t="shared" si="31"/>
        <v>41.530097400000002</v>
      </c>
      <c r="CQ31" s="12">
        <f t="shared" si="31"/>
        <v>0</v>
      </c>
      <c r="CR31" s="12">
        <f t="shared" si="31"/>
        <v>0</v>
      </c>
      <c r="CS31" s="11">
        <f t="shared" si="31"/>
        <v>0</v>
      </c>
      <c r="CT31" s="11">
        <f t="shared" si="31"/>
        <v>6.8007216000000001</v>
      </c>
      <c r="CU31" s="272">
        <f t="shared" si="31"/>
        <v>31.5</v>
      </c>
      <c r="CV31" s="249">
        <f t="shared" si="14"/>
        <v>73.9624448</v>
      </c>
      <c r="CW31" s="12">
        <f t="shared" si="14"/>
        <v>34.076973599999995</v>
      </c>
      <c r="CX31" s="249">
        <f t="shared" si="14"/>
        <v>0</v>
      </c>
      <c r="CY31" s="272">
        <f t="shared" si="14"/>
        <v>0</v>
      </c>
      <c r="CZ31" s="13"/>
      <c r="DA31" s="240">
        <f>(D31+'[2]сентябрь 20'!D31)/(AY31+'[2]сентябрь 20'!BA31)</f>
        <v>2.3057430513980428</v>
      </c>
      <c r="DB31" s="241">
        <f>(T31+'[2]сентябрь 20'!T31)/(AY31+'[2]сентябрь 20'!BA31)</f>
        <v>1.3707243862168945</v>
      </c>
      <c r="DD31" s="292">
        <f t="shared" si="15"/>
        <v>6.9870000000000001</v>
      </c>
      <c r="DE31" s="291">
        <v>0.53</v>
      </c>
      <c r="DF31" s="291">
        <v>12.71</v>
      </c>
      <c r="DG31" s="145">
        <f t="shared" si="16"/>
        <v>6.9499689</v>
      </c>
      <c r="DH31" s="293">
        <f t="shared" si="30"/>
        <v>1.1636688805032278</v>
      </c>
      <c r="DJ31" s="322"/>
    </row>
    <row r="32" spans="1:114" s="76" customFormat="1" ht="16.5" customHeight="1" thickBot="1">
      <c r="A32" s="144">
        <v>26</v>
      </c>
      <c r="B32" s="122">
        <f>'[1]сентябрь 20'!K31</f>
        <v>279.37299999999999</v>
      </c>
      <c r="C32" s="123">
        <f t="shared" si="17"/>
        <v>0.90293625368235297</v>
      </c>
      <c r="D32" s="145">
        <f t="shared" si="18"/>
        <v>276.85043989999997</v>
      </c>
      <c r="E32" s="125">
        <f t="shared" si="19"/>
        <v>38.106732683544941</v>
      </c>
      <c r="F32" s="146">
        <f t="shared" si="0"/>
        <v>2.1352031459200989</v>
      </c>
      <c r="G32" s="127"/>
      <c r="H32" s="126">
        <f t="shared" si="20"/>
        <v>1.7497180310041651</v>
      </c>
      <c r="I32" s="230">
        <f>'[1]июль 20'!AI31</f>
        <v>0</v>
      </c>
      <c r="J32" s="247">
        <f>'[1]сентябрь 20'!AA31</f>
        <v>11.503</v>
      </c>
      <c r="K32" s="464">
        <f>'[1]сентябрь 20'!AM31</f>
        <v>0</v>
      </c>
      <c r="L32" s="247">
        <f>'[1]сентябрь 20'!AE31</f>
        <v>49.981999999999999</v>
      </c>
      <c r="M32" s="468">
        <f t="shared" si="21"/>
        <v>0.38548511491593407</v>
      </c>
      <c r="N32" s="403">
        <f>'[1]сентябрь 20'!W31</f>
        <v>0</v>
      </c>
      <c r="O32" s="403">
        <f>'[1]сентябрь 20'!AU31</f>
        <v>3.452</v>
      </c>
      <c r="P32" s="401">
        <f t="shared" si="1"/>
        <v>166.87200000000001</v>
      </c>
      <c r="Q32" s="122">
        <f>'[1]сентябрь 20'!S31</f>
        <v>166.87200000000001</v>
      </c>
      <c r="R32" s="123">
        <f t="shared" si="22"/>
        <v>2.64</v>
      </c>
      <c r="S32" s="501"/>
      <c r="T32" s="125">
        <f t="shared" si="2"/>
        <v>162.46657920000001</v>
      </c>
      <c r="U32" s="147">
        <f t="shared" si="3"/>
        <v>1.2530200462748731</v>
      </c>
      <c r="V32" s="130">
        <v>129.66</v>
      </c>
      <c r="W32" s="130">
        <v>129.66</v>
      </c>
      <c r="X32" s="129">
        <v>0.57999999999999996</v>
      </c>
      <c r="Y32" s="150">
        <v>540</v>
      </c>
      <c r="Z32" s="150">
        <v>1162</v>
      </c>
      <c r="AA32" s="148" t="s">
        <v>130</v>
      </c>
      <c r="AB32" s="149">
        <v>75.97</v>
      </c>
      <c r="AC32" s="150">
        <v>111</v>
      </c>
      <c r="AD32" s="151">
        <v>5</v>
      </c>
      <c r="AE32" s="149"/>
      <c r="AF32" s="134">
        <f t="shared" si="4"/>
        <v>0</v>
      </c>
      <c r="AG32" s="152"/>
      <c r="AH32" s="129">
        <v>84.05</v>
      </c>
      <c r="AI32" s="134">
        <f t="shared" si="5"/>
        <v>648.23384235693368</v>
      </c>
      <c r="AJ32" s="153">
        <v>17.54</v>
      </c>
      <c r="AK32" s="154"/>
      <c r="AL32" s="155">
        <v>8.99</v>
      </c>
      <c r="AM32" s="478">
        <f t="shared" si="23"/>
        <v>34.19</v>
      </c>
      <c r="AN32" s="126">
        <f t="shared" si="24"/>
        <v>0.2</v>
      </c>
      <c r="AO32" s="157" t="s">
        <v>319</v>
      </c>
      <c r="AP32" s="156">
        <v>7.43</v>
      </c>
      <c r="AQ32" s="156">
        <v>8.14</v>
      </c>
      <c r="AR32" s="151"/>
      <c r="AS32" s="149">
        <v>9.4499999999999993</v>
      </c>
      <c r="AT32" s="149">
        <v>170.95</v>
      </c>
      <c r="AU32" s="149">
        <v>1.89</v>
      </c>
      <c r="AV32" s="149"/>
      <c r="AW32" s="149"/>
      <c r="AX32" s="158">
        <f t="shared" si="6"/>
        <v>0</v>
      </c>
      <c r="AY32" s="125">
        <f t="shared" si="7"/>
        <v>129.65999999999997</v>
      </c>
      <c r="AZ32" s="125">
        <f t="shared" si="25"/>
        <v>122.32094046721141</v>
      </c>
      <c r="BA32" s="159">
        <f t="shared" si="8"/>
        <v>6.1528151408450693</v>
      </c>
      <c r="BB32" s="160">
        <f t="shared" si="9"/>
        <v>5.186399999999999</v>
      </c>
      <c r="BC32" s="161">
        <f t="shared" si="10"/>
        <v>0.93368678559064056</v>
      </c>
      <c r="BD32" s="160">
        <f t="shared" si="26"/>
        <v>11.339215140845068</v>
      </c>
      <c r="BE32" s="162">
        <v>0.92200000000000004</v>
      </c>
      <c r="BF32" s="25">
        <f t="shared" si="27"/>
        <v>3097.0799999999995</v>
      </c>
      <c r="BG32" s="25">
        <f t="shared" si="11"/>
        <v>118.33333333333333</v>
      </c>
      <c r="BH32" s="25">
        <f t="shared" si="28"/>
        <v>3076.6666666666674</v>
      </c>
      <c r="BI32" s="26">
        <f t="shared" si="12"/>
        <v>1</v>
      </c>
      <c r="BJ32" s="37">
        <f t="shared" si="29"/>
        <v>3076.6666666666674</v>
      </c>
      <c r="BK32" s="38">
        <v>151.63300000000001</v>
      </c>
      <c r="BL32" s="31">
        <v>66.558999999999997</v>
      </c>
      <c r="BM32" s="31"/>
      <c r="BN32" s="31"/>
      <c r="BO32" s="40"/>
      <c r="BP32" s="40">
        <v>11.199</v>
      </c>
      <c r="BQ32" s="32">
        <v>49.981999999999999</v>
      </c>
      <c r="BR32" s="33">
        <v>1</v>
      </c>
      <c r="BS32" s="34">
        <v>0.97</v>
      </c>
      <c r="BT32" s="35"/>
      <c r="BU32" s="35"/>
      <c r="BV32" s="235"/>
      <c r="BW32" s="235">
        <v>3.22</v>
      </c>
      <c r="BX32" s="36"/>
      <c r="BY32" s="33">
        <v>37.57</v>
      </c>
      <c r="BZ32" s="34">
        <v>36.68</v>
      </c>
      <c r="CA32" s="35"/>
      <c r="CB32" s="35"/>
      <c r="CC32" s="235"/>
      <c r="CD32" s="235">
        <v>30.14</v>
      </c>
      <c r="CE32" s="36">
        <v>43.42</v>
      </c>
      <c r="CF32" s="30">
        <v>111.372</v>
      </c>
      <c r="CG32" s="30">
        <v>55.5</v>
      </c>
      <c r="CH32" s="31"/>
      <c r="CI32" s="50"/>
      <c r="CJ32" s="33">
        <v>2.64</v>
      </c>
      <c r="CK32" s="33">
        <v>2.64</v>
      </c>
      <c r="CL32" s="35"/>
      <c r="CM32" s="36"/>
      <c r="CN32" s="286"/>
      <c r="CO32" s="249">
        <f t="shared" si="31"/>
        <v>150.11667</v>
      </c>
      <c r="CP32" s="12">
        <f t="shared" si="31"/>
        <v>65.913377699999998</v>
      </c>
      <c r="CQ32" s="12">
        <f t="shared" si="31"/>
        <v>0</v>
      </c>
      <c r="CR32" s="12">
        <f t="shared" si="31"/>
        <v>0</v>
      </c>
      <c r="CS32" s="11">
        <f t="shared" si="31"/>
        <v>0</v>
      </c>
      <c r="CT32" s="11">
        <f t="shared" si="31"/>
        <v>10.838392199999999</v>
      </c>
      <c r="CU32" s="272">
        <f t="shared" si="31"/>
        <v>49.981999999999999</v>
      </c>
      <c r="CV32" s="249">
        <f t="shared" si="14"/>
        <v>108.43177920000001</v>
      </c>
      <c r="CW32" s="11">
        <f t="shared" si="14"/>
        <v>54.034800000000004</v>
      </c>
      <c r="CX32" s="249">
        <f t="shared" si="14"/>
        <v>0</v>
      </c>
      <c r="CY32" s="272">
        <f t="shared" si="14"/>
        <v>0</v>
      </c>
      <c r="CZ32" s="13"/>
      <c r="DA32" s="240">
        <f>(D32+'[2]сентябрь 20'!D32)/(AY32+'[2]сентябрь 20'!BA32)</f>
        <v>2.1781817832182924</v>
      </c>
      <c r="DB32" s="241">
        <f>(T32+'[2]сентябрь 20'!T32)/(AY32+'[2]сентябрь 20'!BA32)</f>
        <v>1.2733716981526171</v>
      </c>
      <c r="DD32" s="292">
        <f t="shared" si="15"/>
        <v>11.503</v>
      </c>
      <c r="DE32" s="291">
        <v>0.16</v>
      </c>
      <c r="DF32" s="291">
        <v>7.2</v>
      </c>
      <c r="DG32" s="145">
        <f t="shared" si="16"/>
        <v>11.484595200000001</v>
      </c>
      <c r="DH32" s="293">
        <f t="shared" si="30"/>
        <v>1.088443931025405</v>
      </c>
      <c r="DJ32" s="322"/>
    </row>
    <row r="33" spans="1:114" s="76" customFormat="1" ht="16.5" customHeight="1" thickBot="1">
      <c r="A33" s="144">
        <v>27</v>
      </c>
      <c r="B33" s="122">
        <f>'[1]сентябрь 20'!K32</f>
        <v>269.99200000000002</v>
      </c>
      <c r="C33" s="123">
        <f t="shared" si="17"/>
        <v>0.68178553438620404</v>
      </c>
      <c r="D33" s="145">
        <f t="shared" si="18"/>
        <v>268.15123360000001</v>
      </c>
      <c r="E33" s="125">
        <f t="shared" si="19"/>
        <v>38.400180227562295</v>
      </c>
      <c r="F33" s="146">
        <f t="shared" si="0"/>
        <v>2.135302067208154</v>
      </c>
      <c r="G33" s="127">
        <v>9.5</v>
      </c>
      <c r="H33" s="126">
        <f t="shared" si="20"/>
        <v>1.7482977671603759</v>
      </c>
      <c r="I33" s="230">
        <f>'[1]июль 20'!AI32</f>
        <v>0</v>
      </c>
      <c r="J33" s="247">
        <f>'[1]сентябрь 20'!AA32</f>
        <v>10.503</v>
      </c>
      <c r="K33" s="465">
        <f>'[1]сентябрь 20'!AM32</f>
        <v>0</v>
      </c>
      <c r="L33" s="247">
        <f>'[1]сентябрь 20'!AE32</f>
        <v>48.6</v>
      </c>
      <c r="M33" s="469">
        <f t="shared" si="21"/>
        <v>0.3870043000477783</v>
      </c>
      <c r="N33" s="403">
        <f>'[1]сентябрь 20'!W32</f>
        <v>0</v>
      </c>
      <c r="O33" s="403">
        <f>'[1]сентябрь 20'!AU32</f>
        <v>3.2570000000000001</v>
      </c>
      <c r="P33" s="401">
        <f t="shared" si="1"/>
        <v>163.58100000000002</v>
      </c>
      <c r="Q33" s="122">
        <f>'[1]сентябрь 20'!S32</f>
        <v>163.58099999999999</v>
      </c>
      <c r="R33" s="123">
        <f t="shared" si="22"/>
        <v>2.6100000000000003</v>
      </c>
      <c r="S33" s="501">
        <v>16.309999999999999</v>
      </c>
      <c r="T33" s="125">
        <f t="shared" si="2"/>
        <v>159.3115359</v>
      </c>
      <c r="U33" s="147">
        <f t="shared" si="3"/>
        <v>1.2686059555661728</v>
      </c>
      <c r="V33" s="130">
        <v>77.87</v>
      </c>
      <c r="W33" s="130">
        <v>99.68</v>
      </c>
      <c r="X33" s="129">
        <v>0.65</v>
      </c>
      <c r="Y33" s="150">
        <v>556</v>
      </c>
      <c r="Z33" s="150">
        <v>1169</v>
      </c>
      <c r="AA33" s="148" t="s">
        <v>110</v>
      </c>
      <c r="AB33" s="149">
        <v>75.25</v>
      </c>
      <c r="AC33" s="150">
        <v>108</v>
      </c>
      <c r="AD33" s="151">
        <v>5</v>
      </c>
      <c r="AE33" s="149">
        <v>2.1</v>
      </c>
      <c r="AF33" s="134">
        <f t="shared" si="4"/>
        <v>16.722408026755851</v>
      </c>
      <c r="AG33" s="152"/>
      <c r="AH33" s="129">
        <v>77.8</v>
      </c>
      <c r="AI33" s="134">
        <f t="shared" si="5"/>
        <v>619.5254021340977</v>
      </c>
      <c r="AJ33" s="136">
        <v>16.489999999999998</v>
      </c>
      <c r="AK33" s="154"/>
      <c r="AL33" s="155">
        <v>9.23</v>
      </c>
      <c r="AM33" s="478">
        <f t="shared" si="23"/>
        <v>33.010000000000005</v>
      </c>
      <c r="AN33" s="126">
        <f t="shared" si="24"/>
        <v>0.2</v>
      </c>
      <c r="AO33" s="157" t="s">
        <v>407</v>
      </c>
      <c r="AP33" s="156">
        <v>7.45</v>
      </c>
      <c r="AQ33" s="156">
        <v>7.77</v>
      </c>
      <c r="AR33" s="151"/>
      <c r="AS33" s="149">
        <v>8.51</v>
      </c>
      <c r="AT33" s="149">
        <v>165.05</v>
      </c>
      <c r="AU33" s="149">
        <v>2.77</v>
      </c>
      <c r="AV33" s="149"/>
      <c r="AW33" s="149"/>
      <c r="AX33" s="158">
        <f t="shared" si="6"/>
        <v>0</v>
      </c>
      <c r="AY33" s="125">
        <f t="shared" si="7"/>
        <v>125.58000000000001</v>
      </c>
      <c r="AZ33" s="125">
        <f t="shared" si="25"/>
        <v>120.67592385084117</v>
      </c>
      <c r="BA33" s="159">
        <f t="shared" si="8"/>
        <v>5.1287732394366197</v>
      </c>
      <c r="BB33" s="160">
        <f t="shared" si="9"/>
        <v>5.023200000000001</v>
      </c>
      <c r="BC33" s="161">
        <f t="shared" si="10"/>
        <v>0.9177278706370452</v>
      </c>
      <c r="BD33" s="160">
        <f t="shared" si="26"/>
        <v>10.151973239436622</v>
      </c>
      <c r="BE33" s="162">
        <v>0.92200000000000004</v>
      </c>
      <c r="BF33" s="25">
        <f t="shared" si="27"/>
        <v>3222.6599999999994</v>
      </c>
      <c r="BG33" s="25">
        <f t="shared" si="11"/>
        <v>118.33333333333333</v>
      </c>
      <c r="BH33" s="25">
        <f t="shared" si="28"/>
        <v>3195.0000000000009</v>
      </c>
      <c r="BI33" s="26">
        <f t="shared" si="12"/>
        <v>1</v>
      </c>
      <c r="BJ33" s="37">
        <f t="shared" si="29"/>
        <v>3195.0000000000009</v>
      </c>
      <c r="BK33" s="38">
        <v>145.791</v>
      </c>
      <c r="BL33" s="31">
        <v>64.831000000000003</v>
      </c>
      <c r="BM33" s="31"/>
      <c r="BN33" s="31"/>
      <c r="BO33" s="40"/>
      <c r="BP33" s="40">
        <v>10.77</v>
      </c>
      <c r="BQ33" s="32">
        <v>48.6</v>
      </c>
      <c r="BR33" s="33">
        <v>0.78</v>
      </c>
      <c r="BS33" s="34">
        <v>0.66</v>
      </c>
      <c r="BT33" s="35"/>
      <c r="BU33" s="35"/>
      <c r="BV33" s="235"/>
      <c r="BW33" s="235">
        <v>2.56</v>
      </c>
      <c r="BX33" s="36"/>
      <c r="BY33" s="33">
        <v>38.03</v>
      </c>
      <c r="BZ33" s="34">
        <v>36.33</v>
      </c>
      <c r="CA33" s="35"/>
      <c r="CB33" s="35"/>
      <c r="CC33" s="235"/>
      <c r="CD33" s="235">
        <v>32.950000000000003</v>
      </c>
      <c r="CE33" s="36">
        <v>43.48</v>
      </c>
      <c r="CF33" s="30">
        <v>109.578</v>
      </c>
      <c r="CG33" s="30">
        <v>54.003</v>
      </c>
      <c r="CH33" s="31"/>
      <c r="CI33" s="32"/>
      <c r="CJ33" s="33">
        <v>2.61</v>
      </c>
      <c r="CK33" s="33">
        <v>2.61</v>
      </c>
      <c r="CL33" s="35"/>
      <c r="CM33" s="36"/>
      <c r="CN33" s="270"/>
      <c r="CO33" s="249">
        <f t="shared" si="31"/>
        <v>144.65383019999999</v>
      </c>
      <c r="CP33" s="12">
        <f t="shared" si="31"/>
        <v>64.403115400000004</v>
      </c>
      <c r="CQ33" s="12">
        <f t="shared" si="31"/>
        <v>0</v>
      </c>
      <c r="CR33" s="12">
        <f t="shared" si="31"/>
        <v>0</v>
      </c>
      <c r="CS33" s="11">
        <f t="shared" si="31"/>
        <v>0</v>
      </c>
      <c r="CT33" s="11">
        <f t="shared" si="31"/>
        <v>10.494287999999999</v>
      </c>
      <c r="CU33" s="272">
        <f t="shared" si="31"/>
        <v>48.6</v>
      </c>
      <c r="CV33" s="249">
        <f t="shared" si="14"/>
        <v>106.7180142</v>
      </c>
      <c r="CW33" s="12">
        <f t="shared" si="14"/>
        <v>52.593521699999997</v>
      </c>
      <c r="CX33" s="254">
        <f t="shared" si="14"/>
        <v>0</v>
      </c>
      <c r="CY33" s="275">
        <f t="shared" si="14"/>
        <v>0</v>
      </c>
      <c r="CZ33" s="13"/>
      <c r="DA33" s="240">
        <f>(D33+'[2]сентябрь 20'!D33)/(AY33+'[2]сентябрь 20'!BA33)</f>
        <v>2.1272521066838839</v>
      </c>
      <c r="DB33" s="241">
        <f>(T33+'[2]сентябрь 20'!T33)/(AY33+'[2]сентябрь 20'!BA33)</f>
        <v>1.2436146574260418</v>
      </c>
      <c r="DD33" s="292">
        <f t="shared" si="15"/>
        <v>10.503</v>
      </c>
      <c r="DE33" s="291">
        <v>0.4</v>
      </c>
      <c r="DF33" s="291">
        <v>8.75</v>
      </c>
      <c r="DG33" s="145">
        <f t="shared" si="16"/>
        <v>10.460988</v>
      </c>
      <c r="DH33" s="293">
        <f t="shared" si="30"/>
        <v>1.2163939534883721</v>
      </c>
      <c r="DJ33" s="322"/>
    </row>
    <row r="34" spans="1:114" s="76" customFormat="1" ht="16.5" customHeight="1" thickBot="1">
      <c r="A34" s="144">
        <v>28</v>
      </c>
      <c r="B34" s="122">
        <f>'[1]сентябрь 20'!K33</f>
        <v>255.27</v>
      </c>
      <c r="C34" s="123">
        <f t="shared" si="17"/>
        <v>0.82391522701453357</v>
      </c>
      <c r="D34" s="145">
        <f t="shared" si="18"/>
        <v>253.16679160000001</v>
      </c>
      <c r="E34" s="125">
        <f t="shared" si="19"/>
        <v>37.565569592979976</v>
      </c>
      <c r="F34" s="146">
        <f t="shared" si="0"/>
        <v>1.9141599243913505</v>
      </c>
      <c r="G34" s="127">
        <v>1.53</v>
      </c>
      <c r="H34" s="126">
        <f t="shared" si="20"/>
        <v>1.5670406139422353</v>
      </c>
      <c r="I34" s="230">
        <f>'[1]июль 20'!AI33</f>
        <v>0</v>
      </c>
      <c r="J34" s="247">
        <f>'[1]сентябрь 20'!AA33</f>
        <v>10.412000000000001</v>
      </c>
      <c r="K34" s="464">
        <f>'[1]сентябрь 20'!AM33</f>
        <v>0</v>
      </c>
      <c r="L34" s="247">
        <f>'[1]сентябрь 20'!AE33</f>
        <v>45.91</v>
      </c>
      <c r="M34" s="468">
        <f t="shared" si="21"/>
        <v>0.34711931044911537</v>
      </c>
      <c r="N34" s="403">
        <f>'[1]сентябрь 20'!W33</f>
        <v>0</v>
      </c>
      <c r="O34" s="403">
        <f>'[1]сентябрь 20'!AU33</f>
        <v>3.1309999999999998</v>
      </c>
      <c r="P34" s="401">
        <f t="shared" si="1"/>
        <v>153.90899999999999</v>
      </c>
      <c r="Q34" s="122">
        <f>'[1]сентябрь 20'!S33</f>
        <v>153.90899999999999</v>
      </c>
      <c r="R34" s="123">
        <f t="shared" si="22"/>
        <v>2.89</v>
      </c>
      <c r="S34" s="501">
        <v>27.89</v>
      </c>
      <c r="T34" s="125">
        <f t="shared" si="2"/>
        <v>149.4610299</v>
      </c>
      <c r="U34" s="147">
        <f t="shared" si="3"/>
        <v>1.1300546642975957</v>
      </c>
      <c r="V34" s="169">
        <v>132.26</v>
      </c>
      <c r="W34" s="169">
        <v>77.680000000000007</v>
      </c>
      <c r="X34" s="170">
        <v>0.73</v>
      </c>
      <c r="Y34" s="166">
        <v>604</v>
      </c>
      <c r="Z34" s="166">
        <v>1179</v>
      </c>
      <c r="AA34" s="148" t="s">
        <v>116</v>
      </c>
      <c r="AB34" s="164">
        <v>75.77</v>
      </c>
      <c r="AC34" s="166">
        <v>102</v>
      </c>
      <c r="AD34" s="171">
        <v>5</v>
      </c>
      <c r="AE34" s="164"/>
      <c r="AF34" s="172">
        <f t="shared" si="4"/>
        <v>0</v>
      </c>
      <c r="AG34" s="173"/>
      <c r="AH34" s="170">
        <v>83.05</v>
      </c>
      <c r="AI34" s="134">
        <f t="shared" si="5"/>
        <v>627.92983517314383</v>
      </c>
      <c r="AJ34" s="174">
        <v>15.3</v>
      </c>
      <c r="AK34" s="175"/>
      <c r="AL34" s="176">
        <v>8.8699999999999992</v>
      </c>
      <c r="AM34" s="478">
        <f t="shared" si="23"/>
        <v>34.68</v>
      </c>
      <c r="AN34" s="126">
        <f t="shared" si="24"/>
        <v>0.19999999999999998</v>
      </c>
      <c r="AO34" s="178" t="s">
        <v>409</v>
      </c>
      <c r="AP34" s="177">
        <v>7.28</v>
      </c>
      <c r="AQ34" s="177">
        <v>8.3699999999999992</v>
      </c>
      <c r="AR34" s="171"/>
      <c r="AS34" s="164">
        <v>7.16</v>
      </c>
      <c r="AT34" s="149">
        <v>173.4</v>
      </c>
      <c r="AU34" s="164">
        <v>2.41</v>
      </c>
      <c r="AV34" s="164"/>
      <c r="AW34" s="164"/>
      <c r="AX34" s="179">
        <f t="shared" si="6"/>
        <v>0</v>
      </c>
      <c r="AY34" s="125">
        <f t="shared" si="7"/>
        <v>132.26</v>
      </c>
      <c r="AZ34" s="125">
        <f t="shared" si="25"/>
        <v>112.71051050468706</v>
      </c>
      <c r="BA34" s="159">
        <f t="shared" si="8"/>
        <v>4.6063507042253526</v>
      </c>
      <c r="BB34" s="159">
        <f t="shared" si="9"/>
        <v>5.2904</v>
      </c>
      <c r="BC34" s="180">
        <f t="shared" si="10"/>
        <v>1.0537293808808685</v>
      </c>
      <c r="BD34" s="159">
        <f t="shared" si="26"/>
        <v>9.8967507042253526</v>
      </c>
      <c r="BE34" s="167">
        <v>0.92600000000000005</v>
      </c>
      <c r="BF34" s="25">
        <f t="shared" si="27"/>
        <v>3354.9199999999992</v>
      </c>
      <c r="BG34" s="25">
        <f t="shared" si="11"/>
        <v>118.33333333333333</v>
      </c>
      <c r="BH34" s="25">
        <f t="shared" si="28"/>
        <v>3313.3333333333344</v>
      </c>
      <c r="BI34" s="26">
        <f t="shared" si="12"/>
        <v>1</v>
      </c>
      <c r="BJ34" s="37">
        <f t="shared" si="29"/>
        <v>3313.3333333333344</v>
      </c>
      <c r="BK34" s="38">
        <v>137.69900000000001</v>
      </c>
      <c r="BL34" s="30">
        <v>61.491</v>
      </c>
      <c r="BM34" s="43"/>
      <c r="BN34" s="43"/>
      <c r="BO34" s="281"/>
      <c r="BP34" s="281">
        <v>10.17</v>
      </c>
      <c r="BQ34" s="44">
        <v>45.91</v>
      </c>
      <c r="BR34" s="45">
        <v>0.91</v>
      </c>
      <c r="BS34" s="46">
        <v>0.85</v>
      </c>
      <c r="BT34" s="47"/>
      <c r="BU34" s="47"/>
      <c r="BV34" s="283"/>
      <c r="BW34" s="283">
        <v>3.22</v>
      </c>
      <c r="BX34" s="48"/>
      <c r="BY34" s="45">
        <v>37.08</v>
      </c>
      <c r="BZ34" s="46">
        <v>35.83</v>
      </c>
      <c r="CA34" s="47"/>
      <c r="CB34" s="47"/>
      <c r="CC34" s="283"/>
      <c r="CD34" s="283">
        <v>29.65</v>
      </c>
      <c r="CE34" s="48">
        <v>43.1</v>
      </c>
      <c r="CF34" s="49">
        <v>102.922</v>
      </c>
      <c r="CG34" s="49"/>
      <c r="CH34" s="43"/>
      <c r="CI34" s="32">
        <v>50.987000000000002</v>
      </c>
      <c r="CJ34" s="33">
        <v>2.89</v>
      </c>
      <c r="CK34" s="33"/>
      <c r="CL34" s="35"/>
      <c r="CM34" s="36">
        <v>2.89</v>
      </c>
      <c r="CN34" s="270"/>
      <c r="CO34" s="249">
        <f t="shared" si="31"/>
        <v>136.4459391</v>
      </c>
      <c r="CP34" s="12">
        <f t="shared" si="31"/>
        <v>60.968326500000003</v>
      </c>
      <c r="CQ34" s="12">
        <f t="shared" si="31"/>
        <v>0</v>
      </c>
      <c r="CR34" s="12">
        <f t="shared" si="31"/>
        <v>0</v>
      </c>
      <c r="CS34" s="11">
        <f t="shared" si="31"/>
        <v>0</v>
      </c>
      <c r="CT34" s="11">
        <f t="shared" si="31"/>
        <v>9.8425259999999994</v>
      </c>
      <c r="CU34" s="272">
        <f t="shared" si="31"/>
        <v>45.91</v>
      </c>
      <c r="CV34" s="249">
        <f t="shared" si="14"/>
        <v>99.947554199999999</v>
      </c>
      <c r="CW34" s="12">
        <f t="shared" si="14"/>
        <v>0</v>
      </c>
      <c r="CX34" s="249">
        <f t="shared" si="14"/>
        <v>0</v>
      </c>
      <c r="CY34" s="272">
        <f t="shared" si="14"/>
        <v>49.513475700000001</v>
      </c>
      <c r="CZ34" s="13"/>
      <c r="DA34" s="240">
        <f>(D34+'[2]сентябрь 20'!D34)/(AY34+'[2]сентябрь 20'!BA34)</f>
        <v>2.1079091107833103</v>
      </c>
      <c r="DB34" s="241">
        <f>(T34+'[2]сентябрь 20'!T34)/(AY34+'[2]сентябрь 20'!BA34)</f>
        <v>1.2304452075879975</v>
      </c>
      <c r="DD34" s="292">
        <f t="shared" si="15"/>
        <v>10.412000000000001</v>
      </c>
      <c r="DE34" s="291">
        <v>0.28999999999999998</v>
      </c>
      <c r="DF34" s="291">
        <v>22.88</v>
      </c>
      <c r="DG34" s="145">
        <f t="shared" si="16"/>
        <v>10.381805200000001</v>
      </c>
      <c r="DH34" s="293">
        <f t="shared" si="30"/>
        <v>3.1349571463112054</v>
      </c>
      <c r="DJ34" s="322"/>
    </row>
    <row r="35" spans="1:114" s="76" customFormat="1" ht="16.5" customHeight="1" thickBot="1">
      <c r="A35" s="144">
        <v>29</v>
      </c>
      <c r="B35" s="122">
        <f>'[1]сентябрь 20'!K34</f>
        <v>300.12299999999999</v>
      </c>
      <c r="C35" s="123">
        <f t="shared" si="17"/>
        <v>0.91713030990627176</v>
      </c>
      <c r="D35" s="145">
        <f t="shared" si="18"/>
        <v>297.37048099999998</v>
      </c>
      <c r="E35" s="125">
        <f t="shared" si="19"/>
        <v>38.189488909547094</v>
      </c>
      <c r="F35" s="146">
        <f t="shared" si="0"/>
        <v>2.3380020520481173</v>
      </c>
      <c r="G35" s="127"/>
      <c r="H35" s="126">
        <f t="shared" si="20"/>
        <v>1.9134325104174859</v>
      </c>
      <c r="I35" s="230">
        <f>'[1]июль 20'!AI34</f>
        <v>0</v>
      </c>
      <c r="J35" s="247">
        <f>'[1]сентябрь 20'!AA34</f>
        <v>12.260999999999999</v>
      </c>
      <c r="K35" s="465">
        <f>'[1]сентябрь 20'!AM34</f>
        <v>0</v>
      </c>
      <c r="L35" s="247">
        <f>'[1]сентябрь 20'!AE34</f>
        <v>54.000999999999998</v>
      </c>
      <c r="M35" s="469">
        <f t="shared" si="21"/>
        <v>0.42456954163063138</v>
      </c>
      <c r="N35" s="403">
        <f>'[1]сентябрь 20'!W34</f>
        <v>0</v>
      </c>
      <c r="O35" s="403">
        <f>'[1]сентябрь 20'!AU34</f>
        <v>3.762</v>
      </c>
      <c r="P35" s="401">
        <f t="shared" si="1"/>
        <v>182.13400000000001</v>
      </c>
      <c r="Q35" s="122">
        <f>'[1]сентябрь 20'!S34</f>
        <v>182.13399999999999</v>
      </c>
      <c r="R35" s="123">
        <f t="shared" si="22"/>
        <v>2.8100000000000005</v>
      </c>
      <c r="S35" s="501">
        <v>2.76</v>
      </c>
      <c r="T35" s="125">
        <f t="shared" si="2"/>
        <v>177.01603459999998</v>
      </c>
      <c r="U35" s="147">
        <f t="shared" si="3"/>
        <v>1.3917449060460729</v>
      </c>
      <c r="V35" s="130">
        <v>127.19</v>
      </c>
      <c r="W35" s="130">
        <v>127.19</v>
      </c>
      <c r="X35" s="129">
        <v>0.56000000000000005</v>
      </c>
      <c r="Y35" s="150">
        <v>527</v>
      </c>
      <c r="Z35" s="150">
        <v>1176</v>
      </c>
      <c r="AA35" s="148" t="s">
        <v>159</v>
      </c>
      <c r="AB35" s="149">
        <v>76.12</v>
      </c>
      <c r="AC35" s="150">
        <v>120</v>
      </c>
      <c r="AD35" s="151">
        <v>5</v>
      </c>
      <c r="AE35" s="181"/>
      <c r="AF35" s="134">
        <f t="shared" si="4"/>
        <v>0</v>
      </c>
      <c r="AG35" s="182"/>
      <c r="AH35" s="129">
        <v>84.45</v>
      </c>
      <c r="AI35" s="134">
        <f t="shared" si="5"/>
        <v>663.96729302618144</v>
      </c>
      <c r="AJ35" s="136">
        <v>17.09</v>
      </c>
      <c r="AK35" s="154"/>
      <c r="AL35" s="155">
        <v>10.06</v>
      </c>
      <c r="AM35" s="478">
        <f t="shared" si="23"/>
        <v>33.869999999999997</v>
      </c>
      <c r="AN35" s="126">
        <f t="shared" si="24"/>
        <v>0.19999999999999998</v>
      </c>
      <c r="AO35" s="184" t="s">
        <v>410</v>
      </c>
      <c r="AP35" s="183">
        <v>7.03</v>
      </c>
      <c r="AQ35" s="183">
        <v>7.64</v>
      </c>
      <c r="AR35" s="185"/>
      <c r="AS35" s="181">
        <v>9</v>
      </c>
      <c r="AT35" s="149">
        <v>169.35</v>
      </c>
      <c r="AU35" s="181">
        <v>1.77</v>
      </c>
      <c r="AV35" s="149"/>
      <c r="AW35" s="149"/>
      <c r="AX35" s="158">
        <f t="shared" si="6"/>
        <v>0</v>
      </c>
      <c r="AY35" s="125">
        <f t="shared" si="7"/>
        <v>127.18999999999998</v>
      </c>
      <c r="AZ35" s="125">
        <f t="shared" si="25"/>
        <v>132.91205777673161</v>
      </c>
      <c r="BA35" s="159">
        <f t="shared" si="8"/>
        <v>5.887711267605634</v>
      </c>
      <c r="BB35" s="160">
        <f t="shared" si="9"/>
        <v>5.0875999999999992</v>
      </c>
      <c r="BC35" s="161">
        <f t="shared" si="10"/>
        <v>0.85253073590350625</v>
      </c>
      <c r="BD35" s="160">
        <f t="shared" si="26"/>
        <v>10.975311267605633</v>
      </c>
      <c r="BE35" s="162">
        <v>0.92300000000000004</v>
      </c>
      <c r="BF35" s="25">
        <f t="shared" si="27"/>
        <v>3482.1099999999992</v>
      </c>
      <c r="BG35" s="25">
        <f t="shared" si="11"/>
        <v>118.33333333333333</v>
      </c>
      <c r="BH35" s="25">
        <f t="shared" si="28"/>
        <v>3431.6666666666679</v>
      </c>
      <c r="BI35" s="26">
        <f t="shared" si="12"/>
        <v>1</v>
      </c>
      <c r="BJ35" s="37">
        <f t="shared" si="29"/>
        <v>3431.6666666666679</v>
      </c>
      <c r="BK35" s="38">
        <v>162.154</v>
      </c>
      <c r="BL35" s="31">
        <v>83.968000000000004</v>
      </c>
      <c r="BM35" s="31"/>
      <c r="BN35" s="31"/>
      <c r="BO35" s="40"/>
      <c r="BP35" s="40"/>
      <c r="BQ35" s="32">
        <v>54.000999999999998</v>
      </c>
      <c r="BR35" s="33">
        <v>1.19</v>
      </c>
      <c r="BS35" s="34">
        <v>0.98</v>
      </c>
      <c r="BT35" s="35"/>
      <c r="BU35" s="35"/>
      <c r="BV35" s="235"/>
      <c r="BW35" s="235">
        <v>2.06</v>
      </c>
      <c r="BX35" s="36"/>
      <c r="BY35" s="33">
        <v>37.520000000000003</v>
      </c>
      <c r="BZ35" s="34">
        <v>36.17</v>
      </c>
      <c r="CA35" s="35"/>
      <c r="CB35" s="35"/>
      <c r="CC35" s="235"/>
      <c r="CD35" s="235">
        <v>28.81</v>
      </c>
      <c r="CE35" s="36">
        <v>43.34</v>
      </c>
      <c r="CF35" s="30">
        <v>122.134</v>
      </c>
      <c r="CG35" s="30"/>
      <c r="CH35" s="31"/>
      <c r="CI35" s="50">
        <v>60</v>
      </c>
      <c r="CJ35" s="33">
        <v>2.81</v>
      </c>
      <c r="CK35" s="33"/>
      <c r="CL35" s="35"/>
      <c r="CM35" s="36">
        <v>2.81</v>
      </c>
      <c r="CN35" s="270"/>
      <c r="CO35" s="249">
        <f t="shared" si="31"/>
        <v>160.22436740000001</v>
      </c>
      <c r="CP35" s="12">
        <f t="shared" si="31"/>
        <v>83.145113600000002</v>
      </c>
      <c r="CQ35" s="12">
        <f t="shared" si="31"/>
        <v>0</v>
      </c>
      <c r="CR35" s="12">
        <f t="shared" si="31"/>
        <v>0</v>
      </c>
      <c r="CS35" s="11">
        <f t="shared" si="31"/>
        <v>0</v>
      </c>
      <c r="CT35" s="11">
        <f t="shared" si="31"/>
        <v>0</v>
      </c>
      <c r="CU35" s="272">
        <f t="shared" si="31"/>
        <v>54.000999999999998</v>
      </c>
      <c r="CV35" s="249">
        <f t="shared" si="14"/>
        <v>118.7020346</v>
      </c>
      <c r="CW35" s="12">
        <f t="shared" si="14"/>
        <v>0</v>
      </c>
      <c r="CX35" s="249">
        <f t="shared" si="14"/>
        <v>0</v>
      </c>
      <c r="CY35" s="272">
        <f t="shared" si="14"/>
        <v>58.314</v>
      </c>
      <c r="CZ35" s="13"/>
      <c r="DA35" s="240">
        <f>(D35+'[2]сентябрь 20'!D35)/(AY35+'[2]сентябрь 20'!BA35)</f>
        <v>2.2592011876940989</v>
      </c>
      <c r="DB35" s="241">
        <f>(T35+'[2]сентябрь 20'!T35)/(AY35+'[2]сентябрь 20'!BA35)</f>
        <v>1.3321673074695024</v>
      </c>
      <c r="DD35" s="292">
        <f t="shared" si="15"/>
        <v>12.260999999999999</v>
      </c>
      <c r="DE35" s="291">
        <v>0.27</v>
      </c>
      <c r="DF35" s="291">
        <v>16.61</v>
      </c>
      <c r="DG35" s="145">
        <f t="shared" si="16"/>
        <v>12.2278953</v>
      </c>
      <c r="DH35" s="293">
        <f t="shared" si="30"/>
        <v>2.6682257085260113</v>
      </c>
      <c r="DJ35" s="322"/>
    </row>
    <row r="36" spans="1:114" s="76" customFormat="1" ht="16.5" customHeight="1" thickBot="1">
      <c r="A36" s="144">
        <v>30</v>
      </c>
      <c r="B36" s="122">
        <f>'[1]сентябрь 20'!K35</f>
        <v>274.911</v>
      </c>
      <c r="C36" s="123">
        <f t="shared" si="17"/>
        <v>0.98819821687746212</v>
      </c>
      <c r="D36" s="145">
        <f t="shared" si="18"/>
        <v>272.1943344</v>
      </c>
      <c r="E36" s="125">
        <f t="shared" si="19"/>
        <v>38.183345118965768</v>
      </c>
      <c r="F36" s="146">
        <f t="shared" si="0"/>
        <v>2.8478168487131206</v>
      </c>
      <c r="G36" s="127"/>
      <c r="H36" s="126">
        <f t="shared" si="20"/>
        <v>2.3305119732161543</v>
      </c>
      <c r="I36" s="230">
        <f>'[1]июль 20'!AI35</f>
        <v>0</v>
      </c>
      <c r="J36" s="247">
        <f>'[1]сентябрь 20'!AA35</f>
        <v>10.983000000000001</v>
      </c>
      <c r="K36" s="464">
        <f>'[1]сентябрь 20'!AM35</f>
        <v>0</v>
      </c>
      <c r="L36" s="247">
        <f>'[1]сентябрь 20'!AE35</f>
        <v>49.444000000000003</v>
      </c>
      <c r="M36" s="468">
        <f t="shared" si="21"/>
        <v>0.51730487549696602</v>
      </c>
      <c r="N36" s="403">
        <f>'[1]сентябрь 20'!W35</f>
        <v>0</v>
      </c>
      <c r="O36" s="403">
        <f>'[1]сентябрь 20'!AU35</f>
        <v>3.327</v>
      </c>
      <c r="P36" s="401">
        <f t="shared" si="1"/>
        <v>167.42400000000001</v>
      </c>
      <c r="Q36" s="122">
        <f>'[1]сентябрь 20'!S35</f>
        <v>167.42400000000001</v>
      </c>
      <c r="R36" s="123">
        <f t="shared" si="22"/>
        <v>2.85</v>
      </c>
      <c r="S36" s="501">
        <v>19.64</v>
      </c>
      <c r="T36" s="125">
        <f t="shared" si="2"/>
        <v>162.65241600000002</v>
      </c>
      <c r="U36" s="147">
        <f t="shared" si="3"/>
        <v>1.7017411173885755</v>
      </c>
      <c r="V36" s="130">
        <v>95.58</v>
      </c>
      <c r="W36" s="130">
        <v>77.349999999999994</v>
      </c>
      <c r="X36" s="129">
        <v>0.65</v>
      </c>
      <c r="Y36" s="150">
        <v>530</v>
      </c>
      <c r="Z36" s="150">
        <v>1169</v>
      </c>
      <c r="AA36" s="148" t="s">
        <v>250</v>
      </c>
      <c r="AB36" s="149">
        <v>75.97</v>
      </c>
      <c r="AC36" s="150">
        <v>110</v>
      </c>
      <c r="AD36" s="151">
        <v>5</v>
      </c>
      <c r="AE36" s="149"/>
      <c r="AF36" s="134">
        <f t="shared" si="4"/>
        <v>0</v>
      </c>
      <c r="AG36" s="152"/>
      <c r="AH36" s="129">
        <v>76.7</v>
      </c>
      <c r="AI36" s="134">
        <f t="shared" si="5"/>
        <v>802.46913580246928</v>
      </c>
      <c r="AJ36" s="153">
        <v>15.85</v>
      </c>
      <c r="AK36" s="154"/>
      <c r="AL36" s="155">
        <v>7.02</v>
      </c>
      <c r="AM36" s="478">
        <v>52.85</v>
      </c>
      <c r="AN36" s="126">
        <f t="shared" si="24"/>
        <v>0.33998070119009333</v>
      </c>
      <c r="AO36" s="157" t="s">
        <v>411</v>
      </c>
      <c r="AP36" s="156">
        <v>7.61</v>
      </c>
      <c r="AQ36" s="156">
        <v>7.84</v>
      </c>
      <c r="AR36" s="151"/>
      <c r="AS36" s="149">
        <v>9.6199999999999992</v>
      </c>
      <c r="AT36" s="149">
        <v>155.44999999999999</v>
      </c>
      <c r="AU36" s="149"/>
      <c r="AV36" s="149"/>
      <c r="AW36" s="149"/>
      <c r="AX36" s="158">
        <f t="shared" si="6"/>
        <v>0</v>
      </c>
      <c r="AY36" s="125">
        <f t="shared" si="7"/>
        <v>95.579999999999984</v>
      </c>
      <c r="AZ36" s="125">
        <f t="shared" si="25"/>
        <v>121.0864217756869</v>
      </c>
      <c r="BA36" s="159">
        <f t="shared" si="8"/>
        <v>5.7157704225352104</v>
      </c>
      <c r="BB36" s="160">
        <f t="shared" si="9"/>
        <v>3.8231999999999995</v>
      </c>
      <c r="BC36" s="161">
        <f t="shared" si="10"/>
        <v>0.69864426504107924</v>
      </c>
      <c r="BD36" s="160">
        <f t="shared" si="26"/>
        <v>9.5389704225352094</v>
      </c>
      <c r="BE36" s="162">
        <v>0.91500000000000004</v>
      </c>
      <c r="BF36" s="25">
        <f t="shared" si="27"/>
        <v>3577.6899999999991</v>
      </c>
      <c r="BG36" s="25">
        <f t="shared" si="11"/>
        <v>118.33333333333333</v>
      </c>
      <c r="BH36" s="25">
        <f t="shared" si="28"/>
        <v>3550.0000000000014</v>
      </c>
      <c r="BI36" s="26">
        <f t="shared" si="12"/>
        <v>1</v>
      </c>
      <c r="BJ36" s="37">
        <f t="shared" si="29"/>
        <v>3550.0000000000014</v>
      </c>
      <c r="BK36" s="38">
        <v>148.44499999999999</v>
      </c>
      <c r="BL36" s="31">
        <v>77.022000000000006</v>
      </c>
      <c r="BM36" s="31"/>
      <c r="BN36" s="31"/>
      <c r="BO36" s="40"/>
      <c r="BP36" s="40"/>
      <c r="BQ36" s="32">
        <v>49.444000000000003</v>
      </c>
      <c r="BR36" s="33">
        <v>1.1399999999999999</v>
      </c>
      <c r="BS36" s="34">
        <v>1.33</v>
      </c>
      <c r="BT36" s="35"/>
      <c r="BU36" s="35"/>
      <c r="BV36" s="235"/>
      <c r="BW36" s="235">
        <v>1.33</v>
      </c>
      <c r="BX36" s="36"/>
      <c r="BY36" s="33">
        <v>37.369999999999997</v>
      </c>
      <c r="BZ36" s="34">
        <v>36.369999999999997</v>
      </c>
      <c r="CA36" s="35"/>
      <c r="CB36" s="35"/>
      <c r="CC36" s="235"/>
      <c r="CD36" s="235">
        <v>36.369999999999997</v>
      </c>
      <c r="CE36" s="36">
        <v>43.45</v>
      </c>
      <c r="CF36" s="30">
        <v>112.417</v>
      </c>
      <c r="CG36" s="30"/>
      <c r="CH36" s="34"/>
      <c r="CI36" s="50">
        <v>55.006999999999998</v>
      </c>
      <c r="CJ36" s="33">
        <v>2.85</v>
      </c>
      <c r="CK36" s="33"/>
      <c r="CL36" s="35"/>
      <c r="CM36" s="36">
        <v>2.85</v>
      </c>
      <c r="CN36" s="270"/>
      <c r="CO36" s="249">
        <f t="shared" si="31"/>
        <v>146.75272699999999</v>
      </c>
      <c r="CP36" s="12">
        <f t="shared" si="31"/>
        <v>75.997607400000007</v>
      </c>
      <c r="CQ36" s="12">
        <f t="shared" si="31"/>
        <v>0</v>
      </c>
      <c r="CR36" s="12">
        <f t="shared" si="31"/>
        <v>0</v>
      </c>
      <c r="CS36" s="11">
        <f t="shared" si="31"/>
        <v>0</v>
      </c>
      <c r="CT36" s="11">
        <f t="shared" si="31"/>
        <v>0</v>
      </c>
      <c r="CU36" s="272">
        <f t="shared" si="31"/>
        <v>49.444000000000003</v>
      </c>
      <c r="CV36" s="249">
        <f t="shared" si="14"/>
        <v>109.2131155</v>
      </c>
      <c r="CW36" s="12">
        <f t="shared" si="14"/>
        <v>0</v>
      </c>
      <c r="CX36" s="249">
        <f t="shared" si="14"/>
        <v>0</v>
      </c>
      <c r="CY36" s="274">
        <f t="shared" si="14"/>
        <v>53.439300500000002</v>
      </c>
      <c r="CZ36" s="13"/>
      <c r="DA36" s="240">
        <f>(D36+'[2]сентябрь 20'!D36)/(AY36+'[2]сентябрь 20'!BA36)</f>
        <v>2.7900080911751224</v>
      </c>
      <c r="DB36" s="241">
        <f>(T36+'[2]сентябрь 20'!T36)/(AY36+'[2]сентябрь 20'!BA36)</f>
        <v>1.6729627190353631</v>
      </c>
      <c r="DD36" s="292">
        <f t="shared" si="15"/>
        <v>10.983000000000001</v>
      </c>
      <c r="DE36" s="291">
        <v>0.39</v>
      </c>
      <c r="DF36" s="291">
        <v>11.48</v>
      </c>
      <c r="DG36" s="145">
        <f t="shared" si="16"/>
        <v>10.9401663</v>
      </c>
      <c r="DH36" s="293">
        <f t="shared" si="30"/>
        <v>1.6531934859023296</v>
      </c>
      <c r="DJ36" s="322"/>
    </row>
    <row r="37" spans="1:114" s="76" customFormat="1" ht="16.5" customHeight="1" thickBot="1">
      <c r="A37" s="186">
        <v>31</v>
      </c>
      <c r="B37" s="122">
        <f>'[1]сентябрь 20'!K36</f>
        <v>0</v>
      </c>
      <c r="C37" s="123">
        <f t="shared" si="17"/>
        <v>0</v>
      </c>
      <c r="D37" s="187">
        <f t="shared" si="18"/>
        <v>0</v>
      </c>
      <c r="E37" s="285">
        <f t="shared" si="19"/>
        <v>0</v>
      </c>
      <c r="F37" s="189">
        <f t="shared" si="0"/>
        <v>0</v>
      </c>
      <c r="G37" s="127"/>
      <c r="H37" s="126">
        <f t="shared" si="20"/>
        <v>0</v>
      </c>
      <c r="I37" s="230">
        <f>'[1]июль 20'!AI36</f>
        <v>0</v>
      </c>
      <c r="J37" s="277">
        <f>'[1]сентябрь 20'!AA36</f>
        <v>0</v>
      </c>
      <c r="K37" s="276">
        <f>'[1]сентябрь 20'!AM36</f>
        <v>0</v>
      </c>
      <c r="L37" s="438">
        <f>'[1]сентябрь 20'!AE36</f>
        <v>0</v>
      </c>
      <c r="M37" s="128">
        <f t="shared" si="21"/>
        <v>0</v>
      </c>
      <c r="N37" s="399">
        <f>'[1]сентябрь 20'!W36</f>
        <v>0</v>
      </c>
      <c r="O37" s="399">
        <f>'[1]сентябрь 20'!AU36</f>
        <v>0</v>
      </c>
      <c r="P37" s="125">
        <f t="shared" si="1"/>
        <v>0</v>
      </c>
      <c r="Q37" s="122">
        <f>'[1]сентябрь 20'!S36</f>
        <v>0</v>
      </c>
      <c r="R37" s="123">
        <f t="shared" si="22"/>
        <v>0</v>
      </c>
      <c r="S37" s="501"/>
      <c r="T37" s="125">
        <f t="shared" si="2"/>
        <v>0</v>
      </c>
      <c r="U37" s="191">
        <f t="shared" si="3"/>
        <v>0</v>
      </c>
      <c r="V37" s="192"/>
      <c r="W37" s="192"/>
      <c r="X37" s="190"/>
      <c r="Y37" s="193"/>
      <c r="Z37" s="194"/>
      <c r="AA37" s="195"/>
      <c r="AB37" s="196"/>
      <c r="AC37" s="194"/>
      <c r="AD37" s="193"/>
      <c r="AE37" s="196"/>
      <c r="AF37" s="134">
        <f t="shared" si="4"/>
        <v>0</v>
      </c>
      <c r="AG37" s="197"/>
      <c r="AH37" s="190"/>
      <c r="AI37" s="134">
        <f t="shared" si="5"/>
        <v>0</v>
      </c>
      <c r="AJ37" s="196"/>
      <c r="AK37" s="198"/>
      <c r="AL37" s="199"/>
      <c r="AM37" s="478">
        <f t="shared" si="23"/>
        <v>0</v>
      </c>
      <c r="AN37" s="126">
        <f t="shared" si="24"/>
        <v>0</v>
      </c>
      <c r="AO37" s="201"/>
      <c r="AP37" s="200"/>
      <c r="AQ37" s="201"/>
      <c r="AR37" s="193"/>
      <c r="AS37" s="196"/>
      <c r="AT37" s="242"/>
      <c r="AU37" s="196"/>
      <c r="AV37" s="196"/>
      <c r="AW37" s="196"/>
      <c r="AX37" s="202">
        <f t="shared" si="6"/>
        <v>0</v>
      </c>
      <c r="AY37" s="188">
        <f t="shared" si="7"/>
        <v>0</v>
      </c>
      <c r="AZ37" s="125">
        <f t="shared" si="25"/>
        <v>0</v>
      </c>
      <c r="BA37" s="203">
        <f t="shared" si="8"/>
        <v>0</v>
      </c>
      <c r="BB37" s="204">
        <f t="shared" si="9"/>
        <v>0</v>
      </c>
      <c r="BC37" s="205">
        <f t="shared" si="10"/>
        <v>0</v>
      </c>
      <c r="BD37" s="206">
        <f t="shared" si="26"/>
        <v>0</v>
      </c>
      <c r="BE37" s="207"/>
      <c r="BF37" s="25">
        <f t="shared" si="27"/>
        <v>3577.6899999999991</v>
      </c>
      <c r="BG37" s="25">
        <f t="shared" si="11"/>
        <v>0</v>
      </c>
      <c r="BH37" s="25">
        <f t="shared" si="28"/>
        <v>3550.0000000000014</v>
      </c>
      <c r="BI37" s="26">
        <f t="shared" si="12"/>
        <v>0</v>
      </c>
      <c r="BJ37" s="37">
        <f t="shared" si="29"/>
        <v>3550.0000000000014</v>
      </c>
      <c r="BK37" s="51"/>
      <c r="BL37" s="53"/>
      <c r="BM37" s="53"/>
      <c r="BN37" s="53"/>
      <c r="BO37" s="282"/>
      <c r="BP37" s="282"/>
      <c r="BQ37" s="54"/>
      <c r="BR37" s="55"/>
      <c r="BS37" s="52"/>
      <c r="BT37" s="56"/>
      <c r="BU37" s="56"/>
      <c r="BV37" s="284"/>
      <c r="BW37" s="284"/>
      <c r="BX37" s="57"/>
      <c r="BY37" s="55"/>
      <c r="BZ37" s="52"/>
      <c r="CA37" s="56"/>
      <c r="CB37" s="56"/>
      <c r="CC37" s="284"/>
      <c r="CD37" s="284"/>
      <c r="CE37" s="57"/>
      <c r="CF37" s="58"/>
      <c r="CG37" s="58"/>
      <c r="CH37" s="52"/>
      <c r="CI37" s="54"/>
      <c r="CJ37" s="33"/>
      <c r="CK37" s="265"/>
      <c r="CL37" s="59"/>
      <c r="CM37" s="60"/>
      <c r="CN37" s="270"/>
      <c r="CO37" s="269">
        <f t="shared" si="31"/>
        <v>0</v>
      </c>
      <c r="CP37" s="18">
        <f t="shared" si="31"/>
        <v>0</v>
      </c>
      <c r="CQ37" s="18">
        <f t="shared" si="31"/>
        <v>0</v>
      </c>
      <c r="CR37" s="18">
        <f t="shared" si="31"/>
        <v>0</v>
      </c>
      <c r="CS37" s="251">
        <f t="shared" si="31"/>
        <v>0</v>
      </c>
      <c r="CT37" s="11">
        <f t="shared" si="31"/>
        <v>0</v>
      </c>
      <c r="CU37" s="273">
        <f t="shared" si="31"/>
        <v>0</v>
      </c>
      <c r="CV37" s="269">
        <f t="shared" si="14"/>
        <v>0</v>
      </c>
      <c r="CW37" s="18">
        <f t="shared" si="14"/>
        <v>0</v>
      </c>
      <c r="CX37" s="261">
        <f t="shared" si="14"/>
        <v>0</v>
      </c>
      <c r="CY37" s="273">
        <f t="shared" si="14"/>
        <v>0</v>
      </c>
      <c r="CZ37" s="13"/>
      <c r="DA37" s="240" t="e">
        <f>(D37+'[2]сентябрь 20'!D37)/(AY37+'[2]сентябрь 20'!BA37)</f>
        <v>#DIV/0!</v>
      </c>
      <c r="DB37" s="241" t="e">
        <f>(T37+'[2]сентябрь 20'!T37)/(AY37+'[2]сентябрь 20'!BA37)</f>
        <v>#DIV/0!</v>
      </c>
      <c r="DD37" s="292">
        <f t="shared" si="15"/>
        <v>0</v>
      </c>
      <c r="DE37" s="294"/>
      <c r="DF37" s="294"/>
      <c r="DG37" s="323">
        <f t="shared" si="16"/>
        <v>0</v>
      </c>
      <c r="DH37" s="293">
        <f t="shared" si="30"/>
        <v>0</v>
      </c>
      <c r="DJ37" s="322">
        <f t="shared" ref="DJ37" si="32">CO37+CP37+CQ37+CR37+CS37+CT37+CU37</f>
        <v>0</v>
      </c>
    </row>
    <row r="38" spans="1:114" s="214" customFormat="1" ht="16.5" customHeight="1" thickBot="1">
      <c r="A38" s="91" t="s">
        <v>56</v>
      </c>
      <c r="B38" s="92">
        <f>SUM(B7:B37)</f>
        <v>8026.5709999999999</v>
      </c>
      <c r="C38" s="330"/>
      <c r="D38" s="331">
        <f>SUM(D7:D37)</f>
        <v>7922.0941454930298</v>
      </c>
      <c r="E38" s="332"/>
      <c r="F38" s="331"/>
      <c r="G38" s="333">
        <f>SUM(G7:G37)</f>
        <v>346.62000000000006</v>
      </c>
      <c r="H38" s="329"/>
      <c r="I38" s="334">
        <f>SUM(I7:I37)</f>
        <v>0</v>
      </c>
      <c r="J38" s="329">
        <f>SUM(J7:J37)</f>
        <v>323.46199999999999</v>
      </c>
      <c r="K38" s="329">
        <f>SUM(K7:K37)</f>
        <v>0</v>
      </c>
      <c r="L38" s="396">
        <f>SUM(L7:L37)</f>
        <v>1447.4449999999997</v>
      </c>
      <c r="M38" s="335"/>
      <c r="N38" s="329">
        <f>SUM(N7:N37)</f>
        <v>0</v>
      </c>
      <c r="O38" s="396">
        <f>SUM(O7:O37)</f>
        <v>197.62900000000002</v>
      </c>
      <c r="P38" s="330">
        <f>SUM(P7:P37)</f>
        <v>4943.3680029999996</v>
      </c>
      <c r="Q38" s="396">
        <f>SUM(Q7:Q37)</f>
        <v>4943.3680000000004</v>
      </c>
      <c r="R38" s="336">
        <f>IF(Q38=0,0,(CA38*CH38+CE38*CI38+CF38*CJ38)/Q38)</f>
        <v>0</v>
      </c>
      <c r="S38" s="396">
        <f>SUM(S7:S37)</f>
        <v>328.96999999999997</v>
      </c>
      <c r="T38" s="331">
        <f>SUM(T7:T37)</f>
        <v>4802.3100180000001</v>
      </c>
      <c r="U38" s="337"/>
      <c r="V38" s="229">
        <f>SUM(V7:V37)</f>
        <v>3481.6</v>
      </c>
      <c r="W38" s="229">
        <f>SUM(W7:W37)</f>
        <v>2258.5099999999998</v>
      </c>
      <c r="X38" s="338"/>
      <c r="Y38" s="337"/>
      <c r="Z38" s="339"/>
      <c r="AA38" s="340"/>
      <c r="AB38" s="338"/>
      <c r="AC38" s="339"/>
      <c r="AD38" s="519">
        <f>SUM(AD7:AD37)</f>
        <v>139</v>
      </c>
      <c r="AE38" s="90">
        <f>SUM(AE7:AE37)</f>
        <v>110.20000000000002</v>
      </c>
      <c r="AF38" s="341"/>
      <c r="AG38" s="342">
        <f>SUM(AG7:AG37)</f>
        <v>0</v>
      </c>
      <c r="AH38" s="90">
        <f>SUM(AH7:AH37)</f>
        <v>2373.5499999999997</v>
      </c>
      <c r="AI38" s="341"/>
      <c r="AJ38" s="332">
        <f>SUM(AJ7:AJ37)</f>
        <v>464.40000000000009</v>
      </c>
      <c r="AK38" s="343"/>
      <c r="AL38" s="397">
        <f>SUM(AL7:AL37)</f>
        <v>230.97</v>
      </c>
      <c r="AM38" s="417">
        <f>SUM(AM7:AM37)</f>
        <v>1056.06</v>
      </c>
      <c r="AN38" s="345"/>
      <c r="AO38" s="342"/>
      <c r="AP38" s="332"/>
      <c r="AQ38" s="342"/>
      <c r="AR38" s="342"/>
      <c r="AS38" s="346"/>
      <c r="AT38" s="332">
        <f>SUM(AT7:AT37)</f>
        <v>4810.2499999999991</v>
      </c>
      <c r="AU38" s="332">
        <f>SUM(AU7:AU37)</f>
        <v>54.469999999999992</v>
      </c>
      <c r="AV38" s="347">
        <f>SUM(AV7:AV37)</f>
        <v>0</v>
      </c>
      <c r="AW38" s="332">
        <f>SUM(AW7:AW37)</f>
        <v>0</v>
      </c>
      <c r="AX38" s="331"/>
      <c r="AY38" s="90">
        <f>SUM(AY7:AY37)</f>
        <v>3577.6899999999991</v>
      </c>
      <c r="AZ38" s="330">
        <f>SUM(AZ7:AZ37)</f>
        <v>3458.5347509905259</v>
      </c>
      <c r="BA38" s="342">
        <f>SUM(BA7:BA37)</f>
        <v>137.85436267605633</v>
      </c>
      <c r="BB38" s="342">
        <f>SUM(BB7:BB37)</f>
        <v>143.10759999999999</v>
      </c>
      <c r="BC38" s="332"/>
      <c r="BD38" s="89">
        <f>SUM(BD7:BD37)</f>
        <v>280.9619626760562</v>
      </c>
      <c r="BE38" s="348"/>
      <c r="BF38" s="19"/>
      <c r="BG38" s="19">
        <f t="shared" si="11"/>
        <v>0</v>
      </c>
      <c r="BH38" s="19"/>
      <c r="BI38" s="208">
        <f>SUM(BI7:BI37)</f>
        <v>30</v>
      </c>
      <c r="BJ38" s="209"/>
      <c r="BK38" s="278">
        <f t="shared" ref="BK38:BQ38" si="33">SUM(BK7:BK37)</f>
        <v>984.73800099999994</v>
      </c>
      <c r="BL38" s="61">
        <f>SUM(BL7:BL37)</f>
        <v>5216.6410000000005</v>
      </c>
      <c r="BM38" s="61">
        <f t="shared" si="33"/>
        <v>9.9999999999999995E-7</v>
      </c>
      <c r="BN38" s="61">
        <f t="shared" si="33"/>
        <v>992.24099999999999</v>
      </c>
      <c r="BO38" s="61">
        <f t="shared" si="33"/>
        <v>9.9999999999999995E-7</v>
      </c>
      <c r="BP38" s="61">
        <f t="shared" si="33"/>
        <v>377.74700000000001</v>
      </c>
      <c r="BQ38" s="64">
        <f t="shared" si="33"/>
        <v>455.20400000000001</v>
      </c>
      <c r="BR38" s="63"/>
      <c r="BS38" s="24"/>
      <c r="BT38" s="24"/>
      <c r="BU38" s="24"/>
      <c r="BV38" s="62"/>
      <c r="BW38" s="62"/>
      <c r="BX38" s="65"/>
      <c r="BY38" s="63"/>
      <c r="BZ38" s="24"/>
      <c r="CA38" s="24"/>
      <c r="CB38" s="24"/>
      <c r="CC38" s="62"/>
      <c r="CD38" s="62"/>
      <c r="CE38" s="62"/>
      <c r="CF38" s="66">
        <f>SUM(CF7:CF37)</f>
        <v>4002.3839999999996</v>
      </c>
      <c r="CG38" s="66">
        <f>SUM(CG7:CG37)</f>
        <v>774.99000100000001</v>
      </c>
      <c r="CH38" s="61">
        <f>SUM(CH7:CH37)</f>
        <v>9.9999999999999995E-7</v>
      </c>
      <c r="CI38" s="67">
        <f>SUM(CI7:CI37)</f>
        <v>165.994001</v>
      </c>
      <c r="CJ38" s="210"/>
      <c r="CK38" s="266"/>
      <c r="CL38" s="211"/>
      <c r="CM38" s="212"/>
      <c r="CN38" s="213"/>
      <c r="CO38" s="68">
        <f t="shared" ref="CO38:CY38" si="34">SUM(CO7:CO37)</f>
        <v>973.68837980000012</v>
      </c>
      <c r="CP38" s="69">
        <f t="shared" si="34"/>
        <v>5135.1457497999991</v>
      </c>
      <c r="CQ38" s="70">
        <f t="shared" si="34"/>
        <v>9.9999998999999992E-7</v>
      </c>
      <c r="CR38" s="69">
        <f t="shared" si="34"/>
        <v>992.24099957192016</v>
      </c>
      <c r="CS38" s="72">
        <f t="shared" si="34"/>
        <v>9.9999998999999992E-7</v>
      </c>
      <c r="CT38" s="72">
        <f t="shared" si="34"/>
        <v>365.81501739999999</v>
      </c>
      <c r="CU38" s="71">
        <f t="shared" si="34"/>
        <v>455.20399992110998</v>
      </c>
      <c r="CV38" s="72">
        <f t="shared" si="34"/>
        <v>3887.3349482000003</v>
      </c>
      <c r="CW38" s="72">
        <f t="shared" si="34"/>
        <v>753.70829460000004</v>
      </c>
      <c r="CX38" s="72">
        <f t="shared" si="34"/>
        <v>9.9999998999999992E-7</v>
      </c>
      <c r="CY38" s="72">
        <f t="shared" si="34"/>
        <v>161.26677719999998</v>
      </c>
      <c r="CZ38" s="70"/>
      <c r="DA38" s="240">
        <f>(D38+'[2]сентябрь 20'!D38)/(AY38+'[2]сентябрь 20'!BA38)</f>
        <v>2.2125864603322025</v>
      </c>
      <c r="DB38" s="241">
        <f>(T38+'[2]сентябрь 20'!T38)/(AY38+'[2]сентябрь 20'!BA38)</f>
        <v>1.3466971321871561</v>
      </c>
      <c r="DD38" s="295">
        <f>SUM(DD7:DD37)</f>
        <v>323.46199999999999</v>
      </c>
      <c r="DE38" s="296">
        <f>(SUMPRODUCT(DD7:DD37,DE7:DE37))/DD38</f>
        <v>0.69429571325225226</v>
      </c>
      <c r="DF38" s="296">
        <f>(SUMPRODUCT(DD7:DD37,DF7:DF37))/DD38</f>
        <v>11.15192575944006</v>
      </c>
      <c r="DG38" s="296">
        <f>(SUMPRODUCT(DE7:DE37,DG7:DG37))/DE38</f>
        <v>317.99659907418243</v>
      </c>
      <c r="DH38" s="324">
        <f>IF(J38=0,0,(DG38*DF38%)/(AB39/100))</f>
        <v>46.508641666353455</v>
      </c>
    </row>
    <row r="39" spans="1:114" s="214" customFormat="1" ht="16.5" customHeight="1" thickBot="1">
      <c r="A39" s="93" t="s">
        <v>57</v>
      </c>
      <c r="B39" s="349">
        <f>B38/AU2</f>
        <v>267.55236666666667</v>
      </c>
      <c r="C39" s="349">
        <f>(BK38*BR39+BM38*BT39+BQ38*BX39+BL38*BS39+BN38*BU39+BO38*BV39+BP38*BW39)/B38</f>
        <v>1.3016374552342471</v>
      </c>
      <c r="D39" s="350">
        <f>D38/AU2</f>
        <v>264.06980484976765</v>
      </c>
      <c r="E39" s="349">
        <f>(BK38*BY39+BM38*CA39+BQ38*CE39+BL38*BZ39+BN38*CB39+BO38*CC39+BP38*CD39)/B38</f>
        <v>37.613803970587185</v>
      </c>
      <c r="F39" s="351">
        <f>IF($AY$38=0,0,$D$38/$AY$38)</f>
        <v>2.2143042425400279</v>
      </c>
      <c r="G39" s="352">
        <f>G38/AU2</f>
        <v>11.554000000000002</v>
      </c>
      <c r="H39" s="353">
        <f>IF($AY$38=0,0,(CP38+CO38+CS38+CQ38+CT38)/AY38)</f>
        <v>1.8097289449337426</v>
      </c>
      <c r="I39" s="349">
        <f>I38/AU2</f>
        <v>0</v>
      </c>
      <c r="J39" s="349">
        <f>J38/AU2</f>
        <v>10.782066666666667</v>
      </c>
      <c r="K39" s="349">
        <f>K38/AU2</f>
        <v>0</v>
      </c>
      <c r="L39" s="349">
        <f>L38/AU2</f>
        <v>48.248166666666656</v>
      </c>
      <c r="M39" s="354">
        <f>IF($AY$38=0,0,(CR38+CU38)/$AY$38)</f>
        <v>0.40457529844481505</v>
      </c>
      <c r="N39" s="349">
        <f>N38/AU2</f>
        <v>0</v>
      </c>
      <c r="O39" s="349">
        <f>O38/AU2</f>
        <v>6.5876333333333337</v>
      </c>
      <c r="P39" s="349">
        <f>P38/AU2</f>
        <v>164.77893343333332</v>
      </c>
      <c r="Q39" s="349">
        <f>Q38/AU2</f>
        <v>164.77893333333336</v>
      </c>
      <c r="R39" s="349">
        <f>(SUMPRODUCT(R7:R37,Q7:Q37))/Q38</f>
        <v>2.8534792878053996</v>
      </c>
      <c r="S39" s="355">
        <f>S38/AU2</f>
        <v>10.965666666666666</v>
      </c>
      <c r="T39" s="356"/>
      <c r="U39" s="354">
        <f>IF($AY$38=0,0,$T$38/$AY$38)</f>
        <v>1.3422934960826682</v>
      </c>
      <c r="V39" s="349">
        <f>V38/AU2</f>
        <v>116.05333333333333</v>
      </c>
      <c r="W39" s="349">
        <f>W38/AU2</f>
        <v>75.283666666666662</v>
      </c>
      <c r="X39" s="349">
        <f>(SUMPRODUCT(X7:X37,AY7:AY37))/AY38</f>
        <v>0.9879070573470593</v>
      </c>
      <c r="Y39" s="357">
        <f>AVERAGE(Y7:Y37)</f>
        <v>558.73333333333335</v>
      </c>
      <c r="Z39" s="357">
        <f>AVERAGE(Z7:Z37)</f>
        <v>1169.0333333333333</v>
      </c>
      <c r="AA39" s="357"/>
      <c r="AB39" s="349">
        <f>(SUMPRODUCT(AB7:AB37,AY7:AY37))/AY38</f>
        <v>76.249796544697858</v>
      </c>
      <c r="AC39" s="358">
        <f>AVERAGE(AC7:AC37)</f>
        <v>107.03333333333333</v>
      </c>
      <c r="AD39" s="358">
        <f>AVERAGE(AD7:AD37)</f>
        <v>4.6333333333333337</v>
      </c>
      <c r="AE39" s="349">
        <f>AE38/AU2</f>
        <v>3.6733333333333338</v>
      </c>
      <c r="AF39" s="355">
        <f>IF(AY38=0,0,AE38/AY38*1000)</f>
        <v>30.801997937216484</v>
      </c>
      <c r="AG39" s="356" t="e">
        <f>AG38/$AW$2</f>
        <v>#DIV/0!</v>
      </c>
      <c r="AH39" s="349">
        <f>AH38/AU2</f>
        <v>79.118333333333325</v>
      </c>
      <c r="AI39" s="355">
        <f>IF(AY38=0,0,AH38/AY38*1000)</f>
        <v>663.43087299346791</v>
      </c>
      <c r="AJ39" s="349">
        <f>AJ38/AU2</f>
        <v>15.480000000000002</v>
      </c>
      <c r="AK39" s="359"/>
      <c r="AL39" s="349">
        <f>AL38/AU2</f>
        <v>7.6989999999999998</v>
      </c>
      <c r="AM39" s="349">
        <f>AM38/AU2</f>
        <v>35.201999999999998</v>
      </c>
      <c r="AN39" s="360">
        <f>IF(AM39=0,0,AM39/AT39)</f>
        <v>0.2195436827607713</v>
      </c>
      <c r="AO39" s="356"/>
      <c r="AP39" s="349">
        <f>AVERAGE(AP7:AP37)</f>
        <v>7.7860000000000014</v>
      </c>
      <c r="AQ39" s="349">
        <f>AVERAGE(AQ7:AQ37)</f>
        <v>7.110666666666666</v>
      </c>
      <c r="AR39" s="356"/>
      <c r="AS39" s="349">
        <f>AVERAGE(AS7:AS37)</f>
        <v>7.4493333333333318</v>
      </c>
      <c r="AT39" s="349">
        <f>AT38/AU2</f>
        <v>160.34166666666664</v>
      </c>
      <c r="AU39" s="349">
        <f>AU38/AU2</f>
        <v>1.8156666666666663</v>
      </c>
      <c r="AV39" s="349" t="e">
        <f>AV38/$AW$2</f>
        <v>#DIV/0!</v>
      </c>
      <c r="AW39" s="349" t="e">
        <f>AW38/$AW$2</f>
        <v>#DIV/0!</v>
      </c>
      <c r="AX39" s="349" t="e">
        <f>IF(AY39=0,0,AW39/AY39*100)</f>
        <v>#DIV/0!</v>
      </c>
      <c r="AY39" s="349">
        <f>AY38/AU2</f>
        <v>119.2563333333333</v>
      </c>
      <c r="AZ39" s="349">
        <f>AZ38/AU2</f>
        <v>115.2844916996842</v>
      </c>
      <c r="BA39" s="356"/>
      <c r="BB39" s="356"/>
      <c r="BC39" s="351">
        <f>(AY38*AB39)/(D38*E39)</f>
        <v>0.91549112862193538</v>
      </c>
      <c r="BD39" s="349">
        <f>BD38/AU2</f>
        <v>9.3653987558685401</v>
      </c>
      <c r="BE39" s="361"/>
      <c r="BF39" s="19"/>
      <c r="BG39" s="19"/>
      <c r="BH39" s="19"/>
      <c r="BI39" s="19"/>
      <c r="BJ39" s="215"/>
      <c r="BK39" s="73"/>
      <c r="BL39" s="216"/>
      <c r="BM39" s="216"/>
      <c r="BN39" s="216"/>
      <c r="BO39" s="219"/>
      <c r="BP39" s="219"/>
      <c r="BQ39" s="217"/>
      <c r="BR39" s="73">
        <f>(SUMPRODUCT(BK7:BK37,BR7:BR37))/BK38</f>
        <v>1.1220874170367283</v>
      </c>
      <c r="BS39" s="29">
        <f>(SUMPRODUCT(BL7:BL37,BS7:BS37))/BL38</f>
        <v>1.5622169553166492</v>
      </c>
      <c r="BT39" s="29">
        <f t="shared" ref="BT39:BX39" si="35">(SUMPRODUCT(BM7:BM37,BT7:BT37))/BM38</f>
        <v>9.9999999999999995E-7</v>
      </c>
      <c r="BU39" s="29">
        <f t="shared" si="35"/>
        <v>4.3142744555002267E-8</v>
      </c>
      <c r="BV39" s="29">
        <f t="shared" si="35"/>
        <v>9.9999999999999995E-7</v>
      </c>
      <c r="BW39" s="29">
        <f t="shared" si="35"/>
        <v>3.1587233254003348</v>
      </c>
      <c r="BX39" s="74">
        <f t="shared" si="35"/>
        <v>1.7330691294452597E-8</v>
      </c>
      <c r="BY39" s="73">
        <f t="shared" ref="BY39:CE39" si="36">(SUMPRODUCT(BK7:BK37,BY7:BY37))/BK38</f>
        <v>37.456074176627624</v>
      </c>
      <c r="BZ39" s="29">
        <f t="shared" si="36"/>
        <v>36.442333762281116</v>
      </c>
      <c r="CA39" s="29">
        <f t="shared" si="36"/>
        <v>9.9999999999999995E-7</v>
      </c>
      <c r="CB39" s="29">
        <f t="shared" si="36"/>
        <v>43.157950256036585</v>
      </c>
      <c r="CC39" s="29">
        <f t="shared" si="36"/>
        <v>9.9999999999999995E-7</v>
      </c>
      <c r="CD39" s="29">
        <f t="shared" si="36"/>
        <v>32.737994371894416</v>
      </c>
      <c r="CE39" s="74">
        <f t="shared" si="36"/>
        <v>43.341247484644242</v>
      </c>
      <c r="CF39" s="218"/>
      <c r="CG39" s="218"/>
      <c r="CH39" s="216"/>
      <c r="CI39" s="219"/>
      <c r="CJ39" s="75">
        <f>(SUMPRODUCT(CF7:CF37,CJ7:CJ37))/CF38</f>
        <v>2.8745130852012202</v>
      </c>
      <c r="CK39" s="75">
        <f>(SUMPRODUCT(CG7:CG37,CK7:CK37))/CG38</f>
        <v>2.7460620617736211</v>
      </c>
      <c r="CL39" s="29">
        <f>(SUMPRODUCT(CH7:CH37,CL7:CL37))/CH38</f>
        <v>9.9999999999999995E-7</v>
      </c>
      <c r="CM39" s="74">
        <f>(SUMPRODUCT(CI7:CI37,CM7:CM37))/CI38</f>
        <v>2.847828097112985</v>
      </c>
      <c r="CN39" s="19"/>
      <c r="CO39" s="596">
        <f>CO38+CP38</f>
        <v>6108.834129599999</v>
      </c>
      <c r="CP39" s="596"/>
      <c r="CQ39" s="597">
        <f>CQ38+CR38+CU38+CS38+CT38</f>
        <v>1813.2600188930301</v>
      </c>
      <c r="CR39" s="597"/>
      <c r="CS39" s="597"/>
      <c r="CT39" s="597"/>
      <c r="CU39" s="597"/>
      <c r="CV39" s="597">
        <f>CV38+CX38+CY38+CW38</f>
        <v>4802.3100210000002</v>
      </c>
      <c r="CW39" s="597"/>
      <c r="CX39" s="597"/>
      <c r="CY39" s="597"/>
      <c r="DA39" s="236"/>
      <c r="DB39" s="238"/>
      <c r="DD39" s="297"/>
      <c r="DE39" s="298"/>
      <c r="DF39" s="298"/>
      <c r="DG39" s="299"/>
      <c r="DH39" s="300"/>
    </row>
    <row r="40" spans="1:114" s="214" customFormat="1" ht="16.5" customHeight="1" thickBot="1">
      <c r="A40" s="94" t="s">
        <v>58</v>
      </c>
      <c r="B40" s="362"/>
      <c r="C40" s="362"/>
      <c r="D40" s="363"/>
      <c r="E40" s="364">
        <v>38</v>
      </c>
      <c r="F40" s="363">
        <v>2.12</v>
      </c>
      <c r="G40" s="365">
        <v>7.9024400000000004</v>
      </c>
      <c r="H40" s="363">
        <v>1.484</v>
      </c>
      <c r="I40" s="363"/>
      <c r="J40" s="363">
        <v>9.4670000000000005</v>
      </c>
      <c r="K40" s="363"/>
      <c r="L40" s="363"/>
      <c r="M40" s="363">
        <v>0.63600000000000001</v>
      </c>
      <c r="N40" s="363"/>
      <c r="O40" s="363"/>
      <c r="P40" s="366"/>
      <c r="Q40" s="362"/>
      <c r="R40" s="367"/>
      <c r="S40" s="368">
        <v>14.081</v>
      </c>
      <c r="T40" s="362"/>
      <c r="U40" s="369">
        <v>1.32</v>
      </c>
      <c r="V40" s="370">
        <v>3550</v>
      </c>
      <c r="W40" s="370">
        <v>3550</v>
      </c>
      <c r="X40" s="371"/>
      <c r="Y40" s="371"/>
      <c r="Z40" s="372">
        <v>1190</v>
      </c>
      <c r="AA40" s="372"/>
      <c r="AB40" s="362">
        <v>76</v>
      </c>
      <c r="AC40" s="362"/>
      <c r="AD40" s="362"/>
      <c r="AE40" s="362"/>
      <c r="AF40" s="362"/>
      <c r="AG40" s="362"/>
      <c r="AH40" s="362"/>
      <c r="AI40" s="362">
        <v>730</v>
      </c>
      <c r="AJ40" s="373"/>
      <c r="AK40" s="374"/>
      <c r="AL40" s="375"/>
      <c r="AM40" s="362"/>
      <c r="AN40" s="362"/>
      <c r="AO40" s="362"/>
      <c r="AP40" s="362"/>
      <c r="AQ40" s="362"/>
      <c r="AR40" s="362"/>
      <c r="AS40" s="362"/>
      <c r="AT40" s="376">
        <v>3550</v>
      </c>
      <c r="AU40" s="377">
        <v>42.6</v>
      </c>
      <c r="AV40" s="377"/>
      <c r="AW40" s="378"/>
      <c r="AX40" s="362"/>
      <c r="AY40" s="379">
        <v>118.33</v>
      </c>
      <c r="AZ40" s="362"/>
      <c r="BA40" s="362"/>
      <c r="BB40" s="362"/>
      <c r="BC40" s="363">
        <v>0.9</v>
      </c>
      <c r="BD40" s="362"/>
      <c r="BE40" s="380"/>
      <c r="BF40" s="19"/>
      <c r="BG40" s="19"/>
      <c r="BH40" s="19"/>
      <c r="BI40" s="19"/>
      <c r="BJ40" s="215"/>
      <c r="BK40" s="220"/>
      <c r="BL40" s="221"/>
      <c r="BM40" s="216"/>
      <c r="BN40" s="216"/>
      <c r="BO40" s="219"/>
      <c r="BP40" s="219"/>
      <c r="BQ40" s="217"/>
      <c r="BR40" s="218"/>
      <c r="BS40" s="216"/>
      <c r="BT40" s="216"/>
      <c r="BU40" s="216"/>
      <c r="BV40" s="219"/>
      <c r="BW40" s="219"/>
      <c r="BX40" s="217"/>
      <c r="BY40" s="218"/>
      <c r="BZ40" s="216"/>
      <c r="CA40" s="216"/>
      <c r="CB40" s="216"/>
      <c r="CC40" s="219"/>
      <c r="CD40" s="219"/>
      <c r="CE40" s="217"/>
      <c r="CF40" s="218"/>
      <c r="CG40" s="218"/>
      <c r="CH40" s="216"/>
      <c r="CI40" s="219"/>
      <c r="CJ40" s="220"/>
      <c r="CK40" s="218"/>
      <c r="CL40" s="216"/>
      <c r="CM40" s="217"/>
      <c r="CN40" s="213"/>
      <c r="CO40" s="604">
        <f>CO39+CQ39</f>
        <v>7922.094148493029</v>
      </c>
      <c r="CP40" s="604"/>
      <c r="CQ40" s="604"/>
      <c r="CR40" s="604"/>
      <c r="CS40" s="604"/>
      <c r="CT40" s="604"/>
      <c r="CU40" s="604"/>
      <c r="DA40" s="237"/>
      <c r="DB40" s="239"/>
      <c r="DD40" s="301"/>
      <c r="DE40" s="302"/>
      <c r="DF40" s="302"/>
      <c r="DG40" s="303"/>
      <c r="DH40" s="304"/>
    </row>
    <row r="41" spans="1:114" s="214" customFormat="1" ht="16.5" customHeight="1" thickBot="1">
      <c r="A41" s="95" t="s">
        <v>59</v>
      </c>
      <c r="B41" s="381"/>
      <c r="C41" s="381"/>
      <c r="D41" s="382"/>
      <c r="E41" s="381"/>
      <c r="F41" s="383">
        <f>F39-F40</f>
        <v>9.4304242540027783E-2</v>
      </c>
      <c r="G41" s="384">
        <f>G39-G40</f>
        <v>3.6515600000000017</v>
      </c>
      <c r="H41" s="383"/>
      <c r="I41" s="385">
        <f>I39-I40</f>
        <v>0</v>
      </c>
      <c r="J41" s="385"/>
      <c r="K41" s="385"/>
      <c r="L41" s="385"/>
      <c r="M41" s="385"/>
      <c r="N41" s="385"/>
      <c r="O41" s="385"/>
      <c r="P41" s="383"/>
      <c r="Q41" s="386"/>
      <c r="R41" s="385">
        <f>R39-R40</f>
        <v>2.8534792878053996</v>
      </c>
      <c r="S41" s="386"/>
      <c r="T41" s="386"/>
      <c r="U41" s="383">
        <f>U39-U40</f>
        <v>2.2293496082668174E-2</v>
      </c>
      <c r="V41" s="383"/>
      <c r="W41" s="383"/>
      <c r="X41" s="383"/>
      <c r="Y41" s="383"/>
      <c r="Z41" s="387">
        <f>Z39-Z40</f>
        <v>-20.966666666666697</v>
      </c>
      <c r="AA41" s="388"/>
      <c r="AB41" s="381"/>
      <c r="AC41" s="381"/>
      <c r="AD41" s="381"/>
      <c r="AE41" s="381"/>
      <c r="AF41" s="381"/>
      <c r="AG41" s="381"/>
      <c r="AH41" s="381"/>
      <c r="AI41" s="381"/>
      <c r="AJ41" s="381"/>
      <c r="AK41" s="389"/>
      <c r="AL41" s="390"/>
      <c r="AM41" s="381"/>
      <c r="AN41" s="381"/>
      <c r="AO41" s="381"/>
      <c r="AP41" s="381"/>
      <c r="AQ41" s="381"/>
      <c r="AR41" s="381"/>
      <c r="AS41" s="381"/>
      <c r="AT41" s="391">
        <f>AT38+AV38-AT40</f>
        <v>1260.2499999999991</v>
      </c>
      <c r="AU41" s="392"/>
      <c r="AV41" s="393"/>
      <c r="AW41" s="390"/>
      <c r="AX41" s="381"/>
      <c r="AY41" s="385"/>
      <c r="AZ41" s="381"/>
      <c r="BA41" s="381"/>
      <c r="BB41" s="381"/>
      <c r="BC41" s="394"/>
      <c r="BD41" s="381"/>
      <c r="BE41" s="395"/>
      <c r="BF41" s="222"/>
      <c r="BG41" s="222"/>
      <c r="BH41" s="222"/>
      <c r="BI41" s="222"/>
      <c r="BJ41" s="222"/>
      <c r="BK41" s="223"/>
      <c r="BL41" s="224"/>
      <c r="BM41" s="225"/>
      <c r="BN41" s="225"/>
      <c r="BO41" s="224"/>
      <c r="BP41" s="224"/>
      <c r="BQ41" s="226"/>
      <c r="BR41" s="227"/>
      <c r="BS41" s="225"/>
      <c r="BT41" s="225"/>
      <c r="BU41" s="225"/>
      <c r="BV41" s="224"/>
      <c r="BW41" s="224"/>
      <c r="BX41" s="224"/>
      <c r="BY41" s="228"/>
      <c r="BZ41" s="225"/>
      <c r="CA41" s="225"/>
      <c r="CB41" s="225"/>
      <c r="CC41" s="224"/>
      <c r="CD41" s="224"/>
      <c r="CE41" s="226"/>
      <c r="CF41" s="227"/>
      <c r="CG41" s="227"/>
      <c r="CH41" s="225"/>
      <c r="CI41" s="224"/>
      <c r="CJ41" s="228"/>
      <c r="CK41" s="227"/>
      <c r="CL41" s="225"/>
      <c r="CM41" s="226"/>
      <c r="CN41" s="213"/>
      <c r="CO41" s="213"/>
      <c r="CP41" s="213"/>
      <c r="CQ41" s="213"/>
      <c r="DA41" s="21"/>
      <c r="DH41" s="309"/>
    </row>
    <row r="42" spans="1:114" ht="15" hidden="1" customHeight="1">
      <c r="A42" s="96"/>
      <c r="B42" s="96"/>
      <c r="C42" s="96"/>
      <c r="D42" s="97"/>
      <c r="E42" s="96"/>
      <c r="F42" s="98"/>
      <c r="G42" s="99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1"/>
      <c r="AF42" s="101"/>
      <c r="AG42" s="100"/>
      <c r="AH42" s="100"/>
      <c r="AI42" s="100"/>
      <c r="AJ42" s="100"/>
      <c r="AK42" s="100"/>
      <c r="AL42" s="100"/>
      <c r="AM42" s="100"/>
      <c r="AN42" s="100"/>
      <c r="AO42" s="100"/>
      <c r="AP42" s="100"/>
      <c r="AQ42" s="100"/>
      <c r="AR42" s="100"/>
      <c r="AS42" s="96"/>
      <c r="AT42" s="612"/>
      <c r="AU42" s="612"/>
      <c r="AV42" s="612"/>
      <c r="AW42" s="96"/>
      <c r="AX42" s="96"/>
      <c r="AY42" s="100"/>
      <c r="AZ42" s="100"/>
      <c r="BA42" s="100"/>
      <c r="BB42" s="100"/>
      <c r="BC42" s="100"/>
      <c r="BD42" s="100"/>
      <c r="BE42" s="100"/>
      <c r="BK42" s="20"/>
      <c r="BL42" s="20"/>
      <c r="BM42" s="20"/>
    </row>
    <row r="43" spans="1:114" ht="13.5" thickBot="1">
      <c r="A43" s="100"/>
      <c r="B43" s="100"/>
      <c r="C43" s="100"/>
      <c r="D43" s="102"/>
      <c r="E43" s="100"/>
      <c r="F43" s="100"/>
      <c r="G43" s="96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1"/>
      <c r="AF43" s="101"/>
      <c r="AG43" s="100"/>
      <c r="AH43" s="100"/>
      <c r="AI43" s="100"/>
      <c r="AJ43" s="100"/>
      <c r="AK43" s="100"/>
      <c r="AL43" s="100"/>
      <c r="AM43" s="100"/>
      <c r="AN43" s="100"/>
      <c r="AO43" s="100"/>
      <c r="AP43" s="100"/>
      <c r="AQ43" s="100"/>
      <c r="AR43" s="100"/>
      <c r="AS43" s="96" t="s">
        <v>60</v>
      </c>
      <c r="AT43" s="103">
        <f>AT40/BE43</f>
        <v>118.33333333333333</v>
      </c>
      <c r="AU43" s="104"/>
      <c r="AV43" s="96"/>
      <c r="AW43" s="96" t="s">
        <v>61</v>
      </c>
      <c r="AX43" s="96"/>
      <c r="AY43" s="100"/>
      <c r="AZ43" s="100"/>
      <c r="BA43" s="100"/>
      <c r="BB43" s="100"/>
      <c r="BC43" s="100"/>
      <c r="BD43" s="105" t="s">
        <v>62</v>
      </c>
      <c r="BE43" s="100">
        <v>30</v>
      </c>
    </row>
    <row r="44" spans="1:114" ht="16.5" customHeight="1" thickBot="1">
      <c r="A44" s="100"/>
      <c r="B44" s="100"/>
      <c r="C44" s="100"/>
      <c r="D44" s="102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489" t="s">
        <v>343</v>
      </c>
      <c r="AG44" s="488"/>
      <c r="AH44" s="488"/>
      <c r="AI44" s="488"/>
      <c r="AJ44" s="488"/>
      <c r="AK44" s="488"/>
      <c r="AL44" s="488"/>
      <c r="AM44" s="490">
        <f>AM38/AT38</f>
        <v>0.2195436827607713</v>
      </c>
      <c r="AN44" s="479"/>
      <c r="AO44" s="480" t="s">
        <v>88</v>
      </c>
      <c r="AP44" s="100"/>
      <c r="AQ44" s="100"/>
      <c r="AR44" s="100"/>
      <c r="AS44" s="100"/>
      <c r="AT44" s="100"/>
      <c r="AU44" s="100"/>
      <c r="AV44" s="100"/>
      <c r="AW44" s="100"/>
      <c r="AX44" s="100"/>
      <c r="AY44" s="100"/>
      <c r="AZ44" s="100"/>
      <c r="BA44" s="100"/>
      <c r="BB44" s="100"/>
      <c r="BC44" s="100"/>
      <c r="BD44" s="96"/>
      <c r="BE44" s="96"/>
      <c r="CR44">
        <v>7922.0940000000001</v>
      </c>
    </row>
    <row r="45" spans="1:114" ht="13.5" thickBot="1">
      <c r="A45" s="100"/>
      <c r="B45" s="100"/>
      <c r="C45" s="100"/>
      <c r="D45" s="102"/>
      <c r="E45" s="100"/>
      <c r="F45" s="100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101"/>
      <c r="AE45" s="101"/>
      <c r="AF45" s="101"/>
      <c r="AG45" s="100"/>
      <c r="AH45" s="100"/>
      <c r="AI45" s="100"/>
      <c r="AJ45" s="100"/>
      <c r="AK45" s="100"/>
      <c r="AL45" s="100"/>
      <c r="AM45" s="106" t="s">
        <v>63</v>
      </c>
      <c r="AN45" s="106"/>
      <c r="AO45" s="106"/>
      <c r="AP45" s="106"/>
      <c r="AQ45" s="106"/>
      <c r="AR45" s="106"/>
      <c r="AS45" s="107" t="s">
        <v>64</v>
      </c>
      <c r="AT45" s="108">
        <v>29</v>
      </c>
      <c r="AU45" s="108"/>
      <c r="AV45" s="100"/>
      <c r="AW45" s="100"/>
      <c r="AX45" s="100"/>
      <c r="AY45" s="100"/>
      <c r="AZ45" s="100"/>
      <c r="BA45" s="100"/>
      <c r="BB45" s="100"/>
      <c r="BC45" s="100"/>
      <c r="BD45" s="96"/>
      <c r="BE45" s="96"/>
      <c r="BM45" s="1"/>
      <c r="BS45" s="1"/>
    </row>
    <row r="46" spans="1:114" ht="12.75" customHeight="1" thickBot="1">
      <c r="A46" s="100"/>
      <c r="B46" s="100"/>
      <c r="C46" s="109" t="s">
        <v>65</v>
      </c>
      <c r="D46" s="102"/>
      <c r="E46" s="100"/>
      <c r="F46" s="100"/>
      <c r="G46" s="100"/>
      <c r="H46" s="100"/>
      <c r="I46" s="100"/>
      <c r="J46" s="100"/>
      <c r="K46" s="100"/>
      <c r="L46" s="110">
        <f>AT38/AD38</f>
        <v>34.606115107913659</v>
      </c>
      <c r="M46" s="109" t="s">
        <v>88</v>
      </c>
      <c r="N46" s="606"/>
      <c r="O46" s="606"/>
      <c r="P46" s="111"/>
      <c r="Q46" s="100"/>
      <c r="R46" s="100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101"/>
      <c r="AE46" s="101"/>
      <c r="AF46" s="101"/>
      <c r="AG46" s="100"/>
      <c r="AH46" s="100"/>
      <c r="AI46" s="100"/>
      <c r="AJ46" s="100"/>
      <c r="AK46" s="100"/>
      <c r="AL46" s="100"/>
      <c r="AM46" s="100"/>
      <c r="AN46" s="100"/>
      <c r="AO46" s="106"/>
      <c r="AP46" s="106"/>
      <c r="AQ46" s="106"/>
      <c r="AR46" s="106"/>
      <c r="AS46" s="107" t="s">
        <v>66</v>
      </c>
      <c r="AT46" s="112">
        <f>AT40/AT45</f>
        <v>122.41379310344827</v>
      </c>
      <c r="AU46" s="112"/>
      <c r="AV46" s="100"/>
      <c r="AW46" s="100"/>
      <c r="AX46" s="100">
        <v>0</v>
      </c>
      <c r="AY46" s="100"/>
      <c r="AZ46" s="607" t="s">
        <v>67</v>
      </c>
      <c r="BA46" s="607"/>
      <c r="BB46" s="607"/>
      <c r="BC46" s="607"/>
      <c r="BD46" s="607"/>
      <c r="BE46" s="607"/>
    </row>
    <row r="47" spans="1:114">
      <c r="A47" s="100"/>
      <c r="B47" s="100"/>
      <c r="C47" s="100"/>
      <c r="D47" s="102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100"/>
      <c r="AI47" s="100"/>
      <c r="AJ47" s="100"/>
      <c r="AK47" s="100"/>
      <c r="AL47" s="100"/>
      <c r="AM47" s="100"/>
      <c r="AN47" s="100"/>
      <c r="AO47" s="100"/>
      <c r="AP47" s="100"/>
      <c r="AQ47" s="100"/>
      <c r="AR47" s="100"/>
      <c r="AS47" s="100"/>
      <c r="AT47" s="100"/>
      <c r="AU47" s="100"/>
      <c r="AV47" s="100"/>
      <c r="AW47" s="100"/>
      <c r="AX47" s="100"/>
      <c r="AY47" s="100"/>
      <c r="AZ47" s="607"/>
      <c r="BA47" s="607"/>
      <c r="BB47" s="607"/>
      <c r="BC47" s="607"/>
      <c r="BD47" s="607"/>
      <c r="BE47" s="607"/>
    </row>
    <row r="48" spans="1:114">
      <c r="A48" s="100"/>
      <c r="B48" s="100"/>
      <c r="C48" s="100"/>
      <c r="D48" s="102"/>
      <c r="E48" s="100"/>
      <c r="F48" s="100"/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13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  <c r="AE48" s="100"/>
      <c r="AF48" s="100"/>
      <c r="AG48" s="100"/>
      <c r="AH48" s="100"/>
      <c r="AI48" s="100"/>
      <c r="AJ48" s="100"/>
      <c r="AK48" s="100"/>
      <c r="AL48" s="100"/>
      <c r="AM48" s="100"/>
      <c r="AN48" s="100"/>
      <c r="AO48" s="100"/>
      <c r="AP48" s="100"/>
      <c r="AQ48" s="100"/>
      <c r="AR48" s="100"/>
      <c r="AS48" s="100"/>
      <c r="AT48" s="100"/>
      <c r="AU48" s="100"/>
      <c r="AV48" s="100"/>
      <c r="AW48" s="100"/>
      <c r="AX48" s="100"/>
      <c r="AY48" s="100"/>
      <c r="AZ48" s="608">
        <f>BF37-BJ37</f>
        <v>27.689999999997781</v>
      </c>
      <c r="BA48" s="608"/>
      <c r="BB48" s="608"/>
      <c r="BC48" s="608"/>
      <c r="BD48" s="609" t="s">
        <v>68</v>
      </c>
      <c r="BE48" s="114"/>
    </row>
    <row r="49" spans="1:57" ht="12" customHeight="1">
      <c r="A49" s="100"/>
      <c r="B49" s="100"/>
      <c r="C49" s="100"/>
      <c r="D49" s="102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15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100"/>
      <c r="AI49" s="100"/>
      <c r="AJ49" s="100"/>
      <c r="AK49" s="100"/>
      <c r="AL49" s="100"/>
      <c r="AM49" s="100"/>
      <c r="AN49" s="100"/>
      <c r="AO49" s="100"/>
      <c r="AP49" s="100"/>
      <c r="AQ49" s="100"/>
      <c r="AR49" s="100"/>
      <c r="AS49" s="100"/>
      <c r="AT49" s="100"/>
      <c r="AU49" s="100"/>
      <c r="AV49" s="100"/>
      <c r="AW49" s="100"/>
      <c r="AX49" s="100"/>
      <c r="AY49" s="100"/>
      <c r="AZ49" s="608"/>
      <c r="BA49" s="608"/>
      <c r="BB49" s="608"/>
      <c r="BC49" s="608"/>
      <c r="BD49" s="609"/>
      <c r="BE49" s="114"/>
    </row>
    <row r="50" spans="1:57" ht="13.5" customHeight="1">
      <c r="A50" s="100"/>
      <c r="B50" s="100"/>
      <c r="C50" s="100"/>
      <c r="D50" s="102"/>
      <c r="E50" s="100"/>
      <c r="F50" s="100"/>
      <c r="G50" s="100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100"/>
      <c r="AC50" s="100"/>
      <c r="AD50" s="100"/>
      <c r="AE50" s="100"/>
      <c r="AF50" s="100"/>
      <c r="AG50" s="100"/>
      <c r="AH50" s="100"/>
      <c r="AI50" s="100"/>
      <c r="AJ50" s="100"/>
      <c r="AK50" s="100"/>
      <c r="AL50" s="100"/>
      <c r="AM50" s="100"/>
      <c r="AN50" s="100"/>
      <c r="AO50" s="100"/>
      <c r="AP50" s="100"/>
      <c r="AQ50" s="100"/>
      <c r="AR50" s="100"/>
      <c r="AS50" s="100"/>
      <c r="AT50" s="100"/>
      <c r="AU50" s="100"/>
      <c r="AV50" s="100"/>
      <c r="AW50" s="100"/>
      <c r="AX50" s="100"/>
      <c r="AY50" s="100"/>
      <c r="AZ50" s="116"/>
      <c r="BA50" s="96"/>
      <c r="BB50" s="96"/>
      <c r="BC50" s="96"/>
      <c r="BD50" s="96"/>
      <c r="BE50" s="114"/>
    </row>
    <row r="51" spans="1:57" ht="13.5" customHeight="1" thickBot="1">
      <c r="A51" s="100"/>
      <c r="B51" s="100"/>
      <c r="C51" s="100"/>
      <c r="D51" s="102"/>
      <c r="E51" s="100"/>
      <c r="F51" s="100"/>
      <c r="G51" s="100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0"/>
      <c r="AC51" s="100"/>
      <c r="AD51" s="100"/>
      <c r="AE51" s="100"/>
      <c r="AF51" s="100"/>
      <c r="AG51" s="100"/>
      <c r="AH51" s="100"/>
      <c r="AI51" s="100"/>
      <c r="AJ51" s="100"/>
      <c r="AK51" s="100"/>
      <c r="AL51" s="100"/>
      <c r="AM51" s="100"/>
      <c r="AN51" s="100"/>
      <c r="AO51" s="100"/>
      <c r="AP51" s="100"/>
      <c r="AQ51" s="100"/>
      <c r="AR51" s="100"/>
      <c r="AS51" s="100"/>
      <c r="AT51" s="100"/>
      <c r="AU51" s="100"/>
      <c r="AV51" s="100"/>
      <c r="AW51" s="100"/>
      <c r="AX51" s="100"/>
      <c r="AY51" s="100"/>
      <c r="AZ51" s="610">
        <f>AZ48/AT40*100</f>
        <v>0.77999999999993752</v>
      </c>
      <c r="BA51" s="610"/>
      <c r="BB51" s="610"/>
      <c r="BC51" s="610"/>
      <c r="BD51" s="611" t="s">
        <v>69</v>
      </c>
      <c r="BE51" s="114"/>
    </row>
    <row r="52" spans="1:57" ht="13.5" thickBot="1">
      <c r="A52" s="100"/>
      <c r="B52" s="100"/>
      <c r="C52" s="100"/>
      <c r="D52" s="102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  <c r="AF52" s="100"/>
      <c r="AG52" s="100"/>
      <c r="AH52" s="100"/>
      <c r="AI52" s="100"/>
      <c r="AJ52" s="100"/>
      <c r="AK52" s="100"/>
      <c r="AL52" s="100"/>
      <c r="AM52" s="100"/>
      <c r="AN52" s="100"/>
      <c r="AO52" s="100"/>
      <c r="AP52" s="100"/>
      <c r="AQ52" s="100"/>
      <c r="AR52" s="100"/>
      <c r="AS52" s="100"/>
      <c r="AT52" s="100"/>
      <c r="AU52" s="100"/>
      <c r="AV52" s="100"/>
      <c r="AW52" s="100"/>
      <c r="AX52" s="100"/>
      <c r="AY52" s="100"/>
      <c r="AZ52" s="610"/>
      <c r="BA52" s="610"/>
      <c r="BB52" s="610"/>
      <c r="BC52" s="610"/>
      <c r="BD52" s="611"/>
      <c r="BE52" s="117"/>
    </row>
    <row r="53" spans="1:57">
      <c r="A53" s="100"/>
      <c r="B53" s="100"/>
      <c r="C53" s="100"/>
      <c r="D53" s="102"/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100"/>
      <c r="AI53" s="100"/>
      <c r="AJ53" s="100"/>
      <c r="AK53" s="100"/>
      <c r="AL53" s="100"/>
      <c r="AM53" s="100"/>
      <c r="AN53" s="100"/>
      <c r="AO53" s="100"/>
      <c r="AP53" s="100"/>
      <c r="AQ53" s="100"/>
      <c r="AR53" s="100"/>
      <c r="AS53" s="100"/>
      <c r="AT53" s="100"/>
      <c r="AU53" s="100"/>
      <c r="AV53" s="100"/>
      <c r="AW53" s="100"/>
      <c r="AX53" s="100"/>
      <c r="AY53" s="100"/>
      <c r="AZ53" s="100"/>
      <c r="BA53" s="100"/>
      <c r="BB53" s="100"/>
      <c r="BC53" s="100"/>
      <c r="BD53" s="100"/>
      <c r="BE53" s="100"/>
    </row>
    <row r="54" spans="1:57">
      <c r="A54" s="100"/>
      <c r="B54" s="100"/>
      <c r="C54" s="100"/>
      <c r="D54" s="102"/>
      <c r="E54" s="100"/>
      <c r="F54" s="100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100"/>
      <c r="AI54" s="100"/>
      <c r="AJ54" s="100"/>
      <c r="AK54" s="100"/>
      <c r="AL54" s="100"/>
      <c r="AM54" s="100"/>
      <c r="AN54" s="100"/>
      <c r="AO54" s="100"/>
      <c r="AP54" s="100"/>
      <c r="AQ54" s="100"/>
      <c r="AR54" s="100"/>
      <c r="AS54" s="100"/>
      <c r="AT54" s="100"/>
      <c r="AU54" s="100"/>
      <c r="AV54" s="100"/>
      <c r="AW54" s="100"/>
      <c r="AX54" s="100"/>
      <c r="AY54" s="100"/>
      <c r="AZ54" s="100"/>
      <c r="BA54" s="100"/>
      <c r="BB54" s="100"/>
      <c r="BC54" s="100"/>
      <c r="BD54" s="100"/>
      <c r="BE54" s="100"/>
    </row>
    <row r="55" spans="1:57">
      <c r="A55" s="100"/>
      <c r="B55" s="100"/>
      <c r="C55" s="100"/>
      <c r="D55" s="102"/>
      <c r="E55" s="100"/>
      <c r="F55" s="100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  <c r="AH55" s="100"/>
      <c r="AI55" s="100"/>
      <c r="AJ55" s="100"/>
      <c r="AK55" s="100"/>
      <c r="AL55" s="100"/>
      <c r="AM55" s="100"/>
      <c r="AN55" s="100"/>
      <c r="AO55" s="100"/>
      <c r="AP55" s="100"/>
      <c r="AQ55" s="100"/>
      <c r="AR55" s="100"/>
      <c r="AS55" s="100"/>
      <c r="AT55" s="100"/>
      <c r="AU55" s="100"/>
      <c r="AV55" s="100"/>
      <c r="AW55" s="100"/>
      <c r="AX55" s="100"/>
      <c r="AY55" s="100"/>
      <c r="AZ55" s="100"/>
      <c r="BA55" s="100"/>
      <c r="BB55" s="100"/>
      <c r="BC55" s="100"/>
      <c r="BD55" s="100"/>
      <c r="BE55" s="100"/>
    </row>
    <row r="56" spans="1:57" ht="13.5" thickBot="1">
      <c r="A56" s="100"/>
      <c r="B56" s="100"/>
      <c r="C56" s="100"/>
      <c r="D56" s="102"/>
      <c r="E56" s="100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/>
      <c r="AE56" s="100"/>
      <c r="AF56" s="100"/>
      <c r="AG56" s="100"/>
      <c r="AH56" s="100"/>
      <c r="AI56" s="100"/>
      <c r="AJ56" s="100"/>
      <c r="AK56" s="100"/>
      <c r="AL56" s="100"/>
      <c r="AM56" s="100"/>
      <c r="AN56" s="100"/>
      <c r="AO56" s="100"/>
      <c r="AP56" s="100"/>
      <c r="AQ56" s="100"/>
      <c r="AR56" s="100"/>
      <c r="AS56" s="100"/>
      <c r="AT56" s="100"/>
      <c r="AU56" s="100"/>
      <c r="AV56" s="100"/>
      <c r="AW56" s="100"/>
      <c r="AX56" s="100"/>
      <c r="AY56" s="100"/>
      <c r="AZ56" s="100"/>
      <c r="BA56" s="100"/>
      <c r="BB56" s="100"/>
      <c r="BC56" s="100"/>
      <c r="BD56" s="100"/>
      <c r="BE56" s="100"/>
    </row>
    <row r="57" spans="1:57" ht="15.75">
      <c r="A57" s="100"/>
      <c r="B57" s="100"/>
      <c r="C57" s="100"/>
      <c r="D57" s="102"/>
      <c r="E57" s="100"/>
      <c r="F57" s="100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100"/>
      <c r="AI57" s="100"/>
      <c r="AJ57" s="100"/>
      <c r="AK57" s="100"/>
      <c r="AL57" s="100"/>
      <c r="AM57" s="100"/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X57" s="100"/>
      <c r="AY57" s="100"/>
      <c r="AZ57" s="481" t="s">
        <v>344</v>
      </c>
      <c r="BA57" s="482"/>
      <c r="BB57" s="482"/>
      <c r="BC57" s="482"/>
      <c r="BD57" s="482"/>
      <c r="BE57" s="483"/>
    </row>
    <row r="58" spans="1:57" ht="15.75">
      <c r="A58" s="100"/>
      <c r="B58" s="100"/>
      <c r="C58" s="100"/>
      <c r="D58" s="102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  <c r="AA58" s="100"/>
      <c r="AB58" s="100"/>
      <c r="AC58" s="100"/>
      <c r="AD58" s="100"/>
      <c r="AE58" s="100"/>
      <c r="AF58" s="100"/>
      <c r="AG58" s="100"/>
      <c r="AH58" s="100"/>
      <c r="AI58" s="100"/>
      <c r="AJ58" s="100"/>
      <c r="AK58" s="100"/>
      <c r="AL58" s="100"/>
      <c r="AM58" s="100"/>
      <c r="AN58" s="100"/>
      <c r="AO58" s="100"/>
      <c r="AP58" s="100"/>
      <c r="AQ58" s="100"/>
      <c r="AR58" s="100"/>
      <c r="AS58" s="100"/>
      <c r="AT58" s="100"/>
      <c r="AU58" s="100"/>
      <c r="AV58" s="100"/>
      <c r="AW58" s="100"/>
      <c r="AX58" s="100"/>
      <c r="AY58" s="100"/>
      <c r="AZ58" s="484" t="s">
        <v>340</v>
      </c>
      <c r="BA58" s="485"/>
      <c r="BB58" s="485"/>
      <c r="BC58" s="485"/>
      <c r="BD58" s="617">
        <f>'[5]сентябрь 20'!$F$38</f>
        <v>1056.06</v>
      </c>
      <c r="BE58" s="618"/>
    </row>
    <row r="59" spans="1:57" ht="16.5" thickBot="1">
      <c r="A59" s="100"/>
      <c r="B59" s="100"/>
      <c r="C59" s="100"/>
      <c r="D59" s="102"/>
      <c r="E59" s="100"/>
      <c r="F59" s="100"/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  <c r="AE59" s="100"/>
      <c r="AF59" s="100"/>
      <c r="AG59" s="100"/>
      <c r="AH59" s="100"/>
      <c r="AI59" s="100"/>
      <c r="AJ59" s="100"/>
      <c r="AK59" s="100"/>
      <c r="AL59" s="100"/>
      <c r="AM59" s="100"/>
      <c r="AN59" s="100"/>
      <c r="AO59" s="100"/>
      <c r="AP59" s="100"/>
      <c r="AQ59" s="100"/>
      <c r="AR59" s="100"/>
      <c r="AS59" s="100"/>
      <c r="AT59" s="100"/>
      <c r="AU59" s="100"/>
      <c r="AV59" s="100"/>
      <c r="AW59" s="100"/>
      <c r="AX59" s="100"/>
      <c r="AY59" s="100"/>
      <c r="AZ59" s="484" t="s">
        <v>341</v>
      </c>
      <c r="BA59" s="485"/>
      <c r="BB59" s="485"/>
      <c r="BC59" s="485"/>
      <c r="BD59" s="619">
        <f>'[5]сентябрь 20'!$B$38</f>
        <v>1056.06</v>
      </c>
      <c r="BE59" s="620"/>
    </row>
    <row r="60" spans="1:57" ht="16.5" thickBot="1">
      <c r="A60" s="100"/>
      <c r="B60" s="100"/>
      <c r="C60" s="100"/>
      <c r="D60" s="102"/>
      <c r="E60" s="100"/>
      <c r="F60" s="100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  <c r="AE60" s="100"/>
      <c r="AF60" s="100"/>
      <c r="AG60" s="100"/>
      <c r="AH60" s="100"/>
      <c r="AI60" s="100"/>
      <c r="AJ60" s="100"/>
      <c r="AK60" s="100"/>
      <c r="AL60" s="100"/>
      <c r="AM60" s="100"/>
      <c r="AN60" s="100"/>
      <c r="AO60" s="100"/>
      <c r="AP60" s="100"/>
      <c r="AQ60" s="100"/>
      <c r="AR60" s="100"/>
      <c r="AS60" s="100"/>
      <c r="AT60" s="100"/>
      <c r="AU60" s="100"/>
      <c r="AV60" s="100"/>
      <c r="AW60" s="100"/>
      <c r="AX60" s="100"/>
      <c r="AY60" s="100"/>
      <c r="AZ60" s="486" t="s">
        <v>342</v>
      </c>
      <c r="BA60" s="487"/>
      <c r="BB60" s="487"/>
      <c r="BC60" s="487"/>
      <c r="BD60" s="621">
        <f>BD59-BD58</f>
        <v>0</v>
      </c>
      <c r="BE60" s="622"/>
    </row>
    <row r="61" spans="1:57">
      <c r="A61" s="100"/>
      <c r="B61" s="100"/>
      <c r="C61" s="100"/>
      <c r="D61" s="102"/>
      <c r="E61" s="100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/>
      <c r="AE61" s="100"/>
      <c r="AF61" s="100"/>
      <c r="AG61" s="100"/>
      <c r="AH61" s="100"/>
      <c r="AI61" s="100"/>
      <c r="AJ61" s="100"/>
      <c r="AK61" s="100"/>
      <c r="AL61" s="100"/>
      <c r="AM61" s="100"/>
      <c r="AN61" s="100"/>
      <c r="AO61" s="100"/>
      <c r="AP61" s="100"/>
      <c r="AQ61" s="100"/>
      <c r="AR61" s="100"/>
      <c r="AS61" s="100"/>
      <c r="AT61" s="100"/>
      <c r="AU61" s="100"/>
      <c r="AV61" s="100"/>
      <c r="AW61" s="100"/>
      <c r="AX61" s="100"/>
      <c r="AY61" s="100"/>
      <c r="AZ61" s="100"/>
      <c r="BA61" s="100"/>
      <c r="BB61" s="100"/>
      <c r="BC61" s="100"/>
      <c r="BD61" s="100"/>
      <c r="BE61" s="100"/>
    </row>
    <row r="62" spans="1:57">
      <c r="A62" s="100"/>
      <c r="B62" s="100"/>
      <c r="C62" s="100"/>
      <c r="D62" s="102"/>
      <c r="E62" s="100"/>
      <c r="F62" s="100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100"/>
      <c r="AC62" s="100"/>
      <c r="AD62" s="100"/>
      <c r="AE62" s="100"/>
      <c r="AF62" s="100"/>
      <c r="AG62" s="100"/>
      <c r="AH62" s="100"/>
      <c r="AI62" s="100"/>
      <c r="AJ62" s="100"/>
      <c r="AK62" s="100"/>
      <c r="AL62" s="100"/>
      <c r="AM62" s="100"/>
      <c r="AN62" s="100"/>
      <c r="AO62" s="100"/>
      <c r="AP62" s="100"/>
      <c r="AQ62" s="100"/>
      <c r="AR62" s="100"/>
      <c r="AS62" s="100"/>
      <c r="AT62" s="100"/>
      <c r="AU62" s="100"/>
      <c r="AV62" s="100"/>
      <c r="AW62" s="100"/>
      <c r="AX62" s="100"/>
      <c r="AY62" s="100"/>
      <c r="AZ62" s="100"/>
      <c r="BA62" s="100"/>
      <c r="BB62" s="100"/>
      <c r="BC62" s="100"/>
      <c r="BD62" s="100"/>
      <c r="BE62" s="100"/>
    </row>
    <row r="63" spans="1:57">
      <c r="A63" s="100"/>
      <c r="B63" s="100"/>
      <c r="C63" s="100"/>
      <c r="D63" s="102"/>
      <c r="E63" s="100"/>
      <c r="F63" s="100"/>
      <c r="G63" s="100"/>
      <c r="H63" s="100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  <c r="AA63" s="100"/>
      <c r="AB63" s="100"/>
      <c r="AC63" s="100"/>
      <c r="AD63" s="100"/>
      <c r="AE63" s="100"/>
      <c r="AF63" s="100"/>
      <c r="AG63" s="100"/>
      <c r="AH63" s="100"/>
      <c r="AI63" s="100"/>
      <c r="AJ63" s="100"/>
      <c r="AK63" s="100"/>
      <c r="AL63" s="100"/>
      <c r="AM63" s="100"/>
      <c r="AN63" s="100"/>
      <c r="AO63" s="100"/>
      <c r="AP63" s="100"/>
      <c r="AQ63" s="100"/>
      <c r="AR63" s="100"/>
      <c r="AS63" s="100"/>
      <c r="AT63" s="100"/>
      <c r="AU63" s="100"/>
      <c r="AV63" s="100"/>
      <c r="AW63" s="100"/>
      <c r="AX63" s="100"/>
      <c r="AY63" s="100"/>
      <c r="AZ63" s="100"/>
      <c r="BA63" s="100"/>
      <c r="BB63" s="100"/>
      <c r="BC63" s="100"/>
      <c r="BD63" s="100"/>
      <c r="BE63" s="100"/>
    </row>
    <row r="64" spans="1:57">
      <c r="A64" s="100"/>
      <c r="B64" s="100"/>
      <c r="C64" s="100"/>
      <c r="D64" s="102"/>
      <c r="E64" s="100"/>
      <c r="F64" s="100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  <c r="AE64" s="100"/>
      <c r="AF64" s="100"/>
      <c r="AG64" s="100"/>
      <c r="AH64" s="100"/>
      <c r="AI64" s="100"/>
      <c r="AJ64" s="100"/>
      <c r="AK64" s="100"/>
      <c r="AL64" s="100"/>
      <c r="AM64" s="100"/>
      <c r="AN64" s="100"/>
      <c r="AO64" s="100"/>
      <c r="AP64" s="100"/>
      <c r="AQ64" s="100"/>
      <c r="AR64" s="100"/>
      <c r="AS64" s="100"/>
      <c r="AT64" s="100"/>
      <c r="AU64" s="100"/>
      <c r="AV64" s="100"/>
      <c r="AW64" s="100"/>
      <c r="AX64" s="100"/>
      <c r="AY64" s="100"/>
      <c r="AZ64" s="100"/>
      <c r="BA64" s="100"/>
      <c r="BB64" s="100"/>
      <c r="BC64" s="100"/>
      <c r="BD64" s="100"/>
      <c r="BE64" s="100"/>
    </row>
    <row r="65" spans="1:57">
      <c r="A65" s="100"/>
      <c r="B65" s="100"/>
      <c r="C65" s="100"/>
      <c r="D65" s="102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/>
      <c r="AE65" s="100"/>
      <c r="AF65" s="100"/>
      <c r="AG65" s="100"/>
      <c r="AH65" s="100"/>
      <c r="AI65" s="100"/>
      <c r="AJ65" s="100"/>
      <c r="AK65" s="100"/>
      <c r="AL65" s="100"/>
      <c r="AM65" s="100"/>
      <c r="AN65" s="100"/>
      <c r="AO65" s="100"/>
      <c r="AP65" s="100"/>
      <c r="AQ65" s="100"/>
      <c r="AR65" s="100"/>
      <c r="AS65" s="100"/>
      <c r="AT65" s="100"/>
      <c r="AU65" s="100"/>
      <c r="AV65" s="100"/>
      <c r="AW65" s="100"/>
      <c r="AX65" s="100"/>
      <c r="AY65" s="100"/>
      <c r="AZ65" s="100"/>
      <c r="BA65" s="100"/>
      <c r="BB65" s="100"/>
      <c r="BC65" s="100"/>
      <c r="BD65" s="100"/>
      <c r="BE65" s="100"/>
    </row>
    <row r="66" spans="1:57">
      <c r="A66" s="100"/>
      <c r="B66" s="100"/>
      <c r="C66" s="100"/>
      <c r="D66" s="102"/>
      <c r="E66" s="100"/>
      <c r="F66" s="100"/>
      <c r="G66" s="100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/>
      <c r="AE66" s="100"/>
      <c r="AF66" s="100"/>
      <c r="AG66" s="100"/>
      <c r="AH66" s="100"/>
      <c r="AI66" s="100"/>
      <c r="AJ66" s="100"/>
      <c r="AK66" s="100"/>
      <c r="AL66" s="100"/>
      <c r="AM66" s="100"/>
      <c r="AN66" s="100"/>
      <c r="AO66" s="100"/>
      <c r="AP66" s="100"/>
      <c r="AQ66" s="100"/>
      <c r="AR66" s="100"/>
      <c r="AS66" s="100"/>
      <c r="AT66" s="100"/>
      <c r="AU66" s="100"/>
      <c r="AV66" s="100"/>
      <c r="AW66" s="100"/>
      <c r="AX66" s="100"/>
      <c r="AY66" s="100"/>
      <c r="AZ66" s="100"/>
      <c r="BA66" s="100"/>
      <c r="BB66" s="100"/>
      <c r="BC66" s="100"/>
      <c r="BD66" s="100"/>
      <c r="BE66" s="100"/>
    </row>
    <row r="67" spans="1:57">
      <c r="A67" s="100"/>
      <c r="B67" s="100"/>
      <c r="C67" s="100"/>
      <c r="D67" s="102"/>
      <c r="E67" s="100"/>
      <c r="F67" s="100"/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  <c r="AD67" s="100"/>
      <c r="AE67" s="100"/>
      <c r="AF67" s="100"/>
      <c r="AG67" s="100"/>
      <c r="AH67" s="100"/>
      <c r="AI67" s="100"/>
      <c r="AJ67" s="100"/>
      <c r="AK67" s="100"/>
      <c r="AL67" s="100"/>
      <c r="AM67" s="100"/>
      <c r="AN67" s="100"/>
      <c r="AO67" s="100"/>
      <c r="AP67" s="100"/>
      <c r="AQ67" s="100"/>
      <c r="AR67" s="100"/>
      <c r="AS67" s="100"/>
      <c r="AT67" s="100"/>
      <c r="AU67" s="100"/>
      <c r="AV67" s="100"/>
      <c r="AW67" s="100"/>
      <c r="AX67" s="100"/>
      <c r="AY67" s="100"/>
      <c r="AZ67" s="100"/>
      <c r="BA67" s="100"/>
      <c r="BB67" s="100"/>
      <c r="BC67" s="100"/>
      <c r="BD67" s="100"/>
      <c r="BE67" s="100"/>
    </row>
    <row r="68" spans="1:57">
      <c r="A68" s="100"/>
      <c r="B68" s="100"/>
      <c r="C68" s="100"/>
      <c r="D68" s="102"/>
      <c r="E68" s="100"/>
      <c r="F68" s="100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  <c r="AI68" s="100"/>
      <c r="AJ68" s="100"/>
      <c r="AK68" s="100"/>
      <c r="AL68" s="100"/>
      <c r="AM68" s="100"/>
      <c r="AN68" s="100"/>
      <c r="AO68" s="100"/>
      <c r="AP68" s="100"/>
      <c r="AQ68" s="100"/>
      <c r="AR68" s="100"/>
      <c r="AS68" s="100"/>
      <c r="AT68" s="100"/>
      <c r="AU68" s="100"/>
      <c r="AV68" s="100"/>
      <c r="AW68" s="100"/>
      <c r="AX68" s="100"/>
      <c r="AY68" s="100"/>
      <c r="AZ68" s="100"/>
      <c r="BA68" s="100"/>
      <c r="BB68" s="100"/>
      <c r="BC68" s="100"/>
      <c r="BD68" s="100"/>
      <c r="BE68" s="100"/>
    </row>
    <row r="69" spans="1:57">
      <c r="A69" s="100"/>
      <c r="B69" s="100"/>
      <c r="C69" s="100"/>
      <c r="D69" s="102"/>
      <c r="E69" s="100"/>
      <c r="F69" s="100"/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100"/>
      <c r="AC69" s="100"/>
      <c r="AD69" s="100"/>
      <c r="AE69" s="100"/>
      <c r="AF69" s="100"/>
      <c r="AG69" s="100"/>
      <c r="AH69" s="100"/>
      <c r="AI69" s="100"/>
      <c r="AJ69" s="100"/>
      <c r="AK69" s="100"/>
      <c r="AL69" s="100"/>
      <c r="AM69" s="100"/>
      <c r="AN69" s="100"/>
      <c r="AO69" s="100"/>
      <c r="AP69" s="100"/>
      <c r="AQ69" s="100"/>
      <c r="AR69" s="100"/>
      <c r="AS69" s="100"/>
      <c r="AT69" s="100"/>
      <c r="AU69" s="100"/>
      <c r="AV69" s="100"/>
      <c r="AW69" s="100"/>
      <c r="AX69" s="100"/>
      <c r="AY69" s="100"/>
      <c r="AZ69" s="100"/>
      <c r="BA69" s="100"/>
      <c r="BB69" s="100"/>
      <c r="BC69" s="100"/>
      <c r="BD69" s="100"/>
      <c r="BE69" s="100"/>
    </row>
    <row r="70" spans="1:57">
      <c r="A70" s="100"/>
      <c r="B70" s="100"/>
      <c r="C70" s="100"/>
      <c r="D70" s="102"/>
      <c r="E70" s="100"/>
      <c r="F70" s="100"/>
      <c r="G70" s="100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  <c r="AE70" s="100"/>
      <c r="AF70" s="100"/>
      <c r="AG70" s="100"/>
      <c r="AH70" s="100"/>
      <c r="AI70" s="100"/>
      <c r="AJ70" s="100"/>
      <c r="AK70" s="100"/>
      <c r="AL70" s="100"/>
      <c r="AM70" s="100"/>
      <c r="AN70" s="100"/>
      <c r="AO70" s="100"/>
      <c r="AP70" s="100"/>
      <c r="AQ70" s="100"/>
      <c r="AR70" s="100"/>
      <c r="AS70" s="100"/>
      <c r="AT70" s="100"/>
      <c r="AU70" s="100"/>
      <c r="AV70" s="100"/>
      <c r="AW70" s="100"/>
      <c r="AX70" s="100"/>
      <c r="AY70" s="100"/>
      <c r="AZ70" s="100"/>
      <c r="BA70" s="100"/>
      <c r="BB70" s="100"/>
      <c r="BC70" s="100"/>
      <c r="BD70" s="100"/>
      <c r="BE70" s="100"/>
    </row>
    <row r="71" spans="1:57" ht="18" customHeight="1">
      <c r="A71" s="318" t="s">
        <v>70</v>
      </c>
      <c r="B71" s="319"/>
      <c r="C71" s="318"/>
      <c r="D71" s="318"/>
      <c r="E71" s="318"/>
      <c r="F71" s="318"/>
      <c r="G71" s="318"/>
      <c r="H71" s="318"/>
      <c r="I71" s="318"/>
      <c r="J71" s="320"/>
      <c r="K71" s="320"/>
      <c r="L71" s="605" t="s">
        <v>327</v>
      </c>
      <c r="M71" s="605"/>
      <c r="N71" s="605"/>
      <c r="O71" s="605"/>
      <c r="P71" s="605"/>
      <c r="Q71" s="605"/>
      <c r="R71" s="109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/>
      <c r="AE71" s="100"/>
      <c r="AF71" s="100"/>
      <c r="AG71" s="100"/>
      <c r="AH71" s="100"/>
      <c r="AI71" s="100"/>
      <c r="AJ71" s="100"/>
      <c r="AK71" s="100"/>
      <c r="AL71" s="100"/>
      <c r="AM71" s="100"/>
      <c r="AN71" s="100"/>
      <c r="AO71" s="100"/>
      <c r="AP71" s="100"/>
      <c r="AQ71" s="100"/>
      <c r="AR71" s="100"/>
      <c r="AS71" s="100"/>
      <c r="AT71" s="100"/>
      <c r="AU71" s="100"/>
      <c r="AV71" s="100"/>
      <c r="AW71" s="100"/>
      <c r="AX71" s="100"/>
      <c r="AY71" s="100"/>
      <c r="AZ71" s="100"/>
      <c r="BA71" s="100"/>
      <c r="BB71" s="100"/>
      <c r="BC71" s="100"/>
      <c r="BD71" s="100"/>
      <c r="BE71" s="100"/>
    </row>
    <row r="72" spans="1:57" ht="15">
      <c r="A72" s="118"/>
      <c r="B72" s="118"/>
      <c r="C72" s="119"/>
      <c r="D72" s="120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  <c r="AE72" s="100"/>
      <c r="AF72" s="100"/>
      <c r="AG72" s="100"/>
      <c r="AH72" s="100"/>
      <c r="AI72" s="100"/>
      <c r="AJ72" s="100"/>
      <c r="AK72" s="100"/>
      <c r="AL72" s="100"/>
      <c r="AM72" s="100"/>
      <c r="AN72" s="100"/>
      <c r="AO72" s="100"/>
      <c r="AP72" s="100"/>
      <c r="AQ72" s="100"/>
      <c r="AR72" s="100"/>
      <c r="AS72" s="100"/>
      <c r="AT72" s="100"/>
      <c r="AU72" s="100"/>
      <c r="AV72" s="100"/>
      <c r="AW72" s="100"/>
      <c r="AX72" s="100"/>
      <c r="AY72" s="100"/>
      <c r="AZ72" s="100"/>
      <c r="BA72" s="100"/>
      <c r="BB72" s="100"/>
      <c r="BC72" s="100"/>
      <c r="BD72" s="100"/>
      <c r="BE72" s="100"/>
    </row>
    <row r="73" spans="1:57" ht="15.75">
      <c r="A73" s="100"/>
      <c r="B73" s="100"/>
      <c r="C73" s="100"/>
      <c r="D73" s="102"/>
      <c r="E73" s="100"/>
      <c r="F73" s="100"/>
      <c r="G73" s="100"/>
      <c r="H73" s="100"/>
      <c r="I73" s="100"/>
      <c r="J73" s="100"/>
      <c r="K73" s="100"/>
      <c r="L73" s="111"/>
      <c r="M73" s="111"/>
      <c r="N73" s="111"/>
      <c r="O73" s="111"/>
      <c r="P73" s="111"/>
      <c r="Q73" s="111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00"/>
      <c r="AK73" s="100"/>
      <c r="AL73" s="100"/>
      <c r="AM73" s="100"/>
      <c r="AN73" s="100"/>
      <c r="AO73" s="100"/>
      <c r="AP73" s="100"/>
      <c r="AQ73" s="100"/>
      <c r="AR73" s="100"/>
      <c r="AS73" s="100"/>
      <c r="AT73" s="100"/>
      <c r="AU73" s="100"/>
      <c r="AV73" s="100"/>
      <c r="AW73" s="100"/>
      <c r="AX73" s="100"/>
      <c r="AY73" s="100"/>
      <c r="AZ73" s="100"/>
      <c r="BA73" s="100"/>
      <c r="BB73" s="100"/>
      <c r="BC73" s="100"/>
      <c r="BD73" s="100"/>
      <c r="BE73" s="100"/>
    </row>
    <row r="74" spans="1:57">
      <c r="A74" s="100"/>
      <c r="B74" s="100"/>
      <c r="C74" s="100"/>
      <c r="D74" s="102"/>
      <c r="E74" s="100"/>
      <c r="F74" s="100"/>
      <c r="G74" s="100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00"/>
      <c r="AK74" s="100"/>
      <c r="AL74" s="100"/>
      <c r="AM74" s="100"/>
      <c r="AN74" s="100"/>
      <c r="AO74" s="100"/>
      <c r="AP74" s="100"/>
      <c r="AQ74" s="100"/>
      <c r="AR74" s="100"/>
      <c r="AS74" s="100"/>
      <c r="AT74" s="100"/>
      <c r="AU74" s="100"/>
      <c r="AV74" s="100"/>
      <c r="AW74" s="100"/>
      <c r="AX74" s="100"/>
      <c r="AY74" s="100"/>
      <c r="AZ74" s="100"/>
      <c r="BA74" s="100"/>
      <c r="BB74" s="100"/>
      <c r="BC74" s="100"/>
      <c r="BD74" s="100"/>
      <c r="BE74" s="100"/>
    </row>
    <row r="75" spans="1:57">
      <c r="A75" s="100"/>
      <c r="B75" s="100"/>
      <c r="C75" s="100"/>
      <c r="D75" s="102"/>
      <c r="E75" s="100"/>
      <c r="F75" s="100"/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  <c r="AD75" s="100"/>
      <c r="AE75" s="100"/>
      <c r="AF75" s="100"/>
      <c r="AG75" s="100"/>
      <c r="AH75" s="100"/>
      <c r="AI75" s="100"/>
      <c r="AJ75" s="100"/>
      <c r="AK75" s="100"/>
      <c r="AL75" s="100"/>
      <c r="AM75" s="100"/>
      <c r="AN75" s="100"/>
      <c r="AO75" s="100"/>
      <c r="AP75" s="100"/>
      <c r="AQ75" s="100"/>
      <c r="AR75" s="100"/>
      <c r="AS75" s="100"/>
      <c r="AT75" s="100"/>
      <c r="AU75" s="100"/>
      <c r="AV75" s="100"/>
      <c r="AW75" s="100"/>
      <c r="AX75" s="100"/>
      <c r="AY75" s="100"/>
      <c r="AZ75" s="100"/>
      <c r="BA75" s="100"/>
      <c r="BB75" s="100"/>
      <c r="BC75" s="100"/>
      <c r="BD75" s="100"/>
      <c r="BE75" s="100"/>
    </row>
    <row r="77" spans="1:57">
      <c r="AY77" t="s">
        <v>302</v>
      </c>
    </row>
  </sheetData>
  <sheetProtection selectLockedCells="1" selectUnlockedCells="1"/>
  <mergeCells count="81">
    <mergeCell ref="AE3:AF4"/>
    <mergeCell ref="AG3:AI4"/>
    <mergeCell ref="AI5:AI6"/>
    <mergeCell ref="AY2:BC2"/>
    <mergeCell ref="A3:A6"/>
    <mergeCell ref="B3:G3"/>
    <mergeCell ref="H3:P3"/>
    <mergeCell ref="Q3:U3"/>
    <mergeCell ref="V3:V6"/>
    <mergeCell ref="W3:W6"/>
    <mergeCell ref="X3:X6"/>
    <mergeCell ref="Y3:Y6"/>
    <mergeCell ref="Z3:Z6"/>
    <mergeCell ref="P4:P6"/>
    <mergeCell ref="L4:L6"/>
    <mergeCell ref="M4:M6"/>
    <mergeCell ref="CJ3:CM5"/>
    <mergeCell ref="B4:B6"/>
    <mergeCell ref="C4:C6"/>
    <mergeCell ref="D4:D6"/>
    <mergeCell ref="E4:E6"/>
    <mergeCell ref="F4:F6"/>
    <mergeCell ref="G4:G6"/>
    <mergeCell ref="H4:H6"/>
    <mergeCell ref="I4:I6"/>
    <mergeCell ref="J4:J6"/>
    <mergeCell ref="BD3:BD6"/>
    <mergeCell ref="BE3:BE6"/>
    <mergeCell ref="BK3:BQ5"/>
    <mergeCell ref="BR3:BX5"/>
    <mergeCell ref="BY3:CE5"/>
    <mergeCell ref="K4:K6"/>
    <mergeCell ref="AA3:AA6"/>
    <mergeCell ref="AB3:AB6"/>
    <mergeCell ref="N4:N6"/>
    <mergeCell ref="O4:O6"/>
    <mergeCell ref="DD4:DH4"/>
    <mergeCell ref="AE5:AE6"/>
    <mergeCell ref="AF5:AF6"/>
    <mergeCell ref="AG5:AG6"/>
    <mergeCell ref="AH5:AH6"/>
    <mergeCell ref="CF3:CI5"/>
    <mergeCell ref="AQ3:AQ6"/>
    <mergeCell ref="AS3:AS6"/>
    <mergeCell ref="AT3:AY4"/>
    <mergeCell ref="AZ3:AZ6"/>
    <mergeCell ref="BA3:BB4"/>
    <mergeCell ref="BC3:BC6"/>
    <mergeCell ref="Q4:Q6"/>
    <mergeCell ref="R4:R6"/>
    <mergeCell ref="S4:S6"/>
    <mergeCell ref="T4:T6"/>
    <mergeCell ref="U4:U6"/>
    <mergeCell ref="AC3:AC6"/>
    <mergeCell ref="AD3:AD6"/>
    <mergeCell ref="DA5:DB5"/>
    <mergeCell ref="CO39:CP39"/>
    <mergeCell ref="CQ39:CU39"/>
    <mergeCell ref="CV39:CY39"/>
    <mergeCell ref="AX5:AX6"/>
    <mergeCell ref="AY5:AY6"/>
    <mergeCell ref="AJ3:AK6"/>
    <mergeCell ref="AL3:AL6"/>
    <mergeCell ref="AM3:AM6"/>
    <mergeCell ref="AN3:AN6"/>
    <mergeCell ref="AO3:AO6"/>
    <mergeCell ref="AP3:AP6"/>
    <mergeCell ref="AT5:AT6"/>
    <mergeCell ref="AW5:AW6"/>
    <mergeCell ref="CO40:CU40"/>
    <mergeCell ref="BD58:BE58"/>
    <mergeCell ref="BD59:BE59"/>
    <mergeCell ref="BD60:BE60"/>
    <mergeCell ref="L71:Q71"/>
    <mergeCell ref="N46:O46"/>
    <mergeCell ref="AZ46:BE47"/>
    <mergeCell ref="AZ48:BC49"/>
    <mergeCell ref="BD48:BD49"/>
    <mergeCell ref="AZ51:BC52"/>
    <mergeCell ref="BD51:BD52"/>
    <mergeCell ref="AT42:AV42"/>
  </mergeCells>
  <printOptions horizontalCentered="1" verticalCentered="1"/>
  <pageMargins left="0" right="0" top="0" bottom="0" header="0" footer="0"/>
  <pageSetup paperSize="9" scale="46" firstPageNumber="0" orientation="landscape" r:id="rId1"/>
  <headerFooter alignWithMargins="0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>
  <dimension ref="A1:DO77"/>
  <sheetViews>
    <sheetView showZeros="0" zoomScale="94" zoomScaleNormal="94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R45" sqref="R45"/>
    </sheetView>
  </sheetViews>
  <sheetFormatPr defaultColWidth="8.7109375" defaultRowHeight="12.75"/>
  <cols>
    <col min="1" max="1" width="3.5703125" customWidth="1"/>
    <col min="2" max="2" width="9.7109375" customWidth="1"/>
    <col min="3" max="3" width="6" customWidth="1"/>
    <col min="4" max="4" width="12" style="1" hidden="1" customWidth="1"/>
    <col min="5" max="5" width="7.140625" customWidth="1"/>
    <col min="6" max="6" width="7.5703125" customWidth="1"/>
    <col min="7" max="7" width="7.7109375" customWidth="1"/>
    <col min="8" max="8" width="7.28515625" customWidth="1"/>
    <col min="9" max="9" width="7.42578125" hidden="1" customWidth="1"/>
    <col min="10" max="10" width="9.140625" customWidth="1"/>
    <col min="11" max="11" width="5.5703125" hidden="1" customWidth="1"/>
    <col min="12" max="12" width="8.42578125" customWidth="1"/>
    <col min="13" max="13" width="7.42578125" customWidth="1"/>
    <col min="14" max="14" width="6.140625" customWidth="1"/>
    <col min="15" max="15" width="8.140625" customWidth="1"/>
    <col min="16" max="16" width="9.85546875" hidden="1" customWidth="1"/>
    <col min="17" max="17" width="9.28515625" customWidth="1"/>
    <col min="18" max="18" width="6" customWidth="1"/>
    <col min="19" max="19" width="8.140625" customWidth="1"/>
    <col min="20" max="20" width="9.140625" hidden="1" customWidth="1"/>
    <col min="21" max="21" width="7.140625" customWidth="1"/>
    <col min="22" max="22" width="7.85546875" customWidth="1"/>
    <col min="23" max="23" width="8.28515625" customWidth="1"/>
    <col min="24" max="24" width="6" customWidth="1"/>
    <col min="25" max="25" width="5.42578125" customWidth="1"/>
    <col min="26" max="26" width="6.85546875" customWidth="1"/>
    <col min="27" max="27" width="6.5703125" customWidth="1"/>
    <col min="28" max="28" width="7.5703125" customWidth="1"/>
    <col min="29" max="29" width="6.5703125" customWidth="1"/>
    <col min="30" max="30" width="4.28515625" customWidth="1"/>
    <col min="31" max="32" width="6.85546875" customWidth="1"/>
    <col min="33" max="33" width="0" hidden="1" customWidth="1"/>
    <col min="34" max="34" width="8.42578125" customWidth="1"/>
    <col min="35" max="35" width="7" customWidth="1"/>
    <col min="36" max="36" width="7.85546875" customWidth="1"/>
    <col min="37" max="37" width="0" hidden="1" customWidth="1"/>
    <col min="38" max="38" width="6.7109375" customWidth="1"/>
    <col min="39" max="39" width="7.7109375" customWidth="1"/>
    <col min="40" max="40" width="7" hidden="1" customWidth="1"/>
    <col min="41" max="41" width="9.42578125" customWidth="1"/>
    <col min="42" max="42" width="6.28515625" customWidth="1"/>
    <col min="43" max="43" width="6.85546875" customWidth="1"/>
    <col min="44" max="44" width="0" hidden="1" customWidth="1"/>
    <col min="45" max="45" width="6.7109375" customWidth="1"/>
    <col min="46" max="46" width="9.7109375" customWidth="1"/>
    <col min="47" max="47" width="7" customWidth="1"/>
    <col min="48" max="48" width="0" hidden="1" customWidth="1"/>
    <col min="49" max="49" width="6.140625" hidden="1" customWidth="1"/>
    <col min="50" max="50" width="5.140625" hidden="1" customWidth="1"/>
    <col min="51" max="51" width="8.42578125" customWidth="1"/>
    <col min="52" max="52" width="10" customWidth="1"/>
    <col min="53" max="53" width="8.7109375" hidden="1" customWidth="1"/>
    <col min="54" max="54" width="3.85546875" hidden="1" customWidth="1"/>
    <col min="55" max="55" width="6.5703125" customWidth="1"/>
    <col min="56" max="56" width="6.140625" customWidth="1"/>
    <col min="57" max="57" width="6.7109375" customWidth="1"/>
    <col min="58" max="58" width="8.85546875" customWidth="1"/>
    <col min="59" max="59" width="7.85546875" customWidth="1"/>
    <col min="60" max="60" width="9.85546875" customWidth="1"/>
    <col min="61" max="62" width="8.7109375" customWidth="1"/>
    <col min="63" max="63" width="10.28515625" customWidth="1"/>
    <col min="64" max="64" width="10.85546875" customWidth="1"/>
    <col min="65" max="65" width="10.7109375" customWidth="1"/>
    <col min="66" max="66" width="11.28515625" customWidth="1"/>
    <col min="67" max="68" width="8.85546875" customWidth="1"/>
    <col min="69" max="69" width="11.28515625" customWidth="1"/>
    <col min="70" max="70" width="7.7109375" customWidth="1"/>
    <col min="71" max="71" width="10" customWidth="1"/>
    <col min="72" max="72" width="8.85546875" customWidth="1"/>
    <col min="73" max="73" width="10.140625" customWidth="1"/>
    <col min="74" max="75" width="8.85546875" customWidth="1"/>
    <col min="76" max="76" width="10.85546875" customWidth="1"/>
    <col min="77" max="78" width="8.7109375" customWidth="1"/>
    <col min="79" max="79" width="10" customWidth="1"/>
    <col min="80" max="80" width="10.42578125" customWidth="1"/>
    <col min="81" max="82" width="8.42578125" customWidth="1"/>
    <col min="83" max="83" width="9.85546875" customWidth="1"/>
    <col min="84" max="85" width="11.42578125" customWidth="1"/>
    <col min="86" max="86" width="11.140625" customWidth="1"/>
    <col min="87" max="87" width="11.28515625" customWidth="1"/>
    <col min="88" max="89" width="10" customWidth="1"/>
    <col min="90" max="90" width="8.7109375" customWidth="1"/>
    <col min="91" max="91" width="11.85546875" customWidth="1"/>
    <col min="92" max="92" width="8.7109375" customWidth="1"/>
    <col min="93" max="93" width="12.140625" customWidth="1"/>
    <col min="94" max="94" width="12.5703125" customWidth="1"/>
    <col min="95" max="95" width="11.7109375" customWidth="1"/>
    <col min="96" max="98" width="12.28515625" customWidth="1"/>
    <col min="99" max="99" width="13.28515625" customWidth="1"/>
    <col min="100" max="100" width="12.85546875" customWidth="1"/>
    <col min="101" max="101" width="13.42578125" customWidth="1"/>
    <col min="102" max="103" width="12.5703125" customWidth="1"/>
    <col min="104" max="104" width="9.5703125" customWidth="1"/>
    <col min="105" max="105" width="19.140625" customWidth="1"/>
    <col min="106" max="106" width="19.42578125" customWidth="1"/>
    <col min="111" max="111" width="8.7109375" hidden="1" customWidth="1"/>
    <col min="112" max="112" width="9" bestFit="1" customWidth="1"/>
    <col min="114" max="114" width="9.5703125" bestFit="1" customWidth="1"/>
  </cols>
  <sheetData>
    <row r="1" spans="1:119" ht="17.25" customHeight="1">
      <c r="A1" s="310" t="s">
        <v>0</v>
      </c>
      <c r="B1" s="310"/>
      <c r="C1" s="310"/>
      <c r="D1" s="311"/>
      <c r="E1" s="310"/>
      <c r="F1" s="310"/>
      <c r="G1" s="310"/>
      <c r="H1" s="310"/>
      <c r="I1" s="310"/>
      <c r="J1" s="310"/>
      <c r="K1" s="310"/>
      <c r="L1" s="310"/>
      <c r="M1" s="310"/>
      <c r="N1" s="310"/>
      <c r="O1" s="310"/>
      <c r="P1" s="77"/>
      <c r="Q1" s="77"/>
      <c r="R1" s="77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</row>
    <row r="2" spans="1:119" ht="19.5" customHeight="1" thickBot="1">
      <c r="A2" s="22"/>
      <c r="B2" s="78"/>
      <c r="C2" s="78"/>
      <c r="D2" s="79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80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80"/>
      <c r="AT2" s="312" t="s">
        <v>1</v>
      </c>
      <c r="AU2" s="313">
        <v>30</v>
      </c>
      <c r="AV2" s="314"/>
      <c r="AW2" s="314"/>
      <c r="AX2" s="315" t="s">
        <v>81</v>
      </c>
      <c r="AY2" s="556" t="s">
        <v>388</v>
      </c>
      <c r="AZ2" s="556"/>
      <c r="BA2" s="556"/>
      <c r="BB2" s="556"/>
      <c r="BC2" s="556"/>
      <c r="BD2" s="316" t="s">
        <v>107</v>
      </c>
      <c r="BE2" s="317"/>
    </row>
    <row r="3" spans="1:119" ht="39.75" customHeight="1" thickBot="1">
      <c r="A3" s="557" t="s">
        <v>3</v>
      </c>
      <c r="B3" s="558" t="s">
        <v>71</v>
      </c>
      <c r="C3" s="558"/>
      <c r="D3" s="558"/>
      <c r="E3" s="558"/>
      <c r="F3" s="558"/>
      <c r="G3" s="558"/>
      <c r="H3" s="554" t="s">
        <v>4</v>
      </c>
      <c r="I3" s="554"/>
      <c r="J3" s="554"/>
      <c r="K3" s="554"/>
      <c r="L3" s="554"/>
      <c r="M3" s="554"/>
      <c r="N3" s="554"/>
      <c r="O3" s="554"/>
      <c r="P3" s="559"/>
      <c r="Q3" s="560" t="s">
        <v>5</v>
      </c>
      <c r="R3" s="561"/>
      <c r="S3" s="561"/>
      <c r="T3" s="561"/>
      <c r="U3" s="562"/>
      <c r="V3" s="563" t="s">
        <v>6</v>
      </c>
      <c r="W3" s="563" t="s">
        <v>7</v>
      </c>
      <c r="X3" s="564" t="s">
        <v>8</v>
      </c>
      <c r="Y3" s="564" t="s">
        <v>9</v>
      </c>
      <c r="Z3" s="564" t="s">
        <v>10</v>
      </c>
      <c r="AA3" s="564" t="s">
        <v>11</v>
      </c>
      <c r="AB3" s="564" t="s">
        <v>12</v>
      </c>
      <c r="AC3" s="564" t="s">
        <v>13</v>
      </c>
      <c r="AD3" s="564" t="s">
        <v>14</v>
      </c>
      <c r="AE3" s="554" t="s">
        <v>15</v>
      </c>
      <c r="AF3" s="554"/>
      <c r="AG3" s="554" t="s">
        <v>16</v>
      </c>
      <c r="AH3" s="554"/>
      <c r="AI3" s="554"/>
      <c r="AJ3" s="593" t="s">
        <v>17</v>
      </c>
      <c r="AK3" s="593"/>
      <c r="AL3" s="564" t="s">
        <v>18</v>
      </c>
      <c r="AM3" s="599" t="s">
        <v>19</v>
      </c>
      <c r="AN3" s="600" t="s">
        <v>95</v>
      </c>
      <c r="AO3" s="603" t="s">
        <v>20</v>
      </c>
      <c r="AP3" s="564" t="s">
        <v>105</v>
      </c>
      <c r="AQ3" s="564" t="s">
        <v>21</v>
      </c>
      <c r="AR3" s="81"/>
      <c r="AS3" s="593" t="s">
        <v>22</v>
      </c>
      <c r="AT3" s="554" t="s">
        <v>23</v>
      </c>
      <c r="AU3" s="554"/>
      <c r="AV3" s="554"/>
      <c r="AW3" s="554"/>
      <c r="AX3" s="554"/>
      <c r="AY3" s="554"/>
      <c r="AZ3" s="564" t="s">
        <v>24</v>
      </c>
      <c r="BA3" s="594" t="s">
        <v>25</v>
      </c>
      <c r="BB3" s="594"/>
      <c r="BC3" s="564" t="s">
        <v>26</v>
      </c>
      <c r="BD3" s="564" t="s">
        <v>27</v>
      </c>
      <c r="BE3" s="572" t="s">
        <v>28</v>
      </c>
      <c r="BF3" s="3"/>
      <c r="BG3" s="3"/>
      <c r="BH3" s="3"/>
      <c r="BI3" s="3"/>
      <c r="BJ3" s="3"/>
      <c r="BK3" s="573" t="s">
        <v>29</v>
      </c>
      <c r="BL3" s="574"/>
      <c r="BM3" s="574"/>
      <c r="BN3" s="574"/>
      <c r="BO3" s="575"/>
      <c r="BP3" s="575"/>
      <c r="BQ3" s="576"/>
      <c r="BR3" s="573" t="s">
        <v>30</v>
      </c>
      <c r="BS3" s="585"/>
      <c r="BT3" s="585"/>
      <c r="BU3" s="585"/>
      <c r="BV3" s="585"/>
      <c r="BW3" s="585"/>
      <c r="BX3" s="586"/>
      <c r="BY3" s="566" t="s">
        <v>31</v>
      </c>
      <c r="BZ3" s="566"/>
      <c r="CA3" s="566"/>
      <c r="CB3" s="566"/>
      <c r="CC3" s="566"/>
      <c r="CD3" s="566"/>
      <c r="CE3" s="566"/>
      <c r="CF3" s="566" t="s">
        <v>87</v>
      </c>
      <c r="CG3" s="566"/>
      <c r="CH3" s="566"/>
      <c r="CI3" s="566"/>
      <c r="CJ3" s="566" t="s">
        <v>32</v>
      </c>
      <c r="CK3" s="566"/>
      <c r="CL3" s="566"/>
      <c r="CM3" s="566"/>
      <c r="CN3" s="4"/>
      <c r="CO3" s="5"/>
      <c r="CP3" s="6"/>
      <c r="CQ3" s="6"/>
    </row>
    <row r="4" spans="1:119" s="7" customFormat="1" ht="30.75" customHeight="1" thickBot="1">
      <c r="A4" s="557"/>
      <c r="B4" s="565" t="s">
        <v>72</v>
      </c>
      <c r="C4" s="613" t="s">
        <v>73</v>
      </c>
      <c r="D4" s="615" t="s">
        <v>33</v>
      </c>
      <c r="E4" s="613" t="s">
        <v>74</v>
      </c>
      <c r="F4" s="569" t="s">
        <v>75</v>
      </c>
      <c r="G4" s="569" t="s">
        <v>34</v>
      </c>
      <c r="H4" s="555" t="s">
        <v>76</v>
      </c>
      <c r="I4" s="570" t="s">
        <v>101</v>
      </c>
      <c r="J4" s="555" t="s">
        <v>89</v>
      </c>
      <c r="K4" s="565" t="s">
        <v>35</v>
      </c>
      <c r="L4" s="565" t="s">
        <v>77</v>
      </c>
      <c r="M4" s="565" t="s">
        <v>78</v>
      </c>
      <c r="N4" s="565" t="s">
        <v>101</v>
      </c>
      <c r="O4" s="565" t="s">
        <v>96</v>
      </c>
      <c r="P4" s="555" t="s">
        <v>79</v>
      </c>
      <c r="Q4" s="555" t="s">
        <v>36</v>
      </c>
      <c r="R4" s="555" t="s">
        <v>32</v>
      </c>
      <c r="S4" s="555" t="s">
        <v>37</v>
      </c>
      <c r="T4" s="555" t="s">
        <v>38</v>
      </c>
      <c r="U4" s="555" t="s">
        <v>39</v>
      </c>
      <c r="V4" s="563"/>
      <c r="W4" s="563"/>
      <c r="X4" s="564"/>
      <c r="Y4" s="564"/>
      <c r="Z4" s="564"/>
      <c r="AA4" s="564"/>
      <c r="AB4" s="564"/>
      <c r="AC4" s="564"/>
      <c r="AD4" s="564"/>
      <c r="AE4" s="554"/>
      <c r="AF4" s="554"/>
      <c r="AG4" s="554"/>
      <c r="AH4" s="554"/>
      <c r="AI4" s="554"/>
      <c r="AJ4" s="593"/>
      <c r="AK4" s="593"/>
      <c r="AL4" s="564"/>
      <c r="AM4" s="599"/>
      <c r="AN4" s="601"/>
      <c r="AO4" s="603"/>
      <c r="AP4" s="564"/>
      <c r="AQ4" s="564"/>
      <c r="AR4" s="82"/>
      <c r="AS4" s="593"/>
      <c r="AT4" s="554"/>
      <c r="AU4" s="554"/>
      <c r="AV4" s="554"/>
      <c r="AW4" s="554"/>
      <c r="AX4" s="554"/>
      <c r="AY4" s="554"/>
      <c r="AZ4" s="564"/>
      <c r="BA4" s="594"/>
      <c r="BB4" s="594"/>
      <c r="BC4" s="564"/>
      <c r="BD4" s="564"/>
      <c r="BE4" s="572"/>
      <c r="BF4" s="3"/>
      <c r="BG4" s="3"/>
      <c r="BH4" s="3"/>
      <c r="BI4" s="3"/>
      <c r="BJ4" s="3"/>
      <c r="BK4" s="577"/>
      <c r="BL4" s="578"/>
      <c r="BM4" s="578"/>
      <c r="BN4" s="578"/>
      <c r="BO4" s="579"/>
      <c r="BP4" s="579"/>
      <c r="BQ4" s="580"/>
      <c r="BR4" s="577"/>
      <c r="BS4" s="566"/>
      <c r="BT4" s="566"/>
      <c r="BU4" s="566"/>
      <c r="BV4" s="566"/>
      <c r="BW4" s="566"/>
      <c r="BX4" s="587"/>
      <c r="BY4" s="566"/>
      <c r="BZ4" s="566"/>
      <c r="CA4" s="566"/>
      <c r="CB4" s="566"/>
      <c r="CC4" s="566"/>
      <c r="CD4" s="566"/>
      <c r="CE4" s="566"/>
      <c r="CF4" s="566"/>
      <c r="CG4" s="566"/>
      <c r="CH4" s="566"/>
      <c r="CI4" s="566"/>
      <c r="CJ4" s="566"/>
      <c r="CK4" s="566"/>
      <c r="CL4" s="566"/>
      <c r="CM4" s="566"/>
      <c r="CN4" s="4"/>
      <c r="CO4" s="6"/>
      <c r="CP4" s="6"/>
      <c r="CQ4" s="262"/>
      <c r="CR4" s="231"/>
      <c r="CS4" s="231"/>
      <c r="CT4" s="231"/>
      <c r="CU4" s="231"/>
      <c r="CV4" s="231"/>
      <c r="CW4" s="231"/>
      <c r="CX4" s="231"/>
      <c r="CY4" s="231"/>
      <c r="DD4" s="590" t="s">
        <v>90</v>
      </c>
      <c r="DE4" s="591"/>
      <c r="DF4" s="591"/>
      <c r="DG4" s="591"/>
      <c r="DH4" s="592"/>
    </row>
    <row r="5" spans="1:119" s="7" customFormat="1" ht="8.25" hidden="1" customHeight="1">
      <c r="A5" s="557"/>
      <c r="B5" s="565"/>
      <c r="C5" s="614"/>
      <c r="D5" s="616"/>
      <c r="E5" s="614"/>
      <c r="F5" s="569"/>
      <c r="G5" s="569"/>
      <c r="H5" s="555"/>
      <c r="I5" s="570"/>
      <c r="J5" s="565"/>
      <c r="K5" s="565"/>
      <c r="L5" s="565"/>
      <c r="M5" s="565"/>
      <c r="N5" s="565"/>
      <c r="O5" s="565"/>
      <c r="P5" s="555"/>
      <c r="Q5" s="555"/>
      <c r="R5" s="555"/>
      <c r="S5" s="555"/>
      <c r="T5" s="555"/>
      <c r="U5" s="555"/>
      <c r="V5" s="563"/>
      <c r="W5" s="563"/>
      <c r="X5" s="564"/>
      <c r="Y5" s="564"/>
      <c r="Z5" s="564"/>
      <c r="AA5" s="564"/>
      <c r="AB5" s="564"/>
      <c r="AC5" s="564"/>
      <c r="AD5" s="564"/>
      <c r="AE5" s="555" t="s">
        <v>40</v>
      </c>
      <c r="AF5" s="555" t="s">
        <v>41</v>
      </c>
      <c r="AG5" s="555" t="s">
        <v>42</v>
      </c>
      <c r="AH5" s="555" t="s">
        <v>40</v>
      </c>
      <c r="AI5" s="555" t="s">
        <v>41</v>
      </c>
      <c r="AJ5" s="593"/>
      <c r="AK5" s="593"/>
      <c r="AL5" s="564"/>
      <c r="AM5" s="599"/>
      <c r="AN5" s="601"/>
      <c r="AO5" s="603"/>
      <c r="AP5" s="564"/>
      <c r="AQ5" s="564"/>
      <c r="AR5" s="83"/>
      <c r="AS5" s="593"/>
      <c r="AT5" s="555" t="s">
        <v>43</v>
      </c>
      <c r="AU5" s="84"/>
      <c r="AV5" s="85"/>
      <c r="AW5" s="598" t="s">
        <v>44</v>
      </c>
      <c r="AX5" s="598" t="s">
        <v>45</v>
      </c>
      <c r="AY5" s="555" t="s">
        <v>46</v>
      </c>
      <c r="AZ5" s="564"/>
      <c r="BA5" s="86" t="s">
        <v>47</v>
      </c>
      <c r="BB5" s="86" t="s">
        <v>48</v>
      </c>
      <c r="BC5" s="564"/>
      <c r="BD5" s="564"/>
      <c r="BE5" s="572"/>
      <c r="BF5" s="3"/>
      <c r="BG5" s="3"/>
      <c r="BH5" s="3"/>
      <c r="BI5" s="3"/>
      <c r="BJ5" s="3"/>
      <c r="BK5" s="581"/>
      <c r="BL5" s="582"/>
      <c r="BM5" s="582"/>
      <c r="BN5" s="582"/>
      <c r="BO5" s="583"/>
      <c r="BP5" s="583"/>
      <c r="BQ5" s="584"/>
      <c r="BR5" s="581"/>
      <c r="BS5" s="588"/>
      <c r="BT5" s="588"/>
      <c r="BU5" s="588"/>
      <c r="BV5" s="588"/>
      <c r="BW5" s="588"/>
      <c r="BX5" s="589"/>
      <c r="BY5" s="567"/>
      <c r="BZ5" s="566"/>
      <c r="CA5" s="566"/>
      <c r="CB5" s="566"/>
      <c r="CC5" s="566"/>
      <c r="CD5" s="566"/>
      <c r="CE5" s="566"/>
      <c r="CF5" s="567"/>
      <c r="CG5" s="567"/>
      <c r="CH5" s="567"/>
      <c r="CI5" s="567"/>
      <c r="CJ5" s="567"/>
      <c r="CK5" s="567"/>
      <c r="CL5" s="567"/>
      <c r="CM5" s="567"/>
      <c r="CN5" s="4"/>
      <c r="CO5"/>
      <c r="CP5"/>
      <c r="CQ5" s="255"/>
      <c r="CR5" s="256"/>
      <c r="CS5" s="256"/>
      <c r="CT5" s="256"/>
      <c r="CU5" s="256"/>
      <c r="CV5" s="257"/>
      <c r="CW5" s="257"/>
      <c r="CX5" s="257"/>
      <c r="CY5" s="258"/>
      <c r="DA5" s="595" t="s">
        <v>49</v>
      </c>
      <c r="DB5" s="595"/>
    </row>
    <row r="6" spans="1:119" s="7" customFormat="1" ht="106.5" customHeight="1" thickBot="1">
      <c r="A6" s="557"/>
      <c r="B6" s="565"/>
      <c r="C6" s="565"/>
      <c r="D6" s="568"/>
      <c r="E6" s="565"/>
      <c r="F6" s="569"/>
      <c r="G6" s="569"/>
      <c r="H6" s="555"/>
      <c r="I6" s="570"/>
      <c r="J6" s="571"/>
      <c r="K6" s="565"/>
      <c r="L6" s="565"/>
      <c r="M6" s="565"/>
      <c r="N6" s="565"/>
      <c r="O6" s="565"/>
      <c r="P6" s="565"/>
      <c r="Q6" s="565"/>
      <c r="R6" s="565"/>
      <c r="S6" s="565"/>
      <c r="T6" s="555"/>
      <c r="U6" s="555"/>
      <c r="V6" s="563"/>
      <c r="W6" s="563"/>
      <c r="X6" s="564"/>
      <c r="Y6" s="564"/>
      <c r="Z6" s="564"/>
      <c r="AA6" s="564"/>
      <c r="AB6" s="564"/>
      <c r="AC6" s="564"/>
      <c r="AD6" s="564"/>
      <c r="AE6" s="555"/>
      <c r="AF6" s="555"/>
      <c r="AG6" s="555"/>
      <c r="AH6" s="555"/>
      <c r="AI6" s="555"/>
      <c r="AJ6" s="593"/>
      <c r="AK6" s="593"/>
      <c r="AL6" s="564"/>
      <c r="AM6" s="599"/>
      <c r="AN6" s="602"/>
      <c r="AO6" s="603"/>
      <c r="AP6" s="564"/>
      <c r="AQ6" s="564"/>
      <c r="AR6" s="521"/>
      <c r="AS6" s="593"/>
      <c r="AT6" s="555"/>
      <c r="AU6" s="520" t="s">
        <v>50</v>
      </c>
      <c r="AV6" s="520" t="s">
        <v>51</v>
      </c>
      <c r="AW6" s="598"/>
      <c r="AX6" s="598"/>
      <c r="AY6" s="555"/>
      <c r="AZ6" s="555"/>
      <c r="BA6" s="87"/>
      <c r="BB6" s="88">
        <v>0.04</v>
      </c>
      <c r="BC6" s="564"/>
      <c r="BD6" s="564"/>
      <c r="BE6" s="572"/>
      <c r="BF6" s="8" t="s">
        <v>52</v>
      </c>
      <c r="BG6" s="8" t="s">
        <v>53</v>
      </c>
      <c r="BH6" s="8" t="s">
        <v>54</v>
      </c>
      <c r="BI6" s="3"/>
      <c r="BJ6" s="3"/>
      <c r="BK6" s="308" t="s">
        <v>100</v>
      </c>
      <c r="BL6" s="280" t="s">
        <v>82</v>
      </c>
      <c r="BM6" s="279" t="s">
        <v>262</v>
      </c>
      <c r="BN6" s="307" t="s">
        <v>83</v>
      </c>
      <c r="BO6" s="308" t="s">
        <v>97</v>
      </c>
      <c r="BP6" s="326" t="s">
        <v>99</v>
      </c>
      <c r="BQ6" s="495" t="s">
        <v>393</v>
      </c>
      <c r="BR6" s="308" t="s">
        <v>100</v>
      </c>
      <c r="BS6" s="280" t="s">
        <v>82</v>
      </c>
      <c r="BT6" s="279" t="s">
        <v>262</v>
      </c>
      <c r="BU6" s="327"/>
      <c r="BV6" s="308" t="s">
        <v>97</v>
      </c>
      <c r="BW6" s="326" t="s">
        <v>99</v>
      </c>
      <c r="BX6" s="306"/>
      <c r="BY6" s="308" t="s">
        <v>100</v>
      </c>
      <c r="BZ6" s="280" t="s">
        <v>82</v>
      </c>
      <c r="CA6" s="279" t="s">
        <v>262</v>
      </c>
      <c r="CB6" s="307" t="s">
        <v>83</v>
      </c>
      <c r="CC6" s="308" t="s">
        <v>97</v>
      </c>
      <c r="CD6" s="326" t="s">
        <v>99</v>
      </c>
      <c r="CE6" s="495" t="s">
        <v>393</v>
      </c>
      <c r="CF6" s="267" t="s">
        <v>106</v>
      </c>
      <c r="CG6" s="268" t="s">
        <v>85</v>
      </c>
      <c r="CH6" s="244" t="s">
        <v>109</v>
      </c>
      <c r="CI6" s="245" t="s">
        <v>408</v>
      </c>
      <c r="CJ6" s="267" t="s">
        <v>106</v>
      </c>
      <c r="CK6" s="268" t="s">
        <v>85</v>
      </c>
      <c r="CL6" s="244" t="s">
        <v>109</v>
      </c>
      <c r="CM6" s="245" t="s">
        <v>408</v>
      </c>
      <c r="CN6" s="243"/>
      <c r="CO6" s="10" t="s">
        <v>100</v>
      </c>
      <c r="CP6" s="10" t="s">
        <v>82</v>
      </c>
      <c r="CQ6" s="264" t="s">
        <v>263</v>
      </c>
      <c r="CR6" s="23" t="s">
        <v>83</v>
      </c>
      <c r="CS6" s="248" t="s">
        <v>98</v>
      </c>
      <c r="CT6" s="248" t="s">
        <v>99</v>
      </c>
      <c r="CU6" s="496" t="s">
        <v>394</v>
      </c>
      <c r="CV6" s="259" t="s">
        <v>106</v>
      </c>
      <c r="CW6" s="248" t="s">
        <v>84</v>
      </c>
      <c r="CX6" s="232" t="s">
        <v>108</v>
      </c>
      <c r="CY6" s="263" t="s">
        <v>408</v>
      </c>
      <c r="CZ6" s="253"/>
      <c r="DA6" s="321" t="s">
        <v>80</v>
      </c>
      <c r="DB6" s="321" t="s">
        <v>55</v>
      </c>
      <c r="DD6" s="288" t="s">
        <v>91</v>
      </c>
      <c r="DE6" s="289" t="s">
        <v>92</v>
      </c>
      <c r="DF6" s="290" t="s">
        <v>93</v>
      </c>
      <c r="DG6" s="290"/>
      <c r="DH6" s="289" t="s">
        <v>94</v>
      </c>
    </row>
    <row r="7" spans="1:119" s="76" customFormat="1" ht="16.5" customHeight="1" thickBot="1">
      <c r="A7" s="121">
        <v>1</v>
      </c>
      <c r="B7" s="122">
        <f>BK7+BL7+BM7+BN7+BO7+BP7+BQ7</f>
        <v>265.447003</v>
      </c>
      <c r="C7" s="123">
        <f>IF(B7=0,0,(BK7*BR7+BL7*BS7+BM7*BT7+BN7*BU7+BQ7*BX7+BO7*BV7+BP7*BW7)/B7)</f>
        <v>1.172069027643168</v>
      </c>
      <c r="D7" s="124">
        <f>B7*((100-C7)/100)</f>
        <v>262.33578089302995</v>
      </c>
      <c r="E7" s="125">
        <f>IF(B7=0,0,(BK7*BY7+BL7*BZ7+BM7*CA7+BQ7*CE7+BN7*CB7+BO7*CC7+BP7*CD7)/B7)</f>
        <v>37.468200008270585</v>
      </c>
      <c r="F7" s="126">
        <f t="shared" ref="F7:F37" si="0">IF(AY7=0,0,D7/AY7)</f>
        <v>2.0661241308421672</v>
      </c>
      <c r="G7" s="127">
        <v>18.53</v>
      </c>
      <c r="H7" s="126">
        <f>IF(AY7=0,0,(CP7+CO7+CS7+CQ7+CT7)/AY7)</f>
        <v>1.666840839568402</v>
      </c>
      <c r="I7" s="230">
        <f>'[1]июль 20'!AI6</f>
        <v>0</v>
      </c>
      <c r="J7" s="246">
        <f>'[1]сентябрь 20'!AA6</f>
        <v>10.622999999999999</v>
      </c>
      <c r="K7" s="437">
        <f>'[1]сентябрь 20'!AM6</f>
        <v>0</v>
      </c>
      <c r="L7" s="438">
        <f>'[1]сентябрь 20'!AE6</f>
        <v>50.697000000000003</v>
      </c>
      <c r="M7" s="399">
        <f>IF(AY7=0,0,(CR7+CU7)/AY7)</f>
        <v>0.39928329127376549</v>
      </c>
      <c r="N7" s="399">
        <f>'[1]сентябрь 20'!W6</f>
        <v>0</v>
      </c>
      <c r="O7" s="402">
        <f>'[1]сентябрь 20'!AU6</f>
        <v>2.472</v>
      </c>
      <c r="P7" s="125">
        <f t="shared" ref="P7:P37" si="1">CF7+CH7+CI7+CG7</f>
        <v>176.84800300000001</v>
      </c>
      <c r="Q7" s="122">
        <f>'[1]сентябрь 20'!S6</f>
        <v>176.84800000000001</v>
      </c>
      <c r="R7" s="123">
        <f>IF(Q7=0,0,(CI7*CM7+CG7*CK7+CH7*CL7+CF7*CJ7)/Q7)</f>
        <v>3.1900000000000164</v>
      </c>
      <c r="S7" s="129">
        <v>28.8</v>
      </c>
      <c r="T7" s="125">
        <f t="shared" ref="T7:T37" si="2">Q7*((100-R7)/100)</f>
        <v>171.20654879999998</v>
      </c>
      <c r="U7" s="128">
        <f t="shared" ref="U7:U37" si="3">IF(AY7=0,0,T7/AY7)</f>
        <v>1.3484015814759391</v>
      </c>
      <c r="V7" s="130">
        <v>126.97</v>
      </c>
      <c r="W7" s="130">
        <v>97.51</v>
      </c>
      <c r="X7" s="129">
        <v>0.88</v>
      </c>
      <c r="Y7" s="131">
        <v>558</v>
      </c>
      <c r="Z7" s="131">
        <v>1166</v>
      </c>
      <c r="AA7" s="132" t="s">
        <v>187</v>
      </c>
      <c r="AB7" s="129">
        <v>76.010000000000005</v>
      </c>
      <c r="AC7" s="131">
        <v>107</v>
      </c>
      <c r="AD7" s="133">
        <v>4</v>
      </c>
      <c r="AE7" s="129">
        <v>4.8499999999999996</v>
      </c>
      <c r="AF7" s="134">
        <f t="shared" ref="AF7:AF37" si="4">IF(AY7=0,0,AE7/AY7*1000)</f>
        <v>38.197999527447429</v>
      </c>
      <c r="AG7" s="135"/>
      <c r="AH7" s="129">
        <v>78.400000000000006</v>
      </c>
      <c r="AI7" s="134">
        <f t="shared" ref="AI7:AI37" si="5">IF(AY7=0,0,AH7/AY7*1000)</f>
        <v>617.46869339213993</v>
      </c>
      <c r="AJ7" s="136">
        <v>15.14</v>
      </c>
      <c r="AK7" s="127"/>
      <c r="AL7" s="137">
        <v>6.74</v>
      </c>
      <c r="AM7" s="478">
        <f>AT7*0.2</f>
        <v>32.450000000000003</v>
      </c>
      <c r="AN7" s="126">
        <f>IF(AM7=0,0,AM7/AT7)</f>
        <v>0.2</v>
      </c>
      <c r="AO7" s="139" t="s">
        <v>396</v>
      </c>
      <c r="AP7" s="138">
        <v>9.1</v>
      </c>
      <c r="AQ7" s="138">
        <v>7.12</v>
      </c>
      <c r="AR7" s="129"/>
      <c r="AS7" s="129">
        <v>6.79</v>
      </c>
      <c r="AT7" s="129">
        <v>162.25</v>
      </c>
      <c r="AU7" s="129">
        <v>3.91</v>
      </c>
      <c r="AV7" s="129"/>
      <c r="AW7" s="129"/>
      <c r="AX7" s="140">
        <f t="shared" ref="AX7:AX37" si="6">IF(AY7=0,0,AW7/AY7*100)</f>
        <v>0</v>
      </c>
      <c r="AY7" s="125">
        <f t="shared" ref="AY7:AY37" si="7">AT7-AL7-AM7+AV7+AW7+AU7</f>
        <v>126.96999999999998</v>
      </c>
      <c r="AZ7" s="125">
        <f>IF(AB7=0,0,((D7*0.97)*(E7/100)*0.9)/(AB7/100))+DH7</f>
        <v>114.42767526288655</v>
      </c>
      <c r="BA7" s="141">
        <f t="shared" ref="BA7:BA37" si="8">(AH7*AS7)/100*(55/71)</f>
        <v>4.1237295774647889</v>
      </c>
      <c r="BB7" s="142">
        <f t="shared" ref="BB7:BB37" si="9">AY7*$BB$6</f>
        <v>5.0787999999999993</v>
      </c>
      <c r="BC7" s="122">
        <f t="shared" ref="BC7:BC37" si="10">IF((D7*E7)=0,0,(AY7*AB7)/(D7*E7))</f>
        <v>0.98186435213756995</v>
      </c>
      <c r="BD7" s="142">
        <f>BA7+BB7</f>
        <v>9.2025295774647873</v>
      </c>
      <c r="BE7" s="143">
        <v>0.98199999999999998</v>
      </c>
      <c r="BF7" s="25">
        <f>AY7</f>
        <v>126.96999999999998</v>
      </c>
      <c r="BG7" s="25">
        <f t="shared" ref="BG7:BG38" si="11">IF(A7&lt;=$BE$43,$AT$43,0)</f>
        <v>118.33333333333333</v>
      </c>
      <c r="BH7" s="25">
        <f>BG7</f>
        <v>118.33333333333333</v>
      </c>
      <c r="BI7" s="26">
        <f t="shared" ref="BI7:BI37" si="12">IF(AY7&lt;&gt;0,1,0)</f>
        <v>1</v>
      </c>
      <c r="BJ7" s="27">
        <f>BG7*BI7</f>
        <v>118.33333333333333</v>
      </c>
      <c r="BK7" s="28">
        <v>9.9999999999999995E-7</v>
      </c>
      <c r="BL7" s="28">
        <f>DK7</f>
        <v>192.363</v>
      </c>
      <c r="BM7" s="28">
        <v>9.9999999999999995E-7</v>
      </c>
      <c r="BN7" s="28">
        <v>42.808</v>
      </c>
      <c r="BO7" s="28">
        <v>9.9999999999999995E-7</v>
      </c>
      <c r="BP7" s="28">
        <f>DM7</f>
        <v>22.387</v>
      </c>
      <c r="BQ7" s="28">
        <v>7.8890000000000002</v>
      </c>
      <c r="BR7" s="28">
        <v>9.9999999999999995E-7</v>
      </c>
      <c r="BS7" s="28">
        <v>1.43</v>
      </c>
      <c r="BT7" s="28">
        <v>9.9999999999999995E-7</v>
      </c>
      <c r="BU7" s="28">
        <v>9.9999999999999995E-7</v>
      </c>
      <c r="BV7" s="28">
        <v>9.9999999999999995E-7</v>
      </c>
      <c r="BW7" s="28">
        <v>1.61</v>
      </c>
      <c r="BX7" s="28">
        <v>9.9999999999999995E-7</v>
      </c>
      <c r="BY7" s="28">
        <v>9.9999999999999995E-7</v>
      </c>
      <c r="BZ7" s="28">
        <v>36.299999999999997</v>
      </c>
      <c r="CA7" s="28">
        <v>9.9999999999999995E-7</v>
      </c>
      <c r="CB7" s="28">
        <v>43.19</v>
      </c>
      <c r="CC7" s="28">
        <v>9.9999999999999995E-7</v>
      </c>
      <c r="CD7" s="28">
        <v>34.450000000000003</v>
      </c>
      <c r="CE7" s="28">
        <v>43.47</v>
      </c>
      <c r="CF7" s="28">
        <v>176.84800000000001</v>
      </c>
      <c r="CG7" s="28">
        <v>9.9999999999999995E-7</v>
      </c>
      <c r="CH7" s="28">
        <v>9.9999999999999995E-7</v>
      </c>
      <c r="CI7" s="28">
        <v>9.9999999999999995E-7</v>
      </c>
      <c r="CJ7" s="28">
        <v>3.19</v>
      </c>
      <c r="CK7" s="28">
        <v>9.9999999999999995E-7</v>
      </c>
      <c r="CL7" s="28">
        <v>9.9999999999999995E-7</v>
      </c>
      <c r="CM7" s="28">
        <v>9.9999999999999995E-7</v>
      </c>
      <c r="CN7" s="286"/>
      <c r="CO7" s="252">
        <f t="shared" ref="CO7:CU22" si="13">BK7*((100-BR7)/100)</f>
        <v>9.9999998999999992E-7</v>
      </c>
      <c r="CP7" s="11">
        <f t="shared" si="13"/>
        <v>189.61220909999997</v>
      </c>
      <c r="CQ7" s="11">
        <f t="shared" si="13"/>
        <v>9.9999998999999992E-7</v>
      </c>
      <c r="CR7" s="11">
        <f t="shared" si="13"/>
        <v>42.80799957192</v>
      </c>
      <c r="CS7" s="11">
        <f t="shared" si="13"/>
        <v>9.9999998999999992E-7</v>
      </c>
      <c r="CT7" s="11">
        <f t="shared" si="13"/>
        <v>22.026569300000002</v>
      </c>
      <c r="CU7" s="271">
        <f t="shared" si="13"/>
        <v>7.8889999211100008</v>
      </c>
      <c r="CV7" s="260">
        <f t="shared" ref="CV7:CY37" si="14">CF7*((100-CJ7)/100)</f>
        <v>171.20654880000004</v>
      </c>
      <c r="CW7" s="250">
        <f t="shared" si="14"/>
        <v>9.9999998999999992E-7</v>
      </c>
      <c r="CX7" s="260">
        <f t="shared" si="14"/>
        <v>9.9999998999999992E-7</v>
      </c>
      <c r="CY7" s="271">
        <f t="shared" si="14"/>
        <v>9.9999998999999992E-7</v>
      </c>
      <c r="CZ7" s="13"/>
      <c r="DA7" s="240">
        <f>(D7+'[2]сентябрь 20'!D7)/(AY7+'[2]сентябрь 20'!BA7)</f>
        <v>1.9837871832335245</v>
      </c>
      <c r="DB7" s="241">
        <f>(T7+'[2]сентябрь 20'!T7)/(AY7+'[2]сентябрь 20'!BA7)</f>
        <v>1.2634571624186801</v>
      </c>
      <c r="DD7" s="292">
        <f t="shared" ref="DD7:DD37" si="15">J7</f>
        <v>10.622999999999999</v>
      </c>
      <c r="DE7" s="291">
        <v>0.12</v>
      </c>
      <c r="DF7" s="291">
        <v>11</v>
      </c>
      <c r="DG7" s="145">
        <f t="shared" ref="DG7:DG37" si="16">DD7*((100-DE7)/100)</f>
        <v>10.610252399999998</v>
      </c>
      <c r="DH7" s="293">
        <f>IF(AB7=0,0,(DG7*DF7%)/(AB7/100))</f>
        <v>1.5354923878437043</v>
      </c>
      <c r="DJ7" s="28">
        <v>195.76300000000001</v>
      </c>
      <c r="DK7" s="460">
        <f>DJ7-3.4</f>
        <v>192.363</v>
      </c>
      <c r="DL7" s="28">
        <v>21.387</v>
      </c>
      <c r="DM7" s="460">
        <f>DL7+1</f>
        <v>22.387</v>
      </c>
      <c r="DN7" s="28">
        <v>176.84800000000001</v>
      </c>
      <c r="DO7" s="460">
        <f>DN7+18.5</f>
        <v>195.34800000000001</v>
      </c>
    </row>
    <row r="8" spans="1:119" s="76" customFormat="1" ht="16.5" customHeight="1" thickBot="1">
      <c r="A8" s="144">
        <v>2</v>
      </c>
      <c r="B8" s="122">
        <f t="shared" ref="B8:B36" si="17">BK8+BL8+BM8+BN8+BO8+BP8+BQ8</f>
        <v>255.13999999999996</v>
      </c>
      <c r="C8" s="123">
        <f t="shared" ref="C8:C37" si="18">IF(B8=0,0,(BK8*BR8+BL8*BS8+BM8*BT8+BN8*BU8+BQ8*BX8+BO8*BV8+BP8*BW8)/B8)</f>
        <v>0.46724421886023365</v>
      </c>
      <c r="D8" s="145">
        <f t="shared" ref="D8:D37" si="19">B8*((100-C8)/100)</f>
        <v>253.94787309999998</v>
      </c>
      <c r="E8" s="125">
        <f t="shared" ref="E8:E37" si="20">IF(B8=0,0,(BK8*BY8+BL8*BZ8+BM8*CA8+BQ8*CE8+BN8*CB8+BO8*CC8+BP8*CD8)/B8)</f>
        <v>37.732858665830527</v>
      </c>
      <c r="F8" s="146">
        <f t="shared" si="0"/>
        <v>2.1666058621278048</v>
      </c>
      <c r="G8" s="127">
        <v>15.98</v>
      </c>
      <c r="H8" s="126">
        <f t="shared" ref="H8:H37" si="21">IF(AY8=0,0,(CP8+CO8+CS8+CQ8+CT8)/AY8)</f>
        <v>1.7718869814862213</v>
      </c>
      <c r="I8" s="230">
        <f>'[1]июль 20'!AI7</f>
        <v>0</v>
      </c>
      <c r="J8" s="247">
        <f>'[1]сентябрь 20'!AA7</f>
        <v>10.063000000000001</v>
      </c>
      <c r="K8" s="464">
        <f>'[1]сентябрь 20'!AM7</f>
        <v>0</v>
      </c>
      <c r="L8" s="247">
        <f>'[1]сентябрь 20'!AE7</f>
        <v>46.265000000000001</v>
      </c>
      <c r="M8" s="468">
        <f t="shared" ref="M8:M37" si="22">IF(AY8=0,0,(CR8+CU8)/AY8)</f>
        <v>0.3947188806415835</v>
      </c>
      <c r="N8" s="403">
        <f>'[1]сентябрь 20'!W7</f>
        <v>0</v>
      </c>
      <c r="O8" s="403">
        <f>'[1]сентябрь 20'!AU7</f>
        <v>3.484</v>
      </c>
      <c r="P8" s="401">
        <f t="shared" si="1"/>
        <v>168.48</v>
      </c>
      <c r="Q8" s="122">
        <f>'[1]сентябрь 20'!S7</f>
        <v>168.48</v>
      </c>
      <c r="R8" s="123">
        <f t="shared" ref="R8:R37" si="23">IF(Q8=0,0,(CI8*CM8+CG8*CK8+CH8*CL8+CF8*CJ8)/Q8)</f>
        <v>2.95</v>
      </c>
      <c r="S8" s="129">
        <v>9.64</v>
      </c>
      <c r="T8" s="125">
        <f t="shared" si="2"/>
        <v>163.50983999999997</v>
      </c>
      <c r="U8" s="147">
        <f t="shared" si="3"/>
        <v>1.3950161249040183</v>
      </c>
      <c r="V8" s="130">
        <v>117.21</v>
      </c>
      <c r="W8" s="130">
        <v>15.71</v>
      </c>
      <c r="X8" s="129">
        <v>1.58</v>
      </c>
      <c r="Y8" s="131">
        <v>582</v>
      </c>
      <c r="Z8" s="131">
        <v>1176</v>
      </c>
      <c r="AA8" s="148" t="s">
        <v>159</v>
      </c>
      <c r="AB8" s="149">
        <v>76.489999999999995</v>
      </c>
      <c r="AC8" s="150">
        <v>103</v>
      </c>
      <c r="AD8" s="151">
        <v>4</v>
      </c>
      <c r="AE8" s="149">
        <v>4.3</v>
      </c>
      <c r="AF8" s="134">
        <f t="shared" si="4"/>
        <v>36.686289565736715</v>
      </c>
      <c r="AG8" s="152"/>
      <c r="AH8" s="129">
        <v>68.5</v>
      </c>
      <c r="AI8" s="134">
        <f t="shared" si="5"/>
        <v>584.42112447743364</v>
      </c>
      <c r="AJ8" s="153">
        <v>16.399999999999999</v>
      </c>
      <c r="AK8" s="154"/>
      <c r="AL8" s="155">
        <v>5.53</v>
      </c>
      <c r="AM8" s="478">
        <f t="shared" ref="AM8:AM37" si="24">AT8*0.2</f>
        <v>30.430000000000003</v>
      </c>
      <c r="AN8" s="126">
        <f t="shared" ref="AN8:AN37" si="25">IF(AM8=0,0,AM8/AT8)</f>
        <v>0.2</v>
      </c>
      <c r="AO8" s="157" t="s">
        <v>148</v>
      </c>
      <c r="AP8" s="156">
        <v>9.4499999999999993</v>
      </c>
      <c r="AQ8" s="156">
        <v>7.05</v>
      </c>
      <c r="AR8" s="149"/>
      <c r="AS8" s="149">
        <v>5.52</v>
      </c>
      <c r="AT8" s="149">
        <v>152.15</v>
      </c>
      <c r="AU8" s="149">
        <v>1.02</v>
      </c>
      <c r="AV8" s="149"/>
      <c r="AW8" s="149"/>
      <c r="AX8" s="158">
        <f t="shared" si="6"/>
        <v>0</v>
      </c>
      <c r="AY8" s="125">
        <f t="shared" si="7"/>
        <v>117.21</v>
      </c>
      <c r="AZ8" s="125">
        <f t="shared" ref="AZ8:AZ37" si="26">IF(AB8=0,0,((D8*0.97)*(E8/100)*0.9)/(AB8/100))+DH8</f>
        <v>110.68966253744155</v>
      </c>
      <c r="BA8" s="159">
        <f t="shared" si="8"/>
        <v>2.9290985915492955</v>
      </c>
      <c r="BB8" s="160">
        <f t="shared" si="9"/>
        <v>4.6883999999999997</v>
      </c>
      <c r="BC8" s="161">
        <f t="shared" si="10"/>
        <v>0.9356319380979522</v>
      </c>
      <c r="BD8" s="160">
        <f t="shared" ref="BD8:BD37" si="27">BA8+BB8</f>
        <v>7.6174985915492952</v>
      </c>
      <c r="BE8" s="162">
        <v>0.95899999999999996</v>
      </c>
      <c r="BF8" s="25">
        <f t="shared" ref="BF8:BF37" si="28">BF7+AY8</f>
        <v>244.17999999999998</v>
      </c>
      <c r="BG8" s="25">
        <f t="shared" si="11"/>
        <v>118.33333333333333</v>
      </c>
      <c r="BH8" s="25">
        <f t="shared" ref="BH8:BH37" si="29">BG8+BH7</f>
        <v>236.66666666666666</v>
      </c>
      <c r="BI8" s="26">
        <f t="shared" si="12"/>
        <v>1</v>
      </c>
      <c r="BJ8" s="27">
        <f t="shared" ref="BJ8:BJ37" si="30">BG8*BI8+BJ7</f>
        <v>236.66666666666666</v>
      </c>
      <c r="BK8" s="30"/>
      <c r="BL8" s="28">
        <f t="shared" ref="BL8:BL35" si="31">DK8</f>
        <v>187.25799999999998</v>
      </c>
      <c r="BM8" s="31"/>
      <c r="BN8" s="31">
        <v>41.192999999999998</v>
      </c>
      <c r="BO8" s="40"/>
      <c r="BP8" s="28">
        <f t="shared" ref="BP8:BP32" si="32">DM8</f>
        <v>21.617000000000001</v>
      </c>
      <c r="BQ8" s="32">
        <v>5.0720000000000001</v>
      </c>
      <c r="BR8" s="33"/>
      <c r="BS8" s="34">
        <v>0.46</v>
      </c>
      <c r="BT8" s="35"/>
      <c r="BU8" s="28"/>
      <c r="BV8" s="287"/>
      <c r="BW8" s="28">
        <v>1.53</v>
      </c>
      <c r="BX8" s="36"/>
      <c r="BY8" s="33"/>
      <c r="BZ8" s="34">
        <v>36.76</v>
      </c>
      <c r="CA8" s="35"/>
      <c r="CB8" s="35">
        <v>43.38</v>
      </c>
      <c r="CC8" s="235"/>
      <c r="CD8" s="235">
        <v>34.1</v>
      </c>
      <c r="CE8" s="36">
        <v>43.27</v>
      </c>
      <c r="CF8" s="30">
        <v>168.48</v>
      </c>
      <c r="CG8" s="30"/>
      <c r="CH8" s="31"/>
      <c r="CI8" s="32"/>
      <c r="CJ8" s="33">
        <v>2.95</v>
      </c>
      <c r="CK8" s="33"/>
      <c r="CL8" s="35"/>
      <c r="CM8" s="28"/>
      <c r="CN8" s="286"/>
      <c r="CO8" s="249">
        <f t="shared" si="13"/>
        <v>0</v>
      </c>
      <c r="CP8" s="12">
        <f t="shared" si="13"/>
        <v>186.39661319999999</v>
      </c>
      <c r="CQ8" s="12">
        <f t="shared" si="13"/>
        <v>0</v>
      </c>
      <c r="CR8" s="12">
        <f t="shared" si="13"/>
        <v>41.192999999999998</v>
      </c>
      <c r="CS8" s="11">
        <f t="shared" si="13"/>
        <v>0</v>
      </c>
      <c r="CT8" s="11">
        <f t="shared" si="13"/>
        <v>21.286259900000001</v>
      </c>
      <c r="CU8" s="272">
        <f t="shared" si="13"/>
        <v>5.0720000000000001</v>
      </c>
      <c r="CV8" s="249">
        <f t="shared" si="14"/>
        <v>163.50983999999997</v>
      </c>
      <c r="CW8" s="12">
        <f t="shared" si="14"/>
        <v>0</v>
      </c>
      <c r="CX8" s="254">
        <f t="shared" si="14"/>
        <v>0</v>
      </c>
      <c r="CY8" s="272">
        <f t="shared" si="14"/>
        <v>0</v>
      </c>
      <c r="CZ8" s="13"/>
      <c r="DA8" s="240">
        <f>(D8+'[2]сентябрь 20'!D8)/(AY8+'[2]сентябрь 20'!BA8)</f>
        <v>2.1864425054927108</v>
      </c>
      <c r="DB8" s="241">
        <f>(T8+'[2]сентябрь 20'!T8)/(AY8+'[2]сентябрь 20'!BA8)</f>
        <v>1.380064869180486</v>
      </c>
      <c r="DD8" s="292">
        <f t="shared" si="15"/>
        <v>10.063000000000001</v>
      </c>
      <c r="DE8" s="291">
        <v>0.42</v>
      </c>
      <c r="DF8" s="291">
        <v>10.119999999999999</v>
      </c>
      <c r="DG8" s="145">
        <f t="shared" si="16"/>
        <v>10.020735400000001</v>
      </c>
      <c r="DH8" s="293">
        <f t="shared" ref="DH8:DH37" si="33">IF(AB8=0,0,(DG8*DF8%)/(AB8/100))</f>
        <v>1.3257921590796184</v>
      </c>
      <c r="DJ8" s="31">
        <v>190.65799999999999</v>
      </c>
      <c r="DK8" s="460">
        <f t="shared" ref="DK8:DK36" si="34">DJ8-3.4</f>
        <v>187.25799999999998</v>
      </c>
      <c r="DL8" s="40">
        <v>20.617000000000001</v>
      </c>
      <c r="DM8" s="460">
        <f t="shared" ref="DM8:DM34" si="35">DL8+1</f>
        <v>21.617000000000001</v>
      </c>
      <c r="DN8" s="30">
        <v>168.48</v>
      </c>
      <c r="DO8" s="460">
        <f t="shared" ref="DO8:DO28" si="36">DN8+18.5</f>
        <v>186.98</v>
      </c>
    </row>
    <row r="9" spans="1:119" s="76" customFormat="1" ht="16.5" customHeight="1" thickBot="1">
      <c r="A9" s="144">
        <v>3</v>
      </c>
      <c r="B9" s="122">
        <f t="shared" si="17"/>
        <v>255.249</v>
      </c>
      <c r="C9" s="123">
        <f t="shared" si="18"/>
        <v>0.66891380573479242</v>
      </c>
      <c r="D9" s="145">
        <f>B9*((100-C9)/100)</f>
        <v>253.54160419999999</v>
      </c>
      <c r="E9" s="125">
        <f t="shared" si="20"/>
        <v>37.166785805233332</v>
      </c>
      <c r="F9" s="146">
        <f t="shared" si="0"/>
        <v>1.8773906271751202</v>
      </c>
      <c r="G9" s="127"/>
      <c r="H9" s="126">
        <f t="shared" si="21"/>
        <v>1.533480964087375</v>
      </c>
      <c r="I9" s="230">
        <f>'[1]июль 20'!AI8</f>
        <v>0</v>
      </c>
      <c r="J9" s="247">
        <f>'[1]сентябрь 20'!AA8</f>
        <v>10.5</v>
      </c>
      <c r="K9" s="465">
        <f>'[1]сентябрь 20'!AM8</f>
        <v>0</v>
      </c>
      <c r="L9" s="247">
        <f>'[1]сентябрь 20'!AE8</f>
        <v>46.445</v>
      </c>
      <c r="M9" s="469">
        <f t="shared" si="22"/>
        <v>0.34390966308774523</v>
      </c>
      <c r="N9" s="403">
        <f>'[1]сентябрь 20'!W8</f>
        <v>0</v>
      </c>
      <c r="O9" s="403">
        <f>'[1]сентябрь 20'!AU8</f>
        <v>4.4210000000000003</v>
      </c>
      <c r="P9" s="401">
        <f t="shared" si="1"/>
        <v>166.315</v>
      </c>
      <c r="Q9" s="122">
        <f>'[1]сентябрь 20'!S8</f>
        <v>166.315</v>
      </c>
      <c r="R9" s="123">
        <f t="shared" si="23"/>
        <v>2.97</v>
      </c>
      <c r="S9" s="129">
        <v>9.08</v>
      </c>
      <c r="T9" s="125">
        <f t="shared" si="2"/>
        <v>161.37544450000001</v>
      </c>
      <c r="U9" s="147">
        <f>IF(AY9=0,0,T9/AY9)</f>
        <v>1.1949310958904109</v>
      </c>
      <c r="V9" s="130">
        <v>135.05000000000001</v>
      </c>
      <c r="W9" s="130">
        <v>69.66</v>
      </c>
      <c r="X9" s="129">
        <v>1.38</v>
      </c>
      <c r="Y9" s="131">
        <v>567</v>
      </c>
      <c r="Z9" s="131">
        <v>1181</v>
      </c>
      <c r="AA9" s="148" t="s">
        <v>116</v>
      </c>
      <c r="AB9" s="149">
        <v>76.64</v>
      </c>
      <c r="AC9" s="150">
        <v>103</v>
      </c>
      <c r="AD9" s="151">
        <v>4</v>
      </c>
      <c r="AE9" s="149">
        <v>5.8</v>
      </c>
      <c r="AF9" s="134">
        <f t="shared" si="4"/>
        <v>42.947056645686779</v>
      </c>
      <c r="AG9" s="152"/>
      <c r="AH9" s="129">
        <v>68</v>
      </c>
      <c r="AI9" s="134">
        <f t="shared" si="5"/>
        <v>503.51721584598295</v>
      </c>
      <c r="AJ9" s="153">
        <v>17.600000000000001</v>
      </c>
      <c r="AK9" s="154"/>
      <c r="AL9" s="155">
        <v>5.65</v>
      </c>
      <c r="AM9" s="478">
        <f t="shared" si="24"/>
        <v>34.85</v>
      </c>
      <c r="AN9" s="126">
        <f t="shared" si="25"/>
        <v>0.2</v>
      </c>
      <c r="AO9" s="157" t="s">
        <v>397</v>
      </c>
      <c r="AP9" s="156">
        <v>9.59</v>
      </c>
      <c r="AQ9" s="156">
        <v>6.94</v>
      </c>
      <c r="AR9" s="149"/>
      <c r="AS9" s="149">
        <v>5.26</v>
      </c>
      <c r="AT9" s="149">
        <v>174.25</v>
      </c>
      <c r="AU9" s="149">
        <v>1.3</v>
      </c>
      <c r="AV9" s="149"/>
      <c r="AW9" s="149"/>
      <c r="AX9" s="158">
        <f t="shared" si="6"/>
        <v>0</v>
      </c>
      <c r="AY9" s="125">
        <f t="shared" si="7"/>
        <v>135.05000000000001</v>
      </c>
      <c r="AZ9" s="125">
        <f t="shared" si="26"/>
        <v>108.8727828812961</v>
      </c>
      <c r="BA9" s="159">
        <f t="shared" si="8"/>
        <v>2.7707605633802816</v>
      </c>
      <c r="BB9" s="160">
        <f t="shared" si="9"/>
        <v>5.4020000000000001</v>
      </c>
      <c r="BC9" s="161">
        <f t="shared" si="10"/>
        <v>1.0983628768859031</v>
      </c>
      <c r="BD9" s="160">
        <f t="shared" si="27"/>
        <v>8.1727605633802813</v>
      </c>
      <c r="BE9" s="162">
        <v>1.0049999999999999</v>
      </c>
      <c r="BF9" s="25">
        <f t="shared" si="28"/>
        <v>379.23</v>
      </c>
      <c r="BG9" s="25">
        <f t="shared" si="11"/>
        <v>118.33333333333333</v>
      </c>
      <c r="BH9" s="25">
        <f t="shared" si="29"/>
        <v>355</v>
      </c>
      <c r="BI9" s="26">
        <f t="shared" si="12"/>
        <v>1</v>
      </c>
      <c r="BJ9" s="37">
        <f t="shared" si="30"/>
        <v>355</v>
      </c>
      <c r="BK9" s="38"/>
      <c r="BL9" s="28">
        <f t="shared" si="31"/>
        <v>187.22200000000001</v>
      </c>
      <c r="BM9" s="31"/>
      <c r="BN9" s="31">
        <v>41.238</v>
      </c>
      <c r="BO9" s="40"/>
      <c r="BP9" s="28">
        <f t="shared" si="32"/>
        <v>21.582000000000001</v>
      </c>
      <c r="BQ9" s="32">
        <v>5.2069999999999999</v>
      </c>
      <c r="BR9" s="33"/>
      <c r="BS9" s="34">
        <v>0.55000000000000004</v>
      </c>
      <c r="BT9" s="35"/>
      <c r="BU9" s="28"/>
      <c r="BV9" s="287"/>
      <c r="BW9" s="287">
        <v>3.14</v>
      </c>
      <c r="BX9" s="36"/>
      <c r="BY9" s="33"/>
      <c r="BZ9" s="34">
        <v>36.090000000000003</v>
      </c>
      <c r="CA9" s="35"/>
      <c r="CB9" s="35">
        <v>43.13</v>
      </c>
      <c r="CC9" s="235"/>
      <c r="CD9" s="235">
        <v>33.67</v>
      </c>
      <c r="CE9" s="36">
        <v>43.15</v>
      </c>
      <c r="CF9" s="30">
        <v>166.315</v>
      </c>
      <c r="CG9" s="30"/>
      <c r="CH9" s="31"/>
      <c r="CI9" s="32"/>
      <c r="CJ9" s="33">
        <v>2.97</v>
      </c>
      <c r="CK9" s="33"/>
      <c r="CL9" s="35"/>
      <c r="CM9" s="36"/>
      <c r="CN9" s="286"/>
      <c r="CO9" s="249">
        <f t="shared" si="13"/>
        <v>0</v>
      </c>
      <c r="CP9" s="12">
        <f t="shared" si="13"/>
        <v>186.19227900000001</v>
      </c>
      <c r="CQ9" s="12">
        <f t="shared" si="13"/>
        <v>0</v>
      </c>
      <c r="CR9" s="12">
        <f t="shared" si="13"/>
        <v>41.238</v>
      </c>
      <c r="CS9" s="11">
        <f t="shared" si="13"/>
        <v>0</v>
      </c>
      <c r="CT9" s="11">
        <f t="shared" si="13"/>
        <v>20.904325200000002</v>
      </c>
      <c r="CU9" s="272">
        <f t="shared" si="13"/>
        <v>5.2069999999999999</v>
      </c>
      <c r="CV9" s="249">
        <f t="shared" si="14"/>
        <v>161.37544450000001</v>
      </c>
      <c r="CW9" s="251">
        <f t="shared" si="14"/>
        <v>0</v>
      </c>
      <c r="CX9" s="249">
        <f t="shared" si="14"/>
        <v>0</v>
      </c>
      <c r="CY9" s="272">
        <f t="shared" si="14"/>
        <v>0</v>
      </c>
      <c r="CZ9" s="13"/>
      <c r="DA9" s="240">
        <f>(D9+'[2]сентябрь 20'!D9)/(AY9+'[2]сентябрь 20'!BA9)</f>
        <v>2.001738214989663</v>
      </c>
      <c r="DB9" s="241">
        <f>(T9+'[2]сентябрь 20'!T9)/(AY9+'[2]сентябрь 20'!BA9)</f>
        <v>1.254394149550013</v>
      </c>
      <c r="DD9" s="292">
        <f t="shared" si="15"/>
        <v>10.5</v>
      </c>
      <c r="DE9" s="291">
        <v>0.22</v>
      </c>
      <c r="DF9" s="291">
        <v>11.21</v>
      </c>
      <c r="DG9" s="145">
        <f t="shared" si="16"/>
        <v>10.476900000000001</v>
      </c>
      <c r="DH9" s="293">
        <f t="shared" si="33"/>
        <v>1.5324380088726517</v>
      </c>
      <c r="DJ9" s="31">
        <v>190.62200000000001</v>
      </c>
      <c r="DK9" s="460">
        <f t="shared" si="34"/>
        <v>187.22200000000001</v>
      </c>
      <c r="DL9" s="40">
        <v>20.582000000000001</v>
      </c>
      <c r="DM9" s="460">
        <f t="shared" si="35"/>
        <v>21.582000000000001</v>
      </c>
      <c r="DN9" s="30">
        <v>166.315</v>
      </c>
      <c r="DO9" s="460">
        <f t="shared" si="36"/>
        <v>184.815</v>
      </c>
    </row>
    <row r="10" spans="1:119" s="76" customFormat="1" ht="16.5" customHeight="1" thickBot="1">
      <c r="A10" s="144">
        <v>4</v>
      </c>
      <c r="B10" s="122">
        <f t="shared" si="17"/>
        <v>257.73</v>
      </c>
      <c r="C10" s="123">
        <f t="shared" si="18"/>
        <v>0.80244290536608065</v>
      </c>
      <c r="D10" s="145">
        <f t="shared" si="19"/>
        <v>255.66186390000004</v>
      </c>
      <c r="E10" s="125">
        <f>IF(B10=0,0,(BK10*BY10+BL10*BZ10+BM10*CA10+BQ10*CE10+BN10*CB10+BO10*CC10+BP10*CD10)/B10)</f>
        <v>37.726607496216964</v>
      </c>
      <c r="F10" s="146">
        <f t="shared" si="0"/>
        <v>2.0866949387855045</v>
      </c>
      <c r="G10" s="127">
        <v>28.26</v>
      </c>
      <c r="H10" s="126">
        <f t="shared" si="21"/>
        <v>1.7045369237675478</v>
      </c>
      <c r="I10" s="230">
        <f>'[1]июль 20'!AI9</f>
        <v>0</v>
      </c>
      <c r="J10" s="247">
        <f>'[1]сентябрь 20'!AA9</f>
        <v>10.749000000000001</v>
      </c>
      <c r="K10" s="466">
        <f>'[1]сентябрь 20'!AM9</f>
        <v>0</v>
      </c>
      <c r="L10" s="247">
        <f>'[1]сентябрь 20'!AE9</f>
        <v>46.822000000000003</v>
      </c>
      <c r="M10" s="470">
        <f t="shared" si="22"/>
        <v>0.38215801501795627</v>
      </c>
      <c r="N10" s="403">
        <f>'[1]сентябрь 20'!W9</f>
        <v>0</v>
      </c>
      <c r="O10" s="403">
        <f>'[1]сентябрь 20'!AU9</f>
        <v>5.79</v>
      </c>
      <c r="P10" s="401">
        <f t="shared" si="1"/>
        <v>166.37200000000001</v>
      </c>
      <c r="Q10" s="122">
        <f>'[1]сентябрь 20'!S9</f>
        <v>166.37200000000001</v>
      </c>
      <c r="R10" s="123">
        <f t="shared" si="23"/>
        <v>2.92</v>
      </c>
      <c r="S10" s="129">
        <v>2.23</v>
      </c>
      <c r="T10" s="125">
        <f t="shared" si="2"/>
        <v>161.51393760000002</v>
      </c>
      <c r="U10" s="147">
        <f t="shared" si="3"/>
        <v>1.3182658961802156</v>
      </c>
      <c r="V10" s="130">
        <v>94.1</v>
      </c>
      <c r="W10" s="130"/>
      <c r="X10" s="129">
        <v>1.99</v>
      </c>
      <c r="Y10" s="131">
        <v>598</v>
      </c>
      <c r="Z10" s="131">
        <v>1173</v>
      </c>
      <c r="AA10" s="148" t="s">
        <v>150</v>
      </c>
      <c r="AB10" s="149">
        <v>75.84</v>
      </c>
      <c r="AC10" s="150">
        <v>104</v>
      </c>
      <c r="AD10" s="151">
        <v>4</v>
      </c>
      <c r="AE10" s="149">
        <v>4.6500000000000004</v>
      </c>
      <c r="AF10" s="134">
        <f t="shared" si="4"/>
        <v>37.952987267384913</v>
      </c>
      <c r="AG10" s="152"/>
      <c r="AH10" s="129">
        <v>73.900000000000006</v>
      </c>
      <c r="AI10" s="134">
        <f t="shared" si="5"/>
        <v>603.16682990532161</v>
      </c>
      <c r="AJ10" s="153">
        <v>18.100000000000001</v>
      </c>
      <c r="AK10" s="154"/>
      <c r="AL10" s="155">
        <v>6.63</v>
      </c>
      <c r="AM10" s="478">
        <f t="shared" si="24"/>
        <v>31.980000000000004</v>
      </c>
      <c r="AN10" s="126">
        <f t="shared" si="25"/>
        <v>0.2</v>
      </c>
      <c r="AO10" s="157" t="s">
        <v>154</v>
      </c>
      <c r="AP10" s="156">
        <v>9.26</v>
      </c>
      <c r="AQ10" s="156">
        <v>7.12</v>
      </c>
      <c r="AR10" s="149"/>
      <c r="AS10" s="149">
        <v>5.78</v>
      </c>
      <c r="AT10" s="149">
        <v>159.9</v>
      </c>
      <c r="AU10" s="149">
        <v>1.23</v>
      </c>
      <c r="AV10" s="149"/>
      <c r="AW10" s="149"/>
      <c r="AX10" s="158">
        <f t="shared" si="6"/>
        <v>0</v>
      </c>
      <c r="AY10" s="125">
        <f>AT10-AL10-AM10+AV10+AW10+AU10</f>
        <v>122.52000000000001</v>
      </c>
      <c r="AZ10" s="125">
        <f t="shared" si="26"/>
        <v>112.55632554398748</v>
      </c>
      <c r="BA10" s="159">
        <f t="shared" si="8"/>
        <v>3.3088464788732401</v>
      </c>
      <c r="BB10" s="160">
        <f t="shared" si="9"/>
        <v>4.9008000000000003</v>
      </c>
      <c r="BC10" s="161">
        <f t="shared" si="10"/>
        <v>0.96336665036237934</v>
      </c>
      <c r="BD10" s="160">
        <f t="shared" si="27"/>
        <v>8.2096464788732408</v>
      </c>
      <c r="BE10" s="162">
        <v>0.99399999999999999</v>
      </c>
      <c r="BF10" s="25">
        <f t="shared" si="28"/>
        <v>501.75</v>
      </c>
      <c r="BG10" s="25">
        <f t="shared" si="11"/>
        <v>118.33333333333333</v>
      </c>
      <c r="BH10" s="25">
        <f t="shared" si="29"/>
        <v>473.33333333333331</v>
      </c>
      <c r="BI10" s="26">
        <f t="shared" si="12"/>
        <v>1</v>
      </c>
      <c r="BJ10" s="37">
        <f t="shared" si="30"/>
        <v>473.33333333333331</v>
      </c>
      <c r="BK10" s="38"/>
      <c r="BL10" s="28">
        <f t="shared" si="31"/>
        <v>189.05699999999999</v>
      </c>
      <c r="BM10" s="31"/>
      <c r="BN10" s="31">
        <v>41.609000000000002</v>
      </c>
      <c r="BO10" s="40"/>
      <c r="BP10" s="28">
        <f t="shared" si="32"/>
        <v>21.850999999999999</v>
      </c>
      <c r="BQ10" s="32">
        <v>5.2130000000000001</v>
      </c>
      <c r="BR10" s="33"/>
      <c r="BS10" s="34">
        <v>0.82</v>
      </c>
      <c r="BT10" s="35"/>
      <c r="BU10" s="28"/>
      <c r="BV10" s="287"/>
      <c r="BW10" s="287">
        <v>2.37</v>
      </c>
      <c r="BX10" s="36"/>
      <c r="BY10" s="33"/>
      <c r="BZ10" s="34">
        <v>36.89</v>
      </c>
      <c r="CA10" s="35"/>
      <c r="CB10" s="35">
        <v>43.61</v>
      </c>
      <c r="CC10" s="235"/>
      <c r="CD10" s="235">
        <v>32.32</v>
      </c>
      <c r="CE10" s="36">
        <v>43.77</v>
      </c>
      <c r="CF10" s="30">
        <v>166.37200000000001</v>
      </c>
      <c r="CG10" s="30"/>
      <c r="CH10" s="31"/>
      <c r="CI10" s="32"/>
      <c r="CJ10" s="33">
        <v>2.92</v>
      </c>
      <c r="CK10" s="33"/>
      <c r="CL10" s="35"/>
      <c r="CM10" s="36"/>
      <c r="CN10" s="286"/>
      <c r="CO10" s="249">
        <f t="shared" si="13"/>
        <v>0</v>
      </c>
      <c r="CP10" s="12">
        <f t="shared" si="13"/>
        <v>187.50673259999999</v>
      </c>
      <c r="CQ10" s="12">
        <f t="shared" si="13"/>
        <v>0</v>
      </c>
      <c r="CR10" s="14">
        <f t="shared" si="13"/>
        <v>41.609000000000002</v>
      </c>
      <c r="CS10" s="11">
        <f t="shared" si="13"/>
        <v>0</v>
      </c>
      <c r="CT10" s="11">
        <f t="shared" si="13"/>
        <v>21.333131299999998</v>
      </c>
      <c r="CU10" s="272">
        <f t="shared" si="13"/>
        <v>5.2130000000000001</v>
      </c>
      <c r="CV10" s="249">
        <f t="shared" si="14"/>
        <v>161.51393760000002</v>
      </c>
      <c r="CW10" s="12">
        <f t="shared" si="14"/>
        <v>0</v>
      </c>
      <c r="CX10" s="249">
        <f t="shared" si="14"/>
        <v>0</v>
      </c>
      <c r="CY10" s="272">
        <f t="shared" si="14"/>
        <v>0</v>
      </c>
      <c r="CZ10" s="13"/>
      <c r="DA10" s="240">
        <f>(D10+'[2]сентябрь 20'!D10)/(AY10+'[2]сентябрь 20'!BA10)</f>
        <v>2.27036547518115</v>
      </c>
      <c r="DB10" s="241">
        <f>(T10+'[2]сентябрь 20'!T10)/(AY10+'[2]сентябрь 20'!BA10)</f>
        <v>1.4182594423204817</v>
      </c>
      <c r="DD10" s="292">
        <f t="shared" si="15"/>
        <v>10.749000000000001</v>
      </c>
      <c r="DE10" s="291">
        <v>0.2</v>
      </c>
      <c r="DF10" s="291">
        <v>10.81</v>
      </c>
      <c r="DG10" s="145">
        <f t="shared" si="16"/>
        <v>10.727502000000001</v>
      </c>
      <c r="DH10" s="293">
        <f t="shared" si="33"/>
        <v>1.5290650925632912</v>
      </c>
      <c r="DJ10" s="31">
        <v>192.45699999999999</v>
      </c>
      <c r="DK10" s="460">
        <f t="shared" si="34"/>
        <v>189.05699999999999</v>
      </c>
      <c r="DL10" s="40">
        <v>20.850999999999999</v>
      </c>
      <c r="DM10" s="460">
        <f t="shared" si="35"/>
        <v>21.850999999999999</v>
      </c>
      <c r="DN10" s="30">
        <v>166.37200000000001</v>
      </c>
      <c r="DO10" s="460">
        <f t="shared" si="36"/>
        <v>184.87200000000001</v>
      </c>
    </row>
    <row r="11" spans="1:119" s="76" customFormat="1" ht="16.5" customHeight="1" thickBot="1">
      <c r="A11" s="144">
        <v>5</v>
      </c>
      <c r="B11" s="122">
        <f t="shared" si="17"/>
        <v>250.09000000000003</v>
      </c>
      <c r="C11" s="123">
        <f t="shared" si="18"/>
        <v>0.70235163341197171</v>
      </c>
      <c r="D11" s="145">
        <f t="shared" si="19"/>
        <v>248.33348880000003</v>
      </c>
      <c r="E11" s="125">
        <f t="shared" si="20"/>
        <v>37.303659002759005</v>
      </c>
      <c r="F11" s="146">
        <f t="shared" si="0"/>
        <v>1.8949522228157196</v>
      </c>
      <c r="G11" s="127">
        <v>16.350000000000001</v>
      </c>
      <c r="H11" s="126">
        <f t="shared" si="21"/>
        <v>1.5486874383822971</v>
      </c>
      <c r="I11" s="230">
        <f>'[1]июль 20'!AI10</f>
        <v>0</v>
      </c>
      <c r="J11" s="247">
        <f>'[1]сентябрь 20'!AA10</f>
        <v>10.679</v>
      </c>
      <c r="K11" s="464">
        <f>'[1]сентябрь 20'!AM10</f>
        <v>0</v>
      </c>
      <c r="L11" s="247">
        <f>'[1]сентябрь 20'!AE10</f>
        <v>45.378</v>
      </c>
      <c r="M11" s="468">
        <f t="shared" si="22"/>
        <v>0.3462647844334224</v>
      </c>
      <c r="N11" s="403">
        <f>'[1]сентябрь 20'!W10</f>
        <v>0</v>
      </c>
      <c r="O11" s="403">
        <f>'[1]сентябрь 20'!AU10</f>
        <v>5.9850000000000003</v>
      </c>
      <c r="P11" s="401">
        <f t="shared" si="1"/>
        <v>159.714</v>
      </c>
      <c r="Q11" s="122">
        <f>'[1]сентябрь 20'!S10</f>
        <v>159.714</v>
      </c>
      <c r="R11" s="123">
        <f t="shared" si="23"/>
        <v>3.08</v>
      </c>
      <c r="S11" s="129">
        <v>15.8</v>
      </c>
      <c r="T11" s="125">
        <f t="shared" si="2"/>
        <v>154.7948088</v>
      </c>
      <c r="U11" s="147">
        <f t="shared" si="3"/>
        <v>1.1811889263639834</v>
      </c>
      <c r="V11" s="130">
        <v>131.05000000000001</v>
      </c>
      <c r="W11" s="130">
        <v>69.45</v>
      </c>
      <c r="X11" s="129">
        <v>1.1499999999999999</v>
      </c>
      <c r="Y11" s="131">
        <v>582</v>
      </c>
      <c r="Z11" s="131">
        <v>1175</v>
      </c>
      <c r="AA11" s="148" t="s">
        <v>122</v>
      </c>
      <c r="AB11" s="149">
        <v>76.27</v>
      </c>
      <c r="AC11" s="150">
        <v>101</v>
      </c>
      <c r="AD11" s="151">
        <v>4</v>
      </c>
      <c r="AE11" s="149">
        <v>5.15</v>
      </c>
      <c r="AF11" s="134">
        <f t="shared" si="4"/>
        <v>39.297977871041596</v>
      </c>
      <c r="AG11" s="152"/>
      <c r="AH11" s="129">
        <v>83.05</v>
      </c>
      <c r="AI11" s="134">
        <f t="shared" si="5"/>
        <v>633.72758489126295</v>
      </c>
      <c r="AJ11" s="163">
        <v>14.19</v>
      </c>
      <c r="AK11" s="154"/>
      <c r="AL11" s="155">
        <v>6.48</v>
      </c>
      <c r="AM11" s="478">
        <f t="shared" si="24"/>
        <v>34.089999999999996</v>
      </c>
      <c r="AN11" s="126">
        <f t="shared" si="25"/>
        <v>0.19999999999999998</v>
      </c>
      <c r="AO11" s="157" t="s">
        <v>398</v>
      </c>
      <c r="AP11" s="156">
        <v>8.41</v>
      </c>
      <c r="AQ11" s="156">
        <v>7.02</v>
      </c>
      <c r="AR11" s="149"/>
      <c r="AS11" s="149">
        <v>7.18</v>
      </c>
      <c r="AT11" s="149">
        <v>170.45</v>
      </c>
      <c r="AU11" s="149">
        <v>1.17</v>
      </c>
      <c r="AV11" s="149"/>
      <c r="AW11" s="149"/>
      <c r="AX11" s="158">
        <f t="shared" si="6"/>
        <v>0</v>
      </c>
      <c r="AY11" s="125">
        <f t="shared" si="7"/>
        <v>131.04999999999998</v>
      </c>
      <c r="AZ11" s="125">
        <f t="shared" si="26"/>
        <v>107.41260527165684</v>
      </c>
      <c r="BA11" s="159">
        <f t="shared" si="8"/>
        <v>4.6192176056338026</v>
      </c>
      <c r="BB11" s="160">
        <f t="shared" si="9"/>
        <v>5.2419999999999991</v>
      </c>
      <c r="BC11" s="161">
        <f t="shared" si="10"/>
        <v>1.0789567820500241</v>
      </c>
      <c r="BD11" s="160">
        <f t="shared" si="27"/>
        <v>9.8612176056338008</v>
      </c>
      <c r="BE11" s="162">
        <v>1.0109999999999999</v>
      </c>
      <c r="BF11" s="25">
        <f t="shared" si="28"/>
        <v>632.79999999999995</v>
      </c>
      <c r="BG11" s="25">
        <f t="shared" si="11"/>
        <v>118.33333333333333</v>
      </c>
      <c r="BH11" s="25">
        <f t="shared" si="29"/>
        <v>591.66666666666663</v>
      </c>
      <c r="BI11" s="26">
        <f t="shared" si="12"/>
        <v>1</v>
      </c>
      <c r="BJ11" s="37">
        <f t="shared" si="30"/>
        <v>591.66666666666663</v>
      </c>
      <c r="BK11" s="38"/>
      <c r="BL11" s="28">
        <f t="shared" si="31"/>
        <v>183.495</v>
      </c>
      <c r="BM11" s="31"/>
      <c r="BN11" s="31">
        <v>40.395000000000003</v>
      </c>
      <c r="BO11" s="40"/>
      <c r="BP11" s="28">
        <f t="shared" si="32"/>
        <v>21.216999999999999</v>
      </c>
      <c r="BQ11" s="32">
        <v>4.9829999999999997</v>
      </c>
      <c r="BR11" s="33"/>
      <c r="BS11" s="34">
        <v>0.8</v>
      </c>
      <c r="BT11" s="35"/>
      <c r="BU11" s="28"/>
      <c r="BV11" s="287"/>
      <c r="BW11" s="287">
        <v>1.36</v>
      </c>
      <c r="BX11" s="36"/>
      <c r="BY11" s="33"/>
      <c r="BZ11" s="34">
        <v>36.21</v>
      </c>
      <c r="CA11" s="35"/>
      <c r="CB11" s="35">
        <v>42.99</v>
      </c>
      <c r="CC11" s="235"/>
      <c r="CD11" s="235">
        <v>34.53</v>
      </c>
      <c r="CE11" s="36">
        <v>43.29</v>
      </c>
      <c r="CF11" s="30">
        <v>159.714</v>
      </c>
      <c r="CG11" s="30"/>
      <c r="CH11" s="31"/>
      <c r="CI11" s="32"/>
      <c r="CJ11" s="33">
        <v>3.08</v>
      </c>
      <c r="CK11" s="33"/>
      <c r="CL11" s="35"/>
      <c r="CM11" s="36"/>
      <c r="CN11" s="286"/>
      <c r="CO11" s="249">
        <f t="shared" si="13"/>
        <v>0</v>
      </c>
      <c r="CP11" s="12">
        <f t="shared" si="13"/>
        <v>182.02704</v>
      </c>
      <c r="CQ11" s="15">
        <f t="shared" si="13"/>
        <v>0</v>
      </c>
      <c r="CR11" s="16">
        <f t="shared" si="13"/>
        <v>40.395000000000003</v>
      </c>
      <c r="CS11" s="11">
        <f t="shared" si="13"/>
        <v>0</v>
      </c>
      <c r="CT11" s="11">
        <f t="shared" si="13"/>
        <v>20.928448799999998</v>
      </c>
      <c r="CU11" s="272">
        <f t="shared" si="13"/>
        <v>4.9829999999999997</v>
      </c>
      <c r="CV11" s="249">
        <f t="shared" si="14"/>
        <v>154.7948088</v>
      </c>
      <c r="CW11" s="12">
        <f t="shared" si="14"/>
        <v>0</v>
      </c>
      <c r="CX11" s="249">
        <f t="shared" si="14"/>
        <v>0</v>
      </c>
      <c r="CY11" s="272">
        <f t="shared" si="14"/>
        <v>0</v>
      </c>
      <c r="CZ11" s="13"/>
      <c r="DA11" s="240">
        <f>(D11+'[2]сентябрь 20'!D11)/(AY11+'[2]сентябрь 20'!BA11)</f>
        <v>2.0527436768925185</v>
      </c>
      <c r="DB11" s="241">
        <f>(T11+'[2]сентябрь 20'!T11)/(AY11+'[2]сентябрь 20'!BA11)</f>
        <v>1.2703104695789755</v>
      </c>
      <c r="DD11" s="292">
        <f t="shared" si="15"/>
        <v>10.679</v>
      </c>
      <c r="DE11" s="291">
        <v>0.38</v>
      </c>
      <c r="DF11" s="407">
        <v>9.8800000000000008</v>
      </c>
      <c r="DG11" s="145">
        <f t="shared" si="16"/>
        <v>10.638419800000001</v>
      </c>
      <c r="DH11" s="293">
        <f t="shared" si="33"/>
        <v>1.3780986970499547</v>
      </c>
      <c r="DJ11" s="31">
        <v>186.89500000000001</v>
      </c>
      <c r="DK11" s="460">
        <f t="shared" si="34"/>
        <v>183.495</v>
      </c>
      <c r="DL11" s="40">
        <v>20.216999999999999</v>
      </c>
      <c r="DM11" s="460">
        <f t="shared" si="35"/>
        <v>21.216999999999999</v>
      </c>
      <c r="DN11" s="30">
        <v>159.714</v>
      </c>
      <c r="DO11" s="460">
        <f t="shared" si="36"/>
        <v>178.214</v>
      </c>
    </row>
    <row r="12" spans="1:119" s="76" customFormat="1" ht="16.5" customHeight="1" thickBot="1">
      <c r="A12" s="144">
        <v>6</v>
      </c>
      <c r="B12" s="122">
        <f t="shared" si="17"/>
        <v>275.26900000000001</v>
      </c>
      <c r="C12" s="123">
        <f t="shared" si="18"/>
        <v>1.215617886503747</v>
      </c>
      <c r="D12" s="145">
        <f t="shared" si="19"/>
        <v>271.9227808</v>
      </c>
      <c r="E12" s="125">
        <f t="shared" si="20"/>
        <v>37.638396695595944</v>
      </c>
      <c r="F12" s="146">
        <f t="shared" si="0"/>
        <v>2.3645459199999999</v>
      </c>
      <c r="G12" s="127">
        <v>13.62</v>
      </c>
      <c r="H12" s="126">
        <f t="shared" si="21"/>
        <v>1.9302589634782608</v>
      </c>
      <c r="I12" s="230">
        <f>'[1]июль 20'!AI11</f>
        <v>0</v>
      </c>
      <c r="J12" s="247">
        <f>'[1]сентябрь 20'!AA11</f>
        <v>11.157</v>
      </c>
      <c r="K12" s="465">
        <f>'[1]сентябрь 20'!AM11</f>
        <v>0</v>
      </c>
      <c r="L12" s="247">
        <f>'[1]сентябрь 20'!AE11</f>
        <v>49.942999999999998</v>
      </c>
      <c r="M12" s="469">
        <f t="shared" si="22"/>
        <v>0.4342869565217391</v>
      </c>
      <c r="N12" s="403">
        <f>'[1]сентябрь 20'!W11</f>
        <v>0</v>
      </c>
      <c r="O12" s="403">
        <f>'[1]сентябрь 20'!AU11</f>
        <v>6.7560000000000002</v>
      </c>
      <c r="P12" s="401">
        <f t="shared" si="1"/>
        <v>173.71899999999999</v>
      </c>
      <c r="Q12" s="122">
        <f>'[1]сентябрь 20'!S11</f>
        <v>173.71899999999999</v>
      </c>
      <c r="R12" s="123">
        <f t="shared" si="23"/>
        <v>3.03</v>
      </c>
      <c r="S12" s="129"/>
      <c r="T12" s="125">
        <f t="shared" si="2"/>
        <v>168.4553143</v>
      </c>
      <c r="U12" s="147">
        <f t="shared" si="3"/>
        <v>1.4648288199999999</v>
      </c>
      <c r="V12" s="130">
        <v>115</v>
      </c>
      <c r="W12" s="130">
        <v>28.27</v>
      </c>
      <c r="X12" s="129">
        <v>1.85</v>
      </c>
      <c r="Y12" s="131">
        <v>574</v>
      </c>
      <c r="Z12" s="150">
        <v>1171</v>
      </c>
      <c r="AA12" s="148" t="s">
        <v>399</v>
      </c>
      <c r="AB12" s="149">
        <v>76.3</v>
      </c>
      <c r="AC12" s="150">
        <v>111</v>
      </c>
      <c r="AD12" s="151">
        <v>4</v>
      </c>
      <c r="AE12" s="149">
        <v>5.2</v>
      </c>
      <c r="AF12" s="134">
        <f t="shared" si="4"/>
        <v>45.217391304347828</v>
      </c>
      <c r="AG12" s="152"/>
      <c r="AH12" s="129">
        <v>73.099999999999994</v>
      </c>
      <c r="AI12" s="134">
        <f t="shared" si="5"/>
        <v>635.65217391304338</v>
      </c>
      <c r="AJ12" s="153">
        <v>13.89</v>
      </c>
      <c r="AK12" s="154"/>
      <c r="AL12" s="155">
        <v>6.91</v>
      </c>
      <c r="AM12" s="478">
        <f t="shared" si="24"/>
        <v>30.17</v>
      </c>
      <c r="AN12" s="126">
        <f t="shared" si="25"/>
        <v>0.2</v>
      </c>
      <c r="AO12" s="157" t="s">
        <v>196</v>
      </c>
      <c r="AP12" s="156">
        <v>8.66</v>
      </c>
      <c r="AQ12" s="156">
        <v>6.6</v>
      </c>
      <c r="AR12" s="149"/>
      <c r="AS12" s="149">
        <v>6.02</v>
      </c>
      <c r="AT12" s="149">
        <v>150.85</v>
      </c>
      <c r="AU12" s="149">
        <v>1.23</v>
      </c>
      <c r="AV12" s="164"/>
      <c r="AW12" s="164"/>
      <c r="AX12" s="158">
        <f t="shared" si="6"/>
        <v>0</v>
      </c>
      <c r="AY12" s="125">
        <f t="shared" si="7"/>
        <v>115</v>
      </c>
      <c r="AZ12" s="125">
        <f t="shared" si="26"/>
        <v>117.77697962599399</v>
      </c>
      <c r="BA12" s="159">
        <f t="shared" si="8"/>
        <v>3.4089309859154926</v>
      </c>
      <c r="BB12" s="160">
        <f t="shared" si="9"/>
        <v>4.6000000000000005</v>
      </c>
      <c r="BC12" s="161">
        <f t="shared" si="10"/>
        <v>0.85732535933331222</v>
      </c>
      <c r="BD12" s="160">
        <f t="shared" si="27"/>
        <v>8.0089309859154927</v>
      </c>
      <c r="BE12" s="162">
        <v>0.98399999999999999</v>
      </c>
      <c r="BF12" s="25">
        <f t="shared" si="28"/>
        <v>747.8</v>
      </c>
      <c r="BG12" s="25">
        <f t="shared" si="11"/>
        <v>118.33333333333333</v>
      </c>
      <c r="BH12" s="25">
        <f t="shared" si="29"/>
        <v>710</v>
      </c>
      <c r="BI12" s="26">
        <f t="shared" si="12"/>
        <v>1</v>
      </c>
      <c r="BJ12" s="37">
        <f t="shared" si="30"/>
        <v>710</v>
      </c>
      <c r="BK12" s="38"/>
      <c r="BL12" s="28">
        <f t="shared" si="31"/>
        <v>202.09299999999999</v>
      </c>
      <c r="BM12" s="31"/>
      <c r="BN12" s="31">
        <v>44.381</v>
      </c>
      <c r="BO12" s="40"/>
      <c r="BP12" s="28">
        <f t="shared" si="32"/>
        <v>23.233000000000001</v>
      </c>
      <c r="BQ12" s="32">
        <v>5.5620000000000003</v>
      </c>
      <c r="BR12" s="33"/>
      <c r="BS12" s="34">
        <v>1.45</v>
      </c>
      <c r="BT12" s="33"/>
      <c r="BU12" s="28"/>
      <c r="BV12" s="287"/>
      <c r="BW12" s="287">
        <v>1.79</v>
      </c>
      <c r="BX12" s="36"/>
      <c r="BY12" s="33"/>
      <c r="BZ12" s="34">
        <v>36.630000000000003</v>
      </c>
      <c r="CA12" s="33"/>
      <c r="CB12" s="35">
        <v>43.51</v>
      </c>
      <c r="CC12" s="235"/>
      <c r="CD12" s="235">
        <v>33.799999999999997</v>
      </c>
      <c r="CE12" s="36">
        <v>43.46</v>
      </c>
      <c r="CF12" s="30">
        <v>173.71899999999999</v>
      </c>
      <c r="CG12" s="30"/>
      <c r="CH12" s="31"/>
      <c r="CI12" s="32"/>
      <c r="CJ12" s="33">
        <v>3.03</v>
      </c>
      <c r="CK12" s="33"/>
      <c r="CL12" s="35"/>
      <c r="CM12" s="36"/>
      <c r="CN12" s="286"/>
      <c r="CO12" s="249">
        <f t="shared" si="13"/>
        <v>0</v>
      </c>
      <c r="CP12" s="12">
        <f t="shared" si="13"/>
        <v>199.16265149999998</v>
      </c>
      <c r="CQ12" s="12">
        <f t="shared" si="13"/>
        <v>0</v>
      </c>
      <c r="CR12" s="12">
        <f t="shared" si="13"/>
        <v>44.381</v>
      </c>
      <c r="CS12" s="11">
        <f t="shared" si="13"/>
        <v>0</v>
      </c>
      <c r="CT12" s="11">
        <f t="shared" si="13"/>
        <v>22.817129300000001</v>
      </c>
      <c r="CU12" s="272">
        <f t="shared" si="13"/>
        <v>5.5620000000000003</v>
      </c>
      <c r="CV12" s="249">
        <f t="shared" si="14"/>
        <v>168.4553143</v>
      </c>
      <c r="CW12" s="12">
        <f t="shared" si="14"/>
        <v>0</v>
      </c>
      <c r="CX12" s="252">
        <f t="shared" si="14"/>
        <v>0</v>
      </c>
      <c r="CY12" s="272">
        <f t="shared" si="14"/>
        <v>0</v>
      </c>
      <c r="CZ12" s="13"/>
      <c r="DA12" s="240">
        <f>(D12+'[2]сентябрь 20'!D12)/(AY12+'[2]сентябрь 20'!BA12)</f>
        <v>2.244786122679721</v>
      </c>
      <c r="DB12" s="241">
        <f>(T12+'[2]сентябрь 20'!T12)/(AY12+'[2]сентябрь 20'!BA12)</f>
        <v>1.3897326301957258</v>
      </c>
      <c r="DD12" s="292">
        <f t="shared" si="15"/>
        <v>11.157</v>
      </c>
      <c r="DE12" s="291">
        <v>0.17</v>
      </c>
      <c r="DF12" s="291">
        <v>4.62</v>
      </c>
      <c r="DG12" s="145">
        <f t="shared" si="16"/>
        <v>11.138033099999999</v>
      </c>
      <c r="DH12" s="293">
        <f t="shared" si="33"/>
        <v>0.67441301339449533</v>
      </c>
      <c r="DJ12" s="31">
        <v>205.49299999999999</v>
      </c>
      <c r="DK12" s="460">
        <f t="shared" si="34"/>
        <v>202.09299999999999</v>
      </c>
      <c r="DL12" s="40">
        <v>22.233000000000001</v>
      </c>
      <c r="DM12" s="460">
        <f t="shared" si="35"/>
        <v>23.233000000000001</v>
      </c>
      <c r="DN12" s="30">
        <v>173.71899999999999</v>
      </c>
      <c r="DO12" s="460">
        <f t="shared" si="36"/>
        <v>192.21899999999999</v>
      </c>
    </row>
    <row r="13" spans="1:119" s="76" customFormat="1" ht="16.5" customHeight="1" thickBot="1">
      <c r="A13" s="144">
        <v>7</v>
      </c>
      <c r="B13" s="122">
        <f t="shared" si="17"/>
        <v>255.05599999999995</v>
      </c>
      <c r="C13" s="123">
        <f t="shared" si="18"/>
        <v>1.1085067592999185</v>
      </c>
      <c r="D13" s="145">
        <f t="shared" si="19"/>
        <v>252.22868699999998</v>
      </c>
      <c r="E13" s="125">
        <f t="shared" si="20"/>
        <v>37.590402774292713</v>
      </c>
      <c r="F13" s="146">
        <f t="shared" si="0"/>
        <v>2.0768109263071222</v>
      </c>
      <c r="G13" s="127">
        <v>9.25</v>
      </c>
      <c r="H13" s="126">
        <f t="shared" si="21"/>
        <v>1.6958969699464799</v>
      </c>
      <c r="I13" s="230">
        <f>'[1]июль 20'!AI12</f>
        <v>0</v>
      </c>
      <c r="J13" s="247">
        <f>'[1]сентябрь 20'!AA12</f>
        <v>10.173</v>
      </c>
      <c r="K13" s="464">
        <f>'[1]сентябрь 20'!AM12</f>
        <v>0</v>
      </c>
      <c r="L13" s="247">
        <f>'[1]сентябрь 20'!AE12</f>
        <v>46.262</v>
      </c>
      <c r="M13" s="468">
        <f t="shared" si="22"/>
        <v>0.38091395636064224</v>
      </c>
      <c r="N13" s="403">
        <f>'[1]сентябрь 20'!W12</f>
        <v>0</v>
      </c>
      <c r="O13" s="403">
        <f>'[1]сентябрь 20'!AU12</f>
        <v>6.1070000000000002</v>
      </c>
      <c r="P13" s="401">
        <f t="shared" si="1"/>
        <v>161.137</v>
      </c>
      <c r="Q13" s="122">
        <f>'[1]сентябрь 20'!S12</f>
        <v>161.137</v>
      </c>
      <c r="R13" s="123">
        <f t="shared" si="23"/>
        <v>3.01</v>
      </c>
      <c r="S13" s="129">
        <v>5.58</v>
      </c>
      <c r="T13" s="125">
        <f t="shared" si="2"/>
        <v>156.28677629999999</v>
      </c>
      <c r="U13" s="147">
        <f t="shared" si="3"/>
        <v>1.2868404800329352</v>
      </c>
      <c r="V13" s="130">
        <v>121.45</v>
      </c>
      <c r="W13" s="130">
        <v>121.45</v>
      </c>
      <c r="X13" s="129">
        <v>0.61</v>
      </c>
      <c r="Y13" s="165">
        <v>576</v>
      </c>
      <c r="Z13" s="166">
        <v>1170</v>
      </c>
      <c r="AA13" s="148" t="s">
        <v>128</v>
      </c>
      <c r="AB13" s="149">
        <v>76.28</v>
      </c>
      <c r="AC13" s="150">
        <v>103</v>
      </c>
      <c r="AD13" s="151">
        <v>4</v>
      </c>
      <c r="AE13" s="149">
        <v>4</v>
      </c>
      <c r="AF13" s="134">
        <f t="shared" si="4"/>
        <v>32.935364347468088</v>
      </c>
      <c r="AG13" s="152"/>
      <c r="AH13" s="129">
        <v>79.8</v>
      </c>
      <c r="AI13" s="134">
        <f t="shared" si="5"/>
        <v>657.0605187319884</v>
      </c>
      <c r="AJ13" s="136">
        <v>13.32</v>
      </c>
      <c r="AK13" s="154"/>
      <c r="AL13" s="155">
        <v>7.31</v>
      </c>
      <c r="AM13" s="478">
        <f t="shared" si="24"/>
        <v>31.730000000000004</v>
      </c>
      <c r="AN13" s="126">
        <f t="shared" si="25"/>
        <v>0.2</v>
      </c>
      <c r="AO13" s="157" t="s">
        <v>197</v>
      </c>
      <c r="AP13" s="156">
        <v>7.9</v>
      </c>
      <c r="AQ13" s="156">
        <v>6.47</v>
      </c>
      <c r="AR13" s="149"/>
      <c r="AS13" s="149">
        <v>7.5</v>
      </c>
      <c r="AT13" s="149">
        <v>158.65</v>
      </c>
      <c r="AU13" s="149">
        <v>1.84</v>
      </c>
      <c r="AV13" s="149"/>
      <c r="AW13" s="149"/>
      <c r="AX13" s="158">
        <f t="shared" si="6"/>
        <v>0</v>
      </c>
      <c r="AY13" s="125">
        <f t="shared" si="7"/>
        <v>121.45</v>
      </c>
      <c r="AZ13" s="125">
        <f t="shared" si="26"/>
        <v>109.68597219152805</v>
      </c>
      <c r="BA13" s="159">
        <f t="shared" si="8"/>
        <v>4.6362676056338028</v>
      </c>
      <c r="BB13" s="160">
        <f t="shared" si="9"/>
        <v>4.8580000000000005</v>
      </c>
      <c r="BC13" s="161">
        <f t="shared" si="10"/>
        <v>0.97709489727790733</v>
      </c>
      <c r="BD13" s="160">
        <f t="shared" si="27"/>
        <v>9.4942676056338033</v>
      </c>
      <c r="BE13" s="162">
        <v>0.98299999999999998</v>
      </c>
      <c r="BF13" s="25">
        <f t="shared" si="28"/>
        <v>869.25</v>
      </c>
      <c r="BG13" s="25">
        <f t="shared" si="11"/>
        <v>118.33333333333333</v>
      </c>
      <c r="BH13" s="25">
        <f t="shared" si="29"/>
        <v>828.33333333333337</v>
      </c>
      <c r="BI13" s="26">
        <f t="shared" si="12"/>
        <v>1</v>
      </c>
      <c r="BJ13" s="37">
        <f t="shared" si="30"/>
        <v>828.33333333333337</v>
      </c>
      <c r="BK13" s="39"/>
      <c r="BL13" s="28">
        <f t="shared" si="31"/>
        <v>187.202</v>
      </c>
      <c r="BM13" s="325"/>
      <c r="BN13" s="31">
        <v>41.156999999999996</v>
      </c>
      <c r="BO13" s="40"/>
      <c r="BP13" s="28">
        <f t="shared" si="32"/>
        <v>21.591999999999999</v>
      </c>
      <c r="BQ13" s="32">
        <v>5.1050000000000004</v>
      </c>
      <c r="BR13" s="33"/>
      <c r="BS13" s="34">
        <v>1.29</v>
      </c>
      <c r="BT13" s="33"/>
      <c r="BU13" s="28"/>
      <c r="BV13" s="287"/>
      <c r="BW13" s="287">
        <v>1.91</v>
      </c>
      <c r="BX13" s="36"/>
      <c r="BY13" s="33"/>
      <c r="BZ13" s="34">
        <v>36.68</v>
      </c>
      <c r="CA13" s="33"/>
      <c r="CB13" s="35">
        <v>42.77</v>
      </c>
      <c r="CC13" s="235"/>
      <c r="CD13" s="235">
        <v>34.36</v>
      </c>
      <c r="CE13" s="36">
        <v>42.88</v>
      </c>
      <c r="CF13" s="30">
        <v>161.137</v>
      </c>
      <c r="CG13" s="30"/>
      <c r="CH13" s="30"/>
      <c r="CI13" s="32"/>
      <c r="CJ13" s="33">
        <v>3.01</v>
      </c>
      <c r="CK13" s="33"/>
      <c r="CL13" s="33"/>
      <c r="CM13" s="36"/>
      <c r="CN13" s="286"/>
      <c r="CO13" s="249">
        <f t="shared" si="13"/>
        <v>0</v>
      </c>
      <c r="CP13" s="12">
        <f t="shared" si="13"/>
        <v>184.78709419999998</v>
      </c>
      <c r="CQ13" s="12">
        <f t="shared" si="13"/>
        <v>0</v>
      </c>
      <c r="CR13" s="12">
        <f t="shared" si="13"/>
        <v>41.156999999999996</v>
      </c>
      <c r="CS13" s="11">
        <f t="shared" si="13"/>
        <v>0</v>
      </c>
      <c r="CT13" s="11">
        <f t="shared" si="13"/>
        <v>21.179592799999998</v>
      </c>
      <c r="CU13" s="272">
        <f t="shared" si="13"/>
        <v>5.1050000000000004</v>
      </c>
      <c r="CV13" s="249">
        <f t="shared" si="14"/>
        <v>156.28677629999999</v>
      </c>
      <c r="CW13" s="251">
        <f t="shared" si="14"/>
        <v>0</v>
      </c>
      <c r="CX13" s="249">
        <f t="shared" si="14"/>
        <v>0</v>
      </c>
      <c r="CY13" s="272">
        <f t="shared" si="14"/>
        <v>0</v>
      </c>
      <c r="CZ13" s="13"/>
      <c r="DA13" s="240">
        <f>(D13+'[2]сентябрь 20'!D13)/(AY13+'[2]сентябрь 20'!BA13)</f>
        <v>2.2402633988545566</v>
      </c>
      <c r="DB13" s="241">
        <f>(T13+'[2]сентябрь 20'!T13)/(AY13+'[2]сентябрь 20'!BA13)</f>
        <v>1.3954760025839958</v>
      </c>
      <c r="DD13" s="292">
        <f t="shared" si="15"/>
        <v>10.173</v>
      </c>
      <c r="DE13" s="291">
        <v>0.25</v>
      </c>
      <c r="DF13" s="291">
        <v>8.83</v>
      </c>
      <c r="DG13" s="145">
        <f t="shared" si="16"/>
        <v>10.147567500000001</v>
      </c>
      <c r="DH13" s="293">
        <f t="shared" si="33"/>
        <v>1.1746594261274252</v>
      </c>
      <c r="DJ13" s="40">
        <v>190.602</v>
      </c>
      <c r="DK13" s="460">
        <f t="shared" si="34"/>
        <v>187.202</v>
      </c>
      <c r="DL13" s="40">
        <v>20.591999999999999</v>
      </c>
      <c r="DM13" s="460">
        <f t="shared" si="35"/>
        <v>21.591999999999999</v>
      </c>
      <c r="DN13" s="30">
        <v>161.137</v>
      </c>
      <c r="DO13" s="460">
        <f t="shared" si="36"/>
        <v>179.637</v>
      </c>
    </row>
    <row r="14" spans="1:119" s="76" customFormat="1" ht="16.5" customHeight="1" thickBot="1">
      <c r="A14" s="144">
        <v>8</v>
      </c>
      <c r="B14" s="122">
        <f t="shared" si="17"/>
        <v>251.06399999999999</v>
      </c>
      <c r="C14" s="123">
        <f t="shared" si="18"/>
        <v>0.9167514259312366</v>
      </c>
      <c r="D14" s="145">
        <f t="shared" si="19"/>
        <v>248.7623672</v>
      </c>
      <c r="E14" s="125">
        <f t="shared" si="20"/>
        <v>37.5596334799095</v>
      </c>
      <c r="F14" s="146">
        <f t="shared" si="0"/>
        <v>2.0160658659534807</v>
      </c>
      <c r="G14" s="127">
        <v>12.34</v>
      </c>
      <c r="H14" s="126">
        <f t="shared" si="21"/>
        <v>1.6401277834508468</v>
      </c>
      <c r="I14" s="230">
        <f>'[1]июль 20'!AI13</f>
        <v>0</v>
      </c>
      <c r="J14" s="247">
        <f>'[1]сентябрь 20'!AA13</f>
        <v>10.599</v>
      </c>
      <c r="K14" s="467">
        <f>'[1]сентябрь 20'!AM13</f>
        <v>0</v>
      </c>
      <c r="L14" s="247">
        <f>'[1]сентябрь 20'!AE13</f>
        <v>46.387</v>
      </c>
      <c r="M14" s="471">
        <f t="shared" si="22"/>
        <v>0.37593808250263394</v>
      </c>
      <c r="N14" s="403">
        <f>'[1]сентябрь 20'!W13</f>
        <v>0</v>
      </c>
      <c r="O14" s="403">
        <f>'[1]сентябрь 20'!AU13</f>
        <v>6.7930000000000001</v>
      </c>
      <c r="P14" s="401">
        <f t="shared" si="1"/>
        <v>159.90100000000001</v>
      </c>
      <c r="Q14" s="122">
        <f>'[1]сентябрь 20'!S13</f>
        <v>159.90100000000001</v>
      </c>
      <c r="R14" s="123">
        <f t="shared" si="23"/>
        <v>3.11</v>
      </c>
      <c r="S14" s="129">
        <v>2.61</v>
      </c>
      <c r="T14" s="125">
        <f t="shared" si="2"/>
        <v>154.9280789</v>
      </c>
      <c r="U14" s="147">
        <f t="shared" si="3"/>
        <v>1.2555967169138504</v>
      </c>
      <c r="V14" s="130">
        <v>123.39</v>
      </c>
      <c r="W14" s="130">
        <v>88.76</v>
      </c>
      <c r="X14" s="129">
        <v>1.1100000000000001</v>
      </c>
      <c r="Y14" s="131">
        <v>610</v>
      </c>
      <c r="Z14" s="150">
        <v>1174</v>
      </c>
      <c r="AA14" s="148" t="s">
        <v>122</v>
      </c>
      <c r="AB14" s="149">
        <v>75.91</v>
      </c>
      <c r="AC14" s="150">
        <v>101</v>
      </c>
      <c r="AD14" s="151">
        <v>4</v>
      </c>
      <c r="AE14" s="149">
        <v>4.1500000000000004</v>
      </c>
      <c r="AF14" s="134">
        <f t="shared" si="4"/>
        <v>33.633195558797311</v>
      </c>
      <c r="AG14" s="152"/>
      <c r="AH14" s="129">
        <v>81.05</v>
      </c>
      <c r="AI14" s="134">
        <f t="shared" si="5"/>
        <v>656.86036145554738</v>
      </c>
      <c r="AJ14" s="153">
        <v>14.52</v>
      </c>
      <c r="AK14" s="154"/>
      <c r="AL14" s="155">
        <v>5.65</v>
      </c>
      <c r="AM14" s="478">
        <f t="shared" si="24"/>
        <v>31.960000000000004</v>
      </c>
      <c r="AN14" s="126">
        <f t="shared" si="25"/>
        <v>0.2</v>
      </c>
      <c r="AO14" s="157" t="s">
        <v>229</v>
      </c>
      <c r="AP14" s="156">
        <v>7.66</v>
      </c>
      <c r="AQ14" s="156">
        <v>6.77</v>
      </c>
      <c r="AR14" s="149"/>
      <c r="AS14" s="149">
        <v>7.59</v>
      </c>
      <c r="AT14" s="149">
        <v>159.80000000000001</v>
      </c>
      <c r="AU14" s="149">
        <v>1.2</v>
      </c>
      <c r="AV14" s="149"/>
      <c r="AW14" s="149"/>
      <c r="AX14" s="158">
        <f t="shared" si="6"/>
        <v>0</v>
      </c>
      <c r="AY14" s="125">
        <f t="shared" si="7"/>
        <v>123.39</v>
      </c>
      <c r="AZ14" s="125">
        <f t="shared" si="26"/>
        <v>109.27651278690654</v>
      </c>
      <c r="BA14" s="159">
        <f t="shared" si="8"/>
        <v>4.7653975352112674</v>
      </c>
      <c r="BB14" s="160">
        <f t="shared" si="9"/>
        <v>4.9356</v>
      </c>
      <c r="BC14" s="161">
        <f t="shared" si="10"/>
        <v>1.0024735649390104</v>
      </c>
      <c r="BD14" s="159">
        <f t="shared" si="27"/>
        <v>9.7009975352112683</v>
      </c>
      <c r="BE14" s="167">
        <v>0.98499999999999999</v>
      </c>
      <c r="BF14" s="25">
        <f t="shared" si="28"/>
        <v>992.64</v>
      </c>
      <c r="BG14" s="25">
        <f t="shared" si="11"/>
        <v>118.33333333333333</v>
      </c>
      <c r="BH14" s="25">
        <f t="shared" si="29"/>
        <v>946.66666666666674</v>
      </c>
      <c r="BI14" s="26">
        <f t="shared" si="12"/>
        <v>1</v>
      </c>
      <c r="BJ14" s="37">
        <f t="shared" si="30"/>
        <v>946.66666666666674</v>
      </c>
      <c r="BK14" s="39"/>
      <c r="BL14" s="28">
        <f t="shared" si="31"/>
        <v>186.65699999999998</v>
      </c>
      <c r="BM14" s="325"/>
      <c r="BN14" s="31">
        <v>40.381999999999998</v>
      </c>
      <c r="BO14" s="40"/>
      <c r="BP14" s="28">
        <f t="shared" si="32"/>
        <v>18.02</v>
      </c>
      <c r="BQ14" s="32">
        <v>6.0049999999999999</v>
      </c>
      <c r="BR14" s="33"/>
      <c r="BS14" s="34">
        <v>1.04</v>
      </c>
      <c r="BT14" s="33"/>
      <c r="BU14" s="28"/>
      <c r="BV14" s="287"/>
      <c r="BW14" s="287">
        <v>2</v>
      </c>
      <c r="BX14" s="36"/>
      <c r="BY14" s="33"/>
      <c r="BZ14" s="34">
        <v>36.76</v>
      </c>
      <c r="CA14" s="33"/>
      <c r="CB14" s="35">
        <v>42.95</v>
      </c>
      <c r="CC14" s="235"/>
      <c r="CD14" s="235">
        <v>31.87</v>
      </c>
      <c r="CE14" s="36">
        <v>43.24</v>
      </c>
      <c r="CF14" s="30">
        <v>159.90100000000001</v>
      </c>
      <c r="CG14" s="30"/>
      <c r="CH14" s="30"/>
      <c r="CI14" s="32"/>
      <c r="CJ14" s="33">
        <v>3.11</v>
      </c>
      <c r="CK14" s="33"/>
      <c r="CL14" s="33"/>
      <c r="CM14" s="36"/>
      <c r="CN14" s="286"/>
      <c r="CO14" s="249">
        <f t="shared" si="13"/>
        <v>0</v>
      </c>
      <c r="CP14" s="12">
        <f t="shared" si="13"/>
        <v>184.71576719999996</v>
      </c>
      <c r="CQ14" s="12">
        <f t="shared" si="13"/>
        <v>0</v>
      </c>
      <c r="CR14" s="12">
        <f t="shared" si="13"/>
        <v>40.381999999999998</v>
      </c>
      <c r="CS14" s="11">
        <f t="shared" si="13"/>
        <v>0</v>
      </c>
      <c r="CT14" s="11">
        <f t="shared" si="13"/>
        <v>17.659599999999998</v>
      </c>
      <c r="CU14" s="272">
        <f t="shared" si="13"/>
        <v>6.0049999999999999</v>
      </c>
      <c r="CV14" s="249">
        <f t="shared" si="14"/>
        <v>154.9280789</v>
      </c>
      <c r="CW14" s="12">
        <f t="shared" si="14"/>
        <v>0</v>
      </c>
      <c r="CX14" s="252">
        <f t="shared" si="14"/>
        <v>0</v>
      </c>
      <c r="CY14" s="272">
        <f t="shared" si="14"/>
        <v>0</v>
      </c>
      <c r="CZ14" s="13"/>
      <c r="DA14" s="240">
        <f>(D14+'[2]сентябрь 20'!D14)/(AY14+'[2]сентябрь 20'!BA14)</f>
        <v>2.0343747545055866</v>
      </c>
      <c r="DB14" s="241">
        <f>(T14+'[2]сентябрь 20'!T14)/(AY14+'[2]сентябрь 20'!BA14)</f>
        <v>1.2716200752612685</v>
      </c>
      <c r="DD14" s="292">
        <f t="shared" si="15"/>
        <v>10.599</v>
      </c>
      <c r="DE14" s="291">
        <v>0.19</v>
      </c>
      <c r="DF14" s="291">
        <v>13.08</v>
      </c>
      <c r="DG14" s="145">
        <f t="shared" si="16"/>
        <v>10.5788619</v>
      </c>
      <c r="DH14" s="293">
        <f t="shared" si="33"/>
        <v>1.8228364333025953</v>
      </c>
      <c r="DJ14" s="40">
        <v>190.05699999999999</v>
      </c>
      <c r="DK14" s="460">
        <f t="shared" si="34"/>
        <v>186.65699999999998</v>
      </c>
      <c r="DL14" s="40">
        <v>17.02</v>
      </c>
      <c r="DM14" s="460">
        <f t="shared" si="35"/>
        <v>18.02</v>
      </c>
      <c r="DN14" s="30">
        <v>159.90100000000001</v>
      </c>
      <c r="DO14" s="460">
        <f t="shared" si="36"/>
        <v>178.40100000000001</v>
      </c>
    </row>
    <row r="15" spans="1:119" s="76" customFormat="1" ht="16.5" customHeight="1" thickBot="1">
      <c r="A15" s="144">
        <v>9</v>
      </c>
      <c r="B15" s="122">
        <f t="shared" si="17"/>
        <v>284.84399999999994</v>
      </c>
      <c r="C15" s="123">
        <f t="shared" si="18"/>
        <v>1.2450710915448457</v>
      </c>
      <c r="D15" s="145">
        <f t="shared" si="19"/>
        <v>281.29748969999991</v>
      </c>
      <c r="E15" s="125">
        <f t="shared" si="20"/>
        <v>37.412967273314528</v>
      </c>
      <c r="F15" s="146">
        <f t="shared" si="0"/>
        <v>3.3623893103036089</v>
      </c>
      <c r="G15" s="127"/>
      <c r="H15" s="126">
        <f t="shared" si="21"/>
        <v>2.7454038931388958</v>
      </c>
      <c r="I15" s="230">
        <f>'[1]июль 20'!AI14</f>
        <v>0</v>
      </c>
      <c r="J15" s="247">
        <f>'[1]сентябрь 20'!AA14</f>
        <v>11.726000000000001</v>
      </c>
      <c r="K15" s="465">
        <f>'[1]сентябрь 20'!AM14</f>
        <v>0</v>
      </c>
      <c r="L15" s="247">
        <f>'[1]сентябрь 20'!AE14</f>
        <v>51.616999999999997</v>
      </c>
      <c r="M15" s="469">
        <f t="shared" si="22"/>
        <v>0.61698541716471433</v>
      </c>
      <c r="N15" s="403">
        <f>'[1]сентябрь 20'!W14</f>
        <v>0</v>
      </c>
      <c r="O15" s="403">
        <f>'[1]сентябрь 20'!AU14</f>
        <v>9.173</v>
      </c>
      <c r="P15" s="401">
        <f t="shared" si="1"/>
        <v>182.15600000000001</v>
      </c>
      <c r="Q15" s="122">
        <f>'[1]сентябрь 20'!S14</f>
        <v>182.15600000000001</v>
      </c>
      <c r="R15" s="123">
        <f t="shared" si="23"/>
        <v>2.91</v>
      </c>
      <c r="S15" s="129">
        <v>18.62</v>
      </c>
      <c r="T15" s="125">
        <f t="shared" si="2"/>
        <v>176.85526039999999</v>
      </c>
      <c r="U15" s="147">
        <f t="shared" si="3"/>
        <v>2.1139763375567773</v>
      </c>
      <c r="V15" s="130">
        <v>83.66</v>
      </c>
      <c r="W15" s="130">
        <v>52.54</v>
      </c>
      <c r="X15" s="129">
        <v>1.1599999999999999</v>
      </c>
      <c r="Y15" s="131">
        <v>572</v>
      </c>
      <c r="Z15" s="150">
        <v>1161</v>
      </c>
      <c r="AA15" s="148" t="s">
        <v>391</v>
      </c>
      <c r="AB15" s="149">
        <v>76.2</v>
      </c>
      <c r="AC15" s="150">
        <v>115</v>
      </c>
      <c r="AD15" s="151">
        <v>5</v>
      </c>
      <c r="AE15" s="149">
        <v>5.8</v>
      </c>
      <c r="AF15" s="134">
        <f t="shared" si="4"/>
        <v>69.328233325364565</v>
      </c>
      <c r="AG15" s="152"/>
      <c r="AH15" s="129">
        <v>76.150000000000006</v>
      </c>
      <c r="AI15" s="134">
        <f t="shared" si="5"/>
        <v>910.23189098732985</v>
      </c>
      <c r="AJ15" s="136">
        <v>12.02</v>
      </c>
      <c r="AK15" s="154"/>
      <c r="AL15" s="155">
        <v>5.52</v>
      </c>
      <c r="AM15" s="478">
        <v>71.8</v>
      </c>
      <c r="AN15" s="126">
        <f t="shared" si="25"/>
        <v>0.45015673981191223</v>
      </c>
      <c r="AO15" s="157" t="s">
        <v>196</v>
      </c>
      <c r="AP15" s="156">
        <v>7.87</v>
      </c>
      <c r="AQ15" s="156">
        <v>6.52</v>
      </c>
      <c r="AR15" s="149"/>
      <c r="AS15" s="149">
        <v>6.25</v>
      </c>
      <c r="AT15" s="149">
        <v>159.5</v>
      </c>
      <c r="AU15" s="149">
        <v>1.48</v>
      </c>
      <c r="AV15" s="149"/>
      <c r="AW15" s="149"/>
      <c r="AX15" s="158">
        <f t="shared" si="6"/>
        <v>0</v>
      </c>
      <c r="AY15" s="125">
        <f t="shared" si="7"/>
        <v>83.66</v>
      </c>
      <c r="AZ15" s="125">
        <f t="shared" si="26"/>
        <v>122.38505979636156</v>
      </c>
      <c r="BA15" s="159">
        <f t="shared" si="8"/>
        <v>3.6868397887323945</v>
      </c>
      <c r="BB15" s="160">
        <f t="shared" si="9"/>
        <v>3.3464</v>
      </c>
      <c r="BC15" s="161">
        <f t="shared" si="10"/>
        <v>0.60573800238927267</v>
      </c>
      <c r="BD15" s="159">
        <f t="shared" si="27"/>
        <v>7.033239788732395</v>
      </c>
      <c r="BE15" s="167">
        <v>0.93899999999999995</v>
      </c>
      <c r="BF15" s="25">
        <f t="shared" si="28"/>
        <v>1076.3</v>
      </c>
      <c r="BG15" s="25">
        <f t="shared" si="11"/>
        <v>118.33333333333333</v>
      </c>
      <c r="BH15" s="25">
        <f t="shared" si="29"/>
        <v>1065</v>
      </c>
      <c r="BI15" s="26">
        <f t="shared" si="12"/>
        <v>1</v>
      </c>
      <c r="BJ15" s="37">
        <f t="shared" si="30"/>
        <v>1065</v>
      </c>
      <c r="BK15" s="38"/>
      <c r="BL15" s="28">
        <f t="shared" si="31"/>
        <v>220.666</v>
      </c>
      <c r="BM15" s="31"/>
      <c r="BN15" s="31">
        <v>45.906999999999996</v>
      </c>
      <c r="BO15" s="40"/>
      <c r="BP15" s="28">
        <f t="shared" si="32"/>
        <v>12.561</v>
      </c>
      <c r="BQ15" s="32">
        <v>5.71</v>
      </c>
      <c r="BR15" s="33"/>
      <c r="BS15" s="35">
        <v>1.47</v>
      </c>
      <c r="BT15" s="35"/>
      <c r="BU15" s="28"/>
      <c r="BV15" s="287"/>
      <c r="BW15" s="287">
        <v>2.41</v>
      </c>
      <c r="BX15" s="36"/>
      <c r="BY15" s="33"/>
      <c r="BZ15" s="34">
        <v>36.26</v>
      </c>
      <c r="CA15" s="35"/>
      <c r="CB15" s="35">
        <v>43.19</v>
      </c>
      <c r="CC15" s="35"/>
      <c r="CD15" s="35">
        <v>33.96</v>
      </c>
      <c r="CE15" s="35">
        <v>43.12</v>
      </c>
      <c r="CF15" s="38">
        <v>182.15600000000001</v>
      </c>
      <c r="CG15" s="30"/>
      <c r="CH15" s="30"/>
      <c r="CI15" s="32"/>
      <c r="CJ15" s="33">
        <v>2.91</v>
      </c>
      <c r="CK15" s="33"/>
      <c r="CL15" s="33"/>
      <c r="CM15" s="36"/>
      <c r="CN15" s="286"/>
      <c r="CO15" s="249">
        <f t="shared" si="13"/>
        <v>0</v>
      </c>
      <c r="CP15" s="12">
        <f t="shared" si="13"/>
        <v>217.42220980000002</v>
      </c>
      <c r="CQ15" s="12">
        <f t="shared" si="13"/>
        <v>0</v>
      </c>
      <c r="CR15" s="17">
        <f t="shared" si="13"/>
        <v>45.906999999999996</v>
      </c>
      <c r="CS15" s="11">
        <f t="shared" si="13"/>
        <v>0</v>
      </c>
      <c r="CT15" s="11">
        <f t="shared" si="13"/>
        <v>12.2582799</v>
      </c>
      <c r="CU15" s="272">
        <f t="shared" si="13"/>
        <v>5.71</v>
      </c>
      <c r="CV15" s="249">
        <f t="shared" si="14"/>
        <v>176.85526039999999</v>
      </c>
      <c r="CW15" s="12">
        <f t="shared" si="14"/>
        <v>0</v>
      </c>
      <c r="CX15" s="249">
        <f t="shared" si="14"/>
        <v>0</v>
      </c>
      <c r="CY15" s="274">
        <f t="shared" si="14"/>
        <v>0</v>
      </c>
      <c r="CZ15" s="13"/>
      <c r="DA15" s="240">
        <f>(D15+'[2]сентябрь 20'!D15)/(AY15+'[2]сентябрь 20'!BA15)</f>
        <v>3.0419395199539685</v>
      </c>
      <c r="DB15" s="241">
        <f>(T15+'[2]сентябрь 20'!T15)/(AY15+'[2]сентябрь 20'!BA15)</f>
        <v>1.9210277440302497</v>
      </c>
      <c r="DD15" s="292">
        <f t="shared" si="15"/>
        <v>11.726000000000001</v>
      </c>
      <c r="DE15" s="291">
        <v>0.25</v>
      </c>
      <c r="DF15" s="291">
        <v>11.81</v>
      </c>
      <c r="DG15" s="145">
        <f t="shared" si="16"/>
        <v>11.696685000000002</v>
      </c>
      <c r="DH15" s="293">
        <f t="shared" si="33"/>
        <v>1.8128326751968509</v>
      </c>
      <c r="DJ15" s="42">
        <v>224.066</v>
      </c>
      <c r="DK15" s="460">
        <f t="shared" si="34"/>
        <v>220.666</v>
      </c>
      <c r="DL15" s="40">
        <v>11.561</v>
      </c>
      <c r="DM15" s="460">
        <f t="shared" si="35"/>
        <v>12.561</v>
      </c>
      <c r="DN15" s="38">
        <v>182.15600000000001</v>
      </c>
      <c r="DO15" s="460">
        <f t="shared" si="36"/>
        <v>200.65600000000001</v>
      </c>
    </row>
    <row r="16" spans="1:119" s="76" customFormat="1" ht="16.5" customHeight="1" thickBot="1">
      <c r="A16" s="144">
        <v>10</v>
      </c>
      <c r="B16" s="122">
        <f t="shared" si="17"/>
        <v>252.584</v>
      </c>
      <c r="C16" s="123">
        <f t="shared" si="18"/>
        <v>1.1498126167928293</v>
      </c>
      <c r="D16" s="145">
        <f t="shared" si="19"/>
        <v>249.67975730000001</v>
      </c>
      <c r="E16" s="125">
        <f t="shared" si="20"/>
        <v>37.587215381813579</v>
      </c>
      <c r="F16" s="146">
        <f t="shared" si="0"/>
        <v>2.0135464298387098</v>
      </c>
      <c r="G16" s="127">
        <v>14.55</v>
      </c>
      <c r="H16" s="126">
        <f t="shared" si="21"/>
        <v>1.6434819137096772</v>
      </c>
      <c r="I16" s="230">
        <f>'[1]июль 20'!AI15</f>
        <v>0</v>
      </c>
      <c r="J16" s="247">
        <f>'[1]сентябрь 20'!AA15</f>
        <v>10.343</v>
      </c>
      <c r="K16" s="464">
        <f>'[1]сентябрь 20'!AM15</f>
        <v>0</v>
      </c>
      <c r="L16" s="247">
        <f>'[1]сентябрь 20'!AE15</f>
        <v>45.887999999999998</v>
      </c>
      <c r="M16" s="468">
        <f t="shared" si="22"/>
        <v>0.37006451612903229</v>
      </c>
      <c r="N16" s="403">
        <f>'[1]сентябрь 20'!W15</f>
        <v>0</v>
      </c>
      <c r="O16" s="403">
        <f>'[1]сентябрь 20'!AU15</f>
        <v>8.2520000000000007</v>
      </c>
      <c r="P16" s="401">
        <f t="shared" si="1"/>
        <v>160.22999999999999</v>
      </c>
      <c r="Q16" s="122">
        <f>'[1]сентябрь 20'!S15</f>
        <v>160.22999999999999</v>
      </c>
      <c r="R16" s="123">
        <f t="shared" si="23"/>
        <v>2.82</v>
      </c>
      <c r="S16" s="501">
        <v>10.27</v>
      </c>
      <c r="T16" s="125">
        <f t="shared" si="2"/>
        <v>155.71151399999999</v>
      </c>
      <c r="U16" s="147">
        <f t="shared" si="3"/>
        <v>1.2557380161290321</v>
      </c>
      <c r="V16" s="130">
        <v>124</v>
      </c>
      <c r="W16" s="130">
        <v>47.89</v>
      </c>
      <c r="X16" s="129">
        <v>1.43</v>
      </c>
      <c r="Y16" s="131">
        <v>590</v>
      </c>
      <c r="Z16" s="150">
        <v>1173</v>
      </c>
      <c r="AA16" s="148" t="s">
        <v>161</v>
      </c>
      <c r="AB16" s="149">
        <v>76.5</v>
      </c>
      <c r="AC16" s="150">
        <v>102</v>
      </c>
      <c r="AD16" s="151">
        <v>5</v>
      </c>
      <c r="AE16" s="149">
        <v>6.95</v>
      </c>
      <c r="AF16" s="134">
        <f t="shared" si="4"/>
        <v>56.048387096774199</v>
      </c>
      <c r="AG16" s="152"/>
      <c r="AH16" s="129">
        <v>77.349999999999994</v>
      </c>
      <c r="AI16" s="134">
        <f t="shared" si="5"/>
        <v>623.79032258064512</v>
      </c>
      <c r="AJ16" s="153">
        <v>14.82</v>
      </c>
      <c r="AK16" s="154"/>
      <c r="AL16" s="155">
        <v>8.6300000000000008</v>
      </c>
      <c r="AM16" s="478">
        <f t="shared" si="24"/>
        <v>32.869999999999997</v>
      </c>
      <c r="AN16" s="126">
        <f t="shared" si="25"/>
        <v>0.19999999999999998</v>
      </c>
      <c r="AO16" s="157" t="s">
        <v>199</v>
      </c>
      <c r="AP16" s="156">
        <v>8.1999999999999993</v>
      </c>
      <c r="AQ16" s="156">
        <v>6.95</v>
      </c>
      <c r="AR16" s="149"/>
      <c r="AS16" s="149">
        <v>5.62</v>
      </c>
      <c r="AT16" s="149">
        <v>164.35</v>
      </c>
      <c r="AU16" s="149">
        <v>1.1499999999999999</v>
      </c>
      <c r="AV16" s="149"/>
      <c r="AW16" s="149"/>
      <c r="AX16" s="158">
        <f t="shared" si="6"/>
        <v>0</v>
      </c>
      <c r="AY16" s="125">
        <f t="shared" si="7"/>
        <v>124</v>
      </c>
      <c r="AZ16" s="125">
        <f t="shared" si="26"/>
        <v>107.87364872012495</v>
      </c>
      <c r="BA16" s="159">
        <f t="shared" si="8"/>
        <v>3.3674485915492953</v>
      </c>
      <c r="BB16" s="160">
        <f t="shared" si="9"/>
        <v>4.96</v>
      </c>
      <c r="BC16" s="161">
        <f t="shared" si="10"/>
        <v>1.0107869687005659</v>
      </c>
      <c r="BD16" s="160">
        <f t="shared" si="27"/>
        <v>8.3274485915492953</v>
      </c>
      <c r="BE16" s="162">
        <v>0.94599999999999995</v>
      </c>
      <c r="BF16" s="25">
        <f t="shared" si="28"/>
        <v>1200.3</v>
      </c>
      <c r="BG16" s="25">
        <f t="shared" si="11"/>
        <v>118.33333333333333</v>
      </c>
      <c r="BH16" s="25">
        <f t="shared" si="29"/>
        <v>1183.3333333333333</v>
      </c>
      <c r="BI16" s="26">
        <f t="shared" si="12"/>
        <v>1</v>
      </c>
      <c r="BJ16" s="37">
        <f t="shared" si="30"/>
        <v>1183.3333333333333</v>
      </c>
      <c r="BK16" s="38"/>
      <c r="BL16" s="28">
        <f t="shared" si="31"/>
        <v>195.541</v>
      </c>
      <c r="BM16" s="31"/>
      <c r="BN16" s="234">
        <v>40.752000000000002</v>
      </c>
      <c r="BO16" s="42"/>
      <c r="BP16" s="28">
        <f t="shared" si="32"/>
        <v>11.154999999999999</v>
      </c>
      <c r="BQ16" s="32">
        <v>5.1360000000000001</v>
      </c>
      <c r="BR16" s="33"/>
      <c r="BS16" s="34">
        <v>1.37</v>
      </c>
      <c r="BT16" s="35"/>
      <c r="BU16" s="28"/>
      <c r="BV16" s="287"/>
      <c r="BW16" s="287">
        <v>2.02</v>
      </c>
      <c r="BX16" s="36"/>
      <c r="BY16" s="33"/>
      <c r="BZ16" s="34">
        <v>36.64</v>
      </c>
      <c r="CA16" s="35"/>
      <c r="CB16" s="405">
        <v>43.2</v>
      </c>
      <c r="CC16" s="404"/>
      <c r="CD16" s="235">
        <v>31.07</v>
      </c>
      <c r="CE16" s="36">
        <v>43.27</v>
      </c>
      <c r="CF16" s="38">
        <v>160.22999999999999</v>
      </c>
      <c r="CG16" s="30"/>
      <c r="CH16" s="30"/>
      <c r="CI16" s="32"/>
      <c r="CJ16" s="33">
        <v>2.82</v>
      </c>
      <c r="CK16" s="33"/>
      <c r="CL16" s="33"/>
      <c r="CM16" s="36"/>
      <c r="CN16" s="286"/>
      <c r="CO16" s="249">
        <f t="shared" si="13"/>
        <v>0</v>
      </c>
      <c r="CP16" s="12">
        <f t="shared" si="13"/>
        <v>192.86208829999998</v>
      </c>
      <c r="CQ16" s="12">
        <f t="shared" si="13"/>
        <v>0</v>
      </c>
      <c r="CR16" s="11">
        <f t="shared" si="13"/>
        <v>40.752000000000002</v>
      </c>
      <c r="CS16" s="11">
        <f t="shared" si="13"/>
        <v>0</v>
      </c>
      <c r="CT16" s="11">
        <f t="shared" si="13"/>
        <v>10.929668999999999</v>
      </c>
      <c r="CU16" s="272">
        <f t="shared" si="13"/>
        <v>5.1360000000000001</v>
      </c>
      <c r="CV16" s="249">
        <f t="shared" si="14"/>
        <v>155.71151399999999</v>
      </c>
      <c r="CW16" s="12">
        <f t="shared" si="14"/>
        <v>0</v>
      </c>
      <c r="CX16" s="249">
        <f t="shared" si="14"/>
        <v>0</v>
      </c>
      <c r="CY16" s="272">
        <f t="shared" si="14"/>
        <v>0</v>
      </c>
      <c r="CZ16" s="13"/>
      <c r="DA16" s="240">
        <f>(D16+'[2]сентябрь 20'!D16)/(AY16+'[2]сентябрь 20'!BA16)</f>
        <v>2.1072132357120581</v>
      </c>
      <c r="DB16" s="241">
        <f>(T16+'[2]сентябрь 20'!T16)/(AY16+'[2]сентябрь 20'!BA16)</f>
        <v>1.3324244497665723</v>
      </c>
      <c r="DD16" s="292">
        <f t="shared" si="15"/>
        <v>10.343</v>
      </c>
      <c r="DE16" s="291">
        <v>0.24</v>
      </c>
      <c r="DF16" s="291">
        <v>5.76</v>
      </c>
      <c r="DG16" s="145">
        <f t="shared" si="16"/>
        <v>10.3181768</v>
      </c>
      <c r="DH16" s="293">
        <f t="shared" si="33"/>
        <v>0.7768980178823528</v>
      </c>
      <c r="DJ16" s="31">
        <v>198.941</v>
      </c>
      <c r="DK16" s="460">
        <f t="shared" si="34"/>
        <v>195.541</v>
      </c>
      <c r="DL16" s="40">
        <v>10.154999999999999</v>
      </c>
      <c r="DM16" s="460">
        <f t="shared" si="35"/>
        <v>11.154999999999999</v>
      </c>
      <c r="DN16" s="38">
        <v>160.22999999999999</v>
      </c>
      <c r="DO16" s="460">
        <f t="shared" si="36"/>
        <v>178.73</v>
      </c>
    </row>
    <row r="17" spans="1:119" s="76" customFormat="1" ht="16.5" customHeight="1" thickBot="1">
      <c r="A17" s="144">
        <v>11</v>
      </c>
      <c r="B17" s="122">
        <f t="shared" si="17"/>
        <v>280.23700000000002</v>
      </c>
      <c r="C17" s="123">
        <f t="shared" si="18"/>
        <v>1.2498328557613734</v>
      </c>
      <c r="D17" s="145">
        <f t="shared" si="19"/>
        <v>276.73450590000004</v>
      </c>
      <c r="E17" s="125">
        <f t="shared" si="20"/>
        <v>37.622705638441751</v>
      </c>
      <c r="F17" s="146">
        <f t="shared" si="0"/>
        <v>2.168086069413977</v>
      </c>
      <c r="G17" s="127">
        <v>22.12</v>
      </c>
      <c r="H17" s="126">
        <f t="shared" si="21"/>
        <v>1.7688773574114698</v>
      </c>
      <c r="I17" s="230">
        <f>'[1]июль 20'!AI16</f>
        <v>0</v>
      </c>
      <c r="J17" s="247">
        <f>'[1]сентябрь 20'!AA16</f>
        <v>11.753</v>
      </c>
      <c r="K17" s="465">
        <f>'[1]сентябрь 20'!AM16</f>
        <v>0</v>
      </c>
      <c r="L17" s="247">
        <f>'[1]сентябрь 20'!AE16</f>
        <v>50.954999999999998</v>
      </c>
      <c r="M17" s="469">
        <f t="shared" si="22"/>
        <v>0.39920871200250707</v>
      </c>
      <c r="N17" s="403">
        <f>'[1]сентябрь 20'!W16</f>
        <v>0</v>
      </c>
      <c r="O17" s="403">
        <f>'[1]сентябрь 20'!AU16</f>
        <v>9.2029999999999994</v>
      </c>
      <c r="P17" s="401">
        <f t="shared" si="1"/>
        <v>176.00399999999999</v>
      </c>
      <c r="Q17" s="122">
        <f>'[1]сентябрь 20'!S16</f>
        <v>176.00399999999999</v>
      </c>
      <c r="R17" s="123">
        <f t="shared" si="23"/>
        <v>2.95</v>
      </c>
      <c r="S17" s="129">
        <v>9.6999999999999993</v>
      </c>
      <c r="T17" s="125">
        <f t="shared" si="2"/>
        <v>170.81188199999997</v>
      </c>
      <c r="U17" s="147">
        <f t="shared" si="3"/>
        <v>1.3382316045126916</v>
      </c>
      <c r="V17" s="130">
        <v>127.64</v>
      </c>
      <c r="W17" s="130">
        <v>79.61</v>
      </c>
      <c r="X17" s="129">
        <v>0.67</v>
      </c>
      <c r="Y17" s="131">
        <v>547</v>
      </c>
      <c r="Z17" s="150">
        <v>1167</v>
      </c>
      <c r="AA17" s="148" t="s">
        <v>141</v>
      </c>
      <c r="AB17" s="149">
        <v>76.41</v>
      </c>
      <c r="AC17" s="150">
        <v>113</v>
      </c>
      <c r="AD17" s="151">
        <v>5</v>
      </c>
      <c r="AE17" s="149">
        <v>4.7</v>
      </c>
      <c r="AF17" s="134">
        <f t="shared" si="4"/>
        <v>36.822312754622374</v>
      </c>
      <c r="AG17" s="152"/>
      <c r="AH17" s="129">
        <v>80.900000000000006</v>
      </c>
      <c r="AI17" s="134">
        <f t="shared" si="5"/>
        <v>633.81385145722345</v>
      </c>
      <c r="AJ17" s="136">
        <v>17.3</v>
      </c>
      <c r="AK17" s="154"/>
      <c r="AL17" s="155">
        <v>7.6</v>
      </c>
      <c r="AM17" s="478">
        <f t="shared" si="24"/>
        <v>33.360000000000007</v>
      </c>
      <c r="AN17" s="126">
        <f t="shared" si="25"/>
        <v>0.20000000000000004</v>
      </c>
      <c r="AO17" s="157" t="s">
        <v>222</v>
      </c>
      <c r="AP17" s="156">
        <v>7.76</v>
      </c>
      <c r="AQ17" s="156">
        <v>7.36</v>
      </c>
      <c r="AR17" s="149"/>
      <c r="AS17" s="149">
        <v>6.28</v>
      </c>
      <c r="AT17" s="149">
        <v>166.8</v>
      </c>
      <c r="AU17" s="149">
        <v>1.8</v>
      </c>
      <c r="AV17" s="149"/>
      <c r="AW17" s="149"/>
      <c r="AX17" s="158">
        <f t="shared" si="6"/>
        <v>0</v>
      </c>
      <c r="AY17" s="125">
        <f t="shared" si="7"/>
        <v>127.64</v>
      </c>
      <c r="AZ17" s="125">
        <f t="shared" si="26"/>
        <v>119.93337392557201</v>
      </c>
      <c r="BA17" s="159">
        <f t="shared" si="8"/>
        <v>3.9356140845070429</v>
      </c>
      <c r="BB17" s="160">
        <f t="shared" si="9"/>
        <v>5.1055999999999999</v>
      </c>
      <c r="BC17" s="161">
        <f t="shared" si="10"/>
        <v>0.93674990141992731</v>
      </c>
      <c r="BD17" s="160">
        <f t="shared" si="27"/>
        <v>9.0412140845070432</v>
      </c>
      <c r="BE17" s="162">
        <v>0.94499999999999995</v>
      </c>
      <c r="BF17" s="25">
        <f t="shared" si="28"/>
        <v>1327.94</v>
      </c>
      <c r="BG17" s="25">
        <f t="shared" si="11"/>
        <v>118.33333333333333</v>
      </c>
      <c r="BH17" s="25">
        <f t="shared" si="29"/>
        <v>1301.6666666666665</v>
      </c>
      <c r="BI17" s="26">
        <f t="shared" si="12"/>
        <v>1</v>
      </c>
      <c r="BJ17" s="37">
        <f t="shared" si="30"/>
        <v>1301.6666666666665</v>
      </c>
      <c r="BK17" s="39"/>
      <c r="BL17" s="28">
        <f t="shared" si="31"/>
        <v>217.059</v>
      </c>
      <c r="BM17" s="31"/>
      <c r="BN17" s="234">
        <v>45.218000000000004</v>
      </c>
      <c r="BO17" s="42"/>
      <c r="BP17" s="28">
        <f t="shared" si="32"/>
        <v>12.223000000000001</v>
      </c>
      <c r="BQ17" s="32">
        <v>5.7370000000000001</v>
      </c>
      <c r="BR17" s="33"/>
      <c r="BS17" s="34">
        <v>1.51</v>
      </c>
      <c r="BT17" s="35"/>
      <c r="BU17" s="28"/>
      <c r="BV17" s="287"/>
      <c r="BW17" s="287">
        <v>1.84</v>
      </c>
      <c r="BX17" s="36"/>
      <c r="BY17" s="33"/>
      <c r="BZ17" s="34">
        <v>36.65</v>
      </c>
      <c r="CA17" s="35"/>
      <c r="CB17" s="405">
        <v>43.02</v>
      </c>
      <c r="CC17" s="404"/>
      <c r="CD17" s="235">
        <v>32.26</v>
      </c>
      <c r="CE17" s="36">
        <v>43.31</v>
      </c>
      <c r="CF17" s="38">
        <v>176.00399999999999</v>
      </c>
      <c r="CG17" s="42"/>
      <c r="CH17" s="234"/>
      <c r="CI17" s="233"/>
      <c r="CJ17" s="33">
        <v>2.95</v>
      </c>
      <c r="CK17" s="33"/>
      <c r="CL17" s="33"/>
      <c r="CM17" s="36"/>
      <c r="CN17" s="286"/>
      <c r="CO17" s="249">
        <f t="shared" si="13"/>
        <v>0</v>
      </c>
      <c r="CP17" s="12">
        <f t="shared" si="13"/>
        <v>213.78140909999999</v>
      </c>
      <c r="CQ17" s="12">
        <f t="shared" si="13"/>
        <v>0</v>
      </c>
      <c r="CR17" s="12">
        <f t="shared" si="13"/>
        <v>45.218000000000004</v>
      </c>
      <c r="CS17" s="11">
        <f t="shared" si="13"/>
        <v>0</v>
      </c>
      <c r="CT17" s="11">
        <f t="shared" si="13"/>
        <v>11.998096799999999</v>
      </c>
      <c r="CU17" s="272">
        <f t="shared" si="13"/>
        <v>5.7370000000000001</v>
      </c>
      <c r="CV17" s="249">
        <f t="shared" si="14"/>
        <v>170.81188199999997</v>
      </c>
      <c r="CW17" s="12">
        <f t="shared" si="14"/>
        <v>0</v>
      </c>
      <c r="CX17" s="254">
        <f t="shared" si="14"/>
        <v>0</v>
      </c>
      <c r="CY17" s="272">
        <f t="shared" si="14"/>
        <v>0</v>
      </c>
      <c r="CZ17" s="13"/>
      <c r="DA17" s="240">
        <f>(D17+'[2]сентябрь 20'!D17)/(AY17+'[2]сентябрь 20'!BA17)</f>
        <v>2.1571752785842482</v>
      </c>
      <c r="DB17" s="241">
        <f>(T17+'[2]сентябрь 20'!T17)/(AY17+'[2]сентябрь 20'!BA17)</f>
        <v>1.3547571830201066</v>
      </c>
      <c r="DD17" s="292">
        <f t="shared" si="15"/>
        <v>11.753</v>
      </c>
      <c r="DE17" s="291">
        <v>0.31</v>
      </c>
      <c r="DF17" s="291">
        <v>6.39</v>
      </c>
      <c r="DG17" s="145">
        <f t="shared" si="16"/>
        <v>11.7165657</v>
      </c>
      <c r="DH17" s="293">
        <f t="shared" si="33"/>
        <v>0.97983058268551237</v>
      </c>
      <c r="DJ17" s="31">
        <v>220.459</v>
      </c>
      <c r="DK17" s="460">
        <f t="shared" si="34"/>
        <v>217.059</v>
      </c>
      <c r="DL17" s="40">
        <v>11.223000000000001</v>
      </c>
      <c r="DM17" s="460">
        <f t="shared" si="35"/>
        <v>12.223000000000001</v>
      </c>
      <c r="DN17" s="38">
        <v>176.00399999999999</v>
      </c>
      <c r="DO17" s="460">
        <f t="shared" si="36"/>
        <v>194.50399999999999</v>
      </c>
    </row>
    <row r="18" spans="1:119" s="76" customFormat="1" ht="16.5" customHeight="1" thickBot="1">
      <c r="A18" s="144">
        <v>12</v>
      </c>
      <c r="B18" s="122">
        <f t="shared" si="17"/>
        <v>260.11699999999996</v>
      </c>
      <c r="C18" s="123">
        <f t="shared" si="18"/>
        <v>1.6265776554396676</v>
      </c>
      <c r="D18" s="145">
        <f t="shared" si="19"/>
        <v>255.88599499999998</v>
      </c>
      <c r="E18" s="125">
        <f t="shared" si="20"/>
        <v>37.757302214003701</v>
      </c>
      <c r="F18" s="146">
        <f t="shared" si="0"/>
        <v>2.0955367701252969</v>
      </c>
      <c r="G18" s="127">
        <v>16.559999999999999</v>
      </c>
      <c r="H18" s="126">
        <f t="shared" si="21"/>
        <v>1.7089427155843091</v>
      </c>
      <c r="I18" s="230">
        <f>'[1]июль 20'!AI17</f>
        <v>0</v>
      </c>
      <c r="J18" s="247">
        <f>'[1]сентябрь 20'!AA17</f>
        <v>10.577999999999999</v>
      </c>
      <c r="K18" s="464">
        <f>'[1]сентябрь 20'!AM17</f>
        <v>0</v>
      </c>
      <c r="L18" s="247">
        <f>'[1]сентябрь 20'!AE17</f>
        <v>47.207000000000001</v>
      </c>
      <c r="M18" s="468">
        <f t="shared" si="22"/>
        <v>0.38659405454098766</v>
      </c>
      <c r="N18" s="403">
        <f>'[1]сентябрь 20'!W17</f>
        <v>0</v>
      </c>
      <c r="O18" s="403">
        <f>'[1]сентябрь 20'!AU17</f>
        <v>8.5950000000000006</v>
      </c>
      <c r="P18" s="401">
        <f t="shared" si="1"/>
        <v>162.94399999999999</v>
      </c>
      <c r="Q18" s="122">
        <f>'[1]сентябрь 20'!S17</f>
        <v>162.94399999999999</v>
      </c>
      <c r="R18" s="123">
        <f t="shared" si="23"/>
        <v>2.87</v>
      </c>
      <c r="S18" s="502"/>
      <c r="T18" s="125">
        <f t="shared" si="2"/>
        <v>158.26750719999998</v>
      </c>
      <c r="U18" s="147">
        <f t="shared" si="3"/>
        <v>1.2961060289902546</v>
      </c>
      <c r="V18" s="130">
        <v>122.11</v>
      </c>
      <c r="W18" s="130">
        <v>53.36</v>
      </c>
      <c r="X18" s="129">
        <v>0.87</v>
      </c>
      <c r="Y18" s="131">
        <v>580</v>
      </c>
      <c r="Z18" s="150">
        <v>1169</v>
      </c>
      <c r="AA18" s="148" t="s">
        <v>130</v>
      </c>
      <c r="AB18" s="149">
        <v>76.11</v>
      </c>
      <c r="AC18" s="150">
        <v>105</v>
      </c>
      <c r="AD18" s="151">
        <v>5</v>
      </c>
      <c r="AE18" s="149">
        <v>4.0999999999999996</v>
      </c>
      <c r="AF18" s="134">
        <f t="shared" si="4"/>
        <v>33.576283678650398</v>
      </c>
      <c r="AG18" s="152"/>
      <c r="AH18" s="129">
        <v>85.05</v>
      </c>
      <c r="AI18" s="134">
        <f t="shared" si="5"/>
        <v>696.50315289493085</v>
      </c>
      <c r="AJ18" s="153">
        <v>15.56</v>
      </c>
      <c r="AK18" s="154"/>
      <c r="AL18" s="155">
        <v>8.11</v>
      </c>
      <c r="AM18" s="478">
        <f t="shared" si="24"/>
        <v>32.110000000000007</v>
      </c>
      <c r="AN18" s="126">
        <f t="shared" si="25"/>
        <v>0.20000000000000004</v>
      </c>
      <c r="AO18" s="157" t="s">
        <v>117</v>
      </c>
      <c r="AP18" s="156">
        <v>7.75</v>
      </c>
      <c r="AQ18" s="156">
        <v>6.86</v>
      </c>
      <c r="AR18" s="151"/>
      <c r="AS18" s="149">
        <v>9.0399999999999991</v>
      </c>
      <c r="AT18" s="149">
        <v>160.55000000000001</v>
      </c>
      <c r="AU18" s="149">
        <v>1.78</v>
      </c>
      <c r="AV18" s="149"/>
      <c r="AW18" s="149"/>
      <c r="AX18" s="158">
        <f t="shared" si="6"/>
        <v>0</v>
      </c>
      <c r="AY18" s="125">
        <f t="shared" si="7"/>
        <v>122.10999999999999</v>
      </c>
      <c r="AZ18" s="125">
        <f t="shared" si="26"/>
        <v>112.4012640666889</v>
      </c>
      <c r="BA18" s="159">
        <f t="shared" si="8"/>
        <v>5.9558957746478862</v>
      </c>
      <c r="BB18" s="160">
        <f t="shared" si="9"/>
        <v>4.8843999999999994</v>
      </c>
      <c r="BC18" s="161">
        <f t="shared" si="10"/>
        <v>0.96193445353569373</v>
      </c>
      <c r="BD18" s="160">
        <f t="shared" si="27"/>
        <v>10.840295774647885</v>
      </c>
      <c r="BE18" s="162">
        <v>0.94699999999999995</v>
      </c>
      <c r="BF18" s="25">
        <f t="shared" si="28"/>
        <v>1450.05</v>
      </c>
      <c r="BG18" s="25">
        <f t="shared" si="11"/>
        <v>118.33333333333333</v>
      </c>
      <c r="BH18" s="25">
        <f t="shared" si="29"/>
        <v>1419.9999999999998</v>
      </c>
      <c r="BI18" s="26">
        <f t="shared" si="12"/>
        <v>1</v>
      </c>
      <c r="BJ18" s="37">
        <f t="shared" si="30"/>
        <v>1419.9999999999998</v>
      </c>
      <c r="BK18" s="38"/>
      <c r="BL18" s="28">
        <f t="shared" si="31"/>
        <v>201.30599999999998</v>
      </c>
      <c r="BM18" s="31"/>
      <c r="BN18" s="234">
        <v>41.997</v>
      </c>
      <c r="BO18" s="42"/>
      <c r="BP18" s="28">
        <f t="shared" si="32"/>
        <v>11.603999999999999</v>
      </c>
      <c r="BQ18" s="411">
        <v>5.21</v>
      </c>
      <c r="BR18" s="41"/>
      <c r="BS18" s="34">
        <v>1.93</v>
      </c>
      <c r="BT18" s="35"/>
      <c r="BU18" s="28"/>
      <c r="BV18" s="287"/>
      <c r="BW18" s="287">
        <v>2.98</v>
      </c>
      <c r="BX18" s="36"/>
      <c r="BY18" s="34"/>
      <c r="BZ18" s="34">
        <v>36.83</v>
      </c>
      <c r="CA18" s="35"/>
      <c r="CB18" s="405">
        <v>43.3</v>
      </c>
      <c r="CC18" s="404"/>
      <c r="CD18" s="235">
        <v>31.3</v>
      </c>
      <c r="CE18" s="405">
        <v>43.29</v>
      </c>
      <c r="CF18" s="38">
        <v>162.94399999999999</v>
      </c>
      <c r="CG18" s="42"/>
      <c r="CH18" s="234"/>
      <c r="CI18" s="233"/>
      <c r="CJ18" s="33">
        <v>2.87</v>
      </c>
      <c r="CK18" s="33"/>
      <c r="CL18" s="33"/>
      <c r="CM18" s="36"/>
      <c r="CN18" s="286"/>
      <c r="CO18" s="249">
        <f t="shared" si="13"/>
        <v>0</v>
      </c>
      <c r="CP18" s="12">
        <f t="shared" si="13"/>
        <v>197.42079419999996</v>
      </c>
      <c r="CQ18" s="12">
        <f t="shared" si="13"/>
        <v>0</v>
      </c>
      <c r="CR18" s="12">
        <f t="shared" si="13"/>
        <v>41.997</v>
      </c>
      <c r="CS18" s="11">
        <f t="shared" si="13"/>
        <v>0</v>
      </c>
      <c r="CT18" s="11">
        <f t="shared" si="13"/>
        <v>11.258200799999999</v>
      </c>
      <c r="CU18" s="272">
        <f t="shared" si="13"/>
        <v>5.21</v>
      </c>
      <c r="CV18" s="249">
        <f t="shared" si="14"/>
        <v>158.26750719999998</v>
      </c>
      <c r="CW18" s="11">
        <f t="shared" si="14"/>
        <v>0</v>
      </c>
      <c r="CX18" s="249">
        <f t="shared" si="14"/>
        <v>0</v>
      </c>
      <c r="CY18" s="272">
        <f t="shared" si="14"/>
        <v>0</v>
      </c>
      <c r="CZ18" s="13"/>
      <c r="DA18" s="240">
        <f>(D18+'[2]сентябрь 20'!D18)/(AY18+'[2]сентябрь 20'!BA18)</f>
        <v>2.1170506609363806</v>
      </c>
      <c r="DB18" s="241">
        <f>(T18+'[2]сентябрь 20'!T18)/(AY18+'[2]сентябрь 20'!BA18)</f>
        <v>1.3286432720065851</v>
      </c>
      <c r="DD18" s="292">
        <f t="shared" si="15"/>
        <v>10.577999999999999</v>
      </c>
      <c r="DE18" s="291">
        <v>0.49</v>
      </c>
      <c r="DF18" s="291">
        <v>11.43</v>
      </c>
      <c r="DG18" s="145">
        <f t="shared" si="16"/>
        <v>10.5261678</v>
      </c>
      <c r="DH18" s="293">
        <f t="shared" si="33"/>
        <v>1.580792247457627</v>
      </c>
      <c r="DJ18" s="31">
        <v>204.70599999999999</v>
      </c>
      <c r="DK18" s="460">
        <f t="shared" si="34"/>
        <v>201.30599999999998</v>
      </c>
      <c r="DL18" s="40">
        <v>10.603999999999999</v>
      </c>
      <c r="DM18" s="460">
        <f t="shared" si="35"/>
        <v>11.603999999999999</v>
      </c>
      <c r="DN18" s="38">
        <v>162.94399999999999</v>
      </c>
      <c r="DO18" s="460">
        <f t="shared" si="36"/>
        <v>181.44399999999999</v>
      </c>
    </row>
    <row r="19" spans="1:119" s="76" customFormat="1" ht="16.5" customHeight="1" thickBot="1">
      <c r="A19" s="144">
        <v>13</v>
      </c>
      <c r="B19" s="122">
        <f t="shared" si="17"/>
        <v>257.58499999999998</v>
      </c>
      <c r="C19" s="123">
        <f t="shared" si="18"/>
        <v>1.9906293068307552</v>
      </c>
      <c r="D19" s="145">
        <f t="shared" si="19"/>
        <v>252.45743749999997</v>
      </c>
      <c r="E19" s="125">
        <f t="shared" si="20"/>
        <v>37.066229632936697</v>
      </c>
      <c r="F19" s="146">
        <f t="shared" si="0"/>
        <v>2.0768134049029281</v>
      </c>
      <c r="G19" s="127">
        <v>9.06</v>
      </c>
      <c r="H19" s="126">
        <f t="shared" si="21"/>
        <v>1.6921227171767026</v>
      </c>
      <c r="I19" s="230">
        <f>'[1]июль 20'!AI18</f>
        <v>0</v>
      </c>
      <c r="J19" s="247">
        <f>'[1]сентябрь 20'!AA18</f>
        <v>10.220000000000001</v>
      </c>
      <c r="K19" s="465">
        <f>'[1]сентябрь 20'!AM18</f>
        <v>0</v>
      </c>
      <c r="L19" s="247">
        <f>'[1]сентябрь 20'!AE18</f>
        <v>46.762999999999998</v>
      </c>
      <c r="M19" s="469">
        <f t="shared" si="22"/>
        <v>0.38469068772622567</v>
      </c>
      <c r="N19" s="403">
        <f>'[1]сентябрь 20'!W18</f>
        <v>0</v>
      </c>
      <c r="O19" s="403">
        <f>'[1]сентябрь 20'!AU18</f>
        <v>8.4700000000000006</v>
      </c>
      <c r="P19" s="401">
        <f t="shared" si="1"/>
        <v>160.25200000000001</v>
      </c>
      <c r="Q19" s="122">
        <f>'[1]сентябрь 20'!S18</f>
        <v>160.25200000000001</v>
      </c>
      <c r="R19" s="123">
        <f t="shared" si="23"/>
        <v>2.75</v>
      </c>
      <c r="S19" s="501">
        <v>17.690000000000001</v>
      </c>
      <c r="T19" s="125">
        <f t="shared" si="2"/>
        <v>155.84507000000002</v>
      </c>
      <c r="U19" s="147">
        <f t="shared" si="3"/>
        <v>1.2820423659098388</v>
      </c>
      <c r="V19" s="130">
        <v>121.56</v>
      </c>
      <c r="W19" s="130">
        <v>74.84</v>
      </c>
      <c r="X19" s="129">
        <v>1.04</v>
      </c>
      <c r="Y19" s="131">
        <v>578</v>
      </c>
      <c r="Z19" s="150">
        <v>1172</v>
      </c>
      <c r="AA19" s="148" t="s">
        <v>150</v>
      </c>
      <c r="AB19" s="149">
        <v>76.510000000000005</v>
      </c>
      <c r="AC19" s="150">
        <v>104</v>
      </c>
      <c r="AD19" s="151">
        <v>5</v>
      </c>
      <c r="AE19" s="149">
        <v>4.75</v>
      </c>
      <c r="AF19" s="134">
        <f t="shared" si="4"/>
        <v>39.075353734781174</v>
      </c>
      <c r="AG19" s="152"/>
      <c r="AH19" s="129">
        <v>76.25</v>
      </c>
      <c r="AI19" s="134">
        <f t="shared" si="5"/>
        <v>627.26225732148725</v>
      </c>
      <c r="AJ19" s="136">
        <v>14.84</v>
      </c>
      <c r="AK19" s="154"/>
      <c r="AL19" s="155">
        <v>7.98</v>
      </c>
      <c r="AM19" s="478">
        <f t="shared" si="24"/>
        <v>31.960000000000004</v>
      </c>
      <c r="AN19" s="126">
        <f t="shared" si="25"/>
        <v>0.2</v>
      </c>
      <c r="AO19" s="157" t="s">
        <v>224</v>
      </c>
      <c r="AP19" s="156">
        <v>7.69</v>
      </c>
      <c r="AQ19" s="156">
        <v>6.75</v>
      </c>
      <c r="AR19" s="151"/>
      <c r="AS19" s="149">
        <v>6.18</v>
      </c>
      <c r="AT19" s="149">
        <v>159.80000000000001</v>
      </c>
      <c r="AU19" s="149">
        <v>1.7</v>
      </c>
      <c r="AV19" s="164"/>
      <c r="AW19" s="149"/>
      <c r="AX19" s="158">
        <f t="shared" si="6"/>
        <v>0</v>
      </c>
      <c r="AY19" s="125">
        <f t="shared" si="7"/>
        <v>121.56000000000002</v>
      </c>
      <c r="AZ19" s="125">
        <f t="shared" si="26"/>
        <v>108.64693583781474</v>
      </c>
      <c r="BA19" s="159">
        <f t="shared" si="8"/>
        <v>3.6503345070422535</v>
      </c>
      <c r="BB19" s="160">
        <f t="shared" si="9"/>
        <v>4.8624000000000009</v>
      </c>
      <c r="BC19" s="161">
        <f t="shared" si="10"/>
        <v>0.99389913287190756</v>
      </c>
      <c r="BD19" s="160">
        <f t="shared" si="27"/>
        <v>8.5127345070422535</v>
      </c>
      <c r="BE19" s="162">
        <v>0.95</v>
      </c>
      <c r="BF19" s="25">
        <f t="shared" si="28"/>
        <v>1571.61</v>
      </c>
      <c r="BG19" s="25">
        <f t="shared" si="11"/>
        <v>118.33333333333333</v>
      </c>
      <c r="BH19" s="25">
        <f t="shared" si="29"/>
        <v>1538.333333333333</v>
      </c>
      <c r="BI19" s="26">
        <f t="shared" si="12"/>
        <v>1</v>
      </c>
      <c r="BJ19" s="37">
        <f t="shared" si="30"/>
        <v>1538.333333333333</v>
      </c>
      <c r="BK19" s="38"/>
      <c r="BL19" s="28">
        <f t="shared" si="31"/>
        <v>199.41899999999998</v>
      </c>
      <c r="BM19" s="31"/>
      <c r="BN19" s="234">
        <v>41.582000000000001</v>
      </c>
      <c r="BO19" s="42"/>
      <c r="BP19" s="28">
        <f t="shared" si="32"/>
        <v>11.403</v>
      </c>
      <c r="BQ19" s="411">
        <v>5.181</v>
      </c>
      <c r="BR19" s="33"/>
      <c r="BS19" s="34">
        <v>2.41</v>
      </c>
      <c r="BT19" s="35"/>
      <c r="BU19" s="28"/>
      <c r="BV19" s="287"/>
      <c r="BW19" s="512">
        <v>2.82</v>
      </c>
      <c r="BX19" s="36"/>
      <c r="BY19" s="33"/>
      <c r="BZ19" s="34">
        <v>35.96</v>
      </c>
      <c r="CA19" s="35"/>
      <c r="CB19" s="405">
        <v>43.01</v>
      </c>
      <c r="CC19" s="404"/>
      <c r="CD19" s="235">
        <v>32.01</v>
      </c>
      <c r="CE19" s="413">
        <v>43.07</v>
      </c>
      <c r="CF19" s="41">
        <v>137.75800000000001</v>
      </c>
      <c r="CG19" s="41">
        <v>22.494</v>
      </c>
      <c r="CH19" s="30"/>
      <c r="CI19" s="32"/>
      <c r="CJ19" s="33">
        <v>2.75</v>
      </c>
      <c r="CK19" s="33">
        <v>2.75</v>
      </c>
      <c r="CL19" s="33"/>
      <c r="CM19" s="36"/>
      <c r="CN19" s="286"/>
      <c r="CO19" s="249">
        <f t="shared" si="13"/>
        <v>0</v>
      </c>
      <c r="CP19" s="12">
        <f t="shared" si="13"/>
        <v>194.61300209999999</v>
      </c>
      <c r="CQ19" s="12">
        <f t="shared" si="13"/>
        <v>0</v>
      </c>
      <c r="CR19" s="12">
        <f t="shared" si="13"/>
        <v>41.582000000000001</v>
      </c>
      <c r="CS19" s="11">
        <f t="shared" si="13"/>
        <v>0</v>
      </c>
      <c r="CT19" s="11">
        <f t="shared" si="13"/>
        <v>11.081435400000002</v>
      </c>
      <c r="CU19" s="272">
        <f t="shared" si="13"/>
        <v>5.181</v>
      </c>
      <c r="CV19" s="249">
        <f t="shared" si="14"/>
        <v>133.96965500000002</v>
      </c>
      <c r="CW19" s="251">
        <f t="shared" si="14"/>
        <v>21.875415</v>
      </c>
      <c r="CX19" s="249">
        <f t="shared" si="14"/>
        <v>0</v>
      </c>
      <c r="CY19" s="272">
        <f t="shared" si="14"/>
        <v>0</v>
      </c>
      <c r="CZ19" s="13"/>
      <c r="DA19" s="240">
        <f>(D19+'[2]сентябрь 20'!D19)/(AY19+'[2]сентябрь 20'!BA19)</f>
        <v>2.0223027091929433</v>
      </c>
      <c r="DB19" s="241">
        <f>(T19+'[2]сентябрь 20'!T19)/(AY19+'[2]сентябрь 20'!BA19)</f>
        <v>1.2645445855012543</v>
      </c>
      <c r="DD19" s="292">
        <f t="shared" si="15"/>
        <v>10.220000000000001</v>
      </c>
      <c r="DE19" s="291">
        <v>0.52</v>
      </c>
      <c r="DF19" s="291">
        <v>14.1</v>
      </c>
      <c r="DG19" s="145">
        <f t="shared" si="16"/>
        <v>10.166856000000001</v>
      </c>
      <c r="DH19" s="293">
        <f t="shared" si="33"/>
        <v>1.8736461848124428</v>
      </c>
      <c r="DJ19" s="31">
        <v>202.81899999999999</v>
      </c>
      <c r="DK19" s="460">
        <f t="shared" si="34"/>
        <v>199.41899999999998</v>
      </c>
      <c r="DL19" s="40">
        <v>10.403</v>
      </c>
      <c r="DM19" s="460">
        <f t="shared" si="35"/>
        <v>11.403</v>
      </c>
      <c r="DN19" s="41">
        <v>137.75800000000001</v>
      </c>
      <c r="DO19" s="460">
        <f t="shared" si="36"/>
        <v>156.25800000000001</v>
      </c>
    </row>
    <row r="20" spans="1:119" s="76" customFormat="1" ht="16.5" customHeight="1" thickBot="1">
      <c r="A20" s="144">
        <v>14</v>
      </c>
      <c r="B20" s="122">
        <f t="shared" si="17"/>
        <v>275.07600000000002</v>
      </c>
      <c r="C20" s="123">
        <f t="shared" si="18"/>
        <v>1.4300425336997773</v>
      </c>
      <c r="D20" s="145">
        <f t="shared" si="19"/>
        <v>271.14229620000003</v>
      </c>
      <c r="E20" s="125">
        <f t="shared" si="20"/>
        <v>37.43074808416582</v>
      </c>
      <c r="F20" s="146">
        <f t="shared" si="0"/>
        <v>2.0222426625894991</v>
      </c>
      <c r="G20" s="127">
        <v>9.18</v>
      </c>
      <c r="H20" s="126">
        <f t="shared" si="21"/>
        <v>1.6493980921837708</v>
      </c>
      <c r="I20" s="230">
        <f>'[1]июль 20'!AI19</f>
        <v>0</v>
      </c>
      <c r="J20" s="247">
        <f>'[1]сентябрь 20'!AA19</f>
        <v>10.837999999999999</v>
      </c>
      <c r="K20" s="464">
        <f>'[1]сентябрь 20'!AM19</f>
        <v>0</v>
      </c>
      <c r="L20" s="247">
        <f>'[1]сентябрь 20'!AE19</f>
        <v>49.991</v>
      </c>
      <c r="M20" s="468">
        <f t="shared" si="22"/>
        <v>0.37284457040572799</v>
      </c>
      <c r="N20" s="403">
        <f>'[1]сентябрь 20'!W19</f>
        <v>0</v>
      </c>
      <c r="O20" s="403">
        <f>'[1]сентябрь 20'!AU19</f>
        <v>9.0830000000000002</v>
      </c>
      <c r="P20" s="401">
        <f t="shared" si="1"/>
        <v>168.571</v>
      </c>
      <c r="Q20" s="122">
        <f>'[1]сентябрь 20'!S19</f>
        <v>168.571</v>
      </c>
      <c r="R20" s="123">
        <f t="shared" si="23"/>
        <v>2.66</v>
      </c>
      <c r="S20" s="503">
        <v>12.77</v>
      </c>
      <c r="T20" s="125">
        <f t="shared" si="2"/>
        <v>164.08701139999999</v>
      </c>
      <c r="U20" s="147">
        <f t="shared" si="3"/>
        <v>1.2237993093675419</v>
      </c>
      <c r="V20" s="130">
        <v>134.08000000000001</v>
      </c>
      <c r="W20" s="130">
        <v>85.57</v>
      </c>
      <c r="X20" s="129">
        <v>1.21</v>
      </c>
      <c r="Y20" s="131">
        <v>580</v>
      </c>
      <c r="Z20" s="150">
        <v>1170</v>
      </c>
      <c r="AA20" s="168" t="s">
        <v>159</v>
      </c>
      <c r="AB20" s="149">
        <v>75.89</v>
      </c>
      <c r="AC20" s="150">
        <v>111</v>
      </c>
      <c r="AD20" s="151">
        <v>5</v>
      </c>
      <c r="AE20" s="149">
        <v>6.2</v>
      </c>
      <c r="AF20" s="134">
        <f t="shared" si="4"/>
        <v>46.241050119331753</v>
      </c>
      <c r="AG20" s="152"/>
      <c r="AH20" s="129">
        <v>86.75</v>
      </c>
      <c r="AI20" s="134">
        <f t="shared" si="5"/>
        <v>647.00178997613375</v>
      </c>
      <c r="AJ20" s="153">
        <v>14.75</v>
      </c>
      <c r="AK20" s="154"/>
      <c r="AL20" s="155">
        <v>7.84</v>
      </c>
      <c r="AM20" s="478">
        <f t="shared" si="24"/>
        <v>35.07</v>
      </c>
      <c r="AN20" s="126">
        <f t="shared" si="25"/>
        <v>0.2</v>
      </c>
      <c r="AO20" s="157" t="s">
        <v>400</v>
      </c>
      <c r="AP20" s="156">
        <v>7.53</v>
      </c>
      <c r="AQ20" s="156">
        <v>7.33</v>
      </c>
      <c r="AR20" s="149"/>
      <c r="AS20" s="149">
        <v>6.74</v>
      </c>
      <c r="AT20" s="149">
        <v>175.35</v>
      </c>
      <c r="AU20" s="149">
        <v>1.64</v>
      </c>
      <c r="AV20" s="149"/>
      <c r="AW20" s="149"/>
      <c r="AX20" s="158">
        <f t="shared" si="6"/>
        <v>0</v>
      </c>
      <c r="AY20" s="125">
        <f t="shared" si="7"/>
        <v>134.07999999999998</v>
      </c>
      <c r="AZ20" s="125">
        <f t="shared" si="26"/>
        <v>117.6497524498796</v>
      </c>
      <c r="BA20" s="159">
        <f t="shared" si="8"/>
        <v>4.5293274647887323</v>
      </c>
      <c r="BB20" s="160">
        <f t="shared" si="9"/>
        <v>5.3631999999999991</v>
      </c>
      <c r="BC20" s="161">
        <f t="shared" si="10"/>
        <v>1.0025886356574418</v>
      </c>
      <c r="BD20" s="160">
        <f t="shared" si="27"/>
        <v>9.8925274647887314</v>
      </c>
      <c r="BE20" s="162">
        <v>0.95399999999999996</v>
      </c>
      <c r="BF20" s="25">
        <f t="shared" si="28"/>
        <v>1705.6899999999998</v>
      </c>
      <c r="BG20" s="25">
        <f t="shared" si="11"/>
        <v>118.33333333333333</v>
      </c>
      <c r="BH20" s="25">
        <f t="shared" si="29"/>
        <v>1656.6666666666663</v>
      </c>
      <c r="BI20" s="26">
        <f t="shared" si="12"/>
        <v>1</v>
      </c>
      <c r="BJ20" s="37">
        <f t="shared" si="30"/>
        <v>1656.6666666666663</v>
      </c>
      <c r="BK20" s="38"/>
      <c r="BL20" s="28">
        <f t="shared" si="31"/>
        <v>213.07399999999998</v>
      </c>
      <c r="BM20" s="31"/>
      <c r="BN20" s="234">
        <v>44.42</v>
      </c>
      <c r="BO20" s="42"/>
      <c r="BP20" s="28">
        <f t="shared" si="32"/>
        <v>12.010999999999999</v>
      </c>
      <c r="BQ20" s="411">
        <v>5.5709999999999997</v>
      </c>
      <c r="BR20" s="33"/>
      <c r="BS20" s="34">
        <v>1.65</v>
      </c>
      <c r="BT20" s="35"/>
      <c r="BU20" s="28"/>
      <c r="BV20" s="287"/>
      <c r="BW20" s="287">
        <v>3.48</v>
      </c>
      <c r="BX20" s="36"/>
      <c r="BY20" s="33"/>
      <c r="BZ20" s="34">
        <v>36.44</v>
      </c>
      <c r="CA20" s="35"/>
      <c r="CB20" s="405">
        <v>43.24</v>
      </c>
      <c r="CC20" s="404"/>
      <c r="CD20" s="235">
        <v>30.8</v>
      </c>
      <c r="CE20" s="413">
        <v>43.3</v>
      </c>
      <c r="CF20" s="30">
        <v>113.08</v>
      </c>
      <c r="CG20" s="30">
        <v>55.491</v>
      </c>
      <c r="CH20" s="31"/>
      <c r="CI20" s="32"/>
      <c r="CJ20" s="33">
        <v>2.66</v>
      </c>
      <c r="CK20" s="33">
        <v>2.66</v>
      </c>
      <c r="CL20" s="35"/>
      <c r="CM20" s="36"/>
      <c r="CN20" s="286"/>
      <c r="CO20" s="249">
        <f t="shared" si="13"/>
        <v>0</v>
      </c>
      <c r="CP20" s="12">
        <f t="shared" si="13"/>
        <v>209.55827899999997</v>
      </c>
      <c r="CQ20" s="12">
        <f t="shared" si="13"/>
        <v>0</v>
      </c>
      <c r="CR20" s="12">
        <f t="shared" si="13"/>
        <v>44.42</v>
      </c>
      <c r="CS20" s="11">
        <f t="shared" si="13"/>
        <v>0</v>
      </c>
      <c r="CT20" s="11">
        <f t="shared" si="13"/>
        <v>11.593017199999998</v>
      </c>
      <c r="CU20" s="272">
        <f t="shared" si="13"/>
        <v>5.5709999999999997</v>
      </c>
      <c r="CV20" s="249">
        <f t="shared" si="14"/>
        <v>110.07207200000001</v>
      </c>
      <c r="CW20" s="12">
        <f t="shared" si="14"/>
        <v>54.014939400000003</v>
      </c>
      <c r="CX20" s="249">
        <f t="shared" si="14"/>
        <v>0</v>
      </c>
      <c r="CY20" s="272">
        <f t="shared" si="14"/>
        <v>0</v>
      </c>
      <c r="CZ20" s="13"/>
      <c r="DA20" s="240">
        <f>(D20+'[2]сентябрь 20'!D20)/(AY20+'[2]сентябрь 20'!BA20)</f>
        <v>2.0585078816795521</v>
      </c>
      <c r="DB20" s="241">
        <f>(T20+'[2]сентябрь 20'!T20)/(AY20+'[2]сентябрь 20'!BA20)</f>
        <v>1.2602242646201618</v>
      </c>
      <c r="DD20" s="292">
        <f t="shared" si="15"/>
        <v>10.837999999999999</v>
      </c>
      <c r="DE20" s="291">
        <v>0.27</v>
      </c>
      <c r="DF20" s="407">
        <v>6.32</v>
      </c>
      <c r="DG20" s="145">
        <f t="shared" si="16"/>
        <v>10.8087374</v>
      </c>
      <c r="DH20" s="293">
        <f t="shared" si="33"/>
        <v>0.90013467344841214</v>
      </c>
      <c r="DJ20" s="31">
        <v>216.47399999999999</v>
      </c>
      <c r="DK20" s="460">
        <f t="shared" si="34"/>
        <v>213.07399999999998</v>
      </c>
      <c r="DL20" s="40">
        <v>11.010999999999999</v>
      </c>
      <c r="DM20" s="460">
        <f t="shared" si="35"/>
        <v>12.010999999999999</v>
      </c>
      <c r="DN20" s="30">
        <v>113.08</v>
      </c>
      <c r="DO20" s="460">
        <f t="shared" si="36"/>
        <v>131.57999999999998</v>
      </c>
    </row>
    <row r="21" spans="1:119" s="76" customFormat="1" ht="16.5" customHeight="1" thickBot="1">
      <c r="A21" s="144">
        <v>15</v>
      </c>
      <c r="B21" s="122">
        <f t="shared" si="17"/>
        <v>277.63200000000001</v>
      </c>
      <c r="C21" s="123">
        <f t="shared" si="18"/>
        <v>1.3127270631627477</v>
      </c>
      <c r="D21" s="145">
        <f t="shared" si="19"/>
        <v>273.98744959999999</v>
      </c>
      <c r="E21" s="125">
        <f t="shared" si="20"/>
        <v>37.158379185396498</v>
      </c>
      <c r="F21" s="146">
        <f t="shared" si="0"/>
        <v>2.2040660413482418</v>
      </c>
      <c r="G21" s="127">
        <v>12.9</v>
      </c>
      <c r="H21" s="126">
        <f t="shared" si="21"/>
        <v>1.7987567339715227</v>
      </c>
      <c r="I21" s="230">
        <f>'[1]июль 20'!AI20</f>
        <v>0</v>
      </c>
      <c r="J21" s="247">
        <f>'[1]сентябрь 20'!AA20</f>
        <v>11.045</v>
      </c>
      <c r="K21" s="465">
        <f>'[1]сентябрь 20'!AM20</f>
        <v>0</v>
      </c>
      <c r="L21" s="247">
        <f>'[1]сентябрь 20'!AE20</f>
        <v>50.384</v>
      </c>
      <c r="M21" s="469">
        <f t="shared" si="22"/>
        <v>0.40530930737671944</v>
      </c>
      <c r="N21" s="403">
        <f>'[1]сентябрь 20'!W20</f>
        <v>0</v>
      </c>
      <c r="O21" s="403">
        <f>'[1]сентябрь 20'!AU20</f>
        <v>9.8040000000000003</v>
      </c>
      <c r="P21" s="401">
        <f t="shared" si="1"/>
        <v>167.74799999999999</v>
      </c>
      <c r="Q21" s="122">
        <f>'[1]сентябрь 20'!S20</f>
        <v>167.74799999999999</v>
      </c>
      <c r="R21" s="123">
        <f t="shared" si="23"/>
        <v>2.63</v>
      </c>
      <c r="S21" s="501">
        <v>1.56</v>
      </c>
      <c r="T21" s="125">
        <f t="shared" si="2"/>
        <v>163.3362276</v>
      </c>
      <c r="U21" s="147">
        <f t="shared" si="3"/>
        <v>1.3139427849730512</v>
      </c>
      <c r="V21" s="130">
        <v>124.31</v>
      </c>
      <c r="W21" s="130">
        <v>94.63</v>
      </c>
      <c r="X21" s="129">
        <v>0.76</v>
      </c>
      <c r="Y21" s="131">
        <v>557</v>
      </c>
      <c r="Z21" s="150">
        <v>1173</v>
      </c>
      <c r="AA21" s="168" t="s">
        <v>130</v>
      </c>
      <c r="AB21" s="149">
        <v>76.41</v>
      </c>
      <c r="AC21" s="150">
        <v>112</v>
      </c>
      <c r="AD21" s="151">
        <v>5</v>
      </c>
      <c r="AE21" s="149">
        <v>3.6</v>
      </c>
      <c r="AF21" s="134">
        <f t="shared" si="4"/>
        <v>28.959858418469953</v>
      </c>
      <c r="AG21" s="152"/>
      <c r="AH21" s="129">
        <v>81.2</v>
      </c>
      <c r="AI21" s="134">
        <f t="shared" si="5"/>
        <v>653.2056954388222</v>
      </c>
      <c r="AJ21" s="136">
        <v>17.71</v>
      </c>
      <c r="AK21" s="154"/>
      <c r="AL21" s="155">
        <v>9.35</v>
      </c>
      <c r="AM21" s="478">
        <f t="shared" si="24"/>
        <v>33.03</v>
      </c>
      <c r="AN21" s="126">
        <f t="shared" si="25"/>
        <v>0.2</v>
      </c>
      <c r="AO21" s="157" t="s">
        <v>398</v>
      </c>
      <c r="AP21" s="156">
        <v>7.6</v>
      </c>
      <c r="AQ21" s="156">
        <v>6.86</v>
      </c>
      <c r="AR21" s="149"/>
      <c r="AS21" s="149">
        <v>6.23</v>
      </c>
      <c r="AT21" s="149">
        <v>165.15</v>
      </c>
      <c r="AU21" s="149">
        <v>1.54</v>
      </c>
      <c r="AV21" s="149"/>
      <c r="AW21" s="149"/>
      <c r="AX21" s="158">
        <f t="shared" si="6"/>
        <v>0</v>
      </c>
      <c r="AY21" s="125">
        <f t="shared" si="7"/>
        <v>124.31000000000002</v>
      </c>
      <c r="AZ21" s="125">
        <f t="shared" si="26"/>
        <v>117.91949829509741</v>
      </c>
      <c r="BA21" s="159">
        <f t="shared" si="8"/>
        <v>3.9187577464788732</v>
      </c>
      <c r="BB21" s="160">
        <f t="shared" si="9"/>
        <v>4.9724000000000004</v>
      </c>
      <c r="BC21" s="161">
        <f t="shared" si="10"/>
        <v>0.93297248141156797</v>
      </c>
      <c r="BD21" s="160">
        <f t="shared" si="27"/>
        <v>8.8911577464788731</v>
      </c>
      <c r="BE21" s="162">
        <v>0.95299999999999996</v>
      </c>
      <c r="BF21" s="25">
        <f t="shared" si="28"/>
        <v>1829.9999999999998</v>
      </c>
      <c r="BG21" s="25">
        <f t="shared" si="11"/>
        <v>118.33333333333333</v>
      </c>
      <c r="BH21" s="25">
        <f t="shared" si="29"/>
        <v>1774.9999999999995</v>
      </c>
      <c r="BI21" s="26">
        <f t="shared" si="12"/>
        <v>1</v>
      </c>
      <c r="BJ21" s="37">
        <f t="shared" si="30"/>
        <v>1774.9999999999995</v>
      </c>
      <c r="BK21" s="38"/>
      <c r="BL21" s="28">
        <f t="shared" si="31"/>
        <v>215.05199999999999</v>
      </c>
      <c r="BM21" s="31"/>
      <c r="BN21" s="234">
        <v>44.805</v>
      </c>
      <c r="BO21" s="42"/>
      <c r="BP21" s="28">
        <f t="shared" si="32"/>
        <v>12.196</v>
      </c>
      <c r="BQ21" s="411">
        <v>5.5789999999999997</v>
      </c>
      <c r="BR21" s="33"/>
      <c r="BS21" s="34">
        <v>1.49</v>
      </c>
      <c r="BT21" s="35"/>
      <c r="BU21" s="35"/>
      <c r="BV21" s="235"/>
      <c r="BW21" s="235">
        <v>3.61</v>
      </c>
      <c r="BX21" s="36"/>
      <c r="BY21" s="33"/>
      <c r="BZ21" s="34">
        <v>36.11</v>
      </c>
      <c r="CA21" s="35"/>
      <c r="CB21" s="405">
        <v>43.06</v>
      </c>
      <c r="CC21" s="404"/>
      <c r="CD21" s="235">
        <v>31.25</v>
      </c>
      <c r="CE21" s="413">
        <v>43.09</v>
      </c>
      <c r="CF21" s="30">
        <v>111.745</v>
      </c>
      <c r="CG21" s="30">
        <v>56.003</v>
      </c>
      <c r="CH21" s="31"/>
      <c r="CI21" s="32"/>
      <c r="CJ21" s="33">
        <v>2.63</v>
      </c>
      <c r="CK21" s="33">
        <v>2.63</v>
      </c>
      <c r="CL21" s="35"/>
      <c r="CM21" s="36"/>
      <c r="CN21" s="286"/>
      <c r="CO21" s="249">
        <f t="shared" si="13"/>
        <v>0</v>
      </c>
      <c r="CP21" s="12">
        <f t="shared" si="13"/>
        <v>211.84772520000001</v>
      </c>
      <c r="CQ21" s="12">
        <f t="shared" si="13"/>
        <v>0</v>
      </c>
      <c r="CR21" s="12">
        <f t="shared" si="13"/>
        <v>44.805</v>
      </c>
      <c r="CS21" s="11">
        <f t="shared" si="13"/>
        <v>0</v>
      </c>
      <c r="CT21" s="11">
        <f t="shared" si="13"/>
        <v>11.7557244</v>
      </c>
      <c r="CU21" s="272">
        <f t="shared" si="13"/>
        <v>5.5789999999999997</v>
      </c>
      <c r="CV21" s="249">
        <f t="shared" si="14"/>
        <v>108.8061065</v>
      </c>
      <c r="CW21" s="12">
        <f t="shared" si="14"/>
        <v>54.530121100000002</v>
      </c>
      <c r="CX21" s="249">
        <f t="shared" si="14"/>
        <v>0</v>
      </c>
      <c r="CY21" s="272">
        <f t="shared" si="14"/>
        <v>0</v>
      </c>
      <c r="CZ21" s="13"/>
      <c r="DA21" s="240">
        <f>(D21+'[2]сентябрь 20'!D21)/(AY21+'[2]сентябрь 20'!BA21)</f>
        <v>2.1283281109521828</v>
      </c>
      <c r="DB21" s="241">
        <f>(T21+'[2]сентябрь 20'!T21)/(AY21+'[2]сентябрь 20'!BA21)</f>
        <v>1.2836733713461284</v>
      </c>
      <c r="DD21" s="292">
        <f t="shared" si="15"/>
        <v>11.045</v>
      </c>
      <c r="DE21" s="291">
        <v>0.71</v>
      </c>
      <c r="DF21" s="291">
        <v>11.15</v>
      </c>
      <c r="DG21" s="145">
        <f t="shared" si="16"/>
        <v>10.966580500000001</v>
      </c>
      <c r="DH21" s="293">
        <f t="shared" si="33"/>
        <v>1.6002797091349303</v>
      </c>
      <c r="DJ21" s="31">
        <v>218.452</v>
      </c>
      <c r="DK21" s="460">
        <f t="shared" si="34"/>
        <v>215.05199999999999</v>
      </c>
      <c r="DL21" s="40">
        <v>11.196</v>
      </c>
      <c r="DM21" s="460">
        <f t="shared" si="35"/>
        <v>12.196</v>
      </c>
      <c r="DN21" s="30">
        <v>111.745</v>
      </c>
      <c r="DO21" s="460">
        <f t="shared" si="36"/>
        <v>130.245</v>
      </c>
    </row>
    <row r="22" spans="1:119" s="76" customFormat="1" ht="16.5" customHeight="1" thickBot="1">
      <c r="A22" s="144">
        <v>16</v>
      </c>
      <c r="B22" s="122">
        <f t="shared" si="17"/>
        <v>264.83199999999999</v>
      </c>
      <c r="C22" s="123">
        <f t="shared" si="18"/>
        <v>1.9026880437409377</v>
      </c>
      <c r="D22" s="145">
        <f t="shared" si="19"/>
        <v>259.79307319999998</v>
      </c>
      <c r="E22" s="125">
        <f t="shared" si="20"/>
        <v>37.803980108144039</v>
      </c>
      <c r="F22" s="146">
        <f t="shared" si="0"/>
        <v>2.1093948782072101</v>
      </c>
      <c r="G22" s="127">
        <v>7.04</v>
      </c>
      <c r="H22" s="126">
        <f t="shared" si="21"/>
        <v>1.7195767554400778</v>
      </c>
      <c r="I22" s="230">
        <f>'[1]июль 20'!AI21</f>
        <v>0</v>
      </c>
      <c r="J22" s="247">
        <f>'[1]сентябрь 20'!AA21</f>
        <v>10.55</v>
      </c>
      <c r="K22" s="464">
        <f>'[1]сентябрь 20'!AM21</f>
        <v>0</v>
      </c>
      <c r="L22" s="247">
        <f>'[1]сентябрь 20'!AE21</f>
        <v>48.01</v>
      </c>
      <c r="M22" s="468">
        <f t="shared" si="22"/>
        <v>0.38981812276713218</v>
      </c>
      <c r="N22" s="403">
        <f>'[1]сентябрь 20'!W21</f>
        <v>0</v>
      </c>
      <c r="O22" s="403">
        <f>'[1]сентябрь 20'!AU21</f>
        <v>8.7430000000000003</v>
      </c>
      <c r="P22" s="401">
        <f t="shared" si="1"/>
        <v>160.22800000000001</v>
      </c>
      <c r="Q22" s="122">
        <f>'[1]сентябрь 20'!S21</f>
        <v>160.22800000000001</v>
      </c>
      <c r="R22" s="123">
        <f t="shared" si="23"/>
        <v>3.0299999999999994</v>
      </c>
      <c r="S22" s="501">
        <v>16.809999999999999</v>
      </c>
      <c r="T22" s="125">
        <f t="shared" si="2"/>
        <v>155.37309160000001</v>
      </c>
      <c r="U22" s="147">
        <f t="shared" si="3"/>
        <v>1.2615548197466711</v>
      </c>
      <c r="V22" s="130">
        <v>123.16</v>
      </c>
      <c r="W22" s="130">
        <v>78.92</v>
      </c>
      <c r="X22" s="129">
        <v>0.86</v>
      </c>
      <c r="Y22" s="131">
        <v>572</v>
      </c>
      <c r="Z22" s="150">
        <v>1167</v>
      </c>
      <c r="AA22" s="148" t="s">
        <v>134</v>
      </c>
      <c r="AB22" s="149">
        <v>75.98</v>
      </c>
      <c r="AC22" s="150">
        <v>107</v>
      </c>
      <c r="AD22" s="151">
        <v>5</v>
      </c>
      <c r="AE22" s="149">
        <v>3.9</v>
      </c>
      <c r="AF22" s="134">
        <f t="shared" si="4"/>
        <v>31.66612536537837</v>
      </c>
      <c r="AG22" s="152"/>
      <c r="AH22" s="129">
        <v>88.5</v>
      </c>
      <c r="AI22" s="134">
        <f t="shared" si="5"/>
        <v>718.57746021435537</v>
      </c>
      <c r="AJ22" s="153">
        <v>14.38</v>
      </c>
      <c r="AK22" s="154"/>
      <c r="AL22" s="155">
        <v>8.4</v>
      </c>
      <c r="AM22" s="478">
        <f t="shared" si="24"/>
        <v>32.32</v>
      </c>
      <c r="AN22" s="126">
        <f t="shared" si="25"/>
        <v>0.2</v>
      </c>
      <c r="AO22" s="157" t="s">
        <v>401</v>
      </c>
      <c r="AP22" s="156">
        <v>7.27</v>
      </c>
      <c r="AQ22" s="156">
        <v>6.97</v>
      </c>
      <c r="AR22" s="151"/>
      <c r="AS22" s="149">
        <v>8.6</v>
      </c>
      <c r="AT22" s="149">
        <v>161.6</v>
      </c>
      <c r="AU22" s="149">
        <v>2.2799999999999998</v>
      </c>
      <c r="AV22" s="149"/>
      <c r="AW22" s="149"/>
      <c r="AX22" s="158">
        <f t="shared" si="6"/>
        <v>0</v>
      </c>
      <c r="AY22" s="125">
        <f t="shared" si="7"/>
        <v>123.16</v>
      </c>
      <c r="AZ22" s="125">
        <f t="shared" si="26"/>
        <v>114.70538898733395</v>
      </c>
      <c r="BA22" s="159">
        <f t="shared" si="8"/>
        <v>5.8958450704225358</v>
      </c>
      <c r="BB22" s="160">
        <f t="shared" si="9"/>
        <v>4.9264000000000001</v>
      </c>
      <c r="BC22" s="161">
        <f t="shared" si="10"/>
        <v>0.95280466775454498</v>
      </c>
      <c r="BD22" s="160">
        <f t="shared" si="27"/>
        <v>10.822245070422536</v>
      </c>
      <c r="BE22" s="162">
        <v>0.95299999999999996</v>
      </c>
      <c r="BF22" s="25">
        <f t="shared" si="28"/>
        <v>1953.1599999999999</v>
      </c>
      <c r="BG22" s="25">
        <f t="shared" si="11"/>
        <v>118.33333333333333</v>
      </c>
      <c r="BH22" s="25">
        <f t="shared" si="29"/>
        <v>1893.3333333333328</v>
      </c>
      <c r="BI22" s="26">
        <f t="shared" si="12"/>
        <v>1</v>
      </c>
      <c r="BJ22" s="37">
        <f t="shared" si="30"/>
        <v>1893.3333333333328</v>
      </c>
      <c r="BK22" s="38"/>
      <c r="BL22" s="28">
        <f t="shared" si="31"/>
        <v>205.20099999999999</v>
      </c>
      <c r="BM22" s="31"/>
      <c r="BN22" s="234">
        <v>42.725999999999999</v>
      </c>
      <c r="BO22" s="42"/>
      <c r="BP22" s="28">
        <f t="shared" si="32"/>
        <v>11.621</v>
      </c>
      <c r="BQ22" s="411">
        <v>5.2839999999999998</v>
      </c>
      <c r="BR22" s="33"/>
      <c r="BS22" s="34">
        <v>2.19</v>
      </c>
      <c r="BT22" s="35"/>
      <c r="BU22" s="35"/>
      <c r="BV22" s="235"/>
      <c r="BW22" s="235">
        <v>4.6900000000000004</v>
      </c>
      <c r="BX22" s="36"/>
      <c r="BY22" s="33"/>
      <c r="BZ22" s="34">
        <v>36.950000000000003</v>
      </c>
      <c r="CA22" s="35"/>
      <c r="CB22" s="405">
        <v>43.15</v>
      </c>
      <c r="CC22" s="404"/>
      <c r="CD22" s="235">
        <v>30.77</v>
      </c>
      <c r="CE22" s="413">
        <v>43.21</v>
      </c>
      <c r="CF22" s="30">
        <v>106.735</v>
      </c>
      <c r="CG22" s="30">
        <v>53.493000000000002</v>
      </c>
      <c r="CH22" s="31"/>
      <c r="CI22" s="32"/>
      <c r="CJ22" s="33">
        <v>3.03</v>
      </c>
      <c r="CK22" s="33">
        <v>3.03</v>
      </c>
      <c r="CL22" s="35"/>
      <c r="CM22" s="36"/>
      <c r="CN22" s="286"/>
      <c r="CO22" s="249">
        <f t="shared" si="13"/>
        <v>0</v>
      </c>
      <c r="CP22" s="12">
        <f t="shared" si="13"/>
        <v>200.7070981</v>
      </c>
      <c r="CQ22" s="12">
        <f t="shared" si="13"/>
        <v>0</v>
      </c>
      <c r="CR22" s="12">
        <f t="shared" si="13"/>
        <v>42.725999999999999</v>
      </c>
      <c r="CS22" s="11">
        <f t="shared" si="13"/>
        <v>0</v>
      </c>
      <c r="CT22" s="11">
        <f t="shared" si="13"/>
        <v>11.075975100000001</v>
      </c>
      <c r="CU22" s="272">
        <f t="shared" si="13"/>
        <v>5.2839999999999998</v>
      </c>
      <c r="CV22" s="249">
        <f t="shared" si="14"/>
        <v>103.5009295</v>
      </c>
      <c r="CW22" s="12">
        <f t="shared" si="14"/>
        <v>51.872162100000004</v>
      </c>
      <c r="CX22" s="249">
        <f t="shared" si="14"/>
        <v>0</v>
      </c>
      <c r="CY22" s="272">
        <f t="shared" si="14"/>
        <v>0</v>
      </c>
      <c r="CZ22" s="13"/>
      <c r="DA22" s="240">
        <f>(D22+'[2]сентябрь 20'!D22)/(AY22+'[2]сентябрь 20'!BA22)</f>
        <v>1.8868109915704443</v>
      </c>
      <c r="DB22" s="241">
        <f>(T22+'[2]сентябрь 20'!T22)/(AY22+'[2]сентябрь 20'!BA22)</f>
        <v>1.1321980279667005</v>
      </c>
      <c r="DD22" s="292">
        <f t="shared" si="15"/>
        <v>10.55</v>
      </c>
      <c r="DE22" s="291">
        <v>3.37</v>
      </c>
      <c r="DF22" s="291">
        <v>13.87</v>
      </c>
      <c r="DG22" s="145">
        <f t="shared" si="16"/>
        <v>10.194464999999999</v>
      </c>
      <c r="DH22" s="293">
        <f t="shared" si="33"/>
        <v>1.8609795939720977</v>
      </c>
      <c r="DJ22" s="31">
        <v>208.601</v>
      </c>
      <c r="DK22" s="460">
        <f t="shared" si="34"/>
        <v>205.20099999999999</v>
      </c>
      <c r="DL22" s="40">
        <v>10.621</v>
      </c>
      <c r="DM22" s="460">
        <f t="shared" si="35"/>
        <v>11.621</v>
      </c>
      <c r="DN22" s="30">
        <v>106.735</v>
      </c>
      <c r="DO22" s="460">
        <f t="shared" si="36"/>
        <v>125.235</v>
      </c>
    </row>
    <row r="23" spans="1:119" s="76" customFormat="1" ht="16.5" customHeight="1" thickBot="1">
      <c r="A23" s="144">
        <v>17</v>
      </c>
      <c r="B23" s="122">
        <f t="shared" si="17"/>
        <v>295.214</v>
      </c>
      <c r="C23" s="123">
        <f t="shared" si="18"/>
        <v>1.7788895513085423</v>
      </c>
      <c r="D23" s="145">
        <f t="shared" si="19"/>
        <v>289.962469</v>
      </c>
      <c r="E23" s="125">
        <f t="shared" si="20"/>
        <v>37.496355863881796</v>
      </c>
      <c r="F23" s="146">
        <f t="shared" si="0"/>
        <v>2.2429027614480201</v>
      </c>
      <c r="G23" s="127">
        <v>13.37</v>
      </c>
      <c r="H23" s="126">
        <f t="shared" si="21"/>
        <v>1.8284225634282181</v>
      </c>
      <c r="I23" s="230">
        <f>'[1]июль 20'!AI22</f>
        <v>0</v>
      </c>
      <c r="J23" s="247">
        <f>'[1]сентябрь 20'!AA22</f>
        <v>11.911</v>
      </c>
      <c r="K23" s="465">
        <f>'[1]сентябрь 20'!AM22</f>
        <v>0</v>
      </c>
      <c r="L23" s="247">
        <f>'[1]сентябрь 20'!AE22</f>
        <v>53.584000000000003</v>
      </c>
      <c r="M23" s="469">
        <f t="shared" si="22"/>
        <v>0.41448019801980202</v>
      </c>
      <c r="N23" s="403">
        <f>'[1]сентябрь 20'!W22</f>
        <v>0</v>
      </c>
      <c r="O23" s="403">
        <f>'[1]сентябрь 20'!AU22</f>
        <v>9.4649999999999999</v>
      </c>
      <c r="P23" s="401">
        <f t="shared" si="1"/>
        <v>179.721</v>
      </c>
      <c r="Q23" s="122">
        <f>'[1]сентябрь 20'!S22</f>
        <v>179.721</v>
      </c>
      <c r="R23" s="123">
        <f t="shared" si="23"/>
        <v>3.21</v>
      </c>
      <c r="S23" s="501">
        <v>16.5</v>
      </c>
      <c r="T23" s="125">
        <f t="shared" si="2"/>
        <v>173.95195590000003</v>
      </c>
      <c r="U23" s="147">
        <f t="shared" si="3"/>
        <v>1.3455442133353965</v>
      </c>
      <c r="V23" s="130">
        <v>129.28</v>
      </c>
      <c r="W23" s="130">
        <v>81.61</v>
      </c>
      <c r="X23" s="129">
        <v>0.72</v>
      </c>
      <c r="Y23" s="131">
        <v>515</v>
      </c>
      <c r="Z23" s="150">
        <v>1173</v>
      </c>
      <c r="AA23" s="148" t="s">
        <v>402</v>
      </c>
      <c r="AB23" s="149">
        <v>76.650000000000006</v>
      </c>
      <c r="AC23" s="150">
        <v>119</v>
      </c>
      <c r="AD23" s="151">
        <v>5</v>
      </c>
      <c r="AE23" s="149">
        <v>6.2</v>
      </c>
      <c r="AF23" s="134">
        <f t="shared" si="4"/>
        <v>47.957920792079221</v>
      </c>
      <c r="AG23" s="152"/>
      <c r="AH23" s="129">
        <v>95.85</v>
      </c>
      <c r="AI23" s="134">
        <f t="shared" si="5"/>
        <v>741.41398514851494</v>
      </c>
      <c r="AJ23" s="136">
        <v>18.059999999999999</v>
      </c>
      <c r="AK23" s="154"/>
      <c r="AL23" s="155">
        <v>12.49</v>
      </c>
      <c r="AM23" s="478">
        <f t="shared" si="24"/>
        <v>34.65</v>
      </c>
      <c r="AN23" s="126">
        <f t="shared" si="25"/>
        <v>0.19999999999999998</v>
      </c>
      <c r="AO23" s="157" t="s">
        <v>183</v>
      </c>
      <c r="AP23" s="156">
        <v>6.86</v>
      </c>
      <c r="AQ23" s="156">
        <v>6.78</v>
      </c>
      <c r="AR23" s="151"/>
      <c r="AS23" s="149">
        <v>8.3800000000000008</v>
      </c>
      <c r="AT23" s="149">
        <v>173.25</v>
      </c>
      <c r="AU23" s="149">
        <v>3.17</v>
      </c>
      <c r="AV23" s="149"/>
      <c r="AW23" s="149"/>
      <c r="AX23" s="158">
        <f t="shared" si="6"/>
        <v>0</v>
      </c>
      <c r="AY23" s="125">
        <f t="shared" si="7"/>
        <v>129.27999999999997</v>
      </c>
      <c r="AZ23" s="125">
        <f t="shared" si="26"/>
        <v>126.105869911898</v>
      </c>
      <c r="BA23" s="159">
        <f t="shared" si="8"/>
        <v>6.2221500000000001</v>
      </c>
      <c r="BB23" s="160">
        <f t="shared" si="9"/>
        <v>5.1711999999999989</v>
      </c>
      <c r="BC23" s="161">
        <f t="shared" si="10"/>
        <v>0.91140761166884221</v>
      </c>
      <c r="BD23" s="160">
        <f t="shared" si="27"/>
        <v>11.393349999999998</v>
      </c>
      <c r="BE23" s="162">
        <v>0.95</v>
      </c>
      <c r="BF23" s="25">
        <f t="shared" si="28"/>
        <v>2082.4399999999996</v>
      </c>
      <c r="BG23" s="25">
        <f t="shared" si="11"/>
        <v>118.33333333333333</v>
      </c>
      <c r="BH23" s="25">
        <f t="shared" si="29"/>
        <v>2011.6666666666661</v>
      </c>
      <c r="BI23" s="26">
        <f t="shared" si="12"/>
        <v>1</v>
      </c>
      <c r="BJ23" s="37">
        <f t="shared" si="30"/>
        <v>2011.6666666666661</v>
      </c>
      <c r="BK23" s="38"/>
      <c r="BL23" s="28">
        <f t="shared" si="31"/>
        <v>228.66</v>
      </c>
      <c r="BM23" s="31"/>
      <c r="BN23" s="234">
        <v>47.607999999999997</v>
      </c>
      <c r="BO23" s="42"/>
      <c r="BP23" s="28">
        <f t="shared" si="32"/>
        <v>12.97</v>
      </c>
      <c r="BQ23" s="411">
        <v>5.976</v>
      </c>
      <c r="BR23" s="33"/>
      <c r="BS23" s="34">
        <v>2</v>
      </c>
      <c r="BT23" s="35"/>
      <c r="BU23" s="35"/>
      <c r="BV23" s="235"/>
      <c r="BW23" s="235">
        <v>5.23</v>
      </c>
      <c r="BX23" s="36"/>
      <c r="BY23" s="33"/>
      <c r="BZ23" s="34">
        <v>36.380000000000003</v>
      </c>
      <c r="CA23" s="35"/>
      <c r="CB23" s="405">
        <v>42.92</v>
      </c>
      <c r="CC23" s="404"/>
      <c r="CD23" s="235">
        <v>34.6</v>
      </c>
      <c r="CE23" s="413">
        <v>43.29</v>
      </c>
      <c r="CF23" s="30">
        <v>120.22499999999999</v>
      </c>
      <c r="CG23" s="30">
        <v>59.496000000000002</v>
      </c>
      <c r="CH23" s="31"/>
      <c r="CI23" s="32"/>
      <c r="CJ23" s="33">
        <v>3.21</v>
      </c>
      <c r="CK23" s="33">
        <v>3.21</v>
      </c>
      <c r="CL23" s="35"/>
      <c r="CM23" s="36"/>
      <c r="CN23" s="286"/>
      <c r="CO23" s="249">
        <f t="shared" ref="CO23:CU37" si="37">BK23*((100-BR23)/100)</f>
        <v>0</v>
      </c>
      <c r="CP23" s="12">
        <f t="shared" si="37"/>
        <v>224.08679999999998</v>
      </c>
      <c r="CQ23" s="12">
        <f t="shared" si="37"/>
        <v>0</v>
      </c>
      <c r="CR23" s="12">
        <f t="shared" si="37"/>
        <v>47.607999999999997</v>
      </c>
      <c r="CS23" s="11">
        <f t="shared" si="37"/>
        <v>0</v>
      </c>
      <c r="CT23" s="11">
        <f t="shared" si="37"/>
        <v>12.291669000000001</v>
      </c>
      <c r="CU23" s="272">
        <f t="shared" si="37"/>
        <v>5.976</v>
      </c>
      <c r="CV23" s="249">
        <f t="shared" si="14"/>
        <v>116.36577750000001</v>
      </c>
      <c r="CW23" s="11">
        <f t="shared" si="14"/>
        <v>57.586178400000009</v>
      </c>
      <c r="CX23" s="249">
        <f t="shared" si="14"/>
        <v>0</v>
      </c>
      <c r="CY23" s="272">
        <f t="shared" si="14"/>
        <v>0</v>
      </c>
      <c r="CZ23" s="13"/>
      <c r="DA23" s="240">
        <f>(D23+'[2]сентябрь 20'!D23)/(AY23+'[2]сентябрь 20'!BA23)</f>
        <v>2.5703690363579335</v>
      </c>
      <c r="DB23" s="241">
        <f>(T23+'[2]сентябрь 20'!T23)/(AY23+'[2]сентябрь 20'!BA23)</f>
        <v>1.5643805830626476</v>
      </c>
      <c r="DD23" s="292">
        <f t="shared" si="15"/>
        <v>11.911</v>
      </c>
      <c r="DE23" s="291">
        <v>0.66</v>
      </c>
      <c r="DF23" s="291">
        <v>14.73</v>
      </c>
      <c r="DG23" s="145">
        <f t="shared" si="16"/>
        <v>11.8323874</v>
      </c>
      <c r="DH23" s="293">
        <f t="shared" si="33"/>
        <v>2.2738560522113502</v>
      </c>
      <c r="DJ23" s="31">
        <v>232.06</v>
      </c>
      <c r="DK23" s="460">
        <f t="shared" si="34"/>
        <v>228.66</v>
      </c>
      <c r="DL23" s="40">
        <v>11.97</v>
      </c>
      <c r="DM23" s="460">
        <f t="shared" si="35"/>
        <v>12.97</v>
      </c>
      <c r="DN23" s="30">
        <v>120.22499999999999</v>
      </c>
      <c r="DO23" s="460">
        <f t="shared" si="36"/>
        <v>138.72499999999999</v>
      </c>
    </row>
    <row r="24" spans="1:119" s="76" customFormat="1" ht="16.5" customHeight="1" thickBot="1">
      <c r="A24" s="144">
        <v>18</v>
      </c>
      <c r="B24" s="122">
        <f t="shared" si="17"/>
        <v>297.54500000000002</v>
      </c>
      <c r="C24" s="123">
        <f t="shared" si="18"/>
        <v>2.47488736157556</v>
      </c>
      <c r="D24" s="145">
        <f t="shared" si="19"/>
        <v>290.18109640000006</v>
      </c>
      <c r="E24" s="125">
        <f t="shared" si="20"/>
        <v>37.849130887764879</v>
      </c>
      <c r="F24" s="146">
        <f t="shared" si="0"/>
        <v>2.1686054584859136</v>
      </c>
      <c r="G24" s="127">
        <v>17.04</v>
      </c>
      <c r="H24" s="126">
        <f t="shared" si="21"/>
        <v>1.7657581376578735</v>
      </c>
      <c r="I24" s="230">
        <f>'[1]июль 20'!AI23</f>
        <v>0</v>
      </c>
      <c r="J24" s="247">
        <f>'[1]сентябрь 20'!AA23</f>
        <v>11.907999999999999</v>
      </c>
      <c r="K24" s="464">
        <f>'[1]сентябрь 20'!AM23</f>
        <v>0</v>
      </c>
      <c r="L24" s="247">
        <f>'[1]сентябрь 20'!AE23</f>
        <v>53.905000000000001</v>
      </c>
      <c r="M24" s="468">
        <f t="shared" si="22"/>
        <v>0.40284732082803987</v>
      </c>
      <c r="N24" s="403">
        <f>'[1]сентябрь 20'!W23</f>
        <v>0</v>
      </c>
      <c r="O24" s="403">
        <f>'[1]сентябрь 20'!AU23</f>
        <v>9.7140000000000004</v>
      </c>
      <c r="P24" s="401">
        <f t="shared" si="1"/>
        <v>182.322</v>
      </c>
      <c r="Q24" s="122">
        <f>'[1]сентябрь 20'!S23</f>
        <v>182.322</v>
      </c>
      <c r="R24" s="123">
        <f t="shared" si="23"/>
        <v>2.9099999999999997</v>
      </c>
      <c r="S24" s="129">
        <v>3.28</v>
      </c>
      <c r="T24" s="125">
        <f t="shared" si="2"/>
        <v>177.0164298</v>
      </c>
      <c r="U24" s="147">
        <f t="shared" si="3"/>
        <v>1.3228938778865558</v>
      </c>
      <c r="V24" s="130">
        <v>133.81</v>
      </c>
      <c r="W24" s="130">
        <v>132.57</v>
      </c>
      <c r="X24" s="129">
        <v>0.82</v>
      </c>
      <c r="Y24" s="150">
        <v>560</v>
      </c>
      <c r="Z24" s="150">
        <v>1178</v>
      </c>
      <c r="AA24" s="148">
        <v>486.9</v>
      </c>
      <c r="AB24" s="149">
        <v>76.38</v>
      </c>
      <c r="AC24" s="150">
        <v>120</v>
      </c>
      <c r="AD24" s="151">
        <v>5</v>
      </c>
      <c r="AE24" s="149">
        <v>5.65</v>
      </c>
      <c r="AF24" s="134">
        <f t="shared" si="4"/>
        <v>42.22404902473658</v>
      </c>
      <c r="AG24" s="152"/>
      <c r="AH24" s="129">
        <v>94.9</v>
      </c>
      <c r="AI24" s="134">
        <f t="shared" si="5"/>
        <v>709.21455795530994</v>
      </c>
      <c r="AJ24" s="153">
        <v>15.61</v>
      </c>
      <c r="AK24" s="154"/>
      <c r="AL24" s="155">
        <v>8.2200000000000006</v>
      </c>
      <c r="AM24" s="478">
        <f t="shared" si="24"/>
        <v>34.839999999999996</v>
      </c>
      <c r="AN24" s="126">
        <f t="shared" si="25"/>
        <v>0.19999999999999998</v>
      </c>
      <c r="AO24" s="157" t="s">
        <v>185</v>
      </c>
      <c r="AP24" s="156">
        <v>6.95</v>
      </c>
      <c r="AQ24" s="156">
        <v>7.05</v>
      </c>
      <c r="AR24" s="151"/>
      <c r="AS24" s="149">
        <v>8.2899999999999991</v>
      </c>
      <c r="AT24" s="149">
        <v>174.2</v>
      </c>
      <c r="AU24" s="149">
        <v>2.67</v>
      </c>
      <c r="AV24" s="164"/>
      <c r="AW24" s="149"/>
      <c r="AX24" s="158">
        <f t="shared" si="6"/>
        <v>0</v>
      </c>
      <c r="AY24" s="125">
        <f t="shared" si="7"/>
        <v>133.80999999999997</v>
      </c>
      <c r="AZ24" s="125">
        <f t="shared" si="26"/>
        <v>127.11664294824932</v>
      </c>
      <c r="BA24" s="159">
        <f t="shared" si="8"/>
        <v>6.0943176056338029</v>
      </c>
      <c r="BB24" s="160">
        <f t="shared" si="9"/>
        <v>5.3523999999999994</v>
      </c>
      <c r="BC24" s="161">
        <f t="shared" si="10"/>
        <v>0.93055746199485523</v>
      </c>
      <c r="BD24" s="160">
        <f t="shared" si="27"/>
        <v>11.446717605633802</v>
      </c>
      <c r="BE24" s="162">
        <v>0.94899999999999995</v>
      </c>
      <c r="BF24" s="25">
        <f t="shared" si="28"/>
        <v>2216.2499999999995</v>
      </c>
      <c r="BG24" s="25">
        <f t="shared" si="11"/>
        <v>118.33333333333333</v>
      </c>
      <c r="BH24" s="25">
        <f t="shared" si="29"/>
        <v>2129.9999999999995</v>
      </c>
      <c r="BI24" s="26">
        <f t="shared" si="12"/>
        <v>1</v>
      </c>
      <c r="BJ24" s="37">
        <f t="shared" si="30"/>
        <v>2129.9999999999995</v>
      </c>
      <c r="BK24" s="38"/>
      <c r="BL24" s="28">
        <f t="shared" si="31"/>
        <v>230.60399999999998</v>
      </c>
      <c r="BM24" s="31"/>
      <c r="BN24" s="234">
        <v>47.923000000000002</v>
      </c>
      <c r="BO24" s="42"/>
      <c r="BP24" s="28">
        <f t="shared" si="32"/>
        <v>13.036</v>
      </c>
      <c r="BQ24" s="411">
        <v>5.9820000000000002</v>
      </c>
      <c r="BR24" s="33"/>
      <c r="BS24" s="34">
        <v>2.84</v>
      </c>
      <c r="BT24" s="35"/>
      <c r="BU24" s="35"/>
      <c r="BV24" s="235"/>
      <c r="BW24" s="235">
        <v>6.25</v>
      </c>
      <c r="BX24" s="36"/>
      <c r="BY24" s="33"/>
      <c r="BZ24" s="34">
        <v>37.020000000000003</v>
      </c>
      <c r="CA24" s="35"/>
      <c r="CB24" s="405">
        <v>43.11</v>
      </c>
      <c r="CC24" s="404"/>
      <c r="CD24" s="235">
        <v>30.73</v>
      </c>
      <c r="CE24" s="413">
        <v>43.18</v>
      </c>
      <c r="CF24" s="30">
        <v>122.32</v>
      </c>
      <c r="CG24" s="30">
        <v>60.002000000000002</v>
      </c>
      <c r="CH24" s="31"/>
      <c r="CI24" s="32"/>
      <c r="CJ24" s="33">
        <v>2.91</v>
      </c>
      <c r="CK24" s="33">
        <v>2.91</v>
      </c>
      <c r="CL24" s="35"/>
      <c r="CM24" s="36"/>
      <c r="CN24" s="286"/>
      <c r="CO24" s="249">
        <f t="shared" si="37"/>
        <v>0</v>
      </c>
      <c r="CP24" s="12">
        <f t="shared" si="37"/>
        <v>224.0548464</v>
      </c>
      <c r="CQ24" s="12">
        <f t="shared" si="37"/>
        <v>0</v>
      </c>
      <c r="CR24" s="12">
        <f t="shared" si="37"/>
        <v>47.923000000000002</v>
      </c>
      <c r="CS24" s="11">
        <f t="shared" si="37"/>
        <v>0</v>
      </c>
      <c r="CT24" s="11">
        <f t="shared" si="37"/>
        <v>12.22125</v>
      </c>
      <c r="CU24" s="272">
        <f t="shared" si="37"/>
        <v>5.9820000000000002</v>
      </c>
      <c r="CV24" s="249">
        <f t="shared" si="14"/>
        <v>118.760488</v>
      </c>
      <c r="CW24" s="12">
        <f t="shared" si="14"/>
        <v>58.255941800000002</v>
      </c>
      <c r="CX24" s="249">
        <f t="shared" si="14"/>
        <v>0</v>
      </c>
      <c r="CY24" s="272">
        <f t="shared" si="14"/>
        <v>0</v>
      </c>
      <c r="CZ24" s="13"/>
      <c r="DA24" s="240">
        <f>(D24+'[2]сентябрь 20'!D24)/(AY24+'[2]сентябрь 20'!BA24)</f>
        <v>2.2175833931805906</v>
      </c>
      <c r="DB24" s="241">
        <f>(T24+'[2]сентябрь 20'!T24)/(AY24+'[2]сентябрь 20'!BA24)</f>
        <v>1.3581227984827782</v>
      </c>
      <c r="DD24" s="292">
        <f t="shared" si="15"/>
        <v>11.907999999999999</v>
      </c>
      <c r="DE24" s="291">
        <v>0.64</v>
      </c>
      <c r="DF24" s="291">
        <v>10.220000000000001</v>
      </c>
      <c r="DG24" s="145">
        <f t="shared" si="16"/>
        <v>11.8317888</v>
      </c>
      <c r="DH24" s="293">
        <f t="shared" si="33"/>
        <v>1.5831484882953657</v>
      </c>
      <c r="DJ24" s="31">
        <v>234.00399999999999</v>
      </c>
      <c r="DK24" s="460">
        <f t="shared" si="34"/>
        <v>230.60399999999998</v>
      </c>
      <c r="DL24" s="40">
        <v>12.036</v>
      </c>
      <c r="DM24" s="460">
        <f t="shared" si="35"/>
        <v>13.036</v>
      </c>
      <c r="DN24" s="30">
        <v>122.32</v>
      </c>
      <c r="DO24" s="460">
        <f t="shared" si="36"/>
        <v>140.82</v>
      </c>
    </row>
    <row r="25" spans="1:119" s="76" customFormat="1" ht="16.5" customHeight="1" thickBot="1">
      <c r="A25" s="144">
        <v>19</v>
      </c>
      <c r="B25" s="122">
        <f t="shared" si="17"/>
        <v>309.99799999999999</v>
      </c>
      <c r="C25" s="123">
        <f t="shared" si="18"/>
        <v>1.8396441589945742</v>
      </c>
      <c r="D25" s="145">
        <f t="shared" si="19"/>
        <v>304.29513989999998</v>
      </c>
      <c r="E25" s="125">
        <f t="shared" si="20"/>
        <v>37.241371621752393</v>
      </c>
      <c r="F25" s="146">
        <f t="shared" si="0"/>
        <v>2.9580552143482066</v>
      </c>
      <c r="G25" s="127">
        <v>19.98</v>
      </c>
      <c r="H25" s="126">
        <f t="shared" si="21"/>
        <v>2.4110152610090405</v>
      </c>
      <c r="I25" s="230">
        <f>'[1]июль 20'!AI24</f>
        <v>0</v>
      </c>
      <c r="J25" s="247">
        <f>'[1]сентябрь 20'!AA24</f>
        <v>12.593</v>
      </c>
      <c r="K25" s="465">
        <f>'[1]сентябрь 20'!AM24</f>
        <v>0</v>
      </c>
      <c r="L25" s="247">
        <f>'[1]сентябрь 20'!AE24</f>
        <v>56.274000000000001</v>
      </c>
      <c r="M25" s="469">
        <f t="shared" si="22"/>
        <v>0.547039953339166</v>
      </c>
      <c r="N25" s="403">
        <f>'[1]сентябрь 20'!W24</f>
        <v>0</v>
      </c>
      <c r="O25" s="403">
        <f>'[1]сентябрь 20'!AU24</f>
        <v>9.9309999999999992</v>
      </c>
      <c r="P25" s="401">
        <f t="shared" si="1"/>
        <v>189.71699999999998</v>
      </c>
      <c r="Q25" s="122">
        <f>'[1]сентябрь 20'!S24</f>
        <v>189.71700000000001</v>
      </c>
      <c r="R25" s="123">
        <f>IF(Q25=0,0,(CI25*CM25+CG25*CK25+CH25*CL25+CF25*CJ25)/Q25)</f>
        <v>2.6499999999999995</v>
      </c>
      <c r="S25" s="501">
        <v>9.23</v>
      </c>
      <c r="T25" s="125">
        <f t="shared" si="2"/>
        <v>184.68949950000001</v>
      </c>
      <c r="U25" s="147">
        <f t="shared" si="3"/>
        <v>1.7953679352580929</v>
      </c>
      <c r="V25" s="130">
        <v>102.87</v>
      </c>
      <c r="W25" s="130">
        <v>48.16</v>
      </c>
      <c r="X25" s="129">
        <v>0.92</v>
      </c>
      <c r="Y25" s="150">
        <v>509</v>
      </c>
      <c r="Z25" s="150">
        <v>1170</v>
      </c>
      <c r="AA25" s="148" t="s">
        <v>403</v>
      </c>
      <c r="AB25" s="149">
        <v>76.87</v>
      </c>
      <c r="AC25" s="150">
        <v>125</v>
      </c>
      <c r="AD25" s="151">
        <v>5</v>
      </c>
      <c r="AE25" s="149">
        <v>5.25</v>
      </c>
      <c r="AF25" s="134">
        <f t="shared" si="4"/>
        <v>51.035287255759705</v>
      </c>
      <c r="AG25" s="152"/>
      <c r="AH25" s="129">
        <v>80.349999999999994</v>
      </c>
      <c r="AI25" s="134">
        <f t="shared" si="5"/>
        <v>781.08292019053169</v>
      </c>
      <c r="AJ25" s="136">
        <v>18.47</v>
      </c>
      <c r="AK25" s="154"/>
      <c r="AL25" s="155">
        <v>8.2100000000000009</v>
      </c>
      <c r="AM25" s="478">
        <v>67.67</v>
      </c>
      <c r="AN25" s="126">
        <f t="shared" si="25"/>
        <v>0.38318233295583243</v>
      </c>
      <c r="AO25" s="157" t="s">
        <v>254</v>
      </c>
      <c r="AP25" s="156">
        <v>7.3</v>
      </c>
      <c r="AQ25" s="156">
        <v>6.88</v>
      </c>
      <c r="AR25" s="152"/>
      <c r="AS25" s="149">
        <v>6.19</v>
      </c>
      <c r="AT25" s="149">
        <v>176.6</v>
      </c>
      <c r="AU25" s="149">
        <v>2.15</v>
      </c>
      <c r="AV25" s="164"/>
      <c r="AW25" s="149"/>
      <c r="AX25" s="158">
        <f t="shared" si="6"/>
        <v>0</v>
      </c>
      <c r="AY25" s="125">
        <f t="shared" si="7"/>
        <v>102.86999999999999</v>
      </c>
      <c r="AZ25" s="125">
        <f t="shared" si="26"/>
        <v>130.52895098673068</v>
      </c>
      <c r="BA25" s="159">
        <f t="shared" si="8"/>
        <v>3.8528390845070417</v>
      </c>
      <c r="BB25" s="160">
        <f t="shared" si="9"/>
        <v>4.1147999999999998</v>
      </c>
      <c r="BC25" s="161">
        <f t="shared" si="10"/>
        <v>0.69779031438622463</v>
      </c>
      <c r="BD25" s="160">
        <f t="shared" si="27"/>
        <v>7.9676390845070415</v>
      </c>
      <c r="BE25" s="162">
        <v>0.93400000000000005</v>
      </c>
      <c r="BF25" s="25">
        <f t="shared" si="28"/>
        <v>2319.1199999999994</v>
      </c>
      <c r="BG25" s="25">
        <f t="shared" si="11"/>
        <v>118.33333333333333</v>
      </c>
      <c r="BH25" s="25">
        <f t="shared" si="29"/>
        <v>2248.333333333333</v>
      </c>
      <c r="BI25" s="26">
        <f t="shared" si="12"/>
        <v>1</v>
      </c>
      <c r="BJ25" s="37">
        <f t="shared" si="30"/>
        <v>2248.333333333333</v>
      </c>
      <c r="BK25" s="38"/>
      <c r="BL25" s="28">
        <f t="shared" si="31"/>
        <v>240.38499999999999</v>
      </c>
      <c r="BM25" s="31"/>
      <c r="BN25" s="234">
        <v>49.969000000000001</v>
      </c>
      <c r="BO25" s="42"/>
      <c r="BP25" s="28">
        <f t="shared" si="32"/>
        <v>13.339</v>
      </c>
      <c r="BQ25" s="411">
        <v>6.3049999999999997</v>
      </c>
      <c r="BR25" s="33"/>
      <c r="BS25" s="34">
        <v>2.04</v>
      </c>
      <c r="BT25" s="35"/>
      <c r="BU25" s="35"/>
      <c r="BV25" s="235"/>
      <c r="BW25" s="235">
        <v>5.99</v>
      </c>
      <c r="BX25" s="36"/>
      <c r="BY25" s="33"/>
      <c r="BZ25" s="34">
        <v>36.1</v>
      </c>
      <c r="CA25" s="35"/>
      <c r="CB25" s="405">
        <v>43.07</v>
      </c>
      <c r="CC25" s="404"/>
      <c r="CD25" s="235">
        <v>33.06</v>
      </c>
      <c r="CE25" s="413">
        <v>43.41</v>
      </c>
      <c r="CF25" s="30">
        <v>127.22499999999999</v>
      </c>
      <c r="CG25" s="30">
        <v>62.491999999999997</v>
      </c>
      <c r="CH25" s="31"/>
      <c r="CI25" s="32"/>
      <c r="CJ25" s="33">
        <v>2.65</v>
      </c>
      <c r="CK25" s="33">
        <v>2.65</v>
      </c>
      <c r="CL25" s="35"/>
      <c r="CM25" s="36"/>
      <c r="CN25" s="286"/>
      <c r="CO25" s="249">
        <f t="shared" si="37"/>
        <v>0</v>
      </c>
      <c r="CP25" s="12">
        <f t="shared" si="37"/>
        <v>235.48114599999997</v>
      </c>
      <c r="CQ25" s="12">
        <f t="shared" si="37"/>
        <v>0</v>
      </c>
      <c r="CR25" s="12">
        <f t="shared" si="37"/>
        <v>49.969000000000001</v>
      </c>
      <c r="CS25" s="11">
        <f t="shared" si="37"/>
        <v>0</v>
      </c>
      <c r="CT25" s="11">
        <f t="shared" si="37"/>
        <v>12.539993900000001</v>
      </c>
      <c r="CU25" s="272">
        <f t="shared" si="37"/>
        <v>6.3049999999999997</v>
      </c>
      <c r="CV25" s="249">
        <f t="shared" si="14"/>
        <v>123.85353749999999</v>
      </c>
      <c r="CW25" s="251">
        <f t="shared" si="14"/>
        <v>60.835961999999995</v>
      </c>
      <c r="CX25" s="249">
        <f t="shared" si="14"/>
        <v>0</v>
      </c>
      <c r="CY25" s="272">
        <f t="shared" si="14"/>
        <v>0</v>
      </c>
      <c r="CZ25" s="13"/>
      <c r="DA25" s="240">
        <f>(D25+'[2]сентябрь 20'!D25)/(AY25+'[2]сентябрь 20'!BA25)</f>
        <v>3.3071476521928864</v>
      </c>
      <c r="DB25" s="241">
        <f>(T25+'[2]сентябрь 20'!T25)/(AY25+'[2]сентябрь 20'!BA25)</f>
        <v>2.0137006305913161</v>
      </c>
      <c r="DD25" s="292">
        <f t="shared" si="15"/>
        <v>12.593</v>
      </c>
      <c r="DE25" s="291">
        <v>0.4</v>
      </c>
      <c r="DF25" s="291">
        <v>11.21</v>
      </c>
      <c r="DG25" s="145">
        <f t="shared" si="16"/>
        <v>12.542628000000001</v>
      </c>
      <c r="DH25" s="293">
        <f t="shared" si="33"/>
        <v>1.8290992569272797</v>
      </c>
      <c r="DJ25" s="31">
        <v>243.785</v>
      </c>
      <c r="DK25" s="460">
        <f t="shared" si="34"/>
        <v>240.38499999999999</v>
      </c>
      <c r="DL25" s="40">
        <v>12.339</v>
      </c>
      <c r="DM25" s="460">
        <f t="shared" si="35"/>
        <v>13.339</v>
      </c>
      <c r="DN25" s="30">
        <v>127.22499999999999</v>
      </c>
      <c r="DO25" s="460">
        <f t="shared" si="36"/>
        <v>145.72499999999999</v>
      </c>
    </row>
    <row r="26" spans="1:119" s="76" customFormat="1" ht="16.5" customHeight="1" thickBot="1">
      <c r="A26" s="144">
        <v>20</v>
      </c>
      <c r="B26" s="122">
        <f t="shared" si="17"/>
        <v>265.34500000000003</v>
      </c>
      <c r="C26" s="123">
        <f t="shared" si="18"/>
        <v>1.3005889313912073</v>
      </c>
      <c r="D26" s="145">
        <f t="shared" si="19"/>
        <v>261.89395230000002</v>
      </c>
      <c r="E26" s="125">
        <f t="shared" si="20"/>
        <v>37.355055870658944</v>
      </c>
      <c r="F26" s="146">
        <f t="shared" si="0"/>
        <v>2.1161437645442795</v>
      </c>
      <c r="G26" s="127">
        <v>18.87</v>
      </c>
      <c r="H26" s="126">
        <f t="shared" si="21"/>
        <v>1.7262358783128635</v>
      </c>
      <c r="I26" s="230">
        <f>'[1]июль 20'!AI25</f>
        <v>0</v>
      </c>
      <c r="J26" s="247">
        <f>'[1]сентябрь 20'!AA25</f>
        <v>11.116</v>
      </c>
      <c r="K26" s="464">
        <f>'[1]сентябрь 20'!AM25</f>
        <v>0</v>
      </c>
      <c r="L26" s="247">
        <f>'[1]сентябрь 20'!AE25</f>
        <v>48.255000000000003</v>
      </c>
      <c r="M26" s="468">
        <f t="shared" si="22"/>
        <v>0.38990788623141565</v>
      </c>
      <c r="N26" s="403">
        <f>'[1]сентябрь 20'!W25</f>
        <v>0</v>
      </c>
      <c r="O26" s="403">
        <f>'[1]сентябрь 20'!AU25</f>
        <v>8.5909999999999993</v>
      </c>
      <c r="P26" s="401">
        <f t="shared" si="1"/>
        <v>160.84399999999999</v>
      </c>
      <c r="Q26" s="122">
        <f>'[1]сентябрь 20'!S25</f>
        <v>160.84399999999999</v>
      </c>
      <c r="R26" s="123">
        <f t="shared" si="23"/>
        <v>2.6500000000000004</v>
      </c>
      <c r="S26" s="501">
        <v>14.22</v>
      </c>
      <c r="T26" s="125">
        <f t="shared" si="2"/>
        <v>156.58163399999998</v>
      </c>
      <c r="U26" s="147">
        <f t="shared" si="3"/>
        <v>1.2652038946347768</v>
      </c>
      <c r="V26" s="169">
        <v>123.76</v>
      </c>
      <c r="W26" s="169">
        <v>72.7</v>
      </c>
      <c r="X26" s="170">
        <v>1.1399999999999999</v>
      </c>
      <c r="Y26" s="166">
        <v>555</v>
      </c>
      <c r="Z26" s="166">
        <v>1170</v>
      </c>
      <c r="AA26" s="148" t="s">
        <v>116</v>
      </c>
      <c r="AB26" s="164">
        <v>76.66</v>
      </c>
      <c r="AC26" s="166">
        <v>107</v>
      </c>
      <c r="AD26" s="171">
        <v>5</v>
      </c>
      <c r="AE26" s="164">
        <v>6.15</v>
      </c>
      <c r="AF26" s="172">
        <f t="shared" si="4"/>
        <v>49.692954104718815</v>
      </c>
      <c r="AG26" s="173"/>
      <c r="AH26" s="170">
        <v>80.900000000000006</v>
      </c>
      <c r="AI26" s="134">
        <f t="shared" si="5"/>
        <v>653.6845507433743</v>
      </c>
      <c r="AJ26" s="174">
        <v>15.78</v>
      </c>
      <c r="AK26" s="175"/>
      <c r="AL26" s="176">
        <v>6.14</v>
      </c>
      <c r="AM26" s="478">
        <f t="shared" si="24"/>
        <v>32.110000000000007</v>
      </c>
      <c r="AN26" s="126">
        <f t="shared" si="25"/>
        <v>0.20000000000000004</v>
      </c>
      <c r="AO26" s="178" t="s">
        <v>404</v>
      </c>
      <c r="AP26" s="177">
        <v>7.84</v>
      </c>
      <c r="AQ26" s="177">
        <v>7.22</v>
      </c>
      <c r="AR26" s="171"/>
      <c r="AS26" s="164">
        <v>7.46</v>
      </c>
      <c r="AT26" s="149">
        <v>160.55000000000001</v>
      </c>
      <c r="AU26" s="164">
        <v>1.46</v>
      </c>
      <c r="AV26" s="164"/>
      <c r="AW26" s="164"/>
      <c r="AX26" s="179">
        <f t="shared" si="6"/>
        <v>0</v>
      </c>
      <c r="AY26" s="125">
        <f t="shared" si="7"/>
        <v>123.76</v>
      </c>
      <c r="AZ26" s="125">
        <f t="shared" si="26"/>
        <v>113.07305542866172</v>
      </c>
      <c r="BA26" s="159">
        <f t="shared" si="8"/>
        <v>4.6751084507042249</v>
      </c>
      <c r="BB26" s="159">
        <f t="shared" si="9"/>
        <v>4.9504000000000001</v>
      </c>
      <c r="BC26" s="180">
        <f t="shared" si="10"/>
        <v>0.96978230502087182</v>
      </c>
      <c r="BD26" s="159">
        <f t="shared" si="27"/>
        <v>9.6255084507042241</v>
      </c>
      <c r="BE26" s="167">
        <v>0.93600000000000005</v>
      </c>
      <c r="BF26" s="25">
        <f t="shared" si="28"/>
        <v>2442.8799999999997</v>
      </c>
      <c r="BG26" s="25">
        <f t="shared" si="11"/>
        <v>118.33333333333333</v>
      </c>
      <c r="BH26" s="25">
        <f t="shared" si="29"/>
        <v>2366.6666666666665</v>
      </c>
      <c r="BI26" s="26">
        <f t="shared" si="12"/>
        <v>1</v>
      </c>
      <c r="BJ26" s="37">
        <f t="shared" si="30"/>
        <v>2366.6666666666665</v>
      </c>
      <c r="BK26" s="38"/>
      <c r="BL26" s="28">
        <f t="shared" si="31"/>
        <v>205.321</v>
      </c>
      <c r="BM26" s="31"/>
      <c r="BN26" s="406">
        <v>42.801000000000002</v>
      </c>
      <c r="BO26" s="42"/>
      <c r="BP26" s="28">
        <f t="shared" si="32"/>
        <v>11.769</v>
      </c>
      <c r="BQ26" s="412">
        <v>5.4539999999999997</v>
      </c>
      <c r="BR26" s="33"/>
      <c r="BS26" s="34">
        <v>1.42</v>
      </c>
      <c r="BT26" s="35"/>
      <c r="BU26" s="35"/>
      <c r="BV26" s="235"/>
      <c r="BW26" s="235">
        <v>4.55</v>
      </c>
      <c r="BX26" s="36"/>
      <c r="BY26" s="33"/>
      <c r="BZ26" s="34">
        <v>36.07</v>
      </c>
      <c r="CA26" s="35"/>
      <c r="CB26" s="405">
        <v>43.27</v>
      </c>
      <c r="CC26" s="404"/>
      <c r="CD26" s="235">
        <v>35.479999999999997</v>
      </c>
      <c r="CE26" s="413">
        <v>43.36</v>
      </c>
      <c r="CF26" s="30">
        <v>107.342</v>
      </c>
      <c r="CG26" s="30">
        <v>53.502000000000002</v>
      </c>
      <c r="CH26" s="43"/>
      <c r="CI26" s="32"/>
      <c r="CJ26" s="33">
        <v>2.65</v>
      </c>
      <c r="CK26" s="33">
        <v>2.65</v>
      </c>
      <c r="CL26" s="35"/>
      <c r="CM26" s="36"/>
      <c r="CN26" s="286"/>
      <c r="CO26" s="249">
        <f t="shared" si="37"/>
        <v>0</v>
      </c>
      <c r="CP26" s="12">
        <f t="shared" si="37"/>
        <v>202.40544180000001</v>
      </c>
      <c r="CQ26" s="12">
        <f t="shared" si="37"/>
        <v>0</v>
      </c>
      <c r="CR26" s="12">
        <f t="shared" si="37"/>
        <v>42.801000000000002</v>
      </c>
      <c r="CS26" s="11">
        <f t="shared" si="37"/>
        <v>0</v>
      </c>
      <c r="CT26" s="11">
        <f t="shared" si="37"/>
        <v>11.2335105</v>
      </c>
      <c r="CU26" s="272">
        <f t="shared" si="37"/>
        <v>5.4539999999999997</v>
      </c>
      <c r="CV26" s="249">
        <f t="shared" si="14"/>
        <v>104.49743699999999</v>
      </c>
      <c r="CW26" s="12">
        <f t="shared" si="14"/>
        <v>52.084196999999996</v>
      </c>
      <c r="CX26" s="249">
        <f t="shared" si="14"/>
        <v>0</v>
      </c>
      <c r="CY26" s="274">
        <f t="shared" si="14"/>
        <v>0</v>
      </c>
      <c r="CZ26" s="13"/>
      <c r="DA26" s="240">
        <f>(D26+'[2]сентябрь 20'!D26)/(AY26+'[2]сентябрь 20'!BA26)</f>
        <v>2.0528886632008225</v>
      </c>
      <c r="DB26" s="241">
        <f>(T26+'[2]сентябрь 20'!T26)/(AY26+'[2]сентябрь 20'!BA26)</f>
        <v>1.2373025705092564</v>
      </c>
      <c r="DD26" s="292">
        <f t="shared" si="15"/>
        <v>11.116</v>
      </c>
      <c r="DE26" s="291">
        <v>1.24</v>
      </c>
      <c r="DF26" s="291">
        <v>11.62</v>
      </c>
      <c r="DG26" s="145">
        <f t="shared" si="16"/>
        <v>10.9781616</v>
      </c>
      <c r="DH26" s="293">
        <f t="shared" si="33"/>
        <v>1.6640521496477956</v>
      </c>
      <c r="DJ26" s="43">
        <v>208.721</v>
      </c>
      <c r="DK26" s="460">
        <f t="shared" si="34"/>
        <v>205.321</v>
      </c>
      <c r="DL26" s="40">
        <v>10.769</v>
      </c>
      <c r="DM26" s="460">
        <f t="shared" si="35"/>
        <v>11.769</v>
      </c>
      <c r="DN26" s="30">
        <v>107.342</v>
      </c>
      <c r="DO26" s="460">
        <f t="shared" si="36"/>
        <v>125.842</v>
      </c>
    </row>
    <row r="27" spans="1:119" s="76" customFormat="1" ht="16.5" customHeight="1" thickBot="1">
      <c r="A27" s="144">
        <v>21</v>
      </c>
      <c r="B27" s="122">
        <f t="shared" si="17"/>
        <v>277.88400000000001</v>
      </c>
      <c r="C27" s="123">
        <f t="shared" si="18"/>
        <v>1.9863372846223604</v>
      </c>
      <c r="D27" s="145">
        <f t="shared" si="19"/>
        <v>272.36428649999999</v>
      </c>
      <c r="E27" s="125">
        <f t="shared" si="20"/>
        <v>37.372804911401886</v>
      </c>
      <c r="F27" s="146">
        <f t="shared" si="0"/>
        <v>2.2145238352711605</v>
      </c>
      <c r="G27" s="127">
        <v>17.690000000000001</v>
      </c>
      <c r="H27" s="126">
        <f t="shared" si="21"/>
        <v>1.803750601674933</v>
      </c>
      <c r="I27" s="230">
        <f>'[1]июль 20'!AI26</f>
        <v>0</v>
      </c>
      <c r="J27" s="247">
        <f>'[1]сентябрь 20'!AA26</f>
        <v>10.885</v>
      </c>
      <c r="K27" s="465">
        <f>'[1]сентябрь 20'!AM26</f>
        <v>0</v>
      </c>
      <c r="L27" s="247">
        <f>'[1]сентябрь 20'!AE26</f>
        <v>50.521000000000001</v>
      </c>
      <c r="M27" s="469">
        <f t="shared" si="22"/>
        <v>0.41077323359622736</v>
      </c>
      <c r="N27" s="403">
        <f>'[1]сентябрь 20'!W26</f>
        <v>0</v>
      </c>
      <c r="O27" s="403">
        <f>'[1]сентябрь 20'!AU26</f>
        <v>9.3490000000000002</v>
      </c>
      <c r="P27" s="401">
        <f t="shared" si="1"/>
        <v>167.46</v>
      </c>
      <c r="Q27" s="122">
        <f>'[1]сентябрь 20'!S26</f>
        <v>167.46</v>
      </c>
      <c r="R27" s="123">
        <f t="shared" si="23"/>
        <v>2.2799999999999998</v>
      </c>
      <c r="S27" s="501">
        <v>19.649999999999999</v>
      </c>
      <c r="T27" s="125">
        <f t="shared" si="2"/>
        <v>163.64191199999999</v>
      </c>
      <c r="U27" s="147">
        <f t="shared" si="3"/>
        <v>1.3305302219692658</v>
      </c>
      <c r="V27" s="130">
        <v>122.99</v>
      </c>
      <c r="W27" s="130">
        <v>74.22</v>
      </c>
      <c r="X27" s="129">
        <v>1.02</v>
      </c>
      <c r="Y27" s="150">
        <v>505</v>
      </c>
      <c r="Z27" s="150">
        <v>1170</v>
      </c>
      <c r="AA27" s="148" t="s">
        <v>155</v>
      </c>
      <c r="AB27" s="149">
        <v>76.66</v>
      </c>
      <c r="AC27" s="150">
        <v>112</v>
      </c>
      <c r="AD27" s="151">
        <v>5</v>
      </c>
      <c r="AE27" s="149">
        <v>3.85</v>
      </c>
      <c r="AF27" s="134">
        <f t="shared" si="4"/>
        <v>31.303357996585088</v>
      </c>
      <c r="AG27" s="152"/>
      <c r="AH27" s="129">
        <v>77.75</v>
      </c>
      <c r="AI27" s="134">
        <f t="shared" si="5"/>
        <v>632.16521668428322</v>
      </c>
      <c r="AJ27" s="136">
        <v>16.010000000000002</v>
      </c>
      <c r="AK27" s="154"/>
      <c r="AL27" s="155">
        <v>8.34</v>
      </c>
      <c r="AM27" s="478">
        <f t="shared" si="24"/>
        <v>32.5</v>
      </c>
      <c r="AN27" s="126">
        <f t="shared" si="25"/>
        <v>0.2</v>
      </c>
      <c r="AO27" s="157" t="s">
        <v>191</v>
      </c>
      <c r="AP27" s="156">
        <v>7.43</v>
      </c>
      <c r="AQ27" s="156">
        <v>6.85</v>
      </c>
      <c r="AR27" s="151"/>
      <c r="AS27" s="149">
        <v>6.46</v>
      </c>
      <c r="AT27" s="149">
        <v>162.5</v>
      </c>
      <c r="AU27" s="149">
        <v>1.33</v>
      </c>
      <c r="AV27" s="164"/>
      <c r="AW27" s="149"/>
      <c r="AX27" s="158">
        <f t="shared" si="6"/>
        <v>0</v>
      </c>
      <c r="AY27" s="125">
        <f t="shared" si="7"/>
        <v>122.99</v>
      </c>
      <c r="AZ27" s="125">
        <f t="shared" si="26"/>
        <v>117.81755957858813</v>
      </c>
      <c r="BA27" s="159">
        <f t="shared" si="8"/>
        <v>3.8907852112676053</v>
      </c>
      <c r="BB27" s="160">
        <f t="shared" si="9"/>
        <v>4.9196</v>
      </c>
      <c r="BC27" s="161">
        <f t="shared" si="10"/>
        <v>0.92625968511336354</v>
      </c>
      <c r="BD27" s="160">
        <f t="shared" si="27"/>
        <v>8.8103852112676044</v>
      </c>
      <c r="BE27" s="162">
        <v>0.93500000000000005</v>
      </c>
      <c r="BF27" s="25">
        <f t="shared" si="28"/>
        <v>2565.8699999999994</v>
      </c>
      <c r="BG27" s="25">
        <f t="shared" si="11"/>
        <v>118.33333333333333</v>
      </c>
      <c r="BH27" s="25">
        <f t="shared" si="29"/>
        <v>2485</v>
      </c>
      <c r="BI27" s="26">
        <f t="shared" si="12"/>
        <v>1</v>
      </c>
      <c r="BJ27" s="37">
        <f t="shared" si="30"/>
        <v>2485</v>
      </c>
      <c r="BK27" s="38"/>
      <c r="BL27" s="28">
        <f t="shared" si="31"/>
        <v>215.125</v>
      </c>
      <c r="BM27" s="31"/>
      <c r="BN27" s="234">
        <v>44.923000000000002</v>
      </c>
      <c r="BO27" s="42"/>
      <c r="BP27" s="28">
        <f t="shared" si="32"/>
        <v>12.238</v>
      </c>
      <c r="BQ27" s="411">
        <v>5.5979999999999999</v>
      </c>
      <c r="BR27" s="33"/>
      <c r="BS27" s="34">
        <v>2.27</v>
      </c>
      <c r="BT27" s="35"/>
      <c r="BU27" s="35"/>
      <c r="BV27" s="235"/>
      <c r="BW27" s="235">
        <v>5.2</v>
      </c>
      <c r="BX27" s="36"/>
      <c r="BY27" s="33"/>
      <c r="BZ27" s="34">
        <v>36.270000000000003</v>
      </c>
      <c r="CA27" s="35"/>
      <c r="CB27" s="405">
        <v>43.17</v>
      </c>
      <c r="CC27" s="404"/>
      <c r="CD27" s="235">
        <v>32.68</v>
      </c>
      <c r="CE27" s="413">
        <v>43.49</v>
      </c>
      <c r="CF27" s="30">
        <v>111.464</v>
      </c>
      <c r="CG27" s="30">
        <v>55.996000000000002</v>
      </c>
      <c r="CH27" s="31"/>
      <c r="CI27" s="32"/>
      <c r="CJ27" s="33">
        <v>2.2799999999999998</v>
      </c>
      <c r="CK27" s="33">
        <v>2.2799999999999998</v>
      </c>
      <c r="CL27" s="35"/>
      <c r="CM27" s="36"/>
      <c r="CN27" s="286"/>
      <c r="CO27" s="249">
        <f t="shared" si="37"/>
        <v>0</v>
      </c>
      <c r="CP27" s="12">
        <f t="shared" si="37"/>
        <v>210.24166250000002</v>
      </c>
      <c r="CQ27" s="12">
        <f t="shared" si="37"/>
        <v>0</v>
      </c>
      <c r="CR27" s="12">
        <f t="shared" si="37"/>
        <v>44.923000000000002</v>
      </c>
      <c r="CS27" s="11">
        <f t="shared" si="37"/>
        <v>0</v>
      </c>
      <c r="CT27" s="11">
        <f t="shared" si="37"/>
        <v>11.601623999999999</v>
      </c>
      <c r="CU27" s="272">
        <f t="shared" si="37"/>
        <v>5.5979999999999999</v>
      </c>
      <c r="CV27" s="249">
        <f t="shared" si="14"/>
        <v>108.92262079999999</v>
      </c>
      <c r="CW27" s="11">
        <f t="shared" si="14"/>
        <v>54.719291200000001</v>
      </c>
      <c r="CX27" s="249">
        <f t="shared" si="14"/>
        <v>0</v>
      </c>
      <c r="CY27" s="272">
        <f t="shared" si="14"/>
        <v>0</v>
      </c>
      <c r="CZ27" s="13"/>
      <c r="DA27" s="240">
        <f>(D27+'[2]сентябрь 20'!D27)/(AY27+'[2]сентябрь 20'!BA27)</f>
        <v>2.1056675127411681</v>
      </c>
      <c r="DB27" s="241">
        <f>(T27+'[2]сентябрь 20'!T27)/(AY27+'[2]сентябрь 20'!BA27)</f>
        <v>1.2683919274743543</v>
      </c>
      <c r="DD27" s="292">
        <f t="shared" si="15"/>
        <v>10.885</v>
      </c>
      <c r="DE27" s="291">
        <v>1.42</v>
      </c>
      <c r="DF27" s="291">
        <v>13.57</v>
      </c>
      <c r="DG27" s="145">
        <f t="shared" si="16"/>
        <v>10.730433</v>
      </c>
      <c r="DH27" s="293">
        <f t="shared" si="33"/>
        <v>1.8994518107226717</v>
      </c>
      <c r="DJ27" s="31">
        <v>218.52500000000001</v>
      </c>
      <c r="DK27" s="460">
        <f t="shared" si="34"/>
        <v>215.125</v>
      </c>
      <c r="DL27" s="40">
        <v>11.238</v>
      </c>
      <c r="DM27" s="460">
        <f t="shared" si="35"/>
        <v>12.238</v>
      </c>
      <c r="DN27" s="30">
        <v>111.464</v>
      </c>
      <c r="DO27" s="460">
        <f t="shared" si="36"/>
        <v>129.964</v>
      </c>
    </row>
    <row r="28" spans="1:119" s="76" customFormat="1" ht="16.5" customHeight="1" thickBot="1">
      <c r="A28" s="144">
        <v>22</v>
      </c>
      <c r="B28" s="122">
        <f t="shared" si="17"/>
        <v>285.04399999999998</v>
      </c>
      <c r="C28" s="123">
        <f t="shared" si="18"/>
        <v>1.6384034745512974</v>
      </c>
      <c r="D28" s="145">
        <f t="shared" si="19"/>
        <v>280.37382919999999</v>
      </c>
      <c r="E28" s="125">
        <f t="shared" si="20"/>
        <v>37.651506925246629</v>
      </c>
      <c r="F28" s="146">
        <f t="shared" si="0"/>
        <v>2.2017734348986964</v>
      </c>
      <c r="G28" s="127">
        <v>21.61</v>
      </c>
      <c r="H28" s="126">
        <f t="shared" si="21"/>
        <v>1.7942816805402859</v>
      </c>
      <c r="I28" s="230">
        <f>'[1]июль 20'!AI27</f>
        <v>0</v>
      </c>
      <c r="J28" s="247">
        <f>'[1]сентябрь 20'!AA27</f>
        <v>11.541</v>
      </c>
      <c r="K28" s="464">
        <f>'[1]сентябрь 20'!AM27</f>
        <v>0</v>
      </c>
      <c r="L28" s="247">
        <f>'[1]сентябрь 20'!AE27</f>
        <v>51.89</v>
      </c>
      <c r="M28" s="468">
        <f t="shared" si="22"/>
        <v>0.40749175435841062</v>
      </c>
      <c r="N28" s="403">
        <f>'[1]сентябрь 20'!W27</f>
        <v>0</v>
      </c>
      <c r="O28" s="403">
        <f>'[1]сентябрь 20'!AU27</f>
        <v>9.2520000000000007</v>
      </c>
      <c r="P28" s="401">
        <f t="shared" si="1"/>
        <v>170.14699999999999</v>
      </c>
      <c r="Q28" s="122">
        <f>'[1]сентябрь 20'!S27</f>
        <v>170.14699999999999</v>
      </c>
      <c r="R28" s="123">
        <f t="shared" si="23"/>
        <v>2.85</v>
      </c>
      <c r="S28" s="501">
        <v>2.9</v>
      </c>
      <c r="T28" s="125">
        <f t="shared" si="2"/>
        <v>165.2978105</v>
      </c>
      <c r="U28" s="147">
        <f t="shared" si="3"/>
        <v>1.2980823818124707</v>
      </c>
      <c r="V28" s="130">
        <v>127.34</v>
      </c>
      <c r="W28" s="130">
        <v>54.49</v>
      </c>
      <c r="X28" s="129">
        <v>1.33</v>
      </c>
      <c r="Y28" s="150">
        <v>520</v>
      </c>
      <c r="Z28" s="150">
        <v>1176</v>
      </c>
      <c r="AA28" s="148" t="s">
        <v>178</v>
      </c>
      <c r="AB28" s="149">
        <v>76.540000000000006</v>
      </c>
      <c r="AC28" s="150">
        <v>115</v>
      </c>
      <c r="AD28" s="151">
        <v>5</v>
      </c>
      <c r="AE28" s="149">
        <v>2.9</v>
      </c>
      <c r="AF28" s="134">
        <f t="shared" si="4"/>
        <v>22.773676770849697</v>
      </c>
      <c r="AG28" s="152"/>
      <c r="AH28" s="129">
        <v>91.55</v>
      </c>
      <c r="AI28" s="134">
        <f t="shared" si="5"/>
        <v>718.94141667975498</v>
      </c>
      <c r="AJ28" s="153">
        <v>16.489999999999998</v>
      </c>
      <c r="AK28" s="154"/>
      <c r="AL28" s="155">
        <v>8.4700000000000006</v>
      </c>
      <c r="AM28" s="478">
        <f t="shared" si="24"/>
        <v>33.520000000000003</v>
      </c>
      <c r="AN28" s="126">
        <f t="shared" si="25"/>
        <v>0.20000000000000004</v>
      </c>
      <c r="AO28" s="157" t="s">
        <v>185</v>
      </c>
      <c r="AP28" s="156">
        <v>7.18</v>
      </c>
      <c r="AQ28" s="156">
        <v>7.04</v>
      </c>
      <c r="AR28" s="151"/>
      <c r="AS28" s="149">
        <v>7.69</v>
      </c>
      <c r="AT28" s="149">
        <v>167.6</v>
      </c>
      <c r="AU28" s="149">
        <v>1.73</v>
      </c>
      <c r="AV28" s="164"/>
      <c r="AW28" s="149"/>
      <c r="AX28" s="158">
        <f t="shared" si="6"/>
        <v>0</v>
      </c>
      <c r="AY28" s="125">
        <f t="shared" si="7"/>
        <v>127.33999999999999</v>
      </c>
      <c r="AZ28" s="125">
        <f t="shared" si="26"/>
        <v>122.05134786171199</v>
      </c>
      <c r="BA28" s="159">
        <f t="shared" si="8"/>
        <v>5.4536721830985915</v>
      </c>
      <c r="BB28" s="160">
        <f t="shared" si="9"/>
        <v>5.0935999999999995</v>
      </c>
      <c r="BC28" s="161">
        <f t="shared" si="10"/>
        <v>0.92328008442548359</v>
      </c>
      <c r="BD28" s="160">
        <f t="shared" si="27"/>
        <v>10.547272183098592</v>
      </c>
      <c r="BE28" s="162">
        <v>0.93500000000000005</v>
      </c>
      <c r="BF28" s="25">
        <f t="shared" si="28"/>
        <v>2693.2099999999996</v>
      </c>
      <c r="BG28" s="25">
        <f t="shared" si="11"/>
        <v>118.33333333333333</v>
      </c>
      <c r="BH28" s="25">
        <f t="shared" si="29"/>
        <v>2603.3333333333335</v>
      </c>
      <c r="BI28" s="26">
        <f t="shared" si="12"/>
        <v>1</v>
      </c>
      <c r="BJ28" s="37">
        <f t="shared" si="30"/>
        <v>2603.3333333333335</v>
      </c>
      <c r="BK28" s="38"/>
      <c r="BL28" s="28">
        <f t="shared" si="31"/>
        <v>220.94399999999999</v>
      </c>
      <c r="BM28" s="31"/>
      <c r="BN28" s="234">
        <v>46.036000000000001</v>
      </c>
      <c r="BO28" s="42"/>
      <c r="BP28" s="28">
        <f t="shared" si="32"/>
        <v>12.21</v>
      </c>
      <c r="BQ28" s="411">
        <v>5.8540000000000001</v>
      </c>
      <c r="BR28" s="33"/>
      <c r="BS28" s="34">
        <v>1.77</v>
      </c>
      <c r="BT28" s="35"/>
      <c r="BU28" s="35"/>
      <c r="BV28" s="235"/>
      <c r="BW28" s="235">
        <v>6.22</v>
      </c>
      <c r="BX28" s="36"/>
      <c r="BY28" s="33"/>
      <c r="BZ28" s="34">
        <v>36.51</v>
      </c>
      <c r="CA28" s="35"/>
      <c r="CB28" s="405">
        <v>43.23</v>
      </c>
      <c r="CC28" s="404"/>
      <c r="CD28" s="235">
        <v>34.6</v>
      </c>
      <c r="CE28" s="36">
        <v>43.23</v>
      </c>
      <c r="CF28" s="30">
        <v>112.639</v>
      </c>
      <c r="CG28" s="30">
        <v>57.508000000000003</v>
      </c>
      <c r="CH28" s="31"/>
      <c r="CI28" s="32"/>
      <c r="CJ28" s="33">
        <v>2.85</v>
      </c>
      <c r="CK28" s="33">
        <v>2.85</v>
      </c>
      <c r="CL28" s="35"/>
      <c r="CM28" s="36"/>
      <c r="CN28" s="286"/>
      <c r="CO28" s="249">
        <f t="shared" si="37"/>
        <v>0</v>
      </c>
      <c r="CP28" s="12">
        <f t="shared" si="37"/>
        <v>217.03329120000001</v>
      </c>
      <c r="CQ28" s="12">
        <f t="shared" si="37"/>
        <v>0</v>
      </c>
      <c r="CR28" s="12">
        <f t="shared" si="37"/>
        <v>46.036000000000001</v>
      </c>
      <c r="CS28" s="11">
        <f t="shared" si="37"/>
        <v>0</v>
      </c>
      <c r="CT28" s="11">
        <f t="shared" si="37"/>
        <v>11.450538</v>
      </c>
      <c r="CU28" s="272">
        <f t="shared" si="37"/>
        <v>5.8540000000000001</v>
      </c>
      <c r="CV28" s="249">
        <f t="shared" si="14"/>
        <v>109.4287885</v>
      </c>
      <c r="CW28" s="12">
        <f t="shared" si="14"/>
        <v>55.869022000000001</v>
      </c>
      <c r="CX28" s="249">
        <f t="shared" si="14"/>
        <v>0</v>
      </c>
      <c r="CY28" s="272">
        <f t="shared" si="14"/>
        <v>0</v>
      </c>
      <c r="CZ28" s="13"/>
      <c r="DA28" s="240">
        <f>(D28+'[2]сентябрь 20'!D28)/(AY28+'[2]сентябрь 20'!BA28)</f>
        <v>2.0131051034417147</v>
      </c>
      <c r="DB28" s="241">
        <f>(T28+'[2]сентябрь 20'!T28)/(AY28+'[2]сентябрь 20'!BA28)</f>
        <v>1.1980338621807787</v>
      </c>
      <c r="DD28" s="292">
        <f t="shared" si="15"/>
        <v>11.541</v>
      </c>
      <c r="DE28" s="305">
        <v>3.05</v>
      </c>
      <c r="DF28" s="291">
        <v>11.26</v>
      </c>
      <c r="DG28" s="145">
        <f t="shared" si="16"/>
        <v>11.188999500000001</v>
      </c>
      <c r="DH28" s="293">
        <f t="shared" si="33"/>
        <v>1.6460430411549516</v>
      </c>
      <c r="DJ28" s="31">
        <v>224.34399999999999</v>
      </c>
      <c r="DK28" s="460">
        <f t="shared" si="34"/>
        <v>220.94399999999999</v>
      </c>
      <c r="DL28" s="40">
        <v>11.21</v>
      </c>
      <c r="DM28" s="460">
        <f t="shared" si="35"/>
        <v>12.21</v>
      </c>
      <c r="DN28" s="30">
        <v>112.639</v>
      </c>
      <c r="DO28" s="460">
        <f t="shared" si="36"/>
        <v>131.13900000000001</v>
      </c>
    </row>
    <row r="29" spans="1:119" s="76" customFormat="1" ht="16.5" customHeight="1" thickBot="1">
      <c r="A29" s="144">
        <v>23</v>
      </c>
      <c r="B29" s="122">
        <f t="shared" si="17"/>
        <v>289.97899999999998</v>
      </c>
      <c r="C29" s="123">
        <f t="shared" si="18"/>
        <v>1.9219147248593862</v>
      </c>
      <c r="D29" s="145">
        <f t="shared" si="19"/>
        <v>284.40585089999996</v>
      </c>
      <c r="E29" s="125">
        <f t="shared" si="20"/>
        <v>37.394425182513217</v>
      </c>
      <c r="F29" s="146">
        <f t="shared" si="0"/>
        <v>2.2803548019563822</v>
      </c>
      <c r="G29" s="127">
        <v>15.16</v>
      </c>
      <c r="H29" s="126">
        <f t="shared" si="21"/>
        <v>1.8587704530147531</v>
      </c>
      <c r="I29" s="230">
        <f>'[1]июль 20'!AI28</f>
        <v>0</v>
      </c>
      <c r="J29" s="247">
        <f>'[1]сентябрь 20'!AA28</f>
        <v>12.048999999999999</v>
      </c>
      <c r="K29" s="465">
        <f>'[1]сентябрь 20'!AM28</f>
        <v>0</v>
      </c>
      <c r="L29" s="247">
        <f>'[1]сентябрь 20'!AE28</f>
        <v>52.58</v>
      </c>
      <c r="M29" s="469">
        <f t="shared" si="22"/>
        <v>0.42158434894162927</v>
      </c>
      <c r="N29" s="403">
        <f>'[1]сентябрь 20'!W28</f>
        <v>0</v>
      </c>
      <c r="O29" s="403">
        <f>'[1]сентябрь 20'!AU28</f>
        <v>6.923</v>
      </c>
      <c r="P29" s="401">
        <f t="shared" si="1"/>
        <v>172.53800000000001</v>
      </c>
      <c r="Q29" s="122">
        <f>'[1]сентябрь 20'!S28</f>
        <v>172.53800000000001</v>
      </c>
      <c r="R29" s="123">
        <f t="shared" si="23"/>
        <v>2.92</v>
      </c>
      <c r="S29" s="501">
        <v>11.5</v>
      </c>
      <c r="T29" s="125">
        <f t="shared" si="2"/>
        <v>167.4998904</v>
      </c>
      <c r="U29" s="147">
        <f t="shared" si="3"/>
        <v>1.3430074599101991</v>
      </c>
      <c r="V29" s="130">
        <v>124.72</v>
      </c>
      <c r="W29" s="130">
        <v>101.57</v>
      </c>
      <c r="X29" s="129">
        <v>0.43</v>
      </c>
      <c r="Y29" s="150">
        <v>545</v>
      </c>
      <c r="Z29" s="150">
        <v>1182</v>
      </c>
      <c r="AA29" s="148" t="s">
        <v>174</v>
      </c>
      <c r="AB29" s="149">
        <v>76.58</v>
      </c>
      <c r="AC29" s="150">
        <v>117</v>
      </c>
      <c r="AD29" s="151">
        <v>5</v>
      </c>
      <c r="AE29" s="149"/>
      <c r="AF29" s="134">
        <f t="shared" si="4"/>
        <v>0</v>
      </c>
      <c r="AG29" s="152"/>
      <c r="AH29" s="129">
        <v>93.85</v>
      </c>
      <c r="AI29" s="134">
        <f t="shared" si="5"/>
        <v>752.48556767158436</v>
      </c>
      <c r="AJ29" s="136">
        <v>14.74</v>
      </c>
      <c r="AK29" s="154"/>
      <c r="AL29" s="155">
        <v>10.130000000000001</v>
      </c>
      <c r="AM29" s="478">
        <f t="shared" si="24"/>
        <v>32.74</v>
      </c>
      <c r="AN29" s="126">
        <f t="shared" si="25"/>
        <v>0.20000000000000004</v>
      </c>
      <c r="AO29" s="157" t="s">
        <v>119</v>
      </c>
      <c r="AP29" s="156">
        <v>6.63</v>
      </c>
      <c r="AQ29" s="156">
        <v>6.75</v>
      </c>
      <c r="AR29" s="149"/>
      <c r="AS29" s="149">
        <v>9.82</v>
      </c>
      <c r="AT29" s="149">
        <v>163.69999999999999</v>
      </c>
      <c r="AU29" s="149">
        <v>3.89</v>
      </c>
      <c r="AV29" s="164"/>
      <c r="AW29" s="149"/>
      <c r="AX29" s="158">
        <f t="shared" si="6"/>
        <v>0</v>
      </c>
      <c r="AY29" s="125">
        <f t="shared" si="7"/>
        <v>124.71999999999998</v>
      </c>
      <c r="AZ29" s="125">
        <f t="shared" si="26"/>
        <v>122.99999794292933</v>
      </c>
      <c r="BA29" s="159">
        <f t="shared" si="8"/>
        <v>7.1392091549295777</v>
      </c>
      <c r="BB29" s="160">
        <f t="shared" si="9"/>
        <v>4.9887999999999995</v>
      </c>
      <c r="BC29" s="161">
        <f t="shared" si="10"/>
        <v>0.89806149441317151</v>
      </c>
      <c r="BD29" s="160">
        <f t="shared" si="27"/>
        <v>12.128009154929577</v>
      </c>
      <c r="BE29" s="162">
        <v>0.93300000000000005</v>
      </c>
      <c r="BF29" s="25">
        <f t="shared" si="28"/>
        <v>2817.9299999999994</v>
      </c>
      <c r="BG29" s="25">
        <f t="shared" si="11"/>
        <v>118.33333333333333</v>
      </c>
      <c r="BH29" s="25">
        <f t="shared" si="29"/>
        <v>2721.666666666667</v>
      </c>
      <c r="BI29" s="26">
        <f t="shared" si="12"/>
        <v>1</v>
      </c>
      <c r="BJ29" s="37">
        <f t="shared" si="30"/>
        <v>2721.666666666667</v>
      </c>
      <c r="BK29" s="328">
        <v>48.593000000000004</v>
      </c>
      <c r="BL29" s="28">
        <f t="shared" si="31"/>
        <v>176.2</v>
      </c>
      <c r="BM29" s="31"/>
      <c r="BN29" s="31">
        <v>32.411000000000001</v>
      </c>
      <c r="BO29" s="40"/>
      <c r="BP29" s="28">
        <f t="shared" si="32"/>
        <v>12.606</v>
      </c>
      <c r="BQ29" s="32">
        <v>20.169</v>
      </c>
      <c r="BR29" s="33">
        <v>2.0099999999999998</v>
      </c>
      <c r="BS29" s="34">
        <v>2.12</v>
      </c>
      <c r="BT29" s="35"/>
      <c r="BU29" s="35"/>
      <c r="BV29" s="235"/>
      <c r="BW29" s="235">
        <v>6.83</v>
      </c>
      <c r="BX29" s="36"/>
      <c r="BY29" s="33">
        <v>37.74</v>
      </c>
      <c r="BZ29" s="34">
        <v>35.94</v>
      </c>
      <c r="CA29" s="35"/>
      <c r="CB29" s="35">
        <v>43.19</v>
      </c>
      <c r="CC29" s="235"/>
      <c r="CD29" s="235">
        <v>31.93</v>
      </c>
      <c r="CE29" s="36">
        <v>43.37</v>
      </c>
      <c r="CF29" s="30">
        <v>114.02200000000001</v>
      </c>
      <c r="CG29" s="30">
        <v>58.515999999999998</v>
      </c>
      <c r="CH29" s="31"/>
      <c r="CI29" s="32"/>
      <c r="CJ29" s="33">
        <v>2.92</v>
      </c>
      <c r="CK29" s="33">
        <v>2.92</v>
      </c>
      <c r="CL29" s="35"/>
      <c r="CM29" s="36"/>
      <c r="CN29" s="286"/>
      <c r="CO29" s="249">
        <f t="shared" si="37"/>
        <v>47.616280700000004</v>
      </c>
      <c r="CP29" s="12">
        <f t="shared" si="37"/>
        <v>172.46455999999998</v>
      </c>
      <c r="CQ29" s="12">
        <f t="shared" si="37"/>
        <v>0</v>
      </c>
      <c r="CR29" s="12">
        <f t="shared" si="37"/>
        <v>32.411000000000001</v>
      </c>
      <c r="CS29" s="11">
        <f t="shared" si="37"/>
        <v>0</v>
      </c>
      <c r="CT29" s="11">
        <f t="shared" si="37"/>
        <v>11.745010199999999</v>
      </c>
      <c r="CU29" s="272">
        <f t="shared" si="37"/>
        <v>20.169</v>
      </c>
      <c r="CV29" s="249">
        <f t="shared" si="14"/>
        <v>110.6925576</v>
      </c>
      <c r="CW29" s="12">
        <f t="shared" si="14"/>
        <v>56.807332799999998</v>
      </c>
      <c r="CX29" s="249">
        <f t="shared" si="14"/>
        <v>0</v>
      </c>
      <c r="CY29" s="272">
        <f t="shared" si="14"/>
        <v>0</v>
      </c>
      <c r="CZ29" s="13"/>
      <c r="DA29" s="240">
        <f>(D29+'[2]сентябрь 20'!D29)/(AY29+'[2]сентябрь 20'!BA29)</f>
        <v>2.4002924747438468</v>
      </c>
      <c r="DB29" s="241">
        <f>(T29+'[2]сентябрь 20'!T29)/(AY29+'[2]сентябрь 20'!BA29)</f>
        <v>1.4225724719357935</v>
      </c>
      <c r="DD29" s="292">
        <f t="shared" si="15"/>
        <v>12.048999999999999</v>
      </c>
      <c r="DE29" s="291">
        <v>2.4500000000000002</v>
      </c>
      <c r="DF29" s="291">
        <v>11.47</v>
      </c>
      <c r="DG29" s="145">
        <f t="shared" si="16"/>
        <v>11.753799499999998</v>
      </c>
      <c r="DH29" s="293">
        <f t="shared" si="33"/>
        <v>1.7604606981587878</v>
      </c>
      <c r="DJ29" s="31">
        <v>179.6</v>
      </c>
      <c r="DK29" s="460">
        <f t="shared" si="34"/>
        <v>176.2</v>
      </c>
      <c r="DL29" s="40">
        <v>11.606</v>
      </c>
      <c r="DM29" s="460">
        <f t="shared" si="35"/>
        <v>12.606</v>
      </c>
      <c r="DN29" s="30">
        <v>114.02200000000001</v>
      </c>
      <c r="DO29" s="460">
        <f t="shared" ref="DO29:DO36" si="38">DN29+18</f>
        <v>132.02199999999999</v>
      </c>
    </row>
    <row r="30" spans="1:119" s="76" customFormat="1" ht="16.5" customHeight="1" thickBot="1">
      <c r="A30" s="144">
        <v>24</v>
      </c>
      <c r="B30" s="122">
        <f t="shared" si="17"/>
        <v>175.32600000000002</v>
      </c>
      <c r="C30" s="123">
        <f t="shared" si="18"/>
        <v>1.4478428185209267</v>
      </c>
      <c r="D30" s="145">
        <f t="shared" si="19"/>
        <v>172.78755510000002</v>
      </c>
      <c r="E30" s="125">
        <f t="shared" si="20"/>
        <v>37.623156919110684</v>
      </c>
      <c r="F30" s="146">
        <f t="shared" si="0"/>
        <v>1.9012715129841549</v>
      </c>
      <c r="G30" s="127">
        <v>6.13</v>
      </c>
      <c r="H30" s="126">
        <f t="shared" si="21"/>
        <v>1.5493238897447181</v>
      </c>
      <c r="I30" s="230">
        <f>'[1]июль 20'!AI29</f>
        <v>0</v>
      </c>
      <c r="J30" s="247">
        <f>'[1]сентябрь 20'!AA29</f>
        <v>7.2140000000000004</v>
      </c>
      <c r="K30" s="464">
        <f>'[1]сентябрь 20'!AM29</f>
        <v>0</v>
      </c>
      <c r="L30" s="247">
        <f>'[1]сентябрь 20'!AE29</f>
        <v>31.984999999999999</v>
      </c>
      <c r="M30" s="468">
        <f t="shared" si="22"/>
        <v>0.35194762323943657</v>
      </c>
      <c r="N30" s="403">
        <f>'[1]сентябрь 20'!W29</f>
        <v>0</v>
      </c>
      <c r="O30" s="403">
        <f>'[1]сентябрь 20'!AU29</f>
        <v>2.1850000000000001</v>
      </c>
      <c r="P30" s="401">
        <f t="shared" si="1"/>
        <v>105.11099999999999</v>
      </c>
      <c r="Q30" s="122">
        <f>'[1]сентябрь 20'!S29</f>
        <v>105.111</v>
      </c>
      <c r="R30" s="123">
        <f t="shared" si="23"/>
        <v>2.65</v>
      </c>
      <c r="S30" s="501">
        <v>22.66</v>
      </c>
      <c r="T30" s="125">
        <f t="shared" si="2"/>
        <v>102.3255585</v>
      </c>
      <c r="U30" s="147">
        <f t="shared" si="3"/>
        <v>1.1259414447623237</v>
      </c>
      <c r="V30" s="169">
        <v>70.92</v>
      </c>
      <c r="W30" s="169">
        <v>90.88</v>
      </c>
      <c r="X30" s="170">
        <v>0.46</v>
      </c>
      <c r="Y30" s="166">
        <v>543</v>
      </c>
      <c r="Z30" s="166">
        <v>1179</v>
      </c>
      <c r="AA30" s="148" t="s">
        <v>195</v>
      </c>
      <c r="AB30" s="164">
        <v>76.31</v>
      </c>
      <c r="AC30" s="166">
        <v>71</v>
      </c>
      <c r="AD30" s="171">
        <v>4</v>
      </c>
      <c r="AE30" s="164"/>
      <c r="AF30" s="172">
        <f t="shared" si="4"/>
        <v>0</v>
      </c>
      <c r="AG30" s="173"/>
      <c r="AH30" s="170">
        <v>64.849999999999994</v>
      </c>
      <c r="AI30" s="134">
        <f t="shared" si="5"/>
        <v>713.57834507042242</v>
      </c>
      <c r="AJ30" s="174">
        <v>12.63</v>
      </c>
      <c r="AK30" s="175"/>
      <c r="AL30" s="176">
        <v>6.02</v>
      </c>
      <c r="AM30" s="478">
        <f t="shared" si="24"/>
        <v>23.730000000000004</v>
      </c>
      <c r="AN30" s="126">
        <f t="shared" si="25"/>
        <v>0.2</v>
      </c>
      <c r="AO30" s="178" t="s">
        <v>339</v>
      </c>
      <c r="AP30" s="177">
        <v>6.54</v>
      </c>
      <c r="AQ30" s="177">
        <v>7.33</v>
      </c>
      <c r="AR30" s="171"/>
      <c r="AS30" s="164">
        <v>11.75</v>
      </c>
      <c r="AT30" s="149">
        <v>118.65</v>
      </c>
      <c r="AU30" s="164">
        <v>1.98</v>
      </c>
      <c r="AV30" s="164"/>
      <c r="AW30" s="164"/>
      <c r="AX30" s="179">
        <f t="shared" si="6"/>
        <v>0</v>
      </c>
      <c r="AY30" s="125">
        <f t="shared" si="7"/>
        <v>90.88000000000001</v>
      </c>
      <c r="AZ30" s="125">
        <f t="shared" si="26"/>
        <v>75.389469668258329</v>
      </c>
      <c r="BA30" s="159">
        <f t="shared" si="8"/>
        <v>5.9027200704225349</v>
      </c>
      <c r="BB30" s="159">
        <f t="shared" si="9"/>
        <v>3.6352000000000007</v>
      </c>
      <c r="BC30" s="180">
        <f t="shared" si="10"/>
        <v>1.0667977191187554</v>
      </c>
      <c r="BD30" s="159">
        <f t="shared" si="27"/>
        <v>9.5379200704225351</v>
      </c>
      <c r="BE30" s="167">
        <v>0.93700000000000006</v>
      </c>
      <c r="BF30" s="25">
        <f t="shared" si="28"/>
        <v>2908.8099999999995</v>
      </c>
      <c r="BG30" s="25">
        <f t="shared" si="11"/>
        <v>118.33333333333333</v>
      </c>
      <c r="BH30" s="25">
        <f t="shared" si="29"/>
        <v>2840.0000000000005</v>
      </c>
      <c r="BI30" s="26">
        <f t="shared" si="12"/>
        <v>1</v>
      </c>
      <c r="BJ30" s="37">
        <f t="shared" si="30"/>
        <v>2840.0000000000005</v>
      </c>
      <c r="BK30" s="38">
        <v>95.905000000000001</v>
      </c>
      <c r="BL30" s="28">
        <f t="shared" si="31"/>
        <v>39.256999999999998</v>
      </c>
      <c r="BM30" s="31"/>
      <c r="BN30" s="31"/>
      <c r="BO30" s="40"/>
      <c r="BP30" s="28">
        <f t="shared" si="32"/>
        <v>8.1790000000000003</v>
      </c>
      <c r="BQ30" s="44">
        <v>31.984999999999999</v>
      </c>
      <c r="BR30" s="45">
        <v>1.5</v>
      </c>
      <c r="BS30" s="46">
        <v>1.91</v>
      </c>
      <c r="BT30" s="47"/>
      <c r="BU30" s="47"/>
      <c r="BV30" s="283"/>
      <c r="BW30" s="283">
        <v>4.28</v>
      </c>
      <c r="BX30" s="48"/>
      <c r="BY30" s="45">
        <v>36.880000000000003</v>
      </c>
      <c r="BZ30" s="46">
        <v>36.81</v>
      </c>
      <c r="CA30" s="47"/>
      <c r="CB30" s="47"/>
      <c r="CC30" s="283"/>
      <c r="CD30" s="283">
        <v>27.61</v>
      </c>
      <c r="CE30" s="48">
        <v>43.41</v>
      </c>
      <c r="CF30" s="49">
        <v>69.617999999999995</v>
      </c>
      <c r="CG30" s="49">
        <v>35.493000000000002</v>
      </c>
      <c r="CH30" s="43"/>
      <c r="CI30" s="32"/>
      <c r="CJ30" s="33">
        <v>2.65</v>
      </c>
      <c r="CK30" s="33">
        <v>2.65</v>
      </c>
      <c r="CL30" s="35"/>
      <c r="CM30" s="36"/>
      <c r="CN30" s="286"/>
      <c r="CO30" s="249">
        <f t="shared" si="37"/>
        <v>94.466425000000001</v>
      </c>
      <c r="CP30" s="12">
        <f t="shared" si="37"/>
        <v>38.507191299999995</v>
      </c>
      <c r="CQ30" s="12">
        <f t="shared" si="37"/>
        <v>0</v>
      </c>
      <c r="CR30" s="12">
        <f t="shared" si="37"/>
        <v>0</v>
      </c>
      <c r="CS30" s="11">
        <f t="shared" si="37"/>
        <v>0</v>
      </c>
      <c r="CT30" s="11">
        <f t="shared" si="37"/>
        <v>7.8289387999999995</v>
      </c>
      <c r="CU30" s="272">
        <f t="shared" si="37"/>
        <v>31.984999999999999</v>
      </c>
      <c r="CV30" s="249">
        <f t="shared" si="14"/>
        <v>67.773122999999984</v>
      </c>
      <c r="CW30" s="11">
        <f t="shared" si="14"/>
        <v>34.552435500000001</v>
      </c>
      <c r="CX30" s="252">
        <f t="shared" si="14"/>
        <v>0</v>
      </c>
      <c r="CY30" s="272">
        <f t="shared" si="14"/>
        <v>0</v>
      </c>
      <c r="CZ30" s="13"/>
      <c r="DA30" s="240">
        <f>(D30+'[2]сентябрь 20'!D30)/(AY30+'[2]сентябрь 20'!BA30)</f>
        <v>2.1265156581989189</v>
      </c>
      <c r="DB30" s="241">
        <f>(T30+'[2]сентябрь 20'!T30)/(AY30+'[2]сентябрь 20'!BA30)</f>
        <v>1.2590497279870383</v>
      </c>
      <c r="DD30" s="292">
        <f t="shared" si="15"/>
        <v>7.2140000000000004</v>
      </c>
      <c r="DE30" s="291">
        <v>0.47</v>
      </c>
      <c r="DF30" s="291">
        <v>10.83</v>
      </c>
      <c r="DG30" s="145">
        <f t="shared" si="16"/>
        <v>7.1800942000000001</v>
      </c>
      <c r="DH30" s="293">
        <f t="shared" si="33"/>
        <v>1.0190069477919015</v>
      </c>
      <c r="DJ30" s="31">
        <v>42.656999999999996</v>
      </c>
      <c r="DK30" s="460">
        <f t="shared" si="34"/>
        <v>39.256999999999998</v>
      </c>
      <c r="DL30" s="40">
        <v>7.1790000000000003</v>
      </c>
      <c r="DM30" s="460">
        <f t="shared" si="35"/>
        <v>8.1790000000000003</v>
      </c>
      <c r="DN30" s="49">
        <v>69.617999999999995</v>
      </c>
      <c r="DO30" s="460">
        <f t="shared" si="38"/>
        <v>87.617999999999995</v>
      </c>
    </row>
    <row r="31" spans="1:119" s="76" customFormat="1" ht="16.5" customHeight="1" thickBot="1">
      <c r="A31" s="144">
        <v>25</v>
      </c>
      <c r="B31" s="122">
        <f t="shared" si="17"/>
        <v>172.61500000000001</v>
      </c>
      <c r="C31" s="123">
        <f t="shared" si="18"/>
        <v>1.0196573878284041</v>
      </c>
      <c r="D31" s="145">
        <f t="shared" si="19"/>
        <v>170.85491840000003</v>
      </c>
      <c r="E31" s="125">
        <f t="shared" si="20"/>
        <v>37.890913651768386</v>
      </c>
      <c r="F31" s="146">
        <f t="shared" si="0"/>
        <v>2.9151154819996599</v>
      </c>
      <c r="G31" s="127"/>
      <c r="H31" s="126">
        <f t="shared" si="21"/>
        <v>2.3776645350622765</v>
      </c>
      <c r="I31" s="230">
        <f>'[1]июль 20'!AI30</f>
        <v>0</v>
      </c>
      <c r="J31" s="247">
        <f>'[1]сентябрь 20'!AA30</f>
        <v>6.9870000000000001</v>
      </c>
      <c r="K31" s="465">
        <f>'[1]сентябрь 20'!AM30</f>
        <v>0</v>
      </c>
      <c r="L31" s="247">
        <f>'[1]сентябрь 20'!AE30</f>
        <v>31.5</v>
      </c>
      <c r="M31" s="469">
        <f t="shared" si="22"/>
        <v>0.53745094693738282</v>
      </c>
      <c r="N31" s="403">
        <f>'[1]сентябрь 20'!W30</f>
        <v>0</v>
      </c>
      <c r="O31" s="403">
        <f>'[1]сентябрь 20'!AU30</f>
        <v>2.1589999999999998</v>
      </c>
      <c r="P31" s="401">
        <f t="shared" si="1"/>
        <v>110.96899999999999</v>
      </c>
      <c r="Q31" s="122">
        <f>'[1]сентябрь 20'!S30</f>
        <v>110.96899999999999</v>
      </c>
      <c r="R31" s="123">
        <f t="shared" si="23"/>
        <v>2.64</v>
      </c>
      <c r="S31" s="501">
        <v>1.27</v>
      </c>
      <c r="T31" s="125">
        <f t="shared" si="2"/>
        <v>108.0394184</v>
      </c>
      <c r="U31" s="147">
        <f t="shared" si="3"/>
        <v>1.8433615150998126</v>
      </c>
      <c r="V31" s="130">
        <v>58.61</v>
      </c>
      <c r="W31" s="130">
        <v>32.58</v>
      </c>
      <c r="X31" s="129">
        <v>1.06</v>
      </c>
      <c r="Y31" s="150">
        <v>530</v>
      </c>
      <c r="Z31" s="150">
        <v>1080</v>
      </c>
      <c r="AA31" s="148" t="s">
        <v>406</v>
      </c>
      <c r="AB31" s="149">
        <v>75.91</v>
      </c>
      <c r="AC31" s="150">
        <v>72</v>
      </c>
      <c r="AD31" s="151">
        <v>3</v>
      </c>
      <c r="AE31" s="149"/>
      <c r="AF31" s="134">
        <f t="shared" si="4"/>
        <v>0</v>
      </c>
      <c r="AG31" s="152"/>
      <c r="AH31" s="129">
        <v>29.55</v>
      </c>
      <c r="AI31" s="134">
        <f t="shared" si="5"/>
        <v>504.18017403173531</v>
      </c>
      <c r="AJ31" s="136">
        <v>9.8000000000000007</v>
      </c>
      <c r="AK31" s="154"/>
      <c r="AL31" s="155">
        <v>4.45</v>
      </c>
      <c r="AM31" s="478">
        <f t="shared" si="24"/>
        <v>15.52</v>
      </c>
      <c r="AN31" s="126">
        <f t="shared" si="25"/>
        <v>0.2</v>
      </c>
      <c r="AO31" s="157" t="s">
        <v>151</v>
      </c>
      <c r="AP31" s="156">
        <v>8.35</v>
      </c>
      <c r="AQ31" s="156">
        <v>6.97</v>
      </c>
      <c r="AR31" s="151"/>
      <c r="AS31" s="149">
        <v>7.12</v>
      </c>
      <c r="AT31" s="149">
        <v>77.599999999999994</v>
      </c>
      <c r="AU31" s="149">
        <v>0.98</v>
      </c>
      <c r="AV31" s="164"/>
      <c r="AW31" s="149"/>
      <c r="AX31" s="158">
        <f t="shared" si="6"/>
        <v>0</v>
      </c>
      <c r="AY31" s="125">
        <f t="shared" si="7"/>
        <v>58.609999999999992</v>
      </c>
      <c r="AZ31" s="125">
        <f t="shared" si="26"/>
        <v>75.615916833933539</v>
      </c>
      <c r="BA31" s="159">
        <f t="shared" si="8"/>
        <v>1.6298281690140846</v>
      </c>
      <c r="BB31" s="160">
        <f t="shared" si="9"/>
        <v>2.3443999999999998</v>
      </c>
      <c r="BC31" s="161">
        <f t="shared" si="10"/>
        <v>0.68723955832743333</v>
      </c>
      <c r="BD31" s="160">
        <f t="shared" si="27"/>
        <v>3.9742281690140846</v>
      </c>
      <c r="BE31" s="162">
        <v>0.93</v>
      </c>
      <c r="BF31" s="25">
        <f t="shared" si="28"/>
        <v>2967.4199999999996</v>
      </c>
      <c r="BG31" s="25">
        <f t="shared" si="11"/>
        <v>118.33333333333333</v>
      </c>
      <c r="BH31" s="25">
        <f t="shared" si="29"/>
        <v>2958.3333333333339</v>
      </c>
      <c r="BI31" s="26">
        <f t="shared" si="12"/>
        <v>1</v>
      </c>
      <c r="BJ31" s="37">
        <f t="shared" si="30"/>
        <v>2958.3333333333339</v>
      </c>
      <c r="BK31" s="38">
        <v>94.518000000000001</v>
      </c>
      <c r="BL31" s="28">
        <f t="shared" si="31"/>
        <v>38.609000000000002</v>
      </c>
      <c r="BM31" s="31"/>
      <c r="BN31" s="31"/>
      <c r="BO31" s="40"/>
      <c r="BP31" s="28">
        <f t="shared" si="32"/>
        <v>7.9880000000000004</v>
      </c>
      <c r="BQ31" s="32">
        <v>31.5</v>
      </c>
      <c r="BR31" s="33">
        <v>1.17</v>
      </c>
      <c r="BS31" s="34">
        <v>1.1399999999999999</v>
      </c>
      <c r="BT31" s="35"/>
      <c r="BU31" s="35"/>
      <c r="BV31" s="235"/>
      <c r="BW31" s="235">
        <v>2.68</v>
      </c>
      <c r="BX31" s="36"/>
      <c r="BY31" s="33">
        <v>37.4</v>
      </c>
      <c r="BZ31" s="34">
        <v>36.06</v>
      </c>
      <c r="CA31" s="35"/>
      <c r="CB31" s="35"/>
      <c r="CC31" s="235"/>
      <c r="CD31" s="235">
        <v>31.14</v>
      </c>
      <c r="CE31" s="36">
        <v>43.32</v>
      </c>
      <c r="CF31" s="30">
        <v>75.968000000000004</v>
      </c>
      <c r="CG31" s="30">
        <v>35.000999999999998</v>
      </c>
      <c r="CH31" s="31"/>
      <c r="CI31" s="32"/>
      <c r="CJ31" s="33">
        <v>2.64</v>
      </c>
      <c r="CK31" s="33">
        <v>2.64</v>
      </c>
      <c r="CL31" s="35"/>
      <c r="CM31" s="36"/>
      <c r="CN31" s="286"/>
      <c r="CO31" s="249">
        <f t="shared" si="37"/>
        <v>93.412139400000001</v>
      </c>
      <c r="CP31" s="12">
        <f t="shared" si="37"/>
        <v>38.1688574</v>
      </c>
      <c r="CQ31" s="12">
        <f t="shared" si="37"/>
        <v>0</v>
      </c>
      <c r="CR31" s="12">
        <f t="shared" si="37"/>
        <v>0</v>
      </c>
      <c r="CS31" s="11">
        <f t="shared" si="37"/>
        <v>0</v>
      </c>
      <c r="CT31" s="11">
        <f t="shared" si="37"/>
        <v>7.7739216000000004</v>
      </c>
      <c r="CU31" s="272">
        <f t="shared" si="37"/>
        <v>31.5</v>
      </c>
      <c r="CV31" s="249">
        <f t="shared" si="14"/>
        <v>73.9624448</v>
      </c>
      <c r="CW31" s="12">
        <f t="shared" si="14"/>
        <v>34.076973599999995</v>
      </c>
      <c r="CX31" s="249">
        <f t="shared" si="14"/>
        <v>0</v>
      </c>
      <c r="CY31" s="272">
        <f t="shared" si="14"/>
        <v>0</v>
      </c>
      <c r="CZ31" s="13"/>
      <c r="DA31" s="240">
        <f>(D31+'[2]сентябрь 20'!D31)/(AY31+'[2]сентябрь 20'!BA31)</f>
        <v>2.2977291716444959</v>
      </c>
      <c r="DB31" s="241">
        <f>(T31+'[2]сентябрь 20'!T31)/(AY31+'[2]сентябрь 20'!BA31)</f>
        <v>1.3707243862168945</v>
      </c>
      <c r="DD31" s="292">
        <f t="shared" si="15"/>
        <v>6.9870000000000001</v>
      </c>
      <c r="DE31" s="291">
        <v>0.53</v>
      </c>
      <c r="DF31" s="291">
        <v>12.71</v>
      </c>
      <c r="DG31" s="145">
        <f t="shared" si="16"/>
        <v>6.9499689</v>
      </c>
      <c r="DH31" s="293">
        <f t="shared" si="33"/>
        <v>1.1636688805032278</v>
      </c>
      <c r="DJ31" s="31">
        <v>42.009</v>
      </c>
      <c r="DK31" s="460">
        <f t="shared" si="34"/>
        <v>38.609000000000002</v>
      </c>
      <c r="DL31" s="40">
        <v>6.9880000000000004</v>
      </c>
      <c r="DM31" s="460">
        <f t="shared" si="35"/>
        <v>7.9880000000000004</v>
      </c>
      <c r="DN31" s="30">
        <v>75.968000000000004</v>
      </c>
      <c r="DO31" s="460">
        <f t="shared" si="38"/>
        <v>93.968000000000004</v>
      </c>
    </row>
    <row r="32" spans="1:119" s="76" customFormat="1" ht="16.5" customHeight="1" thickBot="1">
      <c r="A32" s="144">
        <v>26</v>
      </c>
      <c r="B32" s="122">
        <f t="shared" si="17"/>
        <v>276.97300000000001</v>
      </c>
      <c r="C32" s="123">
        <f t="shared" si="18"/>
        <v>0.91047867481667888</v>
      </c>
      <c r="D32" s="145">
        <f t="shared" si="19"/>
        <v>274.45121990000001</v>
      </c>
      <c r="E32" s="125">
        <f t="shared" si="20"/>
        <v>38.095483061525847</v>
      </c>
      <c r="F32" s="146">
        <f t="shared" si="0"/>
        <v>2.1166992125559161</v>
      </c>
      <c r="G32" s="127"/>
      <c r="H32" s="126">
        <f t="shared" si="21"/>
        <v>1.7312140976399817</v>
      </c>
      <c r="I32" s="230">
        <f>'[1]июль 20'!AI31</f>
        <v>0</v>
      </c>
      <c r="J32" s="247">
        <f>'[1]сентябрь 20'!AA31</f>
        <v>11.503</v>
      </c>
      <c r="K32" s="464">
        <f>'[1]сентябрь 20'!AM31</f>
        <v>0</v>
      </c>
      <c r="L32" s="247">
        <f>'[1]сентябрь 20'!AE31</f>
        <v>49.981999999999999</v>
      </c>
      <c r="M32" s="468">
        <f t="shared" si="22"/>
        <v>0.38548511491593407</v>
      </c>
      <c r="N32" s="403">
        <f>'[1]сентябрь 20'!W31</f>
        <v>0</v>
      </c>
      <c r="O32" s="403">
        <f>'[1]сентябрь 20'!AU31</f>
        <v>3.452</v>
      </c>
      <c r="P32" s="401">
        <f t="shared" si="1"/>
        <v>166.87200000000001</v>
      </c>
      <c r="Q32" s="122">
        <f>'[1]сентябрь 20'!S31</f>
        <v>166.87200000000001</v>
      </c>
      <c r="R32" s="123">
        <f t="shared" si="23"/>
        <v>2.64</v>
      </c>
      <c r="S32" s="501"/>
      <c r="T32" s="125">
        <f t="shared" si="2"/>
        <v>162.46657920000001</v>
      </c>
      <c r="U32" s="147">
        <f t="shared" si="3"/>
        <v>1.2530200462748731</v>
      </c>
      <c r="V32" s="130">
        <v>129.66</v>
      </c>
      <c r="W32" s="130">
        <v>129.66</v>
      </c>
      <c r="X32" s="129">
        <v>0.57999999999999996</v>
      </c>
      <c r="Y32" s="150">
        <v>540</v>
      </c>
      <c r="Z32" s="150">
        <v>1162</v>
      </c>
      <c r="AA32" s="148" t="s">
        <v>130</v>
      </c>
      <c r="AB32" s="149">
        <v>75.97</v>
      </c>
      <c r="AC32" s="150">
        <v>111</v>
      </c>
      <c r="AD32" s="151">
        <v>5</v>
      </c>
      <c r="AE32" s="149"/>
      <c r="AF32" s="134">
        <f t="shared" si="4"/>
        <v>0</v>
      </c>
      <c r="AG32" s="152"/>
      <c r="AH32" s="129">
        <v>84.05</v>
      </c>
      <c r="AI32" s="134">
        <f t="shared" si="5"/>
        <v>648.23384235693368</v>
      </c>
      <c r="AJ32" s="153">
        <v>17.54</v>
      </c>
      <c r="AK32" s="154"/>
      <c r="AL32" s="155">
        <v>8.99</v>
      </c>
      <c r="AM32" s="478">
        <f t="shared" si="24"/>
        <v>34.19</v>
      </c>
      <c r="AN32" s="126">
        <f t="shared" si="25"/>
        <v>0.2</v>
      </c>
      <c r="AO32" s="157" t="s">
        <v>319</v>
      </c>
      <c r="AP32" s="156">
        <v>7.43</v>
      </c>
      <c r="AQ32" s="156">
        <v>8.14</v>
      </c>
      <c r="AR32" s="151"/>
      <c r="AS32" s="149">
        <v>9.4499999999999993</v>
      </c>
      <c r="AT32" s="149">
        <v>170.95</v>
      </c>
      <c r="AU32" s="149">
        <v>1.89</v>
      </c>
      <c r="AV32" s="149"/>
      <c r="AW32" s="149"/>
      <c r="AX32" s="158">
        <f t="shared" si="6"/>
        <v>0</v>
      </c>
      <c r="AY32" s="125">
        <f t="shared" si="7"/>
        <v>129.65999999999997</v>
      </c>
      <c r="AZ32" s="125">
        <f t="shared" si="26"/>
        <v>121.23484541125812</v>
      </c>
      <c r="BA32" s="159">
        <f t="shared" si="8"/>
        <v>6.1528151408450693</v>
      </c>
      <c r="BB32" s="160">
        <f t="shared" si="9"/>
        <v>5.186399999999999</v>
      </c>
      <c r="BC32" s="161">
        <f t="shared" si="10"/>
        <v>0.94212709332474898</v>
      </c>
      <c r="BD32" s="160">
        <f t="shared" si="27"/>
        <v>11.339215140845068</v>
      </c>
      <c r="BE32" s="162">
        <v>0.93</v>
      </c>
      <c r="BF32" s="25">
        <f t="shared" si="28"/>
        <v>3097.0799999999995</v>
      </c>
      <c r="BG32" s="25">
        <f t="shared" si="11"/>
        <v>118.33333333333333</v>
      </c>
      <c r="BH32" s="25">
        <f t="shared" si="29"/>
        <v>3076.6666666666674</v>
      </c>
      <c r="BI32" s="26">
        <f t="shared" si="12"/>
        <v>1</v>
      </c>
      <c r="BJ32" s="37">
        <f t="shared" si="30"/>
        <v>3076.6666666666674</v>
      </c>
      <c r="BK32" s="38">
        <v>151.63300000000001</v>
      </c>
      <c r="BL32" s="28">
        <f t="shared" si="31"/>
        <v>63.158999999999999</v>
      </c>
      <c r="BM32" s="31"/>
      <c r="BN32" s="31"/>
      <c r="BO32" s="40"/>
      <c r="BP32" s="28">
        <f t="shared" si="32"/>
        <v>12.199</v>
      </c>
      <c r="BQ32" s="32">
        <v>49.981999999999999</v>
      </c>
      <c r="BR32" s="33">
        <v>1</v>
      </c>
      <c r="BS32" s="34">
        <v>0.97</v>
      </c>
      <c r="BT32" s="35"/>
      <c r="BU32" s="35"/>
      <c r="BV32" s="235"/>
      <c r="BW32" s="235">
        <v>3.22</v>
      </c>
      <c r="BX32" s="36"/>
      <c r="BY32" s="33">
        <v>37.57</v>
      </c>
      <c r="BZ32" s="34">
        <v>36.68</v>
      </c>
      <c r="CA32" s="35"/>
      <c r="CB32" s="35"/>
      <c r="CC32" s="235"/>
      <c r="CD32" s="235">
        <v>30.14</v>
      </c>
      <c r="CE32" s="36">
        <v>43.42</v>
      </c>
      <c r="CF32" s="30">
        <v>111.372</v>
      </c>
      <c r="CG32" s="30">
        <v>55.5</v>
      </c>
      <c r="CH32" s="31"/>
      <c r="CI32" s="50"/>
      <c r="CJ32" s="33">
        <v>2.64</v>
      </c>
      <c r="CK32" s="33">
        <v>2.64</v>
      </c>
      <c r="CL32" s="35"/>
      <c r="CM32" s="36"/>
      <c r="CN32" s="286"/>
      <c r="CO32" s="249">
        <f t="shared" si="37"/>
        <v>150.11667</v>
      </c>
      <c r="CP32" s="12">
        <f t="shared" si="37"/>
        <v>62.546357699999994</v>
      </c>
      <c r="CQ32" s="12">
        <f t="shared" si="37"/>
        <v>0</v>
      </c>
      <c r="CR32" s="12">
        <f t="shared" si="37"/>
        <v>0</v>
      </c>
      <c r="CS32" s="11">
        <f t="shared" si="37"/>
        <v>0</v>
      </c>
      <c r="CT32" s="11">
        <f t="shared" si="37"/>
        <v>11.8061922</v>
      </c>
      <c r="CU32" s="272">
        <f t="shared" si="37"/>
        <v>49.981999999999999</v>
      </c>
      <c r="CV32" s="249">
        <f t="shared" si="14"/>
        <v>108.43177920000001</v>
      </c>
      <c r="CW32" s="11">
        <f t="shared" si="14"/>
        <v>54.034800000000004</v>
      </c>
      <c r="CX32" s="249">
        <f t="shared" si="14"/>
        <v>0</v>
      </c>
      <c r="CY32" s="272">
        <f t="shared" si="14"/>
        <v>0</v>
      </c>
      <c r="CZ32" s="13"/>
      <c r="DA32" s="240">
        <f>(D32+'[2]сентябрь 20'!D32)/(AY32+'[2]сентябрь 20'!BA32)</f>
        <v>2.1715001243471082</v>
      </c>
      <c r="DB32" s="241">
        <f>(T32+'[2]сентябрь 20'!T32)/(AY32+'[2]сентябрь 20'!BA32)</f>
        <v>1.2733716981526171</v>
      </c>
      <c r="DD32" s="292">
        <f t="shared" si="15"/>
        <v>11.503</v>
      </c>
      <c r="DE32" s="291">
        <v>0.16</v>
      </c>
      <c r="DF32" s="291">
        <v>7.2</v>
      </c>
      <c r="DG32" s="145">
        <f t="shared" si="16"/>
        <v>11.484595200000001</v>
      </c>
      <c r="DH32" s="293">
        <f t="shared" si="33"/>
        <v>1.088443931025405</v>
      </c>
      <c r="DJ32" s="31">
        <v>66.558999999999997</v>
      </c>
      <c r="DK32" s="460">
        <f t="shared" si="34"/>
        <v>63.158999999999999</v>
      </c>
      <c r="DL32" s="40">
        <v>11.199</v>
      </c>
      <c r="DM32" s="460">
        <f t="shared" si="35"/>
        <v>12.199</v>
      </c>
      <c r="DN32" s="30">
        <v>111.372</v>
      </c>
      <c r="DO32" s="460">
        <f t="shared" si="38"/>
        <v>129.37200000000001</v>
      </c>
    </row>
    <row r="33" spans="1:119" s="76" customFormat="1" ht="16.5" customHeight="1" thickBot="1">
      <c r="A33" s="144">
        <v>27</v>
      </c>
      <c r="B33" s="122">
        <f t="shared" si="17"/>
        <v>268.59200000000004</v>
      </c>
      <c r="C33" s="123">
        <f t="shared" si="18"/>
        <v>0.69604694108536369</v>
      </c>
      <c r="D33" s="145">
        <f t="shared" si="19"/>
        <v>266.7224736</v>
      </c>
      <c r="E33" s="125">
        <f t="shared" si="20"/>
        <v>38.38580248108655</v>
      </c>
      <c r="F33" s="146">
        <f t="shared" si="0"/>
        <v>2.1239247778308648</v>
      </c>
      <c r="G33" s="127">
        <v>9.5</v>
      </c>
      <c r="H33" s="126">
        <f t="shared" si="21"/>
        <v>1.7369204777830862</v>
      </c>
      <c r="I33" s="230">
        <f>'[1]июль 20'!AI32</f>
        <v>0</v>
      </c>
      <c r="J33" s="247">
        <f>'[1]сентябрь 20'!AA32</f>
        <v>10.503</v>
      </c>
      <c r="K33" s="465">
        <f>'[1]сентябрь 20'!AM32</f>
        <v>0</v>
      </c>
      <c r="L33" s="247">
        <f>'[1]сентябрь 20'!AE32</f>
        <v>48.6</v>
      </c>
      <c r="M33" s="469">
        <f t="shared" si="22"/>
        <v>0.3870043000477783</v>
      </c>
      <c r="N33" s="403">
        <f>'[1]сентябрь 20'!W32</f>
        <v>0</v>
      </c>
      <c r="O33" s="403">
        <f>'[1]сентябрь 20'!AU32</f>
        <v>3.2570000000000001</v>
      </c>
      <c r="P33" s="401">
        <f t="shared" si="1"/>
        <v>163.58100000000002</v>
      </c>
      <c r="Q33" s="122">
        <f>'[1]сентябрь 20'!S32</f>
        <v>163.58099999999999</v>
      </c>
      <c r="R33" s="123">
        <f t="shared" si="23"/>
        <v>2.6100000000000003</v>
      </c>
      <c r="S33" s="501">
        <v>16.309999999999999</v>
      </c>
      <c r="T33" s="125">
        <f t="shared" si="2"/>
        <v>159.3115359</v>
      </c>
      <c r="U33" s="147">
        <f t="shared" si="3"/>
        <v>1.2686059555661728</v>
      </c>
      <c r="V33" s="130">
        <v>77.87</v>
      </c>
      <c r="W33" s="130">
        <v>99.68</v>
      </c>
      <c r="X33" s="129">
        <v>0.65</v>
      </c>
      <c r="Y33" s="150">
        <v>556</v>
      </c>
      <c r="Z33" s="150">
        <v>1169</v>
      </c>
      <c r="AA33" s="148" t="s">
        <v>110</v>
      </c>
      <c r="AB33" s="149">
        <v>75.25</v>
      </c>
      <c r="AC33" s="150">
        <v>108</v>
      </c>
      <c r="AD33" s="151">
        <v>5</v>
      </c>
      <c r="AE33" s="149">
        <v>2.1</v>
      </c>
      <c r="AF33" s="134">
        <f t="shared" si="4"/>
        <v>16.722408026755851</v>
      </c>
      <c r="AG33" s="152"/>
      <c r="AH33" s="129">
        <v>77.8</v>
      </c>
      <c r="AI33" s="134">
        <f t="shared" si="5"/>
        <v>619.5254021340977</v>
      </c>
      <c r="AJ33" s="136">
        <v>16.489999999999998</v>
      </c>
      <c r="AK33" s="154"/>
      <c r="AL33" s="155">
        <v>9.23</v>
      </c>
      <c r="AM33" s="478">
        <f t="shared" si="24"/>
        <v>33.010000000000005</v>
      </c>
      <c r="AN33" s="126">
        <f t="shared" si="25"/>
        <v>0.2</v>
      </c>
      <c r="AO33" s="157" t="s">
        <v>407</v>
      </c>
      <c r="AP33" s="156">
        <v>7.45</v>
      </c>
      <c r="AQ33" s="156">
        <v>7.77</v>
      </c>
      <c r="AR33" s="151"/>
      <c r="AS33" s="149">
        <v>8.51</v>
      </c>
      <c r="AT33" s="149">
        <v>165.05</v>
      </c>
      <c r="AU33" s="149">
        <v>2.77</v>
      </c>
      <c r="AV33" s="149"/>
      <c r="AW33" s="149"/>
      <c r="AX33" s="158">
        <f t="shared" si="6"/>
        <v>0</v>
      </c>
      <c r="AY33" s="125">
        <f t="shared" si="7"/>
        <v>125.58000000000001</v>
      </c>
      <c r="AZ33" s="125">
        <f t="shared" si="26"/>
        <v>119.99493153341021</v>
      </c>
      <c r="BA33" s="159">
        <f t="shared" si="8"/>
        <v>5.1287732394366197</v>
      </c>
      <c r="BB33" s="160">
        <f t="shared" si="9"/>
        <v>5.023200000000001</v>
      </c>
      <c r="BC33" s="161">
        <f t="shared" si="10"/>
        <v>0.92298947464505543</v>
      </c>
      <c r="BD33" s="160">
        <f t="shared" si="27"/>
        <v>10.151973239436622</v>
      </c>
      <c r="BE33" s="162">
        <v>0.93</v>
      </c>
      <c r="BF33" s="25">
        <f t="shared" si="28"/>
        <v>3222.6599999999994</v>
      </c>
      <c r="BG33" s="25">
        <f t="shared" si="11"/>
        <v>118.33333333333333</v>
      </c>
      <c r="BH33" s="25">
        <f t="shared" si="29"/>
        <v>3195.0000000000009</v>
      </c>
      <c r="BI33" s="26">
        <f t="shared" si="12"/>
        <v>1</v>
      </c>
      <c r="BJ33" s="37">
        <f t="shared" si="30"/>
        <v>3195.0000000000009</v>
      </c>
      <c r="BK33" s="38">
        <v>145.791</v>
      </c>
      <c r="BL33" s="28">
        <f t="shared" si="31"/>
        <v>61.431000000000004</v>
      </c>
      <c r="BM33" s="31"/>
      <c r="BN33" s="31"/>
      <c r="BO33" s="40"/>
      <c r="BP33" s="28">
        <v>12.77</v>
      </c>
      <c r="BQ33" s="32">
        <v>48.6</v>
      </c>
      <c r="BR33" s="33">
        <v>0.78</v>
      </c>
      <c r="BS33" s="34">
        <v>0.66</v>
      </c>
      <c r="BT33" s="35"/>
      <c r="BU33" s="35"/>
      <c r="BV33" s="235"/>
      <c r="BW33" s="235">
        <v>2.56</v>
      </c>
      <c r="BX33" s="36"/>
      <c r="BY33" s="33">
        <v>38.03</v>
      </c>
      <c r="BZ33" s="34">
        <v>36.33</v>
      </c>
      <c r="CA33" s="35"/>
      <c r="CB33" s="35"/>
      <c r="CC33" s="235"/>
      <c r="CD33" s="235">
        <v>32.950000000000003</v>
      </c>
      <c r="CE33" s="36">
        <v>43.48</v>
      </c>
      <c r="CF33" s="30">
        <v>109.578</v>
      </c>
      <c r="CG33" s="30">
        <v>54.003</v>
      </c>
      <c r="CH33" s="31"/>
      <c r="CI33" s="32"/>
      <c r="CJ33" s="33">
        <v>2.61</v>
      </c>
      <c r="CK33" s="33">
        <v>2.61</v>
      </c>
      <c r="CL33" s="35"/>
      <c r="CM33" s="36"/>
      <c r="CN33" s="270"/>
      <c r="CO33" s="249">
        <f t="shared" si="37"/>
        <v>144.65383019999999</v>
      </c>
      <c r="CP33" s="12">
        <f t="shared" si="37"/>
        <v>61.025555400000009</v>
      </c>
      <c r="CQ33" s="12">
        <f t="shared" si="37"/>
        <v>0</v>
      </c>
      <c r="CR33" s="12">
        <f t="shared" si="37"/>
        <v>0</v>
      </c>
      <c r="CS33" s="11">
        <f t="shared" si="37"/>
        <v>0</v>
      </c>
      <c r="CT33" s="11">
        <f t="shared" si="37"/>
        <v>12.443087999999999</v>
      </c>
      <c r="CU33" s="272">
        <f t="shared" si="37"/>
        <v>48.6</v>
      </c>
      <c r="CV33" s="249">
        <f t="shared" si="14"/>
        <v>106.7180142</v>
      </c>
      <c r="CW33" s="12">
        <f t="shared" si="14"/>
        <v>52.593521699999997</v>
      </c>
      <c r="CX33" s="254">
        <f t="shared" si="14"/>
        <v>0</v>
      </c>
      <c r="CY33" s="275">
        <f t="shared" si="14"/>
        <v>0</v>
      </c>
      <c r="CZ33" s="13"/>
      <c r="DA33" s="240">
        <f>(D33+'[2]сентябрь 20'!D33)/(AY33+'[2]сентябрь 20'!BA33)</f>
        <v>2.1233266452822668</v>
      </c>
      <c r="DB33" s="241">
        <f>(T33+'[2]сентябрь 20'!T33)/(AY33+'[2]сентябрь 20'!BA33)</f>
        <v>1.2436146574260418</v>
      </c>
      <c r="DD33" s="292">
        <f t="shared" si="15"/>
        <v>10.503</v>
      </c>
      <c r="DE33" s="291">
        <v>0.4</v>
      </c>
      <c r="DF33" s="291">
        <v>8.75</v>
      </c>
      <c r="DG33" s="145">
        <f t="shared" si="16"/>
        <v>10.460988</v>
      </c>
      <c r="DH33" s="293">
        <f t="shared" si="33"/>
        <v>1.2163939534883721</v>
      </c>
      <c r="DJ33" s="31">
        <v>64.831000000000003</v>
      </c>
      <c r="DK33" s="460">
        <f t="shared" si="34"/>
        <v>61.431000000000004</v>
      </c>
      <c r="DL33" s="40">
        <v>10.77</v>
      </c>
      <c r="DM33" s="460">
        <f t="shared" si="35"/>
        <v>11.77</v>
      </c>
      <c r="DN33" s="30">
        <v>109.578</v>
      </c>
      <c r="DO33" s="460">
        <f t="shared" si="38"/>
        <v>127.578</v>
      </c>
    </row>
    <row r="34" spans="1:119" s="76" customFormat="1" ht="16.5" customHeight="1" thickBot="1">
      <c r="A34" s="144">
        <v>28</v>
      </c>
      <c r="B34" s="122">
        <f t="shared" si="17"/>
        <v>254.79000000000002</v>
      </c>
      <c r="C34" s="123">
        <f t="shared" si="18"/>
        <v>0.85102727736567374</v>
      </c>
      <c r="D34" s="145">
        <f t="shared" si="19"/>
        <v>252.62166759999999</v>
      </c>
      <c r="E34" s="125">
        <f t="shared" si="20"/>
        <v>37.498013854546876</v>
      </c>
      <c r="F34" s="146">
        <f t="shared" si="0"/>
        <v>1.9100383154392864</v>
      </c>
      <c r="G34" s="127">
        <v>1.53</v>
      </c>
      <c r="H34" s="126">
        <f t="shared" si="21"/>
        <v>1.5629190049901709</v>
      </c>
      <c r="I34" s="230">
        <f>'[1]июль 20'!AI33</f>
        <v>0</v>
      </c>
      <c r="J34" s="247">
        <f>'[1]сентябрь 20'!AA33</f>
        <v>10.412000000000001</v>
      </c>
      <c r="K34" s="464">
        <f>'[1]сентябрь 20'!AM33</f>
        <v>0</v>
      </c>
      <c r="L34" s="247">
        <f>'[1]сентябрь 20'!AE33</f>
        <v>45.91</v>
      </c>
      <c r="M34" s="468">
        <f t="shared" si="22"/>
        <v>0.34711931044911537</v>
      </c>
      <c r="N34" s="403">
        <f>'[1]сентябрь 20'!W33</f>
        <v>0</v>
      </c>
      <c r="O34" s="403">
        <f>'[1]сентябрь 20'!AU33</f>
        <v>3.1309999999999998</v>
      </c>
      <c r="P34" s="401">
        <f t="shared" si="1"/>
        <v>153.90899999999999</v>
      </c>
      <c r="Q34" s="122">
        <f>'[1]сентябрь 20'!S33</f>
        <v>153.90899999999999</v>
      </c>
      <c r="R34" s="123">
        <f t="shared" si="23"/>
        <v>2.89</v>
      </c>
      <c r="S34" s="501">
        <v>27.89</v>
      </c>
      <c r="T34" s="125">
        <f t="shared" si="2"/>
        <v>149.4610299</v>
      </c>
      <c r="U34" s="147">
        <f t="shared" si="3"/>
        <v>1.1300546642975957</v>
      </c>
      <c r="V34" s="169">
        <v>132.26</v>
      </c>
      <c r="W34" s="169">
        <v>77.680000000000007</v>
      </c>
      <c r="X34" s="170">
        <v>0.73</v>
      </c>
      <c r="Y34" s="166">
        <v>604</v>
      </c>
      <c r="Z34" s="166">
        <v>1179</v>
      </c>
      <c r="AA34" s="148" t="s">
        <v>116</v>
      </c>
      <c r="AB34" s="164">
        <v>75.77</v>
      </c>
      <c r="AC34" s="166">
        <v>102</v>
      </c>
      <c r="AD34" s="171">
        <v>5</v>
      </c>
      <c r="AE34" s="164"/>
      <c r="AF34" s="172">
        <f t="shared" si="4"/>
        <v>0</v>
      </c>
      <c r="AG34" s="173"/>
      <c r="AH34" s="170">
        <v>83.05</v>
      </c>
      <c r="AI34" s="134">
        <f t="shared" si="5"/>
        <v>627.92983517314383</v>
      </c>
      <c r="AJ34" s="174">
        <v>15.3</v>
      </c>
      <c r="AK34" s="175"/>
      <c r="AL34" s="176">
        <v>8.8699999999999992</v>
      </c>
      <c r="AM34" s="478">
        <f t="shared" si="24"/>
        <v>34.68</v>
      </c>
      <c r="AN34" s="126">
        <f t="shared" si="25"/>
        <v>0.19999999999999998</v>
      </c>
      <c r="AO34" s="178" t="s">
        <v>409</v>
      </c>
      <c r="AP34" s="177">
        <v>7.28</v>
      </c>
      <c r="AQ34" s="177">
        <v>8.3699999999999992</v>
      </c>
      <c r="AR34" s="171"/>
      <c r="AS34" s="164">
        <v>7.16</v>
      </c>
      <c r="AT34" s="149">
        <v>173.4</v>
      </c>
      <c r="AU34" s="164">
        <v>2.41</v>
      </c>
      <c r="AV34" s="164"/>
      <c r="AW34" s="164"/>
      <c r="AX34" s="179">
        <f t="shared" si="6"/>
        <v>0</v>
      </c>
      <c r="AY34" s="125">
        <f t="shared" si="7"/>
        <v>132.26</v>
      </c>
      <c r="AZ34" s="125">
        <f t="shared" si="26"/>
        <v>112.27794013545397</v>
      </c>
      <c r="BA34" s="159">
        <f t="shared" si="8"/>
        <v>4.6063507042253526</v>
      </c>
      <c r="BB34" s="159">
        <f t="shared" si="9"/>
        <v>5.2904</v>
      </c>
      <c r="BC34" s="180">
        <f t="shared" si="10"/>
        <v>1.0579056650072129</v>
      </c>
      <c r="BD34" s="159">
        <f t="shared" si="27"/>
        <v>9.8967507042253526</v>
      </c>
      <c r="BE34" s="167">
        <v>0.93500000000000005</v>
      </c>
      <c r="BF34" s="25">
        <f t="shared" si="28"/>
        <v>3354.9199999999992</v>
      </c>
      <c r="BG34" s="25">
        <f t="shared" si="11"/>
        <v>118.33333333333333</v>
      </c>
      <c r="BH34" s="25">
        <f t="shared" si="29"/>
        <v>3313.3333333333344</v>
      </c>
      <c r="BI34" s="26">
        <f t="shared" si="12"/>
        <v>1</v>
      </c>
      <c r="BJ34" s="37">
        <f t="shared" si="30"/>
        <v>3313.3333333333344</v>
      </c>
      <c r="BK34" s="38">
        <v>137.69900000000001</v>
      </c>
      <c r="BL34" s="28">
        <f t="shared" si="31"/>
        <v>58.091000000000001</v>
      </c>
      <c r="BM34" s="43"/>
      <c r="BN34" s="43"/>
      <c r="BO34" s="281"/>
      <c r="BP34" s="28">
        <v>13.09</v>
      </c>
      <c r="BQ34" s="44">
        <v>45.91</v>
      </c>
      <c r="BR34" s="45">
        <v>0.91</v>
      </c>
      <c r="BS34" s="46">
        <v>0.85</v>
      </c>
      <c r="BT34" s="47"/>
      <c r="BU34" s="47"/>
      <c r="BV34" s="283"/>
      <c r="BW34" s="283">
        <v>3.22</v>
      </c>
      <c r="BX34" s="48"/>
      <c r="BY34" s="45">
        <v>37.08</v>
      </c>
      <c r="BZ34" s="46">
        <v>35.83</v>
      </c>
      <c r="CA34" s="47"/>
      <c r="CB34" s="47"/>
      <c r="CC34" s="283"/>
      <c r="CD34" s="283">
        <v>29.65</v>
      </c>
      <c r="CE34" s="48">
        <v>43.1</v>
      </c>
      <c r="CF34" s="49">
        <v>102.922</v>
      </c>
      <c r="CG34" s="49"/>
      <c r="CH34" s="43"/>
      <c r="CI34" s="32">
        <v>50.987000000000002</v>
      </c>
      <c r="CJ34" s="33">
        <v>2.89</v>
      </c>
      <c r="CK34" s="33"/>
      <c r="CL34" s="35"/>
      <c r="CM34" s="36">
        <v>2.89</v>
      </c>
      <c r="CN34" s="270"/>
      <c r="CO34" s="249">
        <f t="shared" si="37"/>
        <v>136.4459391</v>
      </c>
      <c r="CP34" s="12">
        <f t="shared" si="37"/>
        <v>57.597226500000005</v>
      </c>
      <c r="CQ34" s="12">
        <f t="shared" si="37"/>
        <v>0</v>
      </c>
      <c r="CR34" s="12">
        <f t="shared" si="37"/>
        <v>0</v>
      </c>
      <c r="CS34" s="11">
        <f t="shared" si="37"/>
        <v>0</v>
      </c>
      <c r="CT34" s="11">
        <f t="shared" si="37"/>
        <v>12.668502</v>
      </c>
      <c r="CU34" s="272">
        <f t="shared" si="37"/>
        <v>45.91</v>
      </c>
      <c r="CV34" s="249">
        <f t="shared" si="14"/>
        <v>99.947554199999999</v>
      </c>
      <c r="CW34" s="12">
        <f t="shared" si="14"/>
        <v>0</v>
      </c>
      <c r="CX34" s="249">
        <f t="shared" si="14"/>
        <v>0</v>
      </c>
      <c r="CY34" s="272">
        <f t="shared" si="14"/>
        <v>49.513475700000001</v>
      </c>
      <c r="CZ34" s="13"/>
      <c r="DA34" s="240">
        <f>(D34+'[2]сентябрь 20'!D34)/(AY34+'[2]сентябрь 20'!BA34)</f>
        <v>2.106389046313776</v>
      </c>
      <c r="DB34" s="241">
        <f>(T34+'[2]сентябрь 20'!T34)/(AY34+'[2]сентябрь 20'!BA34)</f>
        <v>1.2304452075879975</v>
      </c>
      <c r="DD34" s="292">
        <f t="shared" si="15"/>
        <v>10.412000000000001</v>
      </c>
      <c r="DE34" s="291">
        <v>0.28999999999999998</v>
      </c>
      <c r="DF34" s="291">
        <v>22.88</v>
      </c>
      <c r="DG34" s="145">
        <f t="shared" si="16"/>
        <v>10.381805200000001</v>
      </c>
      <c r="DH34" s="293">
        <f t="shared" si="33"/>
        <v>3.1349571463112054</v>
      </c>
      <c r="DJ34" s="30">
        <v>61.491</v>
      </c>
      <c r="DK34" s="460">
        <f t="shared" si="34"/>
        <v>58.091000000000001</v>
      </c>
      <c r="DL34" s="281">
        <v>10.17</v>
      </c>
      <c r="DM34" s="460">
        <f t="shared" si="35"/>
        <v>11.17</v>
      </c>
      <c r="DN34" s="49">
        <v>102.922</v>
      </c>
      <c r="DO34" s="460">
        <f t="shared" si="38"/>
        <v>120.922</v>
      </c>
    </row>
    <row r="35" spans="1:119" s="76" customFormat="1" ht="16.5" customHeight="1" thickBot="1">
      <c r="A35" s="144">
        <v>29</v>
      </c>
      <c r="B35" s="122">
        <f t="shared" si="17"/>
        <v>296.72299999999996</v>
      </c>
      <c r="C35" s="123">
        <f t="shared" si="18"/>
        <v>0.91640991766731938</v>
      </c>
      <c r="D35" s="145">
        <f t="shared" si="19"/>
        <v>294.00380099999995</v>
      </c>
      <c r="E35" s="125">
        <f t="shared" si="20"/>
        <v>38.212629219844779</v>
      </c>
      <c r="F35" s="146">
        <f t="shared" si="0"/>
        <v>2.3115323610346725</v>
      </c>
      <c r="G35" s="127"/>
      <c r="H35" s="126">
        <f t="shared" si="21"/>
        <v>1.8869628194040415</v>
      </c>
      <c r="I35" s="230">
        <f>'[1]июль 20'!AI34</f>
        <v>0</v>
      </c>
      <c r="J35" s="247">
        <f>'[1]сентябрь 20'!AA34</f>
        <v>12.260999999999999</v>
      </c>
      <c r="K35" s="465">
        <f>'[1]сентябрь 20'!AM34</f>
        <v>0</v>
      </c>
      <c r="L35" s="247">
        <f>'[1]сентябрь 20'!AE34</f>
        <v>54.000999999999998</v>
      </c>
      <c r="M35" s="469">
        <f t="shared" si="22"/>
        <v>0.42456954163063138</v>
      </c>
      <c r="N35" s="403">
        <f>'[1]сентябрь 20'!W34</f>
        <v>0</v>
      </c>
      <c r="O35" s="403">
        <f>'[1]сентябрь 20'!AU34</f>
        <v>3.762</v>
      </c>
      <c r="P35" s="401">
        <f t="shared" si="1"/>
        <v>182.13400000000001</v>
      </c>
      <c r="Q35" s="122">
        <f>'[1]сентябрь 20'!S34</f>
        <v>182.13399999999999</v>
      </c>
      <c r="R35" s="123">
        <f t="shared" si="23"/>
        <v>2.8100000000000005</v>
      </c>
      <c r="S35" s="501">
        <v>2.76</v>
      </c>
      <c r="T35" s="125">
        <f t="shared" si="2"/>
        <v>177.01603459999998</v>
      </c>
      <c r="U35" s="147">
        <f t="shared" si="3"/>
        <v>1.3917449060460729</v>
      </c>
      <c r="V35" s="130">
        <v>127.19</v>
      </c>
      <c r="W35" s="130">
        <v>127.19</v>
      </c>
      <c r="X35" s="129">
        <v>0.56000000000000005</v>
      </c>
      <c r="Y35" s="150">
        <v>527</v>
      </c>
      <c r="Z35" s="150">
        <v>1176</v>
      </c>
      <c r="AA35" s="148" t="s">
        <v>159</v>
      </c>
      <c r="AB35" s="149">
        <v>76.12</v>
      </c>
      <c r="AC35" s="150">
        <v>120</v>
      </c>
      <c r="AD35" s="151">
        <v>5</v>
      </c>
      <c r="AE35" s="181"/>
      <c r="AF35" s="134">
        <f t="shared" si="4"/>
        <v>0</v>
      </c>
      <c r="AG35" s="182"/>
      <c r="AH35" s="129">
        <v>84.45</v>
      </c>
      <c r="AI35" s="134">
        <f t="shared" si="5"/>
        <v>663.96729302618144</v>
      </c>
      <c r="AJ35" s="136">
        <v>17.09</v>
      </c>
      <c r="AK35" s="154"/>
      <c r="AL35" s="155">
        <v>10.06</v>
      </c>
      <c r="AM35" s="478">
        <f t="shared" si="24"/>
        <v>33.869999999999997</v>
      </c>
      <c r="AN35" s="126">
        <f t="shared" si="25"/>
        <v>0.19999999999999998</v>
      </c>
      <c r="AO35" s="184" t="s">
        <v>410</v>
      </c>
      <c r="AP35" s="183">
        <v>7.03</v>
      </c>
      <c r="AQ35" s="183">
        <v>7.64</v>
      </c>
      <c r="AR35" s="185"/>
      <c r="AS35" s="181">
        <v>9</v>
      </c>
      <c r="AT35" s="149">
        <v>169.35</v>
      </c>
      <c r="AU35" s="181">
        <v>1.77</v>
      </c>
      <c r="AV35" s="149"/>
      <c r="AW35" s="149"/>
      <c r="AX35" s="158">
        <f t="shared" si="6"/>
        <v>0</v>
      </c>
      <c r="AY35" s="125">
        <f t="shared" si="7"/>
        <v>127.18999999999998</v>
      </c>
      <c r="AZ35" s="125">
        <f t="shared" si="26"/>
        <v>131.51552787299786</v>
      </c>
      <c r="BA35" s="159">
        <f t="shared" si="8"/>
        <v>5.887711267605634</v>
      </c>
      <c r="BB35" s="160">
        <f t="shared" si="9"/>
        <v>5.0875999999999992</v>
      </c>
      <c r="BC35" s="161">
        <f t="shared" si="10"/>
        <v>0.86177101215718821</v>
      </c>
      <c r="BD35" s="160">
        <f t="shared" si="27"/>
        <v>10.975311267605633</v>
      </c>
      <c r="BE35" s="162">
        <v>0.93200000000000005</v>
      </c>
      <c r="BF35" s="25">
        <f t="shared" si="28"/>
        <v>3482.1099999999992</v>
      </c>
      <c r="BG35" s="25">
        <f t="shared" si="11"/>
        <v>118.33333333333333</v>
      </c>
      <c r="BH35" s="25">
        <f t="shared" si="29"/>
        <v>3431.6666666666679</v>
      </c>
      <c r="BI35" s="26">
        <f t="shared" si="12"/>
        <v>1</v>
      </c>
      <c r="BJ35" s="37">
        <f t="shared" si="30"/>
        <v>3431.6666666666679</v>
      </c>
      <c r="BK35" s="38">
        <v>162.154</v>
      </c>
      <c r="BL35" s="28">
        <f t="shared" si="31"/>
        <v>80.567999999999998</v>
      </c>
      <c r="BM35" s="31"/>
      <c r="BN35" s="31"/>
      <c r="BO35" s="40"/>
      <c r="BP35" s="40"/>
      <c r="BQ35" s="32">
        <v>54.000999999999998</v>
      </c>
      <c r="BR35" s="33">
        <v>1.19</v>
      </c>
      <c r="BS35" s="34">
        <v>0.98</v>
      </c>
      <c r="BT35" s="35"/>
      <c r="BU35" s="35"/>
      <c r="BV35" s="235"/>
      <c r="BW35" s="235">
        <v>2.06</v>
      </c>
      <c r="BX35" s="36"/>
      <c r="BY35" s="33">
        <v>37.520000000000003</v>
      </c>
      <c r="BZ35" s="34">
        <v>36.17</v>
      </c>
      <c r="CA35" s="35"/>
      <c r="CB35" s="35"/>
      <c r="CC35" s="235"/>
      <c r="CD35" s="235">
        <v>28.81</v>
      </c>
      <c r="CE35" s="36">
        <v>43.34</v>
      </c>
      <c r="CF35" s="30">
        <v>122.134</v>
      </c>
      <c r="CG35" s="30"/>
      <c r="CH35" s="31"/>
      <c r="CI35" s="50">
        <v>60</v>
      </c>
      <c r="CJ35" s="33">
        <v>2.81</v>
      </c>
      <c r="CK35" s="33"/>
      <c r="CL35" s="35"/>
      <c r="CM35" s="36">
        <v>2.81</v>
      </c>
      <c r="CN35" s="270"/>
      <c r="CO35" s="249">
        <f t="shared" si="37"/>
        <v>160.22436740000001</v>
      </c>
      <c r="CP35" s="12">
        <f t="shared" si="37"/>
        <v>79.7784336</v>
      </c>
      <c r="CQ35" s="12">
        <f t="shared" si="37"/>
        <v>0</v>
      </c>
      <c r="CR35" s="12">
        <f t="shared" si="37"/>
        <v>0</v>
      </c>
      <c r="CS35" s="11">
        <f t="shared" si="37"/>
        <v>0</v>
      </c>
      <c r="CT35" s="11">
        <f t="shared" si="37"/>
        <v>0</v>
      </c>
      <c r="CU35" s="272">
        <f t="shared" si="37"/>
        <v>54.000999999999998</v>
      </c>
      <c r="CV35" s="249">
        <f t="shared" si="14"/>
        <v>118.7020346</v>
      </c>
      <c r="CW35" s="12">
        <f t="shared" si="14"/>
        <v>0</v>
      </c>
      <c r="CX35" s="249">
        <f t="shared" si="14"/>
        <v>0</v>
      </c>
      <c r="CY35" s="272">
        <f t="shared" si="14"/>
        <v>58.314</v>
      </c>
      <c r="CZ35" s="13"/>
      <c r="DA35" s="240">
        <f>(D35+'[2]сентябрь 20'!D35)/(AY35+'[2]сентябрь 20'!BA35)</f>
        <v>2.2496875403739702</v>
      </c>
      <c r="DB35" s="241">
        <f>(T35+'[2]сентябрь 20'!T35)/(AY35+'[2]сентябрь 20'!BA35)</f>
        <v>1.3321673074695024</v>
      </c>
      <c r="DD35" s="292">
        <f t="shared" si="15"/>
        <v>12.260999999999999</v>
      </c>
      <c r="DE35" s="291">
        <v>0.27</v>
      </c>
      <c r="DF35" s="291">
        <v>16.61</v>
      </c>
      <c r="DG35" s="145">
        <f t="shared" si="16"/>
        <v>12.2278953</v>
      </c>
      <c r="DH35" s="293">
        <f t="shared" si="33"/>
        <v>2.6682257085260113</v>
      </c>
      <c r="DJ35" s="31">
        <v>83.968000000000004</v>
      </c>
      <c r="DK35" s="460">
        <f t="shared" si="34"/>
        <v>80.567999999999998</v>
      </c>
      <c r="DN35" s="30">
        <v>122.134</v>
      </c>
      <c r="DO35" s="460">
        <f t="shared" si="38"/>
        <v>140.13400000000001</v>
      </c>
    </row>
    <row r="36" spans="1:119" s="76" customFormat="1" ht="16.5" customHeight="1" thickBot="1">
      <c r="A36" s="144">
        <v>30</v>
      </c>
      <c r="B36" s="122">
        <f t="shared" si="17"/>
        <v>272.017</v>
      </c>
      <c r="C36" s="123">
        <f t="shared" si="18"/>
        <v>0.98456177371267239</v>
      </c>
      <c r="D36" s="145">
        <f t="shared" si="19"/>
        <v>269.33882460000001</v>
      </c>
      <c r="E36" s="125">
        <f t="shared" si="20"/>
        <v>38.202637371928958</v>
      </c>
      <c r="F36" s="146">
        <f t="shared" si="0"/>
        <v>2.8179412492153175</v>
      </c>
      <c r="G36" s="127"/>
      <c r="H36" s="126">
        <f t="shared" si="21"/>
        <v>2.3006363737183513</v>
      </c>
      <c r="I36" s="230">
        <f>'[1]июль 20'!AI35</f>
        <v>0</v>
      </c>
      <c r="J36" s="247">
        <f>'[1]сентябрь 20'!AA35</f>
        <v>10.983000000000001</v>
      </c>
      <c r="K36" s="464">
        <f>'[1]сентябрь 20'!AM35</f>
        <v>0</v>
      </c>
      <c r="L36" s="247">
        <f>'[1]сентябрь 20'!AE35</f>
        <v>49.444000000000003</v>
      </c>
      <c r="M36" s="468">
        <f t="shared" si="22"/>
        <v>0.51730487549696602</v>
      </c>
      <c r="N36" s="403">
        <f>'[1]сентябрь 20'!W35</f>
        <v>0</v>
      </c>
      <c r="O36" s="403">
        <f>'[1]сентябрь 20'!AU35</f>
        <v>3.327</v>
      </c>
      <c r="P36" s="401">
        <f t="shared" si="1"/>
        <v>167.42400000000001</v>
      </c>
      <c r="Q36" s="122">
        <f>'[1]сентябрь 20'!S35</f>
        <v>167.42400000000001</v>
      </c>
      <c r="R36" s="123">
        <f t="shared" si="23"/>
        <v>2.85</v>
      </c>
      <c r="S36" s="501">
        <v>19.64</v>
      </c>
      <c r="T36" s="125">
        <f t="shared" si="2"/>
        <v>162.65241600000002</v>
      </c>
      <c r="U36" s="147">
        <f t="shared" si="3"/>
        <v>1.7017411173885755</v>
      </c>
      <c r="V36" s="130">
        <v>95.58</v>
      </c>
      <c r="W36" s="130">
        <v>77.349999999999994</v>
      </c>
      <c r="X36" s="129">
        <v>0.65</v>
      </c>
      <c r="Y36" s="150">
        <v>530</v>
      </c>
      <c r="Z36" s="150">
        <v>1169</v>
      </c>
      <c r="AA36" s="148" t="s">
        <v>250</v>
      </c>
      <c r="AB36" s="149">
        <v>75.97</v>
      </c>
      <c r="AC36" s="150">
        <v>110</v>
      </c>
      <c r="AD36" s="151">
        <v>5</v>
      </c>
      <c r="AE36" s="149"/>
      <c r="AF36" s="134">
        <f t="shared" si="4"/>
        <v>0</v>
      </c>
      <c r="AG36" s="152"/>
      <c r="AH36" s="129">
        <v>76.7</v>
      </c>
      <c r="AI36" s="134">
        <f t="shared" si="5"/>
        <v>802.46913580246928</v>
      </c>
      <c r="AJ36" s="153">
        <v>15.85</v>
      </c>
      <c r="AK36" s="154"/>
      <c r="AL36" s="155">
        <v>7.02</v>
      </c>
      <c r="AM36" s="478">
        <v>52.85</v>
      </c>
      <c r="AN36" s="126">
        <f t="shared" si="25"/>
        <v>0.33998070119009333</v>
      </c>
      <c r="AO36" s="157" t="s">
        <v>411</v>
      </c>
      <c r="AP36" s="156">
        <v>7.61</v>
      </c>
      <c r="AQ36" s="156">
        <v>7.84</v>
      </c>
      <c r="AR36" s="151"/>
      <c r="AS36" s="149">
        <v>9.6199999999999992</v>
      </c>
      <c r="AT36" s="149">
        <v>155.44999999999999</v>
      </c>
      <c r="AU36" s="149"/>
      <c r="AV36" s="149"/>
      <c r="AW36" s="149"/>
      <c r="AX36" s="158">
        <f t="shared" si="6"/>
        <v>0</v>
      </c>
      <c r="AY36" s="125">
        <f t="shared" si="7"/>
        <v>95.579999999999984</v>
      </c>
      <c r="AZ36" s="125">
        <f t="shared" si="26"/>
        <v>119.89319425838761</v>
      </c>
      <c r="BA36" s="159">
        <f t="shared" si="8"/>
        <v>5.7157704225352104</v>
      </c>
      <c r="BB36" s="160">
        <f t="shared" si="9"/>
        <v>3.8231999999999995</v>
      </c>
      <c r="BC36" s="161">
        <f t="shared" si="10"/>
        <v>0.70569468415816339</v>
      </c>
      <c r="BD36" s="160">
        <f t="shared" si="27"/>
        <v>9.5389704225352094</v>
      </c>
      <c r="BE36" s="162">
        <v>0.92400000000000004</v>
      </c>
      <c r="BF36" s="25">
        <f t="shared" si="28"/>
        <v>3577.6899999999991</v>
      </c>
      <c r="BG36" s="25">
        <f t="shared" si="11"/>
        <v>118.33333333333333</v>
      </c>
      <c r="BH36" s="25">
        <f t="shared" si="29"/>
        <v>3550.0000000000014</v>
      </c>
      <c r="BI36" s="26">
        <f t="shared" si="12"/>
        <v>1</v>
      </c>
      <c r="BJ36" s="37">
        <f t="shared" si="30"/>
        <v>3550.0000000000014</v>
      </c>
      <c r="BK36" s="38">
        <v>148.44499999999999</v>
      </c>
      <c r="BL36" s="28">
        <v>74.128</v>
      </c>
      <c r="BM36" s="31"/>
      <c r="BN36" s="31"/>
      <c r="BO36" s="40"/>
      <c r="BP36" s="40"/>
      <c r="BQ36" s="32">
        <v>49.444000000000003</v>
      </c>
      <c r="BR36" s="33">
        <v>1.1399999999999999</v>
      </c>
      <c r="BS36" s="34">
        <v>1.33</v>
      </c>
      <c r="BT36" s="35"/>
      <c r="BU36" s="35"/>
      <c r="BV36" s="235"/>
      <c r="BW36" s="235">
        <v>1.33</v>
      </c>
      <c r="BX36" s="36"/>
      <c r="BY36" s="33">
        <v>37.369999999999997</v>
      </c>
      <c r="BZ36" s="34">
        <v>36.369999999999997</v>
      </c>
      <c r="CA36" s="35"/>
      <c r="CB36" s="35"/>
      <c r="CC36" s="235"/>
      <c r="CD36" s="235">
        <v>36.369999999999997</v>
      </c>
      <c r="CE36" s="36">
        <v>43.45</v>
      </c>
      <c r="CF36" s="30">
        <v>112.417</v>
      </c>
      <c r="CG36" s="30"/>
      <c r="CH36" s="34"/>
      <c r="CI36" s="50">
        <v>55.006999999999998</v>
      </c>
      <c r="CJ36" s="33">
        <v>2.85</v>
      </c>
      <c r="CK36" s="33"/>
      <c r="CL36" s="35"/>
      <c r="CM36" s="36">
        <v>2.85</v>
      </c>
      <c r="CN36" s="270"/>
      <c r="CO36" s="249">
        <f t="shared" si="37"/>
        <v>146.75272699999999</v>
      </c>
      <c r="CP36" s="12">
        <f t="shared" si="37"/>
        <v>73.1420976</v>
      </c>
      <c r="CQ36" s="12">
        <f t="shared" si="37"/>
        <v>0</v>
      </c>
      <c r="CR36" s="12">
        <f t="shared" si="37"/>
        <v>0</v>
      </c>
      <c r="CS36" s="11">
        <f t="shared" si="37"/>
        <v>0</v>
      </c>
      <c r="CT36" s="11">
        <f t="shared" si="37"/>
        <v>0</v>
      </c>
      <c r="CU36" s="272">
        <f t="shared" si="37"/>
        <v>49.444000000000003</v>
      </c>
      <c r="CV36" s="249">
        <f t="shared" si="14"/>
        <v>109.2131155</v>
      </c>
      <c r="CW36" s="12">
        <f t="shared" si="14"/>
        <v>0</v>
      </c>
      <c r="CX36" s="249">
        <f t="shared" si="14"/>
        <v>0</v>
      </c>
      <c r="CY36" s="274">
        <f t="shared" si="14"/>
        <v>53.439300500000002</v>
      </c>
      <c r="CZ36" s="13"/>
      <c r="DA36" s="240">
        <f>(D36+'[2]сентябрь 20'!D36)/(AY36+'[2]сентябрь 20'!BA36)</f>
        <v>2.7799403627966015</v>
      </c>
      <c r="DB36" s="241">
        <f>(T36+'[2]сентябрь 20'!T36)/(AY36+'[2]сентябрь 20'!BA36)</f>
        <v>1.6729627190353631</v>
      </c>
      <c r="DD36" s="292">
        <f t="shared" si="15"/>
        <v>10.983000000000001</v>
      </c>
      <c r="DE36" s="291">
        <v>0.39</v>
      </c>
      <c r="DF36" s="291">
        <v>11.48</v>
      </c>
      <c r="DG36" s="145">
        <f t="shared" si="16"/>
        <v>10.9401663</v>
      </c>
      <c r="DH36" s="293">
        <f t="shared" si="33"/>
        <v>1.6531934859023296</v>
      </c>
      <c r="DJ36" s="31">
        <v>77.022000000000006</v>
      </c>
      <c r="DK36" s="460">
        <f t="shared" si="34"/>
        <v>73.622</v>
      </c>
      <c r="DN36" s="30">
        <v>112.417</v>
      </c>
      <c r="DO36" s="460">
        <f t="shared" si="38"/>
        <v>130.417</v>
      </c>
    </row>
    <row r="37" spans="1:119" s="76" customFormat="1" ht="16.5" customHeight="1" thickBot="1">
      <c r="A37" s="186">
        <v>31</v>
      </c>
      <c r="B37" s="122">
        <f>'[1]сентябрь 20'!K36</f>
        <v>0</v>
      </c>
      <c r="C37" s="123">
        <f t="shared" si="18"/>
        <v>0</v>
      </c>
      <c r="D37" s="187">
        <f t="shared" si="19"/>
        <v>0</v>
      </c>
      <c r="E37" s="285">
        <f t="shared" si="20"/>
        <v>0</v>
      </c>
      <c r="F37" s="189">
        <f t="shared" si="0"/>
        <v>0</v>
      </c>
      <c r="G37" s="127"/>
      <c r="H37" s="126">
        <f t="shared" si="21"/>
        <v>0</v>
      </c>
      <c r="I37" s="230">
        <f>'[1]июль 20'!AI36</f>
        <v>0</v>
      </c>
      <c r="J37" s="277">
        <f>'[1]сентябрь 20'!AA36</f>
        <v>0</v>
      </c>
      <c r="K37" s="276">
        <f>'[1]сентябрь 20'!AM36</f>
        <v>0</v>
      </c>
      <c r="L37" s="438">
        <f>'[1]сентябрь 20'!AE36</f>
        <v>0</v>
      </c>
      <c r="M37" s="128">
        <f t="shared" si="22"/>
        <v>0</v>
      </c>
      <c r="N37" s="399">
        <f>'[1]сентябрь 20'!W36</f>
        <v>0</v>
      </c>
      <c r="O37" s="399">
        <f>'[1]сентябрь 20'!AU36</f>
        <v>0</v>
      </c>
      <c r="P37" s="125">
        <f t="shared" si="1"/>
        <v>0</v>
      </c>
      <c r="Q37" s="122">
        <f>'[1]сентябрь 20'!S36</f>
        <v>0</v>
      </c>
      <c r="R37" s="123">
        <f t="shared" si="23"/>
        <v>0</v>
      </c>
      <c r="S37" s="501"/>
      <c r="T37" s="125">
        <f t="shared" si="2"/>
        <v>0</v>
      </c>
      <c r="U37" s="191">
        <f t="shared" si="3"/>
        <v>0</v>
      </c>
      <c r="V37" s="192"/>
      <c r="W37" s="192"/>
      <c r="X37" s="190"/>
      <c r="Y37" s="193"/>
      <c r="Z37" s="194"/>
      <c r="AA37" s="195"/>
      <c r="AB37" s="196"/>
      <c r="AC37" s="194"/>
      <c r="AD37" s="193"/>
      <c r="AE37" s="196"/>
      <c r="AF37" s="134">
        <f t="shared" si="4"/>
        <v>0</v>
      </c>
      <c r="AG37" s="197"/>
      <c r="AH37" s="190"/>
      <c r="AI37" s="134">
        <f t="shared" si="5"/>
        <v>0</v>
      </c>
      <c r="AJ37" s="196"/>
      <c r="AK37" s="198"/>
      <c r="AL37" s="199"/>
      <c r="AM37" s="478">
        <f t="shared" si="24"/>
        <v>0</v>
      </c>
      <c r="AN37" s="126">
        <f t="shared" si="25"/>
        <v>0</v>
      </c>
      <c r="AO37" s="201"/>
      <c r="AP37" s="200"/>
      <c r="AQ37" s="201"/>
      <c r="AR37" s="193"/>
      <c r="AS37" s="196"/>
      <c r="AT37" s="242"/>
      <c r="AU37" s="196"/>
      <c r="AV37" s="196"/>
      <c r="AW37" s="196"/>
      <c r="AX37" s="202">
        <f t="shared" si="6"/>
        <v>0</v>
      </c>
      <c r="AY37" s="188">
        <f t="shared" si="7"/>
        <v>0</v>
      </c>
      <c r="AZ37" s="125">
        <f t="shared" si="26"/>
        <v>0</v>
      </c>
      <c r="BA37" s="203">
        <f t="shared" si="8"/>
        <v>0</v>
      </c>
      <c r="BB37" s="204">
        <f t="shared" si="9"/>
        <v>0</v>
      </c>
      <c r="BC37" s="205">
        <f t="shared" si="10"/>
        <v>0</v>
      </c>
      <c r="BD37" s="206">
        <f t="shared" si="27"/>
        <v>0</v>
      </c>
      <c r="BE37" s="207"/>
      <c r="BF37" s="25">
        <f t="shared" si="28"/>
        <v>3577.6899999999991</v>
      </c>
      <c r="BG37" s="25">
        <f t="shared" si="11"/>
        <v>0</v>
      </c>
      <c r="BH37" s="25">
        <f t="shared" si="29"/>
        <v>3550.0000000000014</v>
      </c>
      <c r="BI37" s="26">
        <f t="shared" si="12"/>
        <v>0</v>
      </c>
      <c r="BJ37" s="37">
        <f t="shared" si="30"/>
        <v>3550.0000000000014</v>
      </c>
      <c r="BK37" s="51"/>
      <c r="BL37" s="53"/>
      <c r="BM37" s="53"/>
      <c r="BN37" s="53"/>
      <c r="BO37" s="282"/>
      <c r="BP37" s="282"/>
      <c r="BQ37" s="54"/>
      <c r="BR37" s="55"/>
      <c r="BS37" s="52"/>
      <c r="BT37" s="56"/>
      <c r="BU37" s="56"/>
      <c r="BV37" s="284"/>
      <c r="BW37" s="284"/>
      <c r="BX37" s="57"/>
      <c r="BY37" s="55"/>
      <c r="BZ37" s="52"/>
      <c r="CA37" s="56"/>
      <c r="CB37" s="56"/>
      <c r="CC37" s="284"/>
      <c r="CD37" s="284"/>
      <c r="CE37" s="57"/>
      <c r="CF37" s="58"/>
      <c r="CG37" s="58"/>
      <c r="CH37" s="52"/>
      <c r="CI37" s="54"/>
      <c r="CJ37" s="33"/>
      <c r="CK37" s="265"/>
      <c r="CL37" s="59"/>
      <c r="CM37" s="60"/>
      <c r="CN37" s="270"/>
      <c r="CO37" s="269">
        <f t="shared" si="37"/>
        <v>0</v>
      </c>
      <c r="CP37" s="18">
        <f t="shared" si="37"/>
        <v>0</v>
      </c>
      <c r="CQ37" s="18">
        <f t="shared" si="37"/>
        <v>0</v>
      </c>
      <c r="CR37" s="18">
        <f t="shared" si="37"/>
        <v>0</v>
      </c>
      <c r="CS37" s="251">
        <f t="shared" si="37"/>
        <v>0</v>
      </c>
      <c r="CT37" s="11">
        <f t="shared" si="37"/>
        <v>0</v>
      </c>
      <c r="CU37" s="273">
        <f t="shared" si="37"/>
        <v>0</v>
      </c>
      <c r="CV37" s="269">
        <f t="shared" si="14"/>
        <v>0</v>
      </c>
      <c r="CW37" s="18">
        <f t="shared" si="14"/>
        <v>0</v>
      </c>
      <c r="CX37" s="261">
        <f t="shared" si="14"/>
        <v>0</v>
      </c>
      <c r="CY37" s="273">
        <f t="shared" si="14"/>
        <v>0</v>
      </c>
      <c r="CZ37" s="13"/>
      <c r="DA37" s="240" t="e">
        <f>(D37+'[2]сентябрь 20'!D37)/(AY37+'[2]сентябрь 20'!BA37)</f>
        <v>#DIV/0!</v>
      </c>
      <c r="DB37" s="241" t="e">
        <f>(T37+'[2]сентябрь 20'!T37)/(AY37+'[2]сентябрь 20'!BA37)</f>
        <v>#DIV/0!</v>
      </c>
      <c r="DD37" s="292">
        <f t="shared" si="15"/>
        <v>0</v>
      </c>
      <c r="DE37" s="294"/>
      <c r="DF37" s="294"/>
      <c r="DG37" s="323">
        <f t="shared" si="16"/>
        <v>0</v>
      </c>
      <c r="DH37" s="293">
        <f t="shared" si="33"/>
        <v>0</v>
      </c>
      <c r="DJ37" s="322">
        <f t="shared" ref="DJ37" si="39">CO37+CP37+CQ37+CR37+CS37+CT37+CU37</f>
        <v>0</v>
      </c>
      <c r="DN37" s="58"/>
      <c r="DO37" s="460"/>
    </row>
    <row r="38" spans="1:119" s="214" customFormat="1" ht="16.5" customHeight="1" thickBot="1">
      <c r="A38" s="91" t="s">
        <v>56</v>
      </c>
      <c r="B38" s="92">
        <f>SUM(B7:B37)</f>
        <v>7955.9970029999995</v>
      </c>
      <c r="C38" s="330"/>
      <c r="D38" s="331">
        <f>SUM(D7:D37)</f>
        <v>7851.9695346930293</v>
      </c>
      <c r="E38" s="332"/>
      <c r="F38" s="331"/>
      <c r="G38" s="333">
        <f>SUM(G7:G37)</f>
        <v>346.62000000000006</v>
      </c>
      <c r="H38" s="329"/>
      <c r="I38" s="334">
        <f>SUM(I7:I37)</f>
        <v>0</v>
      </c>
      <c r="J38" s="329">
        <f>SUM(J7:J37)</f>
        <v>323.46199999999999</v>
      </c>
      <c r="K38" s="329">
        <f>SUM(K7:K37)</f>
        <v>0</v>
      </c>
      <c r="L38" s="396">
        <f>SUM(L7:L37)</f>
        <v>1447.4449999999997</v>
      </c>
      <c r="M38" s="335"/>
      <c r="N38" s="329">
        <f>SUM(N7:N37)</f>
        <v>0</v>
      </c>
      <c r="O38" s="396">
        <f>SUM(O7:O37)</f>
        <v>197.62900000000002</v>
      </c>
      <c r="P38" s="330">
        <f>SUM(P7:P37)</f>
        <v>4943.3680029999996</v>
      </c>
      <c r="Q38" s="396">
        <f>SUM(Q7:Q37)</f>
        <v>4943.3680000000004</v>
      </c>
      <c r="R38" s="336">
        <f>IF(Q38=0,0,(CA38*CH38+CE38*CI38+CF38*CJ38)/Q38)</f>
        <v>0</v>
      </c>
      <c r="S38" s="396">
        <f>SUM(S7:S37)</f>
        <v>328.96999999999997</v>
      </c>
      <c r="T38" s="331">
        <f>SUM(T7:T37)</f>
        <v>4802.3100180000001</v>
      </c>
      <c r="U38" s="337"/>
      <c r="V38" s="229">
        <f>SUM(V7:V37)</f>
        <v>3481.6</v>
      </c>
      <c r="W38" s="229">
        <f>SUM(W7:W37)</f>
        <v>2258.5099999999998</v>
      </c>
      <c r="X38" s="338"/>
      <c r="Y38" s="337"/>
      <c r="Z38" s="339"/>
      <c r="AA38" s="340"/>
      <c r="AB38" s="338"/>
      <c r="AC38" s="339"/>
      <c r="AD38" s="519">
        <f>SUM(AD7:AD37)</f>
        <v>139</v>
      </c>
      <c r="AE38" s="90">
        <f>SUM(AE7:AE37)</f>
        <v>110.20000000000002</v>
      </c>
      <c r="AF38" s="341"/>
      <c r="AG38" s="342">
        <f>SUM(AG7:AG37)</f>
        <v>0</v>
      </c>
      <c r="AH38" s="90">
        <f>SUM(AH7:AH37)</f>
        <v>2373.5499999999997</v>
      </c>
      <c r="AI38" s="341"/>
      <c r="AJ38" s="332">
        <f>SUM(AJ7:AJ37)</f>
        <v>464.40000000000009</v>
      </c>
      <c r="AK38" s="343"/>
      <c r="AL38" s="397">
        <f>SUM(AL7:AL37)</f>
        <v>230.97</v>
      </c>
      <c r="AM38" s="417">
        <f>SUM(AM7:AM37)</f>
        <v>1056.06</v>
      </c>
      <c r="AN38" s="345"/>
      <c r="AO38" s="342"/>
      <c r="AP38" s="332"/>
      <c r="AQ38" s="342"/>
      <c r="AR38" s="342"/>
      <c r="AS38" s="346"/>
      <c r="AT38" s="332">
        <f>SUM(AT7:AT37)</f>
        <v>4810.2499999999991</v>
      </c>
      <c r="AU38" s="332">
        <f>SUM(AU7:AU37)</f>
        <v>54.469999999999992</v>
      </c>
      <c r="AV38" s="347">
        <f>SUM(AV7:AV37)</f>
        <v>0</v>
      </c>
      <c r="AW38" s="332">
        <f>SUM(AW7:AW37)</f>
        <v>0</v>
      </c>
      <c r="AX38" s="331"/>
      <c r="AY38" s="90">
        <f>SUM(AY7:AY37)</f>
        <v>3577.6899999999991</v>
      </c>
      <c r="AZ38" s="330">
        <f>SUM(AZ7:AZ37)</f>
        <v>3427.8286885530397</v>
      </c>
      <c r="BA38" s="342">
        <f>SUM(BA7:BA37)</f>
        <v>137.85436267605633</v>
      </c>
      <c r="BB38" s="342">
        <f>SUM(BB7:BB37)</f>
        <v>143.10759999999999</v>
      </c>
      <c r="BC38" s="332"/>
      <c r="BD38" s="89">
        <f>SUM(BD7:BD37)</f>
        <v>280.9619626760562</v>
      </c>
      <c r="BE38" s="348"/>
      <c r="BF38" s="19"/>
      <c r="BG38" s="19">
        <f t="shared" si="11"/>
        <v>0</v>
      </c>
      <c r="BH38" s="19"/>
      <c r="BI38" s="208">
        <f>SUM(BI7:BI37)</f>
        <v>30</v>
      </c>
      <c r="BJ38" s="209"/>
      <c r="BK38" s="278">
        <f t="shared" ref="BK38:BQ38" si="40">SUM(BK7:BK37)</f>
        <v>984.73800099999994</v>
      </c>
      <c r="BL38" s="61">
        <f>SUM(BL7:BL37)</f>
        <v>5115.146999999999</v>
      </c>
      <c r="BM38" s="61">
        <f t="shared" si="40"/>
        <v>9.9999999999999995E-7</v>
      </c>
      <c r="BN38" s="61">
        <f t="shared" si="40"/>
        <v>992.24099999999999</v>
      </c>
      <c r="BO38" s="61">
        <f t="shared" si="40"/>
        <v>9.9999999999999995E-7</v>
      </c>
      <c r="BP38" s="61">
        <f t="shared" si="40"/>
        <v>408.66699999999997</v>
      </c>
      <c r="BQ38" s="64">
        <f t="shared" si="40"/>
        <v>455.20400000000001</v>
      </c>
      <c r="BR38" s="63"/>
      <c r="BS38" s="24"/>
      <c r="BT38" s="24"/>
      <c r="BU38" s="24"/>
      <c r="BV38" s="62"/>
      <c r="BW38" s="62"/>
      <c r="BX38" s="65"/>
      <c r="BY38" s="63"/>
      <c r="BZ38" s="24"/>
      <c r="CA38" s="24"/>
      <c r="CB38" s="24"/>
      <c r="CC38" s="62"/>
      <c r="CD38" s="62"/>
      <c r="CE38" s="62"/>
      <c r="CF38" s="66">
        <f>SUM(CF7:CF37)</f>
        <v>4002.3839999999996</v>
      </c>
      <c r="CG38" s="66">
        <f>SUM(CG7:CG37)</f>
        <v>774.99000100000001</v>
      </c>
      <c r="CH38" s="61">
        <f>SUM(CH7:CH37)</f>
        <v>9.9999999999999995E-7</v>
      </c>
      <c r="CI38" s="67">
        <f>SUM(CI7:CI37)</f>
        <v>165.994001</v>
      </c>
      <c r="CJ38" s="210"/>
      <c r="CK38" s="266"/>
      <c r="CL38" s="211"/>
      <c r="CM38" s="212"/>
      <c r="CN38" s="213"/>
      <c r="CO38" s="68">
        <f t="shared" ref="CO38:CY38" si="41">SUM(CO7:CO37)</f>
        <v>973.68837980000012</v>
      </c>
      <c r="CP38" s="69">
        <f t="shared" si="41"/>
        <v>5035.1464600000008</v>
      </c>
      <c r="CQ38" s="70">
        <f t="shared" si="41"/>
        <v>9.9999998999999992E-7</v>
      </c>
      <c r="CR38" s="69">
        <f t="shared" si="41"/>
        <v>992.24099957192016</v>
      </c>
      <c r="CS38" s="72">
        <f t="shared" si="41"/>
        <v>9.9999998999999992E-7</v>
      </c>
      <c r="CT38" s="72">
        <f t="shared" si="41"/>
        <v>395.68969340000001</v>
      </c>
      <c r="CU38" s="71">
        <f t="shared" si="41"/>
        <v>455.20399992110998</v>
      </c>
      <c r="CV38" s="72">
        <f t="shared" si="41"/>
        <v>3887.3349482000003</v>
      </c>
      <c r="CW38" s="72">
        <f t="shared" si="41"/>
        <v>753.70829460000004</v>
      </c>
      <c r="CX38" s="72">
        <f t="shared" si="41"/>
        <v>9.9999998999999992E-7</v>
      </c>
      <c r="CY38" s="72">
        <f t="shared" si="41"/>
        <v>161.26677719999998</v>
      </c>
      <c r="CZ38" s="70"/>
      <c r="DA38" s="240">
        <f>(D38+'[2]сентябрь 20'!D38)/(AY38+'[2]сентябрь 20'!BA38)</f>
        <v>2.2054468348108718</v>
      </c>
      <c r="DB38" s="241">
        <f>(T38+'[2]сентябрь 20'!T38)/(AY38+'[2]сентябрь 20'!BA38)</f>
        <v>1.3466971321871561</v>
      </c>
      <c r="DD38" s="295">
        <f>SUM(DD7:DD37)</f>
        <v>323.46199999999999</v>
      </c>
      <c r="DE38" s="296">
        <f>(SUMPRODUCT(DD7:DD37,DE7:DE37))/DD38</f>
        <v>0.69429571325225226</v>
      </c>
      <c r="DF38" s="296">
        <f>(SUMPRODUCT(DD7:DD37,DF7:DF37))/DD38</f>
        <v>11.15192575944006</v>
      </c>
      <c r="DG38" s="296">
        <f>(SUMPRODUCT(DE7:DE37,DG7:DG37))/DE38</f>
        <v>317.99659907418243</v>
      </c>
      <c r="DH38" s="324">
        <f>IF(J38=0,0,(DG38*DF38%)/(AB39/100))</f>
        <v>46.508641666353455</v>
      </c>
    </row>
    <row r="39" spans="1:119" s="214" customFormat="1" ht="16.5" customHeight="1" thickBot="1">
      <c r="A39" s="93" t="s">
        <v>57</v>
      </c>
      <c r="B39" s="349">
        <f>B38/AU2</f>
        <v>265.19990009999998</v>
      </c>
      <c r="C39" s="349">
        <f>(BK38*BR39+BM38*BT39+BQ38*BX39+BL38*BS39+BN38*BU39+BO38*BV39+BP38*BW39)/B38</f>
        <v>1.3075352877551862</v>
      </c>
      <c r="D39" s="350">
        <f>D38/AU2</f>
        <v>261.73231782310097</v>
      </c>
      <c r="E39" s="349">
        <f>(BK38*BY39+BM38*CA39+BQ38*CE39+BL38*BZ39+BN38*CB39+BO38*CC39+BP38*CD39)/B38</f>
        <v>37.608116149010065</v>
      </c>
      <c r="F39" s="351">
        <f>IF($AY$38=0,0,$D$38/$AY$38)</f>
        <v>2.194703715160629</v>
      </c>
      <c r="G39" s="352">
        <f>G38/AU2</f>
        <v>11.554000000000002</v>
      </c>
      <c r="H39" s="353">
        <f>IF($AY$38=0,0,(CP38+CO38+CS38+CQ38+CT38)/AY38)</f>
        <v>1.7901284167158145</v>
      </c>
      <c r="I39" s="349">
        <f>I38/AU2</f>
        <v>0</v>
      </c>
      <c r="J39" s="349">
        <f>J38/AU2</f>
        <v>10.782066666666667</v>
      </c>
      <c r="K39" s="349">
        <f>K38/AU2</f>
        <v>0</v>
      </c>
      <c r="L39" s="349">
        <f>L38/AU2</f>
        <v>48.248166666666656</v>
      </c>
      <c r="M39" s="354">
        <f>IF($AY$38=0,0,(CR38+CU38)/$AY$38)</f>
        <v>0.40457529844481505</v>
      </c>
      <c r="N39" s="349">
        <f>N38/AU2</f>
        <v>0</v>
      </c>
      <c r="O39" s="349">
        <f>O38/AU2</f>
        <v>6.5876333333333337</v>
      </c>
      <c r="P39" s="349">
        <f>P38/AU2</f>
        <v>164.77893343333332</v>
      </c>
      <c r="Q39" s="349">
        <f>Q38/AU2</f>
        <v>164.77893333333336</v>
      </c>
      <c r="R39" s="349">
        <f>(SUMPRODUCT(R7:R37,Q7:Q37))/Q38</f>
        <v>2.8534792878053996</v>
      </c>
      <c r="S39" s="355">
        <f>S38/AU2</f>
        <v>10.965666666666666</v>
      </c>
      <c r="T39" s="356"/>
      <c r="U39" s="354">
        <f>IF($AY$38=0,0,$T$38/$AY$38)</f>
        <v>1.3422934960826682</v>
      </c>
      <c r="V39" s="349">
        <f>V38/AU2</f>
        <v>116.05333333333333</v>
      </c>
      <c r="W39" s="349">
        <f>W38/AU2</f>
        <v>75.283666666666662</v>
      </c>
      <c r="X39" s="349">
        <f>(SUMPRODUCT(X7:X37,AY7:AY37))/AY38</f>
        <v>0.9879070573470593</v>
      </c>
      <c r="Y39" s="357">
        <f>AVERAGE(Y7:Y37)</f>
        <v>558.73333333333335</v>
      </c>
      <c r="Z39" s="357">
        <f>AVERAGE(Z7:Z37)</f>
        <v>1169.0333333333333</v>
      </c>
      <c r="AA39" s="357"/>
      <c r="AB39" s="349">
        <f>(SUMPRODUCT(AB7:AB37,AY7:AY37))/AY38</f>
        <v>76.249796544697858</v>
      </c>
      <c r="AC39" s="358">
        <f>AVERAGE(AC7:AC37)</f>
        <v>107.03333333333333</v>
      </c>
      <c r="AD39" s="358">
        <f>AVERAGE(AD7:AD37)</f>
        <v>4.6333333333333337</v>
      </c>
      <c r="AE39" s="349">
        <f>AE38/AU2</f>
        <v>3.6733333333333338</v>
      </c>
      <c r="AF39" s="355">
        <f>IF(AY38=0,0,AE38/AY38*1000)</f>
        <v>30.801997937216484</v>
      </c>
      <c r="AG39" s="356" t="e">
        <f>AG38/$AW$2</f>
        <v>#DIV/0!</v>
      </c>
      <c r="AH39" s="349">
        <f>AH38/AU2</f>
        <v>79.118333333333325</v>
      </c>
      <c r="AI39" s="355">
        <f>IF(AY38=0,0,AH38/AY38*1000)</f>
        <v>663.43087299346791</v>
      </c>
      <c r="AJ39" s="349">
        <f>AJ38/AU2</f>
        <v>15.480000000000002</v>
      </c>
      <c r="AK39" s="359"/>
      <c r="AL39" s="349">
        <f>AL38/AU2</f>
        <v>7.6989999999999998</v>
      </c>
      <c r="AM39" s="349">
        <f>AM38/AU2</f>
        <v>35.201999999999998</v>
      </c>
      <c r="AN39" s="360">
        <f>IF(AM39=0,0,AM39/AT39)</f>
        <v>0.2195436827607713</v>
      </c>
      <c r="AO39" s="356"/>
      <c r="AP39" s="349">
        <f>AVERAGE(AP7:AP37)</f>
        <v>7.7860000000000014</v>
      </c>
      <c r="AQ39" s="349">
        <f>AVERAGE(AQ7:AQ37)</f>
        <v>7.110666666666666</v>
      </c>
      <c r="AR39" s="356"/>
      <c r="AS39" s="349">
        <f>AVERAGE(AS7:AS37)</f>
        <v>7.4493333333333318</v>
      </c>
      <c r="AT39" s="349">
        <f>AT38/AU2</f>
        <v>160.34166666666664</v>
      </c>
      <c r="AU39" s="349">
        <f>AU38/AU2</f>
        <v>1.8156666666666663</v>
      </c>
      <c r="AV39" s="349" t="e">
        <f>AV38/$AW$2</f>
        <v>#DIV/0!</v>
      </c>
      <c r="AW39" s="349" t="e">
        <f>AW38/$AW$2</f>
        <v>#DIV/0!</v>
      </c>
      <c r="AX39" s="349" t="e">
        <f>IF(AY39=0,0,AW39/AY39*100)</f>
        <v>#DIV/0!</v>
      </c>
      <c r="AY39" s="349">
        <f>AY38/AU2</f>
        <v>119.2563333333333</v>
      </c>
      <c r="AZ39" s="349">
        <f>AZ38/AU2</f>
        <v>114.26095628510133</v>
      </c>
      <c r="BA39" s="356"/>
      <c r="BB39" s="356"/>
      <c r="BC39" s="351">
        <f>(AY38*AB39)/(D38*E39)</f>
        <v>0.92380691962165529</v>
      </c>
      <c r="BD39" s="349">
        <f>BD38/AU2</f>
        <v>9.3653987558685401</v>
      </c>
      <c r="BE39" s="361"/>
      <c r="BF39" s="19"/>
      <c r="BG39" s="19"/>
      <c r="BH39" s="19"/>
      <c r="BI39" s="19"/>
      <c r="BJ39" s="215"/>
      <c r="BK39" s="73"/>
      <c r="BL39" s="216"/>
      <c r="BM39" s="216"/>
      <c r="BN39" s="216"/>
      <c r="BO39" s="219"/>
      <c r="BP39" s="219"/>
      <c r="BQ39" s="217"/>
      <c r="BR39" s="73">
        <f>(SUMPRODUCT(BK7:BK37,BR7:BR37))/BK38</f>
        <v>1.1220874170367283</v>
      </c>
      <c r="BS39" s="29">
        <f>(SUMPRODUCT(BL7:BL37,BS7:BS37))/BL38</f>
        <v>1.5639929800648937</v>
      </c>
      <c r="BT39" s="29">
        <f t="shared" ref="BT39:BX39" si="42">(SUMPRODUCT(BM7:BM37,BT7:BT37))/BM38</f>
        <v>9.9999999999999995E-7</v>
      </c>
      <c r="BU39" s="29">
        <f t="shared" si="42"/>
        <v>4.3142744555002267E-8</v>
      </c>
      <c r="BV39" s="29">
        <f t="shared" si="42"/>
        <v>9.9999999999999995E-7</v>
      </c>
      <c r="BW39" s="29">
        <f t="shared" si="42"/>
        <v>3.1755210476989828</v>
      </c>
      <c r="BX39" s="74">
        <f t="shared" si="42"/>
        <v>1.7330691294452597E-8</v>
      </c>
      <c r="BY39" s="73">
        <f t="shared" ref="BY39:CE39" si="43">(SUMPRODUCT(BK7:BK37,BY7:BY37))/BK38</f>
        <v>37.456074176627624</v>
      </c>
      <c r="BZ39" s="29">
        <f t="shared" si="43"/>
        <v>36.442705490184359</v>
      </c>
      <c r="CA39" s="29">
        <f t="shared" si="43"/>
        <v>9.9999999999999995E-7</v>
      </c>
      <c r="CB39" s="29">
        <f t="shared" si="43"/>
        <v>43.157950256036585</v>
      </c>
      <c r="CC39" s="29">
        <f t="shared" si="43"/>
        <v>9.9999999999999995E-7</v>
      </c>
      <c r="CD39" s="29">
        <f t="shared" si="43"/>
        <v>32.700578123508883</v>
      </c>
      <c r="CE39" s="74">
        <f t="shared" si="43"/>
        <v>43.341247484644242</v>
      </c>
      <c r="CF39" s="218"/>
      <c r="CG39" s="218"/>
      <c r="CH39" s="216"/>
      <c r="CI39" s="219"/>
      <c r="CJ39" s="75">
        <f>(SUMPRODUCT(CF7:CF37,CJ7:CJ37))/CF38</f>
        <v>2.8745130852012202</v>
      </c>
      <c r="CK39" s="75">
        <f>(SUMPRODUCT(CG7:CG37,CK7:CK37))/CG38</f>
        <v>2.7460620617736211</v>
      </c>
      <c r="CL39" s="29">
        <f>(SUMPRODUCT(CH7:CH37,CL7:CL37))/CH38</f>
        <v>9.9999999999999995E-7</v>
      </c>
      <c r="CM39" s="74">
        <f>(SUMPRODUCT(CI7:CI37,CM7:CM37))/CI38</f>
        <v>2.847828097112985</v>
      </c>
      <c r="CN39" s="19"/>
      <c r="CO39" s="596">
        <f>CO38+CP38</f>
        <v>6008.8348398000007</v>
      </c>
      <c r="CP39" s="596"/>
      <c r="CQ39" s="597">
        <f>CQ38+CR38+CU38+CS38+CT38</f>
        <v>1843.13469489303</v>
      </c>
      <c r="CR39" s="597"/>
      <c r="CS39" s="597"/>
      <c r="CT39" s="597"/>
      <c r="CU39" s="597"/>
      <c r="CV39" s="597">
        <f>CV38+CX38+CY38+CW38</f>
        <v>4802.3100210000002</v>
      </c>
      <c r="CW39" s="597"/>
      <c r="CX39" s="597"/>
      <c r="CY39" s="597"/>
      <c r="DA39" s="236"/>
      <c r="DB39" s="238"/>
      <c r="DD39" s="297"/>
      <c r="DE39" s="298"/>
      <c r="DF39" s="298"/>
      <c r="DG39" s="299"/>
      <c r="DH39" s="300"/>
    </row>
    <row r="40" spans="1:119" s="214" customFormat="1" ht="16.5" customHeight="1" thickBot="1">
      <c r="A40" s="94" t="s">
        <v>58</v>
      </c>
      <c r="B40" s="362"/>
      <c r="C40" s="362"/>
      <c r="D40" s="363"/>
      <c r="E40" s="364">
        <v>38</v>
      </c>
      <c r="F40" s="363">
        <v>2.12</v>
      </c>
      <c r="G40" s="365">
        <v>7.9024400000000004</v>
      </c>
      <c r="H40" s="363">
        <v>1.484</v>
      </c>
      <c r="I40" s="363"/>
      <c r="J40" s="363">
        <v>9.4670000000000005</v>
      </c>
      <c r="K40" s="363"/>
      <c r="L40" s="363"/>
      <c r="M40" s="363">
        <v>0.63600000000000001</v>
      </c>
      <c r="N40" s="363"/>
      <c r="O40" s="363"/>
      <c r="P40" s="366"/>
      <c r="Q40" s="362"/>
      <c r="R40" s="367"/>
      <c r="S40" s="368">
        <v>14.081</v>
      </c>
      <c r="T40" s="362"/>
      <c r="U40" s="369">
        <v>1.32</v>
      </c>
      <c r="V40" s="370">
        <v>3550</v>
      </c>
      <c r="W40" s="370">
        <v>3550</v>
      </c>
      <c r="X40" s="371"/>
      <c r="Y40" s="371"/>
      <c r="Z40" s="372">
        <v>1190</v>
      </c>
      <c r="AA40" s="372"/>
      <c r="AB40" s="362">
        <v>76</v>
      </c>
      <c r="AC40" s="362"/>
      <c r="AD40" s="362"/>
      <c r="AE40" s="362"/>
      <c r="AF40" s="362"/>
      <c r="AG40" s="362"/>
      <c r="AH40" s="362"/>
      <c r="AI40" s="362">
        <v>730</v>
      </c>
      <c r="AJ40" s="373"/>
      <c r="AK40" s="374"/>
      <c r="AL40" s="375"/>
      <c r="AM40" s="362"/>
      <c r="AN40" s="362"/>
      <c r="AO40" s="362"/>
      <c r="AP40" s="362"/>
      <c r="AQ40" s="362"/>
      <c r="AR40" s="362"/>
      <c r="AS40" s="362"/>
      <c r="AT40" s="376">
        <v>3550</v>
      </c>
      <c r="AU40" s="377">
        <v>42.6</v>
      </c>
      <c r="AV40" s="377"/>
      <c r="AW40" s="378"/>
      <c r="AX40" s="362"/>
      <c r="AY40" s="379">
        <v>118.33</v>
      </c>
      <c r="AZ40" s="362"/>
      <c r="BA40" s="362"/>
      <c r="BB40" s="362"/>
      <c r="BC40" s="363">
        <v>0.9</v>
      </c>
      <c r="BD40" s="362"/>
      <c r="BE40" s="380"/>
      <c r="BF40" s="19"/>
      <c r="BG40" s="19"/>
      <c r="BH40" s="19"/>
      <c r="BI40" s="19"/>
      <c r="BJ40" s="215"/>
      <c r="BK40" s="220"/>
      <c r="BL40" s="221"/>
      <c r="BM40" s="216"/>
      <c r="BN40" s="216"/>
      <c r="BO40" s="219"/>
      <c r="BP40" s="219"/>
      <c r="BQ40" s="217"/>
      <c r="BR40" s="218"/>
      <c r="BS40" s="216"/>
      <c r="BT40" s="216"/>
      <c r="BU40" s="216"/>
      <c r="BV40" s="219"/>
      <c r="BW40" s="219"/>
      <c r="BX40" s="217"/>
      <c r="BY40" s="218"/>
      <c r="BZ40" s="216"/>
      <c r="CA40" s="216"/>
      <c r="CB40" s="216"/>
      <c r="CC40" s="219"/>
      <c r="CD40" s="219"/>
      <c r="CE40" s="217"/>
      <c r="CF40" s="218"/>
      <c r="CG40" s="218"/>
      <c r="CH40" s="216"/>
      <c r="CI40" s="219"/>
      <c r="CJ40" s="220"/>
      <c r="CK40" s="218"/>
      <c r="CL40" s="216"/>
      <c r="CM40" s="217"/>
      <c r="CN40" s="213"/>
      <c r="CO40" s="604">
        <f>CO39+CQ39</f>
        <v>7851.9695346930312</v>
      </c>
      <c r="CP40" s="604"/>
      <c r="CQ40" s="604"/>
      <c r="CR40" s="604"/>
      <c r="CS40" s="604"/>
      <c r="CT40" s="604"/>
      <c r="CU40" s="604"/>
      <c r="DA40" s="237"/>
      <c r="DB40" s="239"/>
      <c r="DD40" s="301"/>
      <c r="DE40" s="302"/>
      <c r="DF40" s="302"/>
      <c r="DG40" s="303"/>
      <c r="DH40" s="304"/>
    </row>
    <row r="41" spans="1:119" s="214" customFormat="1" ht="16.5" customHeight="1" thickBot="1">
      <c r="A41" s="95" t="s">
        <v>59</v>
      </c>
      <c r="B41" s="381"/>
      <c r="C41" s="381"/>
      <c r="D41" s="382"/>
      <c r="E41" s="381"/>
      <c r="F41" s="383">
        <f>F39-F40</f>
        <v>7.4703715160628903E-2</v>
      </c>
      <c r="G41" s="384">
        <f>G39-G40</f>
        <v>3.6515600000000017</v>
      </c>
      <c r="H41" s="383"/>
      <c r="I41" s="385">
        <f>I39-I40</f>
        <v>0</v>
      </c>
      <c r="J41" s="385"/>
      <c r="K41" s="385"/>
      <c r="L41" s="385"/>
      <c r="M41" s="385"/>
      <c r="N41" s="385"/>
      <c r="O41" s="385"/>
      <c r="P41" s="383"/>
      <c r="Q41" s="386"/>
      <c r="R41" s="385">
        <f>R39-R40</f>
        <v>2.8534792878053996</v>
      </c>
      <c r="S41" s="386"/>
      <c r="T41" s="386"/>
      <c r="U41" s="383">
        <f>U39-U40</f>
        <v>2.2293496082668174E-2</v>
      </c>
      <c r="V41" s="383"/>
      <c r="W41" s="383"/>
      <c r="X41" s="383"/>
      <c r="Y41" s="383"/>
      <c r="Z41" s="387">
        <f>Z39-Z40</f>
        <v>-20.966666666666697</v>
      </c>
      <c r="AA41" s="388"/>
      <c r="AB41" s="381"/>
      <c r="AC41" s="381"/>
      <c r="AD41" s="381"/>
      <c r="AE41" s="381"/>
      <c r="AF41" s="381"/>
      <c r="AG41" s="381"/>
      <c r="AH41" s="381"/>
      <c r="AI41" s="381"/>
      <c r="AJ41" s="381"/>
      <c r="AK41" s="389"/>
      <c r="AL41" s="390"/>
      <c r="AM41" s="381"/>
      <c r="AN41" s="381"/>
      <c r="AO41" s="381"/>
      <c r="AP41" s="381"/>
      <c r="AQ41" s="381"/>
      <c r="AR41" s="381"/>
      <c r="AS41" s="381"/>
      <c r="AT41" s="391">
        <f>AT38+AV38-AT40</f>
        <v>1260.2499999999991</v>
      </c>
      <c r="AU41" s="392"/>
      <c r="AV41" s="393"/>
      <c r="AW41" s="390"/>
      <c r="AX41" s="381"/>
      <c r="AY41" s="385"/>
      <c r="AZ41" s="381"/>
      <c r="BA41" s="381"/>
      <c r="BB41" s="381"/>
      <c r="BC41" s="394"/>
      <c r="BD41" s="381"/>
      <c r="BE41" s="395"/>
      <c r="BF41" s="222"/>
      <c r="BG41" s="222"/>
      <c r="BH41" s="222"/>
      <c r="BI41" s="222"/>
      <c r="BJ41" s="222"/>
      <c r="BK41" s="223"/>
      <c r="BL41" s="224"/>
      <c r="BM41" s="225"/>
      <c r="BN41" s="225"/>
      <c r="BO41" s="224"/>
      <c r="BP41" s="224"/>
      <c r="BQ41" s="226"/>
      <c r="BR41" s="227"/>
      <c r="BS41" s="225"/>
      <c r="BT41" s="225"/>
      <c r="BU41" s="225"/>
      <c r="BV41" s="224"/>
      <c r="BW41" s="224"/>
      <c r="BX41" s="224"/>
      <c r="BY41" s="228"/>
      <c r="BZ41" s="225"/>
      <c r="CA41" s="225"/>
      <c r="CB41" s="225"/>
      <c r="CC41" s="224"/>
      <c r="CD41" s="224"/>
      <c r="CE41" s="226"/>
      <c r="CF41" s="227"/>
      <c r="CG41" s="227"/>
      <c r="CH41" s="225"/>
      <c r="CI41" s="224"/>
      <c r="CJ41" s="228"/>
      <c r="CK41" s="227"/>
      <c r="CL41" s="225"/>
      <c r="CM41" s="226"/>
      <c r="CN41" s="213"/>
      <c r="CO41" s="213"/>
      <c r="CP41" s="213"/>
      <c r="CQ41" s="213"/>
      <c r="DA41" s="21"/>
      <c r="DH41" s="309"/>
    </row>
    <row r="42" spans="1:119" ht="15" hidden="1" customHeight="1">
      <c r="A42" s="96"/>
      <c r="B42" s="96"/>
      <c r="C42" s="96"/>
      <c r="D42" s="97"/>
      <c r="E42" s="96"/>
      <c r="F42" s="98"/>
      <c r="G42" s="99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1"/>
      <c r="AF42" s="101"/>
      <c r="AG42" s="100"/>
      <c r="AH42" s="100"/>
      <c r="AI42" s="100"/>
      <c r="AJ42" s="100"/>
      <c r="AK42" s="100"/>
      <c r="AL42" s="100"/>
      <c r="AM42" s="100"/>
      <c r="AN42" s="100"/>
      <c r="AO42" s="100"/>
      <c r="AP42" s="100"/>
      <c r="AQ42" s="100"/>
      <c r="AR42" s="100"/>
      <c r="AS42" s="96"/>
      <c r="AT42" s="612"/>
      <c r="AU42" s="612"/>
      <c r="AV42" s="612"/>
      <c r="AW42" s="96"/>
      <c r="AX42" s="96"/>
      <c r="AY42" s="100"/>
      <c r="AZ42" s="100"/>
      <c r="BA42" s="100"/>
      <c r="BB42" s="100"/>
      <c r="BC42" s="100"/>
      <c r="BD42" s="100"/>
      <c r="BE42" s="100"/>
      <c r="BK42" s="20"/>
      <c r="BL42" s="20"/>
      <c r="BM42" s="20"/>
    </row>
    <row r="43" spans="1:119" ht="13.5" thickBot="1">
      <c r="A43" s="100"/>
      <c r="B43" s="100"/>
      <c r="C43" s="100"/>
      <c r="D43" s="102"/>
      <c r="E43" s="100"/>
      <c r="F43" s="100"/>
      <c r="G43" s="96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1"/>
      <c r="AF43" s="101"/>
      <c r="AG43" s="100"/>
      <c r="AH43" s="100"/>
      <c r="AI43" s="100"/>
      <c r="AJ43" s="100"/>
      <c r="AK43" s="100"/>
      <c r="AL43" s="100"/>
      <c r="AM43" s="100"/>
      <c r="AN43" s="100"/>
      <c r="AO43" s="100"/>
      <c r="AP43" s="100"/>
      <c r="AQ43" s="100"/>
      <c r="AR43" s="100"/>
      <c r="AS43" s="96" t="s">
        <v>60</v>
      </c>
      <c r="AT43" s="103">
        <f>AT40/BE43</f>
        <v>118.33333333333333</v>
      </c>
      <c r="AU43" s="104"/>
      <c r="AV43" s="96"/>
      <c r="AW43" s="96" t="s">
        <v>61</v>
      </c>
      <c r="AX43" s="96"/>
      <c r="AY43" s="100"/>
      <c r="AZ43" s="100"/>
      <c r="BA43" s="100"/>
      <c r="BB43" s="100"/>
      <c r="BC43" s="100"/>
      <c r="BD43" s="105" t="s">
        <v>62</v>
      </c>
      <c r="BE43" s="100">
        <v>30</v>
      </c>
    </row>
    <row r="44" spans="1:119" ht="16.5" customHeight="1" thickBot="1">
      <c r="A44" s="100"/>
      <c r="B44" s="100"/>
      <c r="C44" s="100"/>
      <c r="D44" s="102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489" t="s">
        <v>343</v>
      </c>
      <c r="AG44" s="488"/>
      <c r="AH44" s="488"/>
      <c r="AI44" s="488"/>
      <c r="AJ44" s="488"/>
      <c r="AK44" s="488"/>
      <c r="AL44" s="488"/>
      <c r="AM44" s="490">
        <f>AM38/AT38</f>
        <v>0.2195436827607713</v>
      </c>
      <c r="AN44" s="479"/>
      <c r="AO44" s="480" t="s">
        <v>88</v>
      </c>
      <c r="AP44" s="100"/>
      <c r="AQ44" s="100"/>
      <c r="AR44" s="100"/>
      <c r="AS44" s="100"/>
      <c r="AT44" s="100"/>
      <c r="AU44" s="100"/>
      <c r="AV44" s="100"/>
      <c r="AW44" s="100"/>
      <c r="AX44" s="100"/>
      <c r="AY44" s="100"/>
      <c r="AZ44" s="100"/>
      <c r="BA44" s="100"/>
      <c r="BB44" s="100"/>
      <c r="BC44" s="100"/>
      <c r="BD44" s="96"/>
      <c r="BE44" s="96"/>
    </row>
    <row r="45" spans="1:119" ht="13.5" thickBot="1">
      <c r="A45" s="100"/>
      <c r="B45" s="100"/>
      <c r="C45" s="100"/>
      <c r="D45" s="102"/>
      <c r="E45" s="100"/>
      <c r="F45" s="100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101"/>
      <c r="AE45" s="101"/>
      <c r="AF45" s="101"/>
      <c r="AG45" s="100"/>
      <c r="AH45" s="100"/>
      <c r="AI45" s="100"/>
      <c r="AJ45" s="100"/>
      <c r="AK45" s="100"/>
      <c r="AL45" s="100"/>
      <c r="AM45" s="106" t="s">
        <v>63</v>
      </c>
      <c r="AN45" s="106"/>
      <c r="AO45" s="106"/>
      <c r="AP45" s="106"/>
      <c r="AQ45" s="106"/>
      <c r="AR45" s="106"/>
      <c r="AS45" s="107" t="s">
        <v>64</v>
      </c>
      <c r="AT45" s="108">
        <v>29</v>
      </c>
      <c r="AU45" s="108"/>
      <c r="AV45" s="100"/>
      <c r="AW45" s="100"/>
      <c r="AX45" s="100"/>
      <c r="AY45" s="100"/>
      <c r="AZ45" s="100"/>
      <c r="BA45" s="100"/>
      <c r="BB45" s="100"/>
      <c r="BC45" s="100"/>
      <c r="BD45" s="96"/>
      <c r="BE45" s="96"/>
      <c r="BM45" s="1"/>
      <c r="BS45" s="1"/>
    </row>
    <row r="46" spans="1:119" ht="12.75" customHeight="1" thickBot="1">
      <c r="A46" s="100"/>
      <c r="B46" s="100"/>
      <c r="C46" s="109" t="s">
        <v>65</v>
      </c>
      <c r="D46" s="102"/>
      <c r="E46" s="100"/>
      <c r="F46" s="100"/>
      <c r="G46" s="100"/>
      <c r="H46" s="100"/>
      <c r="I46" s="100"/>
      <c r="J46" s="100"/>
      <c r="K46" s="100"/>
      <c r="L46" s="110">
        <f>AT38/AD38</f>
        <v>34.606115107913659</v>
      </c>
      <c r="M46" s="109" t="s">
        <v>88</v>
      </c>
      <c r="N46" s="606"/>
      <c r="O46" s="606"/>
      <c r="P46" s="111"/>
      <c r="Q46" s="100"/>
      <c r="R46" s="100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101"/>
      <c r="AE46" s="101"/>
      <c r="AF46" s="101"/>
      <c r="AG46" s="100"/>
      <c r="AH46" s="100"/>
      <c r="AI46" s="100"/>
      <c r="AJ46" s="100"/>
      <c r="AK46" s="100"/>
      <c r="AL46" s="100"/>
      <c r="AM46" s="100"/>
      <c r="AN46" s="100"/>
      <c r="AO46" s="106"/>
      <c r="AP46" s="106"/>
      <c r="AQ46" s="106"/>
      <c r="AR46" s="106"/>
      <c r="AS46" s="107" t="s">
        <v>66</v>
      </c>
      <c r="AT46" s="112">
        <f>AT40/AT45</f>
        <v>122.41379310344827</v>
      </c>
      <c r="AU46" s="112"/>
      <c r="AV46" s="100"/>
      <c r="AW46" s="100"/>
      <c r="AX46" s="100">
        <v>0</v>
      </c>
      <c r="AY46" s="100"/>
      <c r="AZ46" s="607" t="s">
        <v>67</v>
      </c>
      <c r="BA46" s="607"/>
      <c r="BB46" s="607"/>
      <c r="BC46" s="607"/>
      <c r="BD46" s="607"/>
      <c r="BE46" s="607"/>
    </row>
    <row r="47" spans="1:119">
      <c r="A47" s="100"/>
      <c r="B47" s="100"/>
      <c r="C47" s="100"/>
      <c r="D47" s="102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100"/>
      <c r="AI47" s="100"/>
      <c r="AJ47" s="100"/>
      <c r="AK47" s="100"/>
      <c r="AL47" s="100"/>
      <c r="AM47" s="100"/>
      <c r="AN47" s="100"/>
      <c r="AO47" s="100"/>
      <c r="AP47" s="100"/>
      <c r="AQ47" s="100"/>
      <c r="AR47" s="100"/>
      <c r="AS47" s="100"/>
      <c r="AT47" s="100"/>
      <c r="AU47" s="100"/>
      <c r="AV47" s="100"/>
      <c r="AW47" s="100"/>
      <c r="AX47" s="100"/>
      <c r="AY47" s="100"/>
      <c r="AZ47" s="607"/>
      <c r="BA47" s="607"/>
      <c r="BB47" s="607"/>
      <c r="BC47" s="607"/>
      <c r="BD47" s="607"/>
      <c r="BE47" s="607"/>
    </row>
    <row r="48" spans="1:119">
      <c r="A48" s="100"/>
      <c r="B48" s="100"/>
      <c r="C48" s="100"/>
      <c r="D48" s="102"/>
      <c r="E48" s="100"/>
      <c r="F48" s="100"/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13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  <c r="AE48" s="100"/>
      <c r="AF48" s="100"/>
      <c r="AG48" s="100"/>
      <c r="AH48" s="100"/>
      <c r="AI48" s="100"/>
      <c r="AJ48" s="100"/>
      <c r="AK48" s="100"/>
      <c r="AL48" s="100"/>
      <c r="AM48" s="100"/>
      <c r="AN48" s="100"/>
      <c r="AO48" s="100"/>
      <c r="AP48" s="100"/>
      <c r="AQ48" s="100"/>
      <c r="AR48" s="100"/>
      <c r="AS48" s="100"/>
      <c r="AT48" s="100"/>
      <c r="AU48" s="100"/>
      <c r="AV48" s="100"/>
      <c r="AW48" s="100"/>
      <c r="AX48" s="100"/>
      <c r="AY48" s="100"/>
      <c r="AZ48" s="608">
        <f>BF37-BJ37</f>
        <v>27.689999999997781</v>
      </c>
      <c r="BA48" s="608"/>
      <c r="BB48" s="608"/>
      <c r="BC48" s="608"/>
      <c r="BD48" s="609" t="s">
        <v>68</v>
      </c>
      <c r="BE48" s="114"/>
    </row>
    <row r="49" spans="1:57" ht="12" customHeight="1">
      <c r="A49" s="100"/>
      <c r="B49" s="100"/>
      <c r="C49" s="100"/>
      <c r="D49" s="102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15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100"/>
      <c r="AI49" s="100"/>
      <c r="AJ49" s="100"/>
      <c r="AK49" s="100"/>
      <c r="AL49" s="100"/>
      <c r="AM49" s="100"/>
      <c r="AN49" s="100"/>
      <c r="AO49" s="100"/>
      <c r="AP49" s="100"/>
      <c r="AQ49" s="100"/>
      <c r="AR49" s="100"/>
      <c r="AS49" s="100"/>
      <c r="AT49" s="100"/>
      <c r="AU49" s="100"/>
      <c r="AV49" s="100"/>
      <c r="AW49" s="100"/>
      <c r="AX49" s="100"/>
      <c r="AY49" s="100"/>
      <c r="AZ49" s="608"/>
      <c r="BA49" s="608"/>
      <c r="BB49" s="608"/>
      <c r="BC49" s="608"/>
      <c r="BD49" s="609"/>
      <c r="BE49" s="114"/>
    </row>
    <row r="50" spans="1:57" ht="13.5" customHeight="1">
      <c r="A50" s="100"/>
      <c r="B50" s="100"/>
      <c r="C50" s="100"/>
      <c r="D50" s="102"/>
      <c r="E50" s="100"/>
      <c r="F50" s="100"/>
      <c r="G50" s="100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100"/>
      <c r="AC50" s="100"/>
      <c r="AD50" s="100"/>
      <c r="AE50" s="100"/>
      <c r="AF50" s="100"/>
      <c r="AG50" s="100"/>
      <c r="AH50" s="100"/>
      <c r="AI50" s="100"/>
      <c r="AJ50" s="100"/>
      <c r="AK50" s="100"/>
      <c r="AL50" s="100"/>
      <c r="AM50" s="100"/>
      <c r="AN50" s="100"/>
      <c r="AO50" s="100"/>
      <c r="AP50" s="100"/>
      <c r="AQ50" s="100"/>
      <c r="AR50" s="100"/>
      <c r="AS50" s="100"/>
      <c r="AT50" s="100"/>
      <c r="AU50" s="100"/>
      <c r="AV50" s="100"/>
      <c r="AW50" s="100"/>
      <c r="AX50" s="100"/>
      <c r="AY50" s="100"/>
      <c r="AZ50" s="116"/>
      <c r="BA50" s="96"/>
      <c r="BB50" s="96"/>
      <c r="BC50" s="96"/>
      <c r="BD50" s="96"/>
      <c r="BE50" s="114"/>
    </row>
    <row r="51" spans="1:57" ht="13.5" customHeight="1" thickBot="1">
      <c r="A51" s="100"/>
      <c r="B51" s="100"/>
      <c r="C51" s="100"/>
      <c r="D51" s="102"/>
      <c r="E51" s="100"/>
      <c r="F51" s="100"/>
      <c r="G51" s="100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0"/>
      <c r="AC51" s="100"/>
      <c r="AD51" s="100"/>
      <c r="AE51" s="100"/>
      <c r="AF51" s="100"/>
      <c r="AG51" s="100"/>
      <c r="AH51" s="100"/>
      <c r="AI51" s="100"/>
      <c r="AJ51" s="100"/>
      <c r="AK51" s="100"/>
      <c r="AL51" s="100"/>
      <c r="AM51" s="100"/>
      <c r="AN51" s="100"/>
      <c r="AO51" s="100"/>
      <c r="AP51" s="100"/>
      <c r="AQ51" s="100"/>
      <c r="AR51" s="100"/>
      <c r="AS51" s="100"/>
      <c r="AT51" s="100"/>
      <c r="AU51" s="100"/>
      <c r="AV51" s="100"/>
      <c r="AW51" s="100"/>
      <c r="AX51" s="100"/>
      <c r="AY51" s="100"/>
      <c r="AZ51" s="610">
        <f>AZ48/AT40*100</f>
        <v>0.77999999999993752</v>
      </c>
      <c r="BA51" s="610"/>
      <c r="BB51" s="610"/>
      <c r="BC51" s="610"/>
      <c r="BD51" s="611" t="s">
        <v>69</v>
      </c>
      <c r="BE51" s="114"/>
    </row>
    <row r="52" spans="1:57" ht="13.5" thickBot="1">
      <c r="A52" s="100"/>
      <c r="B52" s="100"/>
      <c r="C52" s="100"/>
      <c r="D52" s="102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  <c r="AF52" s="100"/>
      <c r="AG52" s="100"/>
      <c r="AH52" s="100"/>
      <c r="AI52" s="100"/>
      <c r="AJ52" s="100"/>
      <c r="AK52" s="100"/>
      <c r="AL52" s="100"/>
      <c r="AM52" s="100"/>
      <c r="AN52" s="100"/>
      <c r="AO52" s="100"/>
      <c r="AP52" s="100"/>
      <c r="AQ52" s="100"/>
      <c r="AR52" s="100"/>
      <c r="AS52" s="100"/>
      <c r="AT52" s="100"/>
      <c r="AU52" s="100"/>
      <c r="AV52" s="100"/>
      <c r="AW52" s="100"/>
      <c r="AX52" s="100"/>
      <c r="AY52" s="100"/>
      <c r="AZ52" s="610"/>
      <c r="BA52" s="610"/>
      <c r="BB52" s="610"/>
      <c r="BC52" s="610"/>
      <c r="BD52" s="611"/>
      <c r="BE52" s="117"/>
    </row>
    <row r="53" spans="1:57">
      <c r="A53" s="100"/>
      <c r="B53" s="100"/>
      <c r="C53" s="100"/>
      <c r="D53" s="102"/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100"/>
      <c r="AI53" s="100"/>
      <c r="AJ53" s="100"/>
      <c r="AK53" s="100"/>
      <c r="AL53" s="100"/>
      <c r="AM53" s="100"/>
      <c r="AN53" s="100"/>
      <c r="AO53" s="100"/>
      <c r="AP53" s="100"/>
      <c r="AQ53" s="100"/>
      <c r="AR53" s="100"/>
      <c r="AS53" s="100"/>
      <c r="AT53" s="100"/>
      <c r="AU53" s="100"/>
      <c r="AV53" s="100"/>
      <c r="AW53" s="100"/>
      <c r="AX53" s="100"/>
      <c r="AY53" s="100"/>
      <c r="AZ53" s="100"/>
      <c r="BA53" s="100"/>
      <c r="BB53" s="100"/>
      <c r="BC53" s="100"/>
      <c r="BD53" s="100"/>
      <c r="BE53" s="100"/>
    </row>
    <row r="54" spans="1:57">
      <c r="A54" s="100"/>
      <c r="B54" s="100"/>
      <c r="C54" s="100"/>
      <c r="D54" s="102"/>
      <c r="E54" s="100"/>
      <c r="F54" s="100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100"/>
      <c r="AI54" s="100"/>
      <c r="AJ54" s="100"/>
      <c r="AK54" s="100"/>
      <c r="AL54" s="100"/>
      <c r="AM54" s="100"/>
      <c r="AN54" s="100"/>
      <c r="AO54" s="100"/>
      <c r="AP54" s="100"/>
      <c r="AQ54" s="100"/>
      <c r="AR54" s="100"/>
      <c r="AS54" s="100"/>
      <c r="AT54" s="100"/>
      <c r="AU54" s="100"/>
      <c r="AV54" s="100"/>
      <c r="AW54" s="100"/>
      <c r="AX54" s="100"/>
      <c r="AY54" s="100"/>
      <c r="AZ54" s="100"/>
      <c r="BA54" s="100"/>
      <c r="BB54" s="100"/>
      <c r="BC54" s="100"/>
      <c r="BD54" s="100"/>
      <c r="BE54" s="100"/>
    </row>
    <row r="55" spans="1:57">
      <c r="A55" s="100"/>
      <c r="B55" s="100"/>
      <c r="C55" s="100"/>
      <c r="D55" s="102"/>
      <c r="E55" s="100"/>
      <c r="F55" s="100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  <c r="AH55" s="100"/>
      <c r="AI55" s="100"/>
      <c r="AJ55" s="100"/>
      <c r="AK55" s="100"/>
      <c r="AL55" s="100"/>
      <c r="AM55" s="100"/>
      <c r="AN55" s="100"/>
      <c r="AO55" s="100"/>
      <c r="AP55" s="100"/>
      <c r="AQ55" s="100"/>
      <c r="AR55" s="100"/>
      <c r="AS55" s="100"/>
      <c r="AT55" s="100"/>
      <c r="AU55" s="100"/>
      <c r="AV55" s="100"/>
      <c r="AW55" s="100"/>
      <c r="AX55" s="100"/>
      <c r="AY55" s="100"/>
      <c r="AZ55" s="100"/>
      <c r="BA55" s="100"/>
      <c r="BB55" s="100"/>
      <c r="BC55" s="100"/>
      <c r="BD55" s="100"/>
      <c r="BE55" s="100"/>
    </row>
    <row r="56" spans="1:57" ht="13.5" thickBot="1">
      <c r="A56" s="100"/>
      <c r="B56" s="100"/>
      <c r="C56" s="100"/>
      <c r="D56" s="102"/>
      <c r="E56" s="100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/>
      <c r="AE56" s="100"/>
      <c r="AF56" s="100"/>
      <c r="AG56" s="100"/>
      <c r="AH56" s="100"/>
      <c r="AI56" s="100"/>
      <c r="AJ56" s="100"/>
      <c r="AK56" s="100"/>
      <c r="AL56" s="100"/>
      <c r="AM56" s="100"/>
      <c r="AN56" s="100"/>
      <c r="AO56" s="100"/>
      <c r="AP56" s="100"/>
      <c r="AQ56" s="100"/>
      <c r="AR56" s="100"/>
      <c r="AS56" s="100"/>
      <c r="AT56" s="100"/>
      <c r="AU56" s="100"/>
      <c r="AV56" s="100"/>
      <c r="AW56" s="100"/>
      <c r="AX56" s="100"/>
      <c r="AY56" s="100"/>
      <c r="AZ56" s="100"/>
      <c r="BA56" s="100"/>
      <c r="BB56" s="100"/>
      <c r="BC56" s="100"/>
      <c r="BD56" s="100"/>
      <c r="BE56" s="100"/>
    </row>
    <row r="57" spans="1:57" ht="15.75">
      <c r="A57" s="100"/>
      <c r="B57" s="100"/>
      <c r="C57" s="100"/>
      <c r="D57" s="102"/>
      <c r="E57" s="100"/>
      <c r="F57" s="100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100"/>
      <c r="AI57" s="100"/>
      <c r="AJ57" s="100"/>
      <c r="AK57" s="100"/>
      <c r="AL57" s="100"/>
      <c r="AM57" s="100"/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X57" s="100"/>
      <c r="AY57" s="100"/>
      <c r="AZ57" s="481" t="s">
        <v>344</v>
      </c>
      <c r="BA57" s="482"/>
      <c r="BB57" s="482"/>
      <c r="BC57" s="482"/>
      <c r="BD57" s="482"/>
      <c r="BE57" s="483"/>
    </row>
    <row r="58" spans="1:57" ht="15.75">
      <c r="A58" s="100"/>
      <c r="B58" s="100"/>
      <c r="C58" s="100"/>
      <c r="D58" s="102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  <c r="AA58" s="100"/>
      <c r="AB58" s="100"/>
      <c r="AC58" s="100"/>
      <c r="AD58" s="100"/>
      <c r="AE58" s="100"/>
      <c r="AF58" s="100"/>
      <c r="AG58" s="100"/>
      <c r="AH58" s="100"/>
      <c r="AI58" s="100"/>
      <c r="AJ58" s="100"/>
      <c r="AK58" s="100"/>
      <c r="AL58" s="100"/>
      <c r="AM58" s="100"/>
      <c r="AN58" s="100"/>
      <c r="AO58" s="100"/>
      <c r="AP58" s="100"/>
      <c r="AQ58" s="100"/>
      <c r="AR58" s="100"/>
      <c r="AS58" s="100"/>
      <c r="AT58" s="100"/>
      <c r="AU58" s="100"/>
      <c r="AV58" s="100"/>
      <c r="AW58" s="100"/>
      <c r="AX58" s="100"/>
      <c r="AY58" s="100"/>
      <c r="AZ58" s="484" t="s">
        <v>340</v>
      </c>
      <c r="BA58" s="485"/>
      <c r="BB58" s="485"/>
      <c r="BC58" s="485"/>
      <c r="BD58" s="617">
        <f>'[5]сентябрь 20'!$F$38</f>
        <v>1056.06</v>
      </c>
      <c r="BE58" s="618"/>
    </row>
    <row r="59" spans="1:57" ht="16.5" thickBot="1">
      <c r="A59" s="100"/>
      <c r="B59" s="100"/>
      <c r="C59" s="100"/>
      <c r="D59" s="102"/>
      <c r="E59" s="100"/>
      <c r="F59" s="100"/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  <c r="AE59" s="100"/>
      <c r="AF59" s="100"/>
      <c r="AG59" s="100"/>
      <c r="AH59" s="100"/>
      <c r="AI59" s="100"/>
      <c r="AJ59" s="100"/>
      <c r="AK59" s="100"/>
      <c r="AL59" s="100"/>
      <c r="AM59" s="100"/>
      <c r="AN59" s="100"/>
      <c r="AO59" s="100"/>
      <c r="AP59" s="100"/>
      <c r="AQ59" s="100"/>
      <c r="AR59" s="100"/>
      <c r="AS59" s="100"/>
      <c r="AT59" s="100"/>
      <c r="AU59" s="100"/>
      <c r="AV59" s="100"/>
      <c r="AW59" s="100"/>
      <c r="AX59" s="100"/>
      <c r="AY59" s="100"/>
      <c r="AZ59" s="484" t="s">
        <v>341</v>
      </c>
      <c r="BA59" s="485"/>
      <c r="BB59" s="485"/>
      <c r="BC59" s="485"/>
      <c r="BD59" s="619">
        <f>'[5]сентябрь 20'!$B$38</f>
        <v>1056.06</v>
      </c>
      <c r="BE59" s="620"/>
    </row>
    <row r="60" spans="1:57" ht="16.5" thickBot="1">
      <c r="A60" s="100"/>
      <c r="B60" s="100"/>
      <c r="C60" s="100"/>
      <c r="D60" s="102"/>
      <c r="E60" s="100"/>
      <c r="F60" s="100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  <c r="AE60" s="100"/>
      <c r="AF60" s="100"/>
      <c r="AG60" s="100"/>
      <c r="AH60" s="100"/>
      <c r="AI60" s="100"/>
      <c r="AJ60" s="100"/>
      <c r="AK60" s="100"/>
      <c r="AL60" s="100"/>
      <c r="AM60" s="100"/>
      <c r="AN60" s="100"/>
      <c r="AO60" s="100"/>
      <c r="AP60" s="100"/>
      <c r="AQ60" s="100"/>
      <c r="AR60" s="100"/>
      <c r="AS60" s="100"/>
      <c r="AT60" s="100"/>
      <c r="AU60" s="100"/>
      <c r="AV60" s="100"/>
      <c r="AW60" s="100"/>
      <c r="AX60" s="100"/>
      <c r="AY60" s="100"/>
      <c r="AZ60" s="486" t="s">
        <v>342</v>
      </c>
      <c r="BA60" s="487"/>
      <c r="BB60" s="487"/>
      <c r="BC60" s="487"/>
      <c r="BD60" s="621">
        <f>BD59-BD58</f>
        <v>0</v>
      </c>
      <c r="BE60" s="622"/>
    </row>
    <row r="61" spans="1:57">
      <c r="A61" s="100"/>
      <c r="B61" s="100"/>
      <c r="C61" s="100"/>
      <c r="D61" s="102"/>
      <c r="E61" s="100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/>
      <c r="AE61" s="100"/>
      <c r="AF61" s="100"/>
      <c r="AG61" s="100"/>
      <c r="AH61" s="100"/>
      <c r="AI61" s="100"/>
      <c r="AJ61" s="100"/>
      <c r="AK61" s="100"/>
      <c r="AL61" s="100"/>
      <c r="AM61" s="100"/>
      <c r="AN61" s="100"/>
      <c r="AO61" s="100"/>
      <c r="AP61" s="100"/>
      <c r="AQ61" s="100"/>
      <c r="AR61" s="100"/>
      <c r="AS61" s="100"/>
      <c r="AT61" s="100"/>
      <c r="AU61" s="100"/>
      <c r="AV61" s="100"/>
      <c r="AW61" s="100"/>
      <c r="AX61" s="100"/>
      <c r="AY61" s="100"/>
      <c r="AZ61" s="100"/>
      <c r="BA61" s="100"/>
      <c r="BB61" s="100"/>
      <c r="BC61" s="100"/>
      <c r="BD61" s="100"/>
      <c r="BE61" s="100"/>
    </row>
    <row r="62" spans="1:57">
      <c r="A62" s="100"/>
      <c r="B62" s="100"/>
      <c r="C62" s="100"/>
      <c r="D62" s="102"/>
      <c r="E62" s="100"/>
      <c r="F62" s="100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100"/>
      <c r="AC62" s="100"/>
      <c r="AD62" s="100"/>
      <c r="AE62" s="100"/>
      <c r="AF62" s="100"/>
      <c r="AG62" s="100"/>
      <c r="AH62" s="100"/>
      <c r="AI62" s="100"/>
      <c r="AJ62" s="100"/>
      <c r="AK62" s="100"/>
      <c r="AL62" s="100"/>
      <c r="AM62" s="100"/>
      <c r="AN62" s="100"/>
      <c r="AO62" s="100"/>
      <c r="AP62" s="100"/>
      <c r="AQ62" s="100"/>
      <c r="AR62" s="100"/>
      <c r="AS62" s="100"/>
      <c r="AT62" s="100"/>
      <c r="AU62" s="100"/>
      <c r="AV62" s="100"/>
      <c r="AW62" s="100"/>
      <c r="AX62" s="100"/>
      <c r="AY62" s="100"/>
      <c r="AZ62" s="100"/>
      <c r="BA62" s="100"/>
      <c r="BB62" s="100"/>
      <c r="BC62" s="100"/>
      <c r="BD62" s="100"/>
      <c r="BE62" s="100"/>
    </row>
    <row r="63" spans="1:57">
      <c r="A63" s="100"/>
      <c r="B63" s="100"/>
      <c r="C63" s="100"/>
      <c r="D63" s="102"/>
      <c r="E63" s="100"/>
      <c r="F63" s="100"/>
      <c r="G63" s="100"/>
      <c r="H63" s="100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  <c r="AA63" s="100"/>
      <c r="AB63" s="100"/>
      <c r="AC63" s="100"/>
      <c r="AD63" s="100"/>
      <c r="AE63" s="100"/>
      <c r="AF63" s="100"/>
      <c r="AG63" s="100"/>
      <c r="AH63" s="100"/>
      <c r="AI63" s="100"/>
      <c r="AJ63" s="100"/>
      <c r="AK63" s="100"/>
      <c r="AL63" s="100"/>
      <c r="AM63" s="100"/>
      <c r="AN63" s="100"/>
      <c r="AO63" s="100"/>
      <c r="AP63" s="100"/>
      <c r="AQ63" s="100"/>
      <c r="AR63" s="100"/>
      <c r="AS63" s="100"/>
      <c r="AT63" s="100"/>
      <c r="AU63" s="100"/>
      <c r="AV63" s="100"/>
      <c r="AW63" s="100"/>
      <c r="AX63" s="100"/>
      <c r="AY63" s="100"/>
      <c r="AZ63" s="100"/>
      <c r="BA63" s="100"/>
      <c r="BB63" s="100"/>
      <c r="BC63" s="100"/>
      <c r="BD63" s="100"/>
      <c r="BE63" s="100"/>
    </row>
    <row r="64" spans="1:57">
      <c r="A64" s="100"/>
      <c r="B64" s="100"/>
      <c r="C64" s="100"/>
      <c r="D64" s="102"/>
      <c r="E64" s="100"/>
      <c r="F64" s="100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  <c r="AE64" s="100"/>
      <c r="AF64" s="100"/>
      <c r="AG64" s="100"/>
      <c r="AH64" s="100"/>
      <c r="AI64" s="100"/>
      <c r="AJ64" s="100"/>
      <c r="AK64" s="100"/>
      <c r="AL64" s="100"/>
      <c r="AM64" s="100"/>
      <c r="AN64" s="100"/>
      <c r="AO64" s="100"/>
      <c r="AP64" s="100"/>
      <c r="AQ64" s="100"/>
      <c r="AR64" s="100"/>
      <c r="AS64" s="100"/>
      <c r="AT64" s="100"/>
      <c r="AU64" s="100"/>
      <c r="AV64" s="100"/>
      <c r="AW64" s="100"/>
      <c r="AX64" s="100"/>
      <c r="AY64" s="100"/>
      <c r="AZ64" s="100"/>
      <c r="BA64" s="100"/>
      <c r="BB64" s="100"/>
      <c r="BC64" s="100"/>
      <c r="BD64" s="100"/>
      <c r="BE64" s="100"/>
    </row>
    <row r="65" spans="1:57">
      <c r="A65" s="100"/>
      <c r="B65" s="100"/>
      <c r="C65" s="100"/>
      <c r="D65" s="102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/>
      <c r="AE65" s="100"/>
      <c r="AF65" s="100"/>
      <c r="AG65" s="100"/>
      <c r="AH65" s="100"/>
      <c r="AI65" s="100"/>
      <c r="AJ65" s="100"/>
      <c r="AK65" s="100"/>
      <c r="AL65" s="100"/>
      <c r="AM65" s="100"/>
      <c r="AN65" s="100"/>
      <c r="AO65" s="100"/>
      <c r="AP65" s="100"/>
      <c r="AQ65" s="100"/>
      <c r="AR65" s="100"/>
      <c r="AS65" s="100"/>
      <c r="AT65" s="100"/>
      <c r="AU65" s="100"/>
      <c r="AV65" s="100"/>
      <c r="AW65" s="100"/>
      <c r="AX65" s="100"/>
      <c r="AY65" s="100"/>
      <c r="AZ65" s="100"/>
      <c r="BA65" s="100"/>
      <c r="BB65" s="100"/>
      <c r="BC65" s="100"/>
      <c r="BD65" s="100"/>
      <c r="BE65" s="100"/>
    </row>
    <row r="66" spans="1:57">
      <c r="A66" s="100"/>
      <c r="B66" s="100"/>
      <c r="C66" s="100"/>
      <c r="D66" s="102"/>
      <c r="E66" s="100"/>
      <c r="F66" s="100"/>
      <c r="G66" s="100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/>
      <c r="AE66" s="100"/>
      <c r="AF66" s="100"/>
      <c r="AG66" s="100"/>
      <c r="AH66" s="100"/>
      <c r="AI66" s="100"/>
      <c r="AJ66" s="100"/>
      <c r="AK66" s="100"/>
      <c r="AL66" s="100"/>
      <c r="AM66" s="100"/>
      <c r="AN66" s="100"/>
      <c r="AO66" s="100"/>
      <c r="AP66" s="100"/>
      <c r="AQ66" s="100"/>
      <c r="AR66" s="100"/>
      <c r="AS66" s="100"/>
      <c r="AT66" s="100"/>
      <c r="AU66" s="100"/>
      <c r="AV66" s="100"/>
      <c r="AW66" s="100"/>
      <c r="AX66" s="100"/>
      <c r="AY66" s="100"/>
      <c r="AZ66" s="100"/>
      <c r="BA66" s="100"/>
      <c r="BB66" s="100"/>
      <c r="BC66" s="100"/>
      <c r="BD66" s="100"/>
      <c r="BE66" s="100"/>
    </row>
    <row r="67" spans="1:57">
      <c r="A67" s="100"/>
      <c r="B67" s="100"/>
      <c r="C67" s="100"/>
      <c r="D67" s="102"/>
      <c r="E67" s="100"/>
      <c r="F67" s="100"/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  <c r="AD67" s="100"/>
      <c r="AE67" s="100"/>
      <c r="AF67" s="100"/>
      <c r="AG67" s="100"/>
      <c r="AH67" s="100"/>
      <c r="AI67" s="100"/>
      <c r="AJ67" s="100"/>
      <c r="AK67" s="100"/>
      <c r="AL67" s="100"/>
      <c r="AM67" s="100"/>
      <c r="AN67" s="100"/>
      <c r="AO67" s="100"/>
      <c r="AP67" s="100"/>
      <c r="AQ67" s="100"/>
      <c r="AR67" s="100"/>
      <c r="AS67" s="100"/>
      <c r="AT67" s="100"/>
      <c r="AU67" s="100"/>
      <c r="AV67" s="100"/>
      <c r="AW67" s="100"/>
      <c r="AX67" s="100"/>
      <c r="AY67" s="100"/>
      <c r="AZ67" s="100"/>
      <c r="BA67" s="100"/>
      <c r="BB67" s="100"/>
      <c r="BC67" s="100"/>
      <c r="BD67" s="100"/>
      <c r="BE67" s="100"/>
    </row>
    <row r="68" spans="1:57">
      <c r="A68" s="100"/>
      <c r="B68" s="100"/>
      <c r="C68" s="100"/>
      <c r="D68" s="102"/>
      <c r="E68" s="100"/>
      <c r="F68" s="100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  <c r="AI68" s="100"/>
      <c r="AJ68" s="100"/>
      <c r="AK68" s="100"/>
      <c r="AL68" s="100"/>
      <c r="AM68" s="100"/>
      <c r="AN68" s="100"/>
      <c r="AO68" s="100"/>
      <c r="AP68" s="100"/>
      <c r="AQ68" s="100"/>
      <c r="AR68" s="100"/>
      <c r="AS68" s="100"/>
      <c r="AT68" s="100"/>
      <c r="AU68" s="100"/>
      <c r="AV68" s="100"/>
      <c r="AW68" s="100"/>
      <c r="AX68" s="100"/>
      <c r="AY68" s="100"/>
      <c r="AZ68" s="100"/>
      <c r="BA68" s="100"/>
      <c r="BB68" s="100"/>
      <c r="BC68" s="100"/>
      <c r="BD68" s="100"/>
      <c r="BE68" s="100"/>
    </row>
    <row r="69" spans="1:57">
      <c r="A69" s="100"/>
      <c r="B69" s="100"/>
      <c r="C69" s="100"/>
      <c r="D69" s="102"/>
      <c r="E69" s="100"/>
      <c r="F69" s="100"/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100"/>
      <c r="AC69" s="100"/>
      <c r="AD69" s="100"/>
      <c r="AE69" s="100"/>
      <c r="AF69" s="100"/>
      <c r="AG69" s="100"/>
      <c r="AH69" s="100"/>
      <c r="AI69" s="100"/>
      <c r="AJ69" s="100"/>
      <c r="AK69" s="100"/>
      <c r="AL69" s="100"/>
      <c r="AM69" s="100"/>
      <c r="AN69" s="100"/>
      <c r="AO69" s="100"/>
      <c r="AP69" s="100"/>
      <c r="AQ69" s="100"/>
      <c r="AR69" s="100"/>
      <c r="AS69" s="100"/>
      <c r="AT69" s="100"/>
      <c r="AU69" s="100"/>
      <c r="AV69" s="100"/>
      <c r="AW69" s="100"/>
      <c r="AX69" s="100"/>
      <c r="AY69" s="100"/>
      <c r="AZ69" s="100"/>
      <c r="BA69" s="100"/>
      <c r="BB69" s="100"/>
      <c r="BC69" s="100"/>
      <c r="BD69" s="100"/>
      <c r="BE69" s="100"/>
    </row>
    <row r="70" spans="1:57">
      <c r="A70" s="100"/>
      <c r="B70" s="100"/>
      <c r="C70" s="100"/>
      <c r="D70" s="102"/>
      <c r="E70" s="100"/>
      <c r="F70" s="100"/>
      <c r="G70" s="100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  <c r="AE70" s="100"/>
      <c r="AF70" s="100"/>
      <c r="AG70" s="100"/>
      <c r="AH70" s="100"/>
      <c r="AI70" s="100"/>
      <c r="AJ70" s="100"/>
      <c r="AK70" s="100"/>
      <c r="AL70" s="100"/>
      <c r="AM70" s="100"/>
      <c r="AN70" s="100"/>
      <c r="AO70" s="100"/>
      <c r="AP70" s="100"/>
      <c r="AQ70" s="100"/>
      <c r="AR70" s="100"/>
      <c r="AS70" s="100"/>
      <c r="AT70" s="100"/>
      <c r="AU70" s="100"/>
      <c r="AV70" s="100"/>
      <c r="AW70" s="100"/>
      <c r="AX70" s="100"/>
      <c r="AY70" s="100"/>
      <c r="AZ70" s="100"/>
      <c r="BA70" s="100"/>
      <c r="BB70" s="100"/>
      <c r="BC70" s="100"/>
      <c r="BD70" s="100"/>
      <c r="BE70" s="100"/>
    </row>
    <row r="71" spans="1:57" ht="18" customHeight="1">
      <c r="A71" s="318" t="s">
        <v>70</v>
      </c>
      <c r="B71" s="319"/>
      <c r="C71" s="318"/>
      <c r="D71" s="318"/>
      <c r="E71" s="318"/>
      <c r="F71" s="318"/>
      <c r="G71" s="318"/>
      <c r="H71" s="318"/>
      <c r="I71" s="318"/>
      <c r="J71" s="320"/>
      <c r="K71" s="320"/>
      <c r="L71" s="605" t="s">
        <v>327</v>
      </c>
      <c r="M71" s="605"/>
      <c r="N71" s="605"/>
      <c r="O71" s="605"/>
      <c r="P71" s="605"/>
      <c r="Q71" s="605"/>
      <c r="R71" s="109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/>
      <c r="AE71" s="100"/>
      <c r="AF71" s="100"/>
      <c r="AG71" s="100"/>
      <c r="AH71" s="100"/>
      <c r="AI71" s="100"/>
      <c r="AJ71" s="100"/>
      <c r="AK71" s="100"/>
      <c r="AL71" s="100"/>
      <c r="AM71" s="100"/>
      <c r="AN71" s="100"/>
      <c r="AO71" s="100"/>
      <c r="AP71" s="100"/>
      <c r="AQ71" s="100"/>
      <c r="AR71" s="100"/>
      <c r="AS71" s="100"/>
      <c r="AT71" s="100"/>
      <c r="AU71" s="100"/>
      <c r="AV71" s="100"/>
      <c r="AW71" s="100"/>
      <c r="AX71" s="100"/>
      <c r="AY71" s="100"/>
      <c r="AZ71" s="100"/>
      <c r="BA71" s="100"/>
      <c r="BB71" s="100"/>
      <c r="BC71" s="100"/>
      <c r="BD71" s="100"/>
      <c r="BE71" s="100"/>
    </row>
    <row r="72" spans="1:57" ht="15">
      <c r="A72" s="118"/>
      <c r="B72" s="118"/>
      <c r="C72" s="119"/>
      <c r="D72" s="120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  <c r="AE72" s="100"/>
      <c r="AF72" s="100"/>
      <c r="AG72" s="100"/>
      <c r="AH72" s="100"/>
      <c r="AI72" s="100"/>
      <c r="AJ72" s="100"/>
      <c r="AK72" s="100"/>
      <c r="AL72" s="100"/>
      <c r="AM72" s="100"/>
      <c r="AN72" s="100"/>
      <c r="AO72" s="100"/>
      <c r="AP72" s="100"/>
      <c r="AQ72" s="100"/>
      <c r="AR72" s="100"/>
      <c r="AS72" s="100"/>
      <c r="AT72" s="100"/>
      <c r="AU72" s="100"/>
      <c r="AV72" s="100"/>
      <c r="AW72" s="100"/>
      <c r="AX72" s="100"/>
      <c r="AY72" s="100"/>
      <c r="AZ72" s="100"/>
      <c r="BA72" s="100"/>
      <c r="BB72" s="100"/>
      <c r="BC72" s="100"/>
      <c r="BD72" s="100"/>
      <c r="BE72" s="100"/>
    </row>
    <row r="73" spans="1:57" ht="15.75">
      <c r="A73" s="100"/>
      <c r="B73" s="100"/>
      <c r="C73" s="100"/>
      <c r="D73" s="102"/>
      <c r="E73" s="100"/>
      <c r="F73" s="100"/>
      <c r="G73" s="100"/>
      <c r="H73" s="100"/>
      <c r="I73" s="100"/>
      <c r="J73" s="100"/>
      <c r="K73" s="100"/>
      <c r="L73" s="111"/>
      <c r="M73" s="111"/>
      <c r="N73" s="111"/>
      <c r="O73" s="111"/>
      <c r="P73" s="111"/>
      <c r="Q73" s="111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00"/>
      <c r="AK73" s="100"/>
      <c r="AL73" s="100"/>
      <c r="AM73" s="100"/>
      <c r="AN73" s="100"/>
      <c r="AO73" s="100"/>
      <c r="AP73" s="100"/>
      <c r="AQ73" s="100"/>
      <c r="AR73" s="100"/>
      <c r="AS73" s="100"/>
      <c r="AT73" s="100"/>
      <c r="AU73" s="100"/>
      <c r="AV73" s="100"/>
      <c r="AW73" s="100"/>
      <c r="AX73" s="100"/>
      <c r="AY73" s="100"/>
      <c r="AZ73" s="100"/>
      <c r="BA73" s="100"/>
      <c r="BB73" s="100"/>
      <c r="BC73" s="100"/>
      <c r="BD73" s="100"/>
      <c r="BE73" s="100"/>
    </row>
    <row r="74" spans="1:57">
      <c r="A74" s="100"/>
      <c r="B74" s="100"/>
      <c r="C74" s="100"/>
      <c r="D74" s="102"/>
      <c r="E74" s="100"/>
      <c r="F74" s="100"/>
      <c r="G74" s="100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00"/>
      <c r="AK74" s="100"/>
      <c r="AL74" s="100"/>
      <c r="AM74" s="100"/>
      <c r="AN74" s="100"/>
      <c r="AO74" s="100"/>
      <c r="AP74" s="100"/>
      <c r="AQ74" s="100"/>
      <c r="AR74" s="100"/>
      <c r="AS74" s="100"/>
      <c r="AT74" s="100"/>
      <c r="AU74" s="100"/>
      <c r="AV74" s="100"/>
      <c r="AW74" s="100"/>
      <c r="AX74" s="100"/>
      <c r="AY74" s="100"/>
      <c r="AZ74" s="100"/>
      <c r="BA74" s="100"/>
      <c r="BB74" s="100"/>
      <c r="BC74" s="100"/>
      <c r="BD74" s="100"/>
      <c r="BE74" s="100"/>
    </row>
    <row r="75" spans="1:57">
      <c r="A75" s="100"/>
      <c r="B75" s="100"/>
      <c r="C75" s="100"/>
      <c r="D75" s="102"/>
      <c r="E75" s="100"/>
      <c r="F75" s="100"/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  <c r="AD75" s="100"/>
      <c r="AE75" s="100"/>
      <c r="AF75" s="100"/>
      <c r="AG75" s="100"/>
      <c r="AH75" s="100"/>
      <c r="AI75" s="100"/>
      <c r="AJ75" s="100"/>
      <c r="AK75" s="100"/>
      <c r="AL75" s="100"/>
      <c r="AM75" s="100"/>
      <c r="AN75" s="100"/>
      <c r="AO75" s="100"/>
      <c r="AP75" s="100"/>
      <c r="AQ75" s="100"/>
      <c r="AR75" s="100"/>
      <c r="AS75" s="100"/>
      <c r="AT75" s="100"/>
      <c r="AU75" s="100"/>
      <c r="AV75" s="100"/>
      <c r="AW75" s="100"/>
      <c r="AX75" s="100"/>
      <c r="AY75" s="100"/>
      <c r="AZ75" s="100"/>
      <c r="BA75" s="100"/>
      <c r="BB75" s="100"/>
      <c r="BC75" s="100"/>
      <c r="BD75" s="100"/>
      <c r="BE75" s="100"/>
    </row>
    <row r="77" spans="1:57">
      <c r="AY77" t="s">
        <v>302</v>
      </c>
    </row>
  </sheetData>
  <sheetProtection selectLockedCells="1" selectUnlockedCells="1"/>
  <mergeCells count="81">
    <mergeCell ref="AE3:AF4"/>
    <mergeCell ref="AG3:AI4"/>
    <mergeCell ref="AI5:AI6"/>
    <mergeCell ref="AY2:BC2"/>
    <mergeCell ref="A3:A6"/>
    <mergeCell ref="B3:G3"/>
    <mergeCell ref="H3:P3"/>
    <mergeCell ref="Q3:U3"/>
    <mergeCell ref="V3:V6"/>
    <mergeCell ref="W3:W6"/>
    <mergeCell ref="X3:X6"/>
    <mergeCell ref="Y3:Y6"/>
    <mergeCell ref="Z3:Z6"/>
    <mergeCell ref="P4:P6"/>
    <mergeCell ref="L4:L6"/>
    <mergeCell ref="M4:M6"/>
    <mergeCell ref="CJ3:CM5"/>
    <mergeCell ref="B4:B6"/>
    <mergeCell ref="C4:C6"/>
    <mergeCell ref="D4:D6"/>
    <mergeCell ref="E4:E6"/>
    <mergeCell ref="F4:F6"/>
    <mergeCell ref="G4:G6"/>
    <mergeCell ref="H4:H6"/>
    <mergeCell ref="I4:I6"/>
    <mergeCell ref="J4:J6"/>
    <mergeCell ref="BD3:BD6"/>
    <mergeCell ref="BE3:BE6"/>
    <mergeCell ref="BK3:BQ5"/>
    <mergeCell ref="BR3:BX5"/>
    <mergeCell ref="BY3:CE5"/>
    <mergeCell ref="K4:K6"/>
    <mergeCell ref="AA3:AA6"/>
    <mergeCell ref="AB3:AB6"/>
    <mergeCell ref="N4:N6"/>
    <mergeCell ref="O4:O6"/>
    <mergeCell ref="DD4:DH4"/>
    <mergeCell ref="AE5:AE6"/>
    <mergeCell ref="AF5:AF6"/>
    <mergeCell ref="AG5:AG6"/>
    <mergeCell ref="AH5:AH6"/>
    <mergeCell ref="CF3:CI5"/>
    <mergeCell ref="AQ3:AQ6"/>
    <mergeCell ref="AS3:AS6"/>
    <mergeCell ref="AT3:AY4"/>
    <mergeCell ref="AZ3:AZ6"/>
    <mergeCell ref="BA3:BB4"/>
    <mergeCell ref="BC3:BC6"/>
    <mergeCell ref="Q4:Q6"/>
    <mergeCell ref="R4:R6"/>
    <mergeCell ref="S4:S6"/>
    <mergeCell ref="T4:T6"/>
    <mergeCell ref="U4:U6"/>
    <mergeCell ref="AC3:AC6"/>
    <mergeCell ref="AD3:AD6"/>
    <mergeCell ref="DA5:DB5"/>
    <mergeCell ref="CO39:CP39"/>
    <mergeCell ref="CQ39:CU39"/>
    <mergeCell ref="CV39:CY39"/>
    <mergeCell ref="AX5:AX6"/>
    <mergeCell ref="AY5:AY6"/>
    <mergeCell ref="AJ3:AK6"/>
    <mergeCell ref="AL3:AL6"/>
    <mergeCell ref="AM3:AM6"/>
    <mergeCell ref="AN3:AN6"/>
    <mergeCell ref="AO3:AO6"/>
    <mergeCell ref="AP3:AP6"/>
    <mergeCell ref="AT5:AT6"/>
    <mergeCell ref="AW5:AW6"/>
    <mergeCell ref="CO40:CU40"/>
    <mergeCell ref="BD58:BE58"/>
    <mergeCell ref="BD59:BE59"/>
    <mergeCell ref="BD60:BE60"/>
    <mergeCell ref="L71:Q71"/>
    <mergeCell ref="N46:O46"/>
    <mergeCell ref="AZ46:BE47"/>
    <mergeCell ref="AZ48:BC49"/>
    <mergeCell ref="BD48:BD49"/>
    <mergeCell ref="AZ51:BC52"/>
    <mergeCell ref="BD51:BD52"/>
    <mergeCell ref="AT42:AV42"/>
  </mergeCells>
  <printOptions horizontalCentered="1" verticalCentered="1"/>
  <pageMargins left="0" right="0" top="0" bottom="0" header="0" footer="0"/>
  <pageSetup paperSize="9" scale="46" firstPageNumber="0" orientation="landscape" r:id="rId1"/>
  <headerFooter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>
  <dimension ref="A1:DJ77"/>
  <sheetViews>
    <sheetView showZeros="0" zoomScale="90" zoomScaleNormal="90" workbookViewId="0">
      <pane xSplit="1" ySplit="6" topLeftCell="AH34" activePane="bottomRight" state="frozen"/>
      <selection pane="topRight" activeCell="B1" sqref="B1"/>
      <selection pane="bottomLeft" activeCell="A7" sqref="A7"/>
      <selection pane="bottomRight" activeCell="BG57" sqref="BG57"/>
    </sheetView>
  </sheetViews>
  <sheetFormatPr defaultColWidth="8.7109375" defaultRowHeight="12.75"/>
  <cols>
    <col min="1" max="1" width="3.5703125" customWidth="1"/>
    <col min="2" max="2" width="9.7109375" customWidth="1"/>
    <col min="3" max="3" width="6" customWidth="1"/>
    <col min="4" max="4" width="12" style="1" hidden="1" customWidth="1"/>
    <col min="5" max="5" width="7.140625" customWidth="1"/>
    <col min="6" max="6" width="7.5703125" customWidth="1"/>
    <col min="7" max="7" width="7.7109375" customWidth="1"/>
    <col min="8" max="8" width="7.28515625" customWidth="1"/>
    <col min="9" max="9" width="7.42578125" hidden="1" customWidth="1"/>
    <col min="10" max="10" width="9.140625" customWidth="1"/>
    <col min="11" max="11" width="5.5703125" hidden="1" customWidth="1"/>
    <col min="12" max="12" width="8.42578125" customWidth="1"/>
    <col min="13" max="13" width="7.42578125" customWidth="1"/>
    <col min="14" max="14" width="6.140625" customWidth="1"/>
    <col min="15" max="15" width="8.140625" customWidth="1"/>
    <col min="16" max="16" width="9.85546875" hidden="1" customWidth="1"/>
    <col min="17" max="17" width="9.28515625" customWidth="1"/>
    <col min="18" max="18" width="6" customWidth="1"/>
    <col min="19" max="19" width="8.140625" customWidth="1"/>
    <col min="20" max="20" width="9.140625" hidden="1" customWidth="1"/>
    <col min="21" max="21" width="7.140625" customWidth="1"/>
    <col min="22" max="22" width="7.85546875" customWidth="1"/>
    <col min="23" max="23" width="8.28515625" customWidth="1"/>
    <col min="24" max="24" width="6" customWidth="1"/>
    <col min="25" max="25" width="5.42578125" customWidth="1"/>
    <col min="26" max="26" width="6.85546875" customWidth="1"/>
    <col min="27" max="27" width="6.5703125" customWidth="1"/>
    <col min="28" max="28" width="7.5703125" customWidth="1"/>
    <col min="29" max="29" width="6.5703125" customWidth="1"/>
    <col min="30" max="30" width="4.28515625" customWidth="1"/>
    <col min="31" max="32" width="6.85546875" customWidth="1"/>
    <col min="33" max="33" width="0" hidden="1" customWidth="1"/>
    <col min="34" max="34" width="8.42578125" customWidth="1"/>
    <col min="35" max="35" width="7" customWidth="1"/>
    <col min="36" max="36" width="7.85546875" customWidth="1"/>
    <col min="37" max="37" width="0" hidden="1" customWidth="1"/>
    <col min="38" max="38" width="6.7109375" customWidth="1"/>
    <col min="39" max="39" width="7.7109375" customWidth="1"/>
    <col min="40" max="40" width="7" hidden="1" customWidth="1"/>
    <col min="41" max="41" width="9.42578125" customWidth="1"/>
    <col min="42" max="42" width="6.28515625" customWidth="1"/>
    <col min="43" max="43" width="6.85546875" customWidth="1"/>
    <col min="44" max="44" width="0" hidden="1" customWidth="1"/>
    <col min="45" max="45" width="6.7109375" customWidth="1"/>
    <col min="46" max="46" width="9.7109375" customWidth="1"/>
    <col min="47" max="47" width="7" customWidth="1"/>
    <col min="48" max="48" width="0" hidden="1" customWidth="1"/>
    <col min="49" max="49" width="6.140625" hidden="1" customWidth="1"/>
    <col min="50" max="50" width="5.140625" hidden="1" customWidth="1"/>
    <col min="51" max="51" width="8.42578125" customWidth="1"/>
    <col min="52" max="52" width="10" customWidth="1"/>
    <col min="53" max="53" width="8.7109375" hidden="1" customWidth="1"/>
    <col min="54" max="54" width="3.85546875" hidden="1" customWidth="1"/>
    <col min="55" max="55" width="6.5703125" customWidth="1"/>
    <col min="56" max="56" width="6.140625" customWidth="1"/>
    <col min="57" max="57" width="6.7109375" customWidth="1"/>
    <col min="58" max="58" width="8.85546875" customWidth="1"/>
    <col min="59" max="59" width="7.85546875" customWidth="1"/>
    <col min="60" max="60" width="9.85546875" customWidth="1"/>
    <col min="61" max="62" width="8.7109375" customWidth="1"/>
    <col min="63" max="63" width="10.28515625" customWidth="1"/>
    <col min="64" max="64" width="10.85546875" customWidth="1"/>
    <col min="65" max="65" width="10.7109375" customWidth="1"/>
    <col min="66" max="66" width="11.28515625" customWidth="1"/>
    <col min="67" max="68" width="8.85546875" customWidth="1"/>
    <col min="69" max="69" width="11.28515625" customWidth="1"/>
    <col min="70" max="70" width="7.7109375" customWidth="1"/>
    <col min="71" max="71" width="10" customWidth="1"/>
    <col min="72" max="72" width="8.85546875" customWidth="1"/>
    <col min="73" max="73" width="10.140625" customWidth="1"/>
    <col min="74" max="75" width="8.85546875" customWidth="1"/>
    <col min="76" max="76" width="10.85546875" customWidth="1"/>
    <col min="77" max="78" width="8.7109375" customWidth="1"/>
    <col min="79" max="79" width="10" customWidth="1"/>
    <col min="80" max="80" width="10.42578125" customWidth="1"/>
    <col min="81" max="82" width="8.42578125" customWidth="1"/>
    <col min="83" max="83" width="9.85546875" customWidth="1"/>
    <col min="84" max="85" width="11.42578125" customWidth="1"/>
    <col min="86" max="86" width="11.140625" customWidth="1"/>
    <col min="87" max="87" width="11.28515625" customWidth="1"/>
    <col min="88" max="89" width="10" customWidth="1"/>
    <col min="90" max="90" width="8.7109375" customWidth="1"/>
    <col min="91" max="91" width="11.85546875" customWidth="1"/>
    <col min="92" max="92" width="8.7109375" customWidth="1"/>
    <col min="93" max="93" width="12.140625" customWidth="1"/>
    <col min="94" max="94" width="12.5703125" customWidth="1"/>
    <col min="95" max="95" width="11.7109375" customWidth="1"/>
    <col min="96" max="98" width="12.28515625" customWidth="1"/>
    <col min="99" max="99" width="13.28515625" customWidth="1"/>
    <col min="100" max="100" width="12.85546875" customWidth="1"/>
    <col min="101" max="101" width="13.42578125" customWidth="1"/>
    <col min="102" max="103" width="12.5703125" customWidth="1"/>
    <col min="104" max="104" width="9.5703125" customWidth="1"/>
    <col min="105" max="105" width="19.140625" customWidth="1"/>
    <col min="106" max="106" width="19.42578125" customWidth="1"/>
    <col min="111" max="111" width="8.7109375" hidden="1" customWidth="1"/>
    <col min="112" max="112" width="9" bestFit="1" customWidth="1"/>
    <col min="114" max="114" width="9.5703125" bestFit="1" customWidth="1"/>
  </cols>
  <sheetData>
    <row r="1" spans="1:114" ht="17.25" customHeight="1">
      <c r="A1" s="310" t="s">
        <v>0</v>
      </c>
      <c r="B1" s="310"/>
      <c r="C1" s="310"/>
      <c r="D1" s="311"/>
      <c r="E1" s="310"/>
      <c r="F1" s="310"/>
      <c r="G1" s="310"/>
      <c r="H1" s="310"/>
      <c r="I1" s="310"/>
      <c r="J1" s="310"/>
      <c r="K1" s="310"/>
      <c r="L1" s="310"/>
      <c r="M1" s="310"/>
      <c r="N1" s="310"/>
      <c r="O1" s="310"/>
      <c r="P1" s="77"/>
      <c r="Q1" s="77"/>
      <c r="R1" s="77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</row>
    <row r="2" spans="1:114" ht="19.5" customHeight="1" thickBot="1">
      <c r="A2" s="22"/>
      <c r="B2" s="78"/>
      <c r="C2" s="78"/>
      <c r="D2" s="79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80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80"/>
      <c r="AT2" s="312" t="s">
        <v>1</v>
      </c>
      <c r="AU2" s="313">
        <v>31</v>
      </c>
      <c r="AV2" s="314"/>
      <c r="AW2" s="314"/>
      <c r="AX2" s="315" t="s">
        <v>81</v>
      </c>
      <c r="AY2" s="556" t="s">
        <v>405</v>
      </c>
      <c r="AZ2" s="556"/>
      <c r="BA2" s="556"/>
      <c r="BB2" s="556"/>
      <c r="BC2" s="556"/>
      <c r="BD2" s="316" t="s">
        <v>107</v>
      </c>
      <c r="BE2" s="317"/>
    </row>
    <row r="3" spans="1:114" ht="39.75" customHeight="1" thickBot="1">
      <c r="A3" s="557" t="s">
        <v>3</v>
      </c>
      <c r="B3" s="558" t="s">
        <v>71</v>
      </c>
      <c r="C3" s="558"/>
      <c r="D3" s="558"/>
      <c r="E3" s="558"/>
      <c r="F3" s="558"/>
      <c r="G3" s="558"/>
      <c r="H3" s="554" t="s">
        <v>4</v>
      </c>
      <c r="I3" s="554"/>
      <c r="J3" s="554"/>
      <c r="K3" s="554"/>
      <c r="L3" s="554"/>
      <c r="M3" s="554"/>
      <c r="N3" s="554"/>
      <c r="O3" s="554"/>
      <c r="P3" s="559"/>
      <c r="Q3" s="560" t="s">
        <v>5</v>
      </c>
      <c r="R3" s="561"/>
      <c r="S3" s="561"/>
      <c r="T3" s="561"/>
      <c r="U3" s="562"/>
      <c r="V3" s="563" t="s">
        <v>6</v>
      </c>
      <c r="W3" s="563" t="s">
        <v>7</v>
      </c>
      <c r="X3" s="564" t="s">
        <v>8</v>
      </c>
      <c r="Y3" s="564" t="s">
        <v>9</v>
      </c>
      <c r="Z3" s="564" t="s">
        <v>10</v>
      </c>
      <c r="AA3" s="564" t="s">
        <v>11</v>
      </c>
      <c r="AB3" s="564" t="s">
        <v>12</v>
      </c>
      <c r="AC3" s="564" t="s">
        <v>13</v>
      </c>
      <c r="AD3" s="564" t="s">
        <v>14</v>
      </c>
      <c r="AE3" s="554" t="s">
        <v>15</v>
      </c>
      <c r="AF3" s="554"/>
      <c r="AG3" s="554" t="s">
        <v>16</v>
      </c>
      <c r="AH3" s="554"/>
      <c r="AI3" s="554"/>
      <c r="AJ3" s="593" t="s">
        <v>17</v>
      </c>
      <c r="AK3" s="593"/>
      <c r="AL3" s="564" t="s">
        <v>18</v>
      </c>
      <c r="AM3" s="599" t="s">
        <v>19</v>
      </c>
      <c r="AN3" s="600" t="s">
        <v>95</v>
      </c>
      <c r="AO3" s="603" t="s">
        <v>20</v>
      </c>
      <c r="AP3" s="564" t="s">
        <v>105</v>
      </c>
      <c r="AQ3" s="564" t="s">
        <v>21</v>
      </c>
      <c r="AR3" s="81"/>
      <c r="AS3" s="593" t="s">
        <v>22</v>
      </c>
      <c r="AT3" s="554" t="s">
        <v>23</v>
      </c>
      <c r="AU3" s="554"/>
      <c r="AV3" s="554"/>
      <c r="AW3" s="554"/>
      <c r="AX3" s="554"/>
      <c r="AY3" s="554"/>
      <c r="AZ3" s="564" t="s">
        <v>24</v>
      </c>
      <c r="BA3" s="594" t="s">
        <v>25</v>
      </c>
      <c r="BB3" s="594"/>
      <c r="BC3" s="564" t="s">
        <v>26</v>
      </c>
      <c r="BD3" s="564" t="s">
        <v>27</v>
      </c>
      <c r="BE3" s="572" t="s">
        <v>28</v>
      </c>
      <c r="BF3" s="3"/>
      <c r="BG3" s="3"/>
      <c r="BH3" s="3"/>
      <c r="BI3" s="3"/>
      <c r="BJ3" s="3"/>
      <c r="BK3" s="573" t="s">
        <v>29</v>
      </c>
      <c r="BL3" s="574"/>
      <c r="BM3" s="574"/>
      <c r="BN3" s="574"/>
      <c r="BO3" s="575"/>
      <c r="BP3" s="575"/>
      <c r="BQ3" s="576"/>
      <c r="BR3" s="573" t="s">
        <v>30</v>
      </c>
      <c r="BS3" s="585"/>
      <c r="BT3" s="585"/>
      <c r="BU3" s="585"/>
      <c r="BV3" s="585"/>
      <c r="BW3" s="585"/>
      <c r="BX3" s="586"/>
      <c r="BY3" s="566" t="s">
        <v>31</v>
      </c>
      <c r="BZ3" s="566"/>
      <c r="CA3" s="566"/>
      <c r="CB3" s="566"/>
      <c r="CC3" s="566"/>
      <c r="CD3" s="566"/>
      <c r="CE3" s="566"/>
      <c r="CF3" s="566" t="s">
        <v>87</v>
      </c>
      <c r="CG3" s="566"/>
      <c r="CH3" s="566"/>
      <c r="CI3" s="566"/>
      <c r="CJ3" s="566" t="s">
        <v>32</v>
      </c>
      <c r="CK3" s="566"/>
      <c r="CL3" s="566"/>
      <c r="CM3" s="566"/>
      <c r="CN3" s="4"/>
      <c r="CO3" s="5"/>
      <c r="CP3" s="6"/>
      <c r="CQ3" s="6"/>
    </row>
    <row r="4" spans="1:114" s="7" customFormat="1" ht="30.75" customHeight="1" thickBot="1">
      <c r="A4" s="557"/>
      <c r="B4" s="565" t="s">
        <v>72</v>
      </c>
      <c r="C4" s="613" t="s">
        <v>73</v>
      </c>
      <c r="D4" s="615" t="s">
        <v>33</v>
      </c>
      <c r="E4" s="613" t="s">
        <v>74</v>
      </c>
      <c r="F4" s="569" t="s">
        <v>75</v>
      </c>
      <c r="G4" s="569" t="s">
        <v>34</v>
      </c>
      <c r="H4" s="555" t="s">
        <v>76</v>
      </c>
      <c r="I4" s="570" t="s">
        <v>101</v>
      </c>
      <c r="J4" s="555" t="s">
        <v>89</v>
      </c>
      <c r="K4" s="565" t="s">
        <v>35</v>
      </c>
      <c r="L4" s="565" t="s">
        <v>77</v>
      </c>
      <c r="M4" s="565" t="s">
        <v>78</v>
      </c>
      <c r="N4" s="565" t="s">
        <v>101</v>
      </c>
      <c r="O4" s="565" t="s">
        <v>96</v>
      </c>
      <c r="P4" s="555" t="s">
        <v>79</v>
      </c>
      <c r="Q4" s="555" t="s">
        <v>36</v>
      </c>
      <c r="R4" s="555" t="s">
        <v>32</v>
      </c>
      <c r="S4" s="555" t="s">
        <v>37</v>
      </c>
      <c r="T4" s="555" t="s">
        <v>38</v>
      </c>
      <c r="U4" s="555" t="s">
        <v>39</v>
      </c>
      <c r="V4" s="563"/>
      <c r="W4" s="563"/>
      <c r="X4" s="564"/>
      <c r="Y4" s="564"/>
      <c r="Z4" s="564"/>
      <c r="AA4" s="564"/>
      <c r="AB4" s="564"/>
      <c r="AC4" s="564"/>
      <c r="AD4" s="564"/>
      <c r="AE4" s="554"/>
      <c r="AF4" s="554"/>
      <c r="AG4" s="554"/>
      <c r="AH4" s="554"/>
      <c r="AI4" s="554"/>
      <c r="AJ4" s="593"/>
      <c r="AK4" s="593"/>
      <c r="AL4" s="564"/>
      <c r="AM4" s="599"/>
      <c r="AN4" s="601"/>
      <c r="AO4" s="603"/>
      <c r="AP4" s="564"/>
      <c r="AQ4" s="564"/>
      <c r="AR4" s="82"/>
      <c r="AS4" s="593"/>
      <c r="AT4" s="554"/>
      <c r="AU4" s="554"/>
      <c r="AV4" s="554"/>
      <c r="AW4" s="554"/>
      <c r="AX4" s="554"/>
      <c r="AY4" s="554"/>
      <c r="AZ4" s="564"/>
      <c r="BA4" s="594"/>
      <c r="BB4" s="594"/>
      <c r="BC4" s="564"/>
      <c r="BD4" s="564"/>
      <c r="BE4" s="572"/>
      <c r="BF4" s="3"/>
      <c r="BG4" s="3"/>
      <c r="BH4" s="3"/>
      <c r="BI4" s="3"/>
      <c r="BJ4" s="3"/>
      <c r="BK4" s="577"/>
      <c r="BL4" s="578"/>
      <c r="BM4" s="578"/>
      <c r="BN4" s="578"/>
      <c r="BO4" s="579"/>
      <c r="BP4" s="579"/>
      <c r="BQ4" s="580"/>
      <c r="BR4" s="577"/>
      <c r="BS4" s="566"/>
      <c r="BT4" s="566"/>
      <c r="BU4" s="566"/>
      <c r="BV4" s="566"/>
      <c r="BW4" s="566"/>
      <c r="BX4" s="587"/>
      <c r="BY4" s="566"/>
      <c r="BZ4" s="566"/>
      <c r="CA4" s="566"/>
      <c r="CB4" s="566"/>
      <c r="CC4" s="566"/>
      <c r="CD4" s="566"/>
      <c r="CE4" s="566"/>
      <c r="CF4" s="566"/>
      <c r="CG4" s="566"/>
      <c r="CH4" s="566"/>
      <c r="CI4" s="566"/>
      <c r="CJ4" s="566"/>
      <c r="CK4" s="566"/>
      <c r="CL4" s="566"/>
      <c r="CM4" s="566"/>
      <c r="CN4" s="4"/>
      <c r="CO4" s="6"/>
      <c r="CP4" s="6"/>
      <c r="CQ4" s="262"/>
      <c r="CR4" s="231"/>
      <c r="CS4" s="231"/>
      <c r="CT4" s="231"/>
      <c r="CU4" s="231"/>
      <c r="CV4" s="231"/>
      <c r="CW4" s="231"/>
      <c r="CX4" s="231"/>
      <c r="CY4" s="231"/>
      <c r="DD4" s="590" t="s">
        <v>90</v>
      </c>
      <c r="DE4" s="591"/>
      <c r="DF4" s="591"/>
      <c r="DG4" s="591"/>
      <c r="DH4" s="592"/>
    </row>
    <row r="5" spans="1:114" s="7" customFormat="1" ht="8.25" hidden="1" customHeight="1">
      <c r="A5" s="557"/>
      <c r="B5" s="565"/>
      <c r="C5" s="614"/>
      <c r="D5" s="616"/>
      <c r="E5" s="614"/>
      <c r="F5" s="569"/>
      <c r="G5" s="569"/>
      <c r="H5" s="555"/>
      <c r="I5" s="570"/>
      <c r="J5" s="565"/>
      <c r="K5" s="565"/>
      <c r="L5" s="565"/>
      <c r="M5" s="565"/>
      <c r="N5" s="565"/>
      <c r="O5" s="565"/>
      <c r="P5" s="555"/>
      <c r="Q5" s="555"/>
      <c r="R5" s="555"/>
      <c r="S5" s="555"/>
      <c r="T5" s="555"/>
      <c r="U5" s="555"/>
      <c r="V5" s="563"/>
      <c r="W5" s="563"/>
      <c r="X5" s="564"/>
      <c r="Y5" s="564"/>
      <c r="Z5" s="564"/>
      <c r="AA5" s="564"/>
      <c r="AB5" s="564"/>
      <c r="AC5" s="564"/>
      <c r="AD5" s="564"/>
      <c r="AE5" s="555" t="s">
        <v>40</v>
      </c>
      <c r="AF5" s="555" t="s">
        <v>41</v>
      </c>
      <c r="AG5" s="555" t="s">
        <v>42</v>
      </c>
      <c r="AH5" s="555" t="s">
        <v>40</v>
      </c>
      <c r="AI5" s="555" t="s">
        <v>41</v>
      </c>
      <c r="AJ5" s="593"/>
      <c r="AK5" s="593"/>
      <c r="AL5" s="564"/>
      <c r="AM5" s="599"/>
      <c r="AN5" s="601"/>
      <c r="AO5" s="603"/>
      <c r="AP5" s="564"/>
      <c r="AQ5" s="564"/>
      <c r="AR5" s="83"/>
      <c r="AS5" s="593"/>
      <c r="AT5" s="555" t="s">
        <v>43</v>
      </c>
      <c r="AU5" s="84"/>
      <c r="AV5" s="85"/>
      <c r="AW5" s="598" t="s">
        <v>44</v>
      </c>
      <c r="AX5" s="598" t="s">
        <v>45</v>
      </c>
      <c r="AY5" s="555" t="s">
        <v>46</v>
      </c>
      <c r="AZ5" s="564"/>
      <c r="BA5" s="86" t="s">
        <v>47</v>
      </c>
      <c r="BB5" s="86" t="s">
        <v>48</v>
      </c>
      <c r="BC5" s="564"/>
      <c r="BD5" s="564"/>
      <c r="BE5" s="572"/>
      <c r="BF5" s="3"/>
      <c r="BG5" s="3"/>
      <c r="BH5" s="3"/>
      <c r="BI5" s="3"/>
      <c r="BJ5" s="3"/>
      <c r="BK5" s="581"/>
      <c r="BL5" s="582"/>
      <c r="BM5" s="582"/>
      <c r="BN5" s="582"/>
      <c r="BO5" s="583"/>
      <c r="BP5" s="583"/>
      <c r="BQ5" s="584"/>
      <c r="BR5" s="581"/>
      <c r="BS5" s="588"/>
      <c r="BT5" s="588"/>
      <c r="BU5" s="588"/>
      <c r="BV5" s="588"/>
      <c r="BW5" s="588"/>
      <c r="BX5" s="589"/>
      <c r="BY5" s="567"/>
      <c r="BZ5" s="566"/>
      <c r="CA5" s="566"/>
      <c r="CB5" s="566"/>
      <c r="CC5" s="566"/>
      <c r="CD5" s="566"/>
      <c r="CE5" s="566"/>
      <c r="CF5" s="567"/>
      <c r="CG5" s="567"/>
      <c r="CH5" s="567"/>
      <c r="CI5" s="567"/>
      <c r="CJ5" s="567"/>
      <c r="CK5" s="567"/>
      <c r="CL5" s="567"/>
      <c r="CM5" s="567"/>
      <c r="CN5" s="4"/>
      <c r="CO5"/>
      <c r="CP5"/>
      <c r="CQ5" s="255"/>
      <c r="CR5" s="256"/>
      <c r="CS5" s="256"/>
      <c r="CT5" s="256"/>
      <c r="CU5" s="256"/>
      <c r="CV5" s="257"/>
      <c r="CW5" s="257"/>
      <c r="CX5" s="257"/>
      <c r="CY5" s="258"/>
      <c r="DA5" s="595" t="s">
        <v>49</v>
      </c>
      <c r="DB5" s="595"/>
    </row>
    <row r="6" spans="1:114" s="7" customFormat="1" ht="106.5" customHeight="1" thickBot="1">
      <c r="A6" s="557"/>
      <c r="B6" s="565"/>
      <c r="C6" s="565"/>
      <c r="D6" s="568"/>
      <c r="E6" s="565"/>
      <c r="F6" s="569"/>
      <c r="G6" s="569"/>
      <c r="H6" s="555"/>
      <c r="I6" s="570"/>
      <c r="J6" s="571"/>
      <c r="K6" s="565"/>
      <c r="L6" s="565"/>
      <c r="M6" s="565"/>
      <c r="N6" s="565"/>
      <c r="O6" s="565"/>
      <c r="P6" s="565"/>
      <c r="Q6" s="565"/>
      <c r="R6" s="565"/>
      <c r="S6" s="565"/>
      <c r="T6" s="555"/>
      <c r="U6" s="555"/>
      <c r="V6" s="563"/>
      <c r="W6" s="563"/>
      <c r="X6" s="564"/>
      <c r="Y6" s="564"/>
      <c r="Z6" s="564"/>
      <c r="AA6" s="564"/>
      <c r="AB6" s="564"/>
      <c r="AC6" s="564"/>
      <c r="AD6" s="564"/>
      <c r="AE6" s="555"/>
      <c r="AF6" s="555"/>
      <c r="AG6" s="555"/>
      <c r="AH6" s="555"/>
      <c r="AI6" s="555"/>
      <c r="AJ6" s="593"/>
      <c r="AK6" s="593"/>
      <c r="AL6" s="564"/>
      <c r="AM6" s="599"/>
      <c r="AN6" s="602"/>
      <c r="AO6" s="603"/>
      <c r="AP6" s="564"/>
      <c r="AQ6" s="564"/>
      <c r="AR6" s="514"/>
      <c r="AS6" s="593"/>
      <c r="AT6" s="555"/>
      <c r="AU6" s="513" t="s">
        <v>50</v>
      </c>
      <c r="AV6" s="513" t="s">
        <v>51</v>
      </c>
      <c r="AW6" s="598"/>
      <c r="AX6" s="598"/>
      <c r="AY6" s="555"/>
      <c r="AZ6" s="555"/>
      <c r="BA6" s="87"/>
      <c r="BB6" s="88">
        <v>0.04</v>
      </c>
      <c r="BC6" s="564"/>
      <c r="BD6" s="564"/>
      <c r="BE6" s="572"/>
      <c r="BF6" s="8" t="s">
        <v>52</v>
      </c>
      <c r="BG6" s="8" t="s">
        <v>53</v>
      </c>
      <c r="BH6" s="8" t="s">
        <v>54</v>
      </c>
      <c r="BI6" s="3"/>
      <c r="BJ6" s="3"/>
      <c r="BK6" s="308" t="s">
        <v>100</v>
      </c>
      <c r="BL6" s="280" t="s">
        <v>82</v>
      </c>
      <c r="BM6" s="279" t="s">
        <v>262</v>
      </c>
      <c r="BN6" s="307" t="s">
        <v>421</v>
      </c>
      <c r="BO6" s="308" t="s">
        <v>97</v>
      </c>
      <c r="BP6" s="326" t="s">
        <v>99</v>
      </c>
      <c r="BQ6" s="495" t="s">
        <v>420</v>
      </c>
      <c r="BR6" s="308" t="s">
        <v>100</v>
      </c>
      <c r="BS6" s="280" t="s">
        <v>82</v>
      </c>
      <c r="BT6" s="279" t="s">
        <v>262</v>
      </c>
      <c r="BU6" s="327"/>
      <c r="BV6" s="308" t="s">
        <v>97</v>
      </c>
      <c r="BW6" s="326" t="s">
        <v>99</v>
      </c>
      <c r="BX6" s="306"/>
      <c r="BY6" s="308" t="s">
        <v>100</v>
      </c>
      <c r="BZ6" s="280" t="s">
        <v>82</v>
      </c>
      <c r="CA6" s="279" t="s">
        <v>262</v>
      </c>
      <c r="CB6" s="307" t="s">
        <v>421</v>
      </c>
      <c r="CC6" s="308" t="s">
        <v>97</v>
      </c>
      <c r="CD6" s="326" t="s">
        <v>99</v>
      </c>
      <c r="CE6" s="495" t="s">
        <v>420</v>
      </c>
      <c r="CF6" s="267" t="s">
        <v>106</v>
      </c>
      <c r="CG6" s="268" t="s">
        <v>85</v>
      </c>
      <c r="CH6" s="244" t="s">
        <v>430</v>
      </c>
      <c r="CI6" s="245" t="s">
        <v>408</v>
      </c>
      <c r="CJ6" s="267" t="s">
        <v>106</v>
      </c>
      <c r="CK6" s="268" t="s">
        <v>85</v>
      </c>
      <c r="CL6" s="244" t="s">
        <v>430</v>
      </c>
      <c r="CM6" s="245" t="s">
        <v>408</v>
      </c>
      <c r="CN6" s="243"/>
      <c r="CO6" s="248" t="s">
        <v>100</v>
      </c>
      <c r="CP6" s="10" t="s">
        <v>82</v>
      </c>
      <c r="CQ6" s="264" t="s">
        <v>263</v>
      </c>
      <c r="CR6" s="23" t="s">
        <v>422</v>
      </c>
      <c r="CS6" s="248" t="s">
        <v>98</v>
      </c>
      <c r="CT6" s="248" t="s">
        <v>99</v>
      </c>
      <c r="CU6" s="496" t="s">
        <v>423</v>
      </c>
      <c r="CV6" s="259" t="s">
        <v>106</v>
      </c>
      <c r="CW6" s="248" t="s">
        <v>84</v>
      </c>
      <c r="CX6" s="232" t="s">
        <v>430</v>
      </c>
      <c r="CY6" s="263" t="s">
        <v>408</v>
      </c>
      <c r="CZ6" s="253"/>
      <c r="DA6" s="321" t="s">
        <v>80</v>
      </c>
      <c r="DB6" s="321" t="s">
        <v>55</v>
      </c>
      <c r="DD6" s="288" t="s">
        <v>91</v>
      </c>
      <c r="DE6" s="289" t="s">
        <v>92</v>
      </c>
      <c r="DF6" s="290" t="s">
        <v>93</v>
      </c>
      <c r="DG6" s="290"/>
      <c r="DH6" s="289" t="s">
        <v>94</v>
      </c>
    </row>
    <row r="7" spans="1:114" s="76" customFormat="1" ht="16.5" customHeight="1" thickBot="1">
      <c r="A7" s="121">
        <v>1</v>
      </c>
      <c r="B7" s="122">
        <f>'[1]октябрь 20'!K6</f>
        <v>132.47499999999999</v>
      </c>
      <c r="C7" s="123">
        <f>IF(B7=0,0,(BK7*BR7+BL7*BS7+BM7*BT7+BN7*BU7+BQ7*BX7+BO7*BV7+BP7*BW7)/B7)</f>
        <v>0.69824226389133026</v>
      </c>
      <c r="D7" s="124">
        <f>B7*((100-C7)/100)</f>
        <v>131.55000356090994</v>
      </c>
      <c r="E7" s="125">
        <f>IF(B7=0,0,(BK7*BY7+BL7*BZ7+BM7*CA7+BQ7*CE7+BN7*CB7+BO7*CC7+BP7*CD7)/B7)</f>
        <v>38.261744329118734</v>
      </c>
      <c r="F7" s="126">
        <f t="shared" ref="F7:F37" si="0">IF(AY7=0,0,D7/AY7)</f>
        <v>2.14181054316037</v>
      </c>
      <c r="G7" s="127"/>
      <c r="H7" s="126">
        <f>IF(AY7=0,0,(CP7+CO7+CS7+CQ7+CT7)/AY7)</f>
        <v>1.7525399999999989</v>
      </c>
      <c r="I7" s="230">
        <f>'[1]июль 20'!AI6</f>
        <v>0</v>
      </c>
      <c r="J7" s="517">
        <f>'[1]октябрь 20'!AA6</f>
        <v>5.29</v>
      </c>
      <c r="K7" s="445">
        <f>'[1]сентябрь 20'!AM6</f>
        <v>0</v>
      </c>
      <c r="L7" s="446">
        <f>'[1]октябрь 20'!AE6</f>
        <v>23.908999999999999</v>
      </c>
      <c r="M7" s="399">
        <f>IF(AY7=0,0,(CR7+CU7)/AY7)</f>
        <v>0.38927060828573734</v>
      </c>
      <c r="N7" s="399">
        <f>'[1]октябрь 20'!W6</f>
        <v>0</v>
      </c>
      <c r="O7" s="402">
        <f>'[1]октябрь 20'!AU6</f>
        <v>1.611</v>
      </c>
      <c r="P7" s="125">
        <f t="shared" ref="P7:P37" si="1">CF7+CH7+CI7+CG7</f>
        <v>80.995001999999999</v>
      </c>
      <c r="Q7" s="122">
        <f>'[1]октябрь 20'!S6</f>
        <v>80.995000000000005</v>
      </c>
      <c r="R7" s="123">
        <f>IF(Q7=0,0,(CI7*CM7+CG7*CK7+CH7*CL7+CF7*CJ7)/Q7)</f>
        <v>2.4400000000000244</v>
      </c>
      <c r="S7" s="129">
        <v>16.760000000000002</v>
      </c>
      <c r="T7" s="125">
        <f t="shared" ref="T7:T37" si="2">Q7*((100-R7)/100)</f>
        <v>79.018721999999983</v>
      </c>
      <c r="U7" s="128">
        <f t="shared" ref="U7:U37" si="3">IF(AY7=0,0,T7/AY7)</f>
        <v>1.2865308042982737</v>
      </c>
      <c r="V7" s="130">
        <v>61.42</v>
      </c>
      <c r="W7" s="130">
        <v>61.42</v>
      </c>
      <c r="X7" s="129">
        <v>0.6</v>
      </c>
      <c r="Y7" s="131">
        <v>530</v>
      </c>
      <c r="Z7" s="131">
        <v>1177</v>
      </c>
      <c r="AA7" s="132" t="s">
        <v>413</v>
      </c>
      <c r="AB7" s="129">
        <v>76.12</v>
      </c>
      <c r="AC7" s="131">
        <v>53</v>
      </c>
      <c r="AD7" s="133">
        <v>3</v>
      </c>
      <c r="AE7" s="129"/>
      <c r="AF7" s="134">
        <f t="shared" ref="AF7:AF37" si="4">IF(AY7=0,0,AE7/AY7*1000)</f>
        <v>0</v>
      </c>
      <c r="AG7" s="135"/>
      <c r="AH7" s="129">
        <v>42.9</v>
      </c>
      <c r="AI7" s="134">
        <f t="shared" ref="AI7:AI37" si="5">IF(AY7=0,0,AH7/AY7*1000)</f>
        <v>698.46955389124059</v>
      </c>
      <c r="AJ7" s="136">
        <v>10.18</v>
      </c>
      <c r="AK7" s="127"/>
      <c r="AL7" s="137">
        <v>9.18</v>
      </c>
      <c r="AM7" s="478">
        <v>24.75</v>
      </c>
      <c r="AN7" s="126">
        <f>IF(AM7=0,0,AM7/AT7)</f>
        <v>0.2751528627015008</v>
      </c>
      <c r="AO7" s="139" t="s">
        <v>412</v>
      </c>
      <c r="AP7" s="138">
        <v>7.4</v>
      </c>
      <c r="AQ7" s="138">
        <v>8.23</v>
      </c>
      <c r="AR7" s="129"/>
      <c r="AS7" s="129">
        <v>8.9700000000000006</v>
      </c>
      <c r="AT7" s="129">
        <v>89.95</v>
      </c>
      <c r="AU7" s="129">
        <v>5.4</v>
      </c>
      <c r="AV7" s="129"/>
      <c r="AW7" s="129"/>
      <c r="AX7" s="140">
        <f t="shared" ref="AX7:AX37" si="6">IF(AY7=0,0,AW7/AY7*100)</f>
        <v>0</v>
      </c>
      <c r="AY7" s="125">
        <f t="shared" ref="AY7:AY37" si="7">AT7-AL7-AM7+AV7+AW7+AU7</f>
        <v>61.420000000000009</v>
      </c>
      <c r="AZ7" s="125">
        <f>IF(AB7=0,0,((D7*0.97)*(E7/100)*0.9)/(AB7/100))+DH7</f>
        <v>58.408359590698048</v>
      </c>
      <c r="BA7" s="141">
        <f t="shared" ref="BA7:BA37" si="8">(AH7*AS7)/100*(55/71)</f>
        <v>2.9809457746478869</v>
      </c>
      <c r="BB7" s="142">
        <f t="shared" ref="BB7:BB37" si="9">AY7*$BB$6</f>
        <v>2.4568000000000003</v>
      </c>
      <c r="BC7" s="122">
        <f t="shared" ref="BC7:BC37" si="10">IF((D7*E7)=0,0,(AY7*AB7)/(D7*E7))</f>
        <v>0.92886577720949126</v>
      </c>
      <c r="BD7" s="142">
        <f>BA7+BB7</f>
        <v>5.4377457746478868</v>
      </c>
      <c r="BE7" s="143">
        <v>0.92900000000000005</v>
      </c>
      <c r="BF7" s="25">
        <f>AY7</f>
        <v>61.420000000000009</v>
      </c>
      <c r="BG7" s="25">
        <f t="shared" ref="BG7:BG37" si="11">IF(A7&lt;=$BE$43,$AT$43,0)</f>
        <v>125.80645161290323</v>
      </c>
      <c r="BH7" s="25">
        <f>BG7</f>
        <v>125.80645161290323</v>
      </c>
      <c r="BI7" s="26">
        <f t="shared" ref="BI7:BI37" si="12">IF(AY7&lt;&gt;0,1,0)</f>
        <v>1</v>
      </c>
      <c r="BJ7" s="27">
        <f>BG7*BI7</f>
        <v>125.80645161290323</v>
      </c>
      <c r="BK7" s="28">
        <v>71.567999999999998</v>
      </c>
      <c r="BL7" s="28">
        <v>36.997999999999998</v>
      </c>
      <c r="BM7" s="28">
        <v>9.9999999999999995E-7</v>
      </c>
      <c r="BN7" s="28">
        <v>9.9999999999999995E-7</v>
      </c>
      <c r="BO7" s="28">
        <v>9.9999999999999995E-7</v>
      </c>
      <c r="BP7" s="28">
        <v>9.9999999999999995E-7</v>
      </c>
      <c r="BQ7" s="28">
        <v>23.908999999999999</v>
      </c>
      <c r="BR7" s="28">
        <v>0.76</v>
      </c>
      <c r="BS7" s="28">
        <v>1.03</v>
      </c>
      <c r="BT7" s="28">
        <v>9.9999999999999995E-7</v>
      </c>
      <c r="BU7" s="28">
        <v>9.9999999999999995E-7</v>
      </c>
      <c r="BV7" s="28">
        <v>9.9999999999999995E-7</v>
      </c>
      <c r="BW7" s="28">
        <v>9.9999999999999995E-7</v>
      </c>
      <c r="BX7" s="28">
        <v>9.9999999999999995E-7</v>
      </c>
      <c r="BY7" s="28">
        <v>37.65</v>
      </c>
      <c r="BZ7" s="28">
        <v>36.06</v>
      </c>
      <c r="CA7" s="28">
        <v>9.9999999999999995E-7</v>
      </c>
      <c r="CB7" s="28">
        <v>9.9999999999999995E-7</v>
      </c>
      <c r="CC7" s="28">
        <v>9.9999999999999995E-7</v>
      </c>
      <c r="CD7" s="28">
        <v>9.9999999999999995E-7</v>
      </c>
      <c r="CE7" s="28">
        <v>43.5</v>
      </c>
      <c r="CF7" s="28">
        <v>54.491999999999997</v>
      </c>
      <c r="CG7" s="28">
        <v>9.9999999999999995E-7</v>
      </c>
      <c r="CH7" s="28">
        <v>9.9999999999999995E-7</v>
      </c>
      <c r="CI7" s="28">
        <v>26.503</v>
      </c>
      <c r="CJ7" s="28">
        <v>2.44</v>
      </c>
      <c r="CK7" s="28">
        <v>9.9999999999999995E-7</v>
      </c>
      <c r="CL7" s="28">
        <v>9.9999999999999995E-7</v>
      </c>
      <c r="CM7" s="28">
        <v>2.44</v>
      </c>
      <c r="CN7" s="286"/>
      <c r="CO7" s="252">
        <f t="shared" ref="CO7:CU22" si="13">BK7*((100-BR7)/100)</f>
        <v>71.024083199999993</v>
      </c>
      <c r="CP7" s="11">
        <f t="shared" si="13"/>
        <v>36.6169206</v>
      </c>
      <c r="CQ7" s="11">
        <f t="shared" si="13"/>
        <v>9.9999998999999992E-7</v>
      </c>
      <c r="CR7" s="11">
        <f t="shared" si="13"/>
        <v>9.9999998999999992E-7</v>
      </c>
      <c r="CS7" s="11">
        <f t="shared" si="13"/>
        <v>9.9999998999999992E-7</v>
      </c>
      <c r="CT7" s="11">
        <f t="shared" si="13"/>
        <v>9.9999998999999992E-7</v>
      </c>
      <c r="CU7" s="271">
        <f t="shared" si="13"/>
        <v>23.90899976091</v>
      </c>
      <c r="CV7" s="260">
        <f t="shared" ref="CV7:CY22" si="14">CF7*((100-CJ7)/100)</f>
        <v>53.162395199999999</v>
      </c>
      <c r="CW7" s="250">
        <f t="shared" si="14"/>
        <v>9.9999998999999992E-7</v>
      </c>
      <c r="CX7" s="260">
        <f t="shared" si="14"/>
        <v>9.9999998999999992E-7</v>
      </c>
      <c r="CY7" s="271">
        <f t="shared" si="14"/>
        <v>25.856326800000001</v>
      </c>
      <c r="CZ7" s="13"/>
      <c r="DA7" s="240">
        <f>(D7+'[2]октябрь 20 '!D7)/(AY7+'[2]октябрь 20 '!BA7)</f>
        <v>2.1740223343528453</v>
      </c>
      <c r="DB7" s="241">
        <f>(T7+'[2]октябрь 20 '!T7)/(AY7+'[2]октябрь 20 '!BA7)</f>
        <v>1.3450663929759954</v>
      </c>
      <c r="DD7" s="292">
        <f t="shared" ref="DD7:DD37" si="15">J7</f>
        <v>5.29</v>
      </c>
      <c r="DE7" s="291">
        <v>0.31</v>
      </c>
      <c r="DF7" s="291">
        <v>9.85</v>
      </c>
      <c r="DG7" s="145">
        <f t="shared" ref="DG7:DG37" si="16">DD7*((100-DE7)/100)</f>
        <v>5.2736010000000002</v>
      </c>
      <c r="DH7" s="293">
        <f>IF(AB7=0,0,(DG7*DF7%)/(AB7/100))</f>
        <v>0.68240895756699937</v>
      </c>
      <c r="DJ7" s="322"/>
    </row>
    <row r="8" spans="1:114" s="76" customFormat="1" ht="16.5" customHeight="1" thickBot="1">
      <c r="A8" s="144">
        <v>2</v>
      </c>
      <c r="B8" s="122">
        <f>'[1]октябрь 20'!K7</f>
        <v>230.01599999999999</v>
      </c>
      <c r="C8" s="123">
        <f t="shared" ref="C8:C37" si="17">IF(B8=0,0,(BK8*BR8+BL8*BS8+BM8*BT8+BN8*BU8+BQ8*BX8+BO8*BV8+BP8*BW8)/B8)</f>
        <v>0.78641398859209799</v>
      </c>
      <c r="D8" s="145">
        <f t="shared" ref="D8:D37" si="18">B8*((100-C8)/100)</f>
        <v>228.20712199999997</v>
      </c>
      <c r="E8" s="125">
        <f t="shared" ref="E8:E37" si="19">IF(B8=0,0,(BK8*BY8+BL8*BZ8+BM8*CA8+BQ8*CE8+BN8*CB8+BO8*CC8+BP8*CD8)/B8)</f>
        <v>38.038275902545912</v>
      </c>
      <c r="F8" s="146">
        <f t="shared" si="0"/>
        <v>3.3658867551622409</v>
      </c>
      <c r="G8" s="127">
        <v>17.36</v>
      </c>
      <c r="H8" s="126">
        <f t="shared" ref="H8:H37" si="20">IF(AY8=0,0,(CP8+CO8+CS8+CQ8+CT8)/AY8)</f>
        <v>2.7553705309734506</v>
      </c>
      <c r="I8" s="230">
        <f>'[1]июль 20'!AI7</f>
        <v>0</v>
      </c>
      <c r="J8" s="439">
        <f>'[1]октябрь 20'!AA7</f>
        <v>9.5519999999999996</v>
      </c>
      <c r="K8" s="464">
        <f>'[1]сентябрь 20'!AM7</f>
        <v>0</v>
      </c>
      <c r="L8" s="441">
        <f>'[1]октябрь 20'!AE7</f>
        <v>41.393000000000001</v>
      </c>
      <c r="M8" s="468">
        <f t="shared" ref="M8:M37" si="21">IF(AY8=0,0,(CR8+CU8)/AY8)</f>
        <v>0.61051622418879048</v>
      </c>
      <c r="N8" s="403">
        <f>'[1]октябрь 20'!W7</f>
        <v>0</v>
      </c>
      <c r="O8" s="403">
        <f>'[1]октябрь 20'!AU7</f>
        <v>3.7610000000000001</v>
      </c>
      <c r="P8" s="401">
        <f t="shared" si="1"/>
        <v>144.113</v>
      </c>
      <c r="Q8" s="122">
        <f>'[1]октябрь 20'!S7</f>
        <v>144.113</v>
      </c>
      <c r="R8" s="123">
        <f t="shared" ref="R8:R24" si="22">IF(Q8=0,0,(CI8*CM8+CG8*CK8+CH8*CL8+CF8*CJ8)/Q8)</f>
        <v>2.82</v>
      </c>
      <c r="S8" s="129">
        <v>2.2200000000000002</v>
      </c>
      <c r="T8" s="125">
        <f t="shared" si="2"/>
        <v>140.04901340000001</v>
      </c>
      <c r="U8" s="147">
        <f t="shared" si="3"/>
        <v>2.0656196666666666</v>
      </c>
      <c r="V8" s="130">
        <v>67.8</v>
      </c>
      <c r="W8" s="130">
        <v>48.09</v>
      </c>
      <c r="X8" s="129">
        <v>0.54</v>
      </c>
      <c r="Y8" s="131">
        <v>522</v>
      </c>
      <c r="Z8" s="131">
        <v>1105</v>
      </c>
      <c r="AA8" s="148" t="s">
        <v>414</v>
      </c>
      <c r="AB8" s="149">
        <v>75.599999999999994</v>
      </c>
      <c r="AC8" s="150">
        <v>93</v>
      </c>
      <c r="AD8" s="151">
        <v>3</v>
      </c>
      <c r="AE8" s="149">
        <v>4</v>
      </c>
      <c r="AF8" s="134">
        <f t="shared" si="4"/>
        <v>58.997050147492615</v>
      </c>
      <c r="AG8" s="152"/>
      <c r="AH8" s="129">
        <v>70.400000000000006</v>
      </c>
      <c r="AI8" s="134">
        <f t="shared" si="5"/>
        <v>1038.3480825958702</v>
      </c>
      <c r="AJ8" s="153">
        <v>12.3</v>
      </c>
      <c r="AK8" s="154"/>
      <c r="AL8" s="155">
        <v>6.25</v>
      </c>
      <c r="AM8" s="478">
        <v>31.39</v>
      </c>
      <c r="AN8" s="126">
        <f t="shared" ref="AN8:AN37" si="23">IF(AM8=0,0,AM8/AT8)</f>
        <v>0.30211742059672764</v>
      </c>
      <c r="AO8" s="157" t="s">
        <v>322</v>
      </c>
      <c r="AP8" s="156">
        <v>7.57</v>
      </c>
      <c r="AQ8" s="156">
        <v>8.0299999999999994</v>
      </c>
      <c r="AR8" s="149"/>
      <c r="AS8" s="149">
        <v>9.44</v>
      </c>
      <c r="AT8" s="149">
        <v>103.9</v>
      </c>
      <c r="AU8" s="149">
        <v>1.54</v>
      </c>
      <c r="AV8" s="149"/>
      <c r="AW8" s="149"/>
      <c r="AX8" s="158">
        <f t="shared" si="6"/>
        <v>0</v>
      </c>
      <c r="AY8" s="125">
        <f t="shared" si="7"/>
        <v>67.800000000000011</v>
      </c>
      <c r="AZ8" s="125">
        <f t="shared" ref="AZ8:AZ37" si="24">IF(AB8=0,0,((D8*0.97)*(E8/100)*0.9)/(AB8/100))+DH8</f>
        <v>101.97467323978289</v>
      </c>
      <c r="BA8" s="159">
        <f t="shared" si="8"/>
        <v>5.1481239436619717</v>
      </c>
      <c r="BB8" s="160">
        <f t="shared" si="9"/>
        <v>2.7120000000000006</v>
      </c>
      <c r="BC8" s="161">
        <f t="shared" si="10"/>
        <v>0.59047494071385964</v>
      </c>
      <c r="BD8" s="160">
        <f t="shared" ref="BD8:BD37" si="25">BA8+BB8</f>
        <v>7.8601239436619723</v>
      </c>
      <c r="BE8" s="162">
        <v>0.71499999999999997</v>
      </c>
      <c r="BF8" s="25">
        <f t="shared" ref="BF8:BF37" si="26">BF7+AY8</f>
        <v>129.22000000000003</v>
      </c>
      <c r="BG8" s="25">
        <f t="shared" si="11"/>
        <v>125.80645161290323</v>
      </c>
      <c r="BH8" s="25">
        <f t="shared" ref="BH8:BH37" si="27">BG8+BH7</f>
        <v>251.61290322580646</v>
      </c>
      <c r="BI8" s="26">
        <f t="shared" si="12"/>
        <v>1</v>
      </c>
      <c r="BJ8" s="27">
        <f t="shared" ref="BJ8:BJ37" si="28">BG8*BI8+BJ7</f>
        <v>251.61290322580646</v>
      </c>
      <c r="BK8" s="30">
        <v>124.163</v>
      </c>
      <c r="BL8" s="31">
        <v>64.459999999999994</v>
      </c>
      <c r="BM8" s="31"/>
      <c r="BN8" s="31"/>
      <c r="BO8" s="40"/>
      <c r="BP8" s="40"/>
      <c r="BQ8" s="32">
        <v>41.393000000000001</v>
      </c>
      <c r="BR8" s="33">
        <v>1</v>
      </c>
      <c r="BS8" s="34">
        <v>0.88</v>
      </c>
      <c r="BT8" s="35"/>
      <c r="BU8" s="28"/>
      <c r="BV8" s="287"/>
      <c r="BW8" s="28"/>
      <c r="BX8" s="36"/>
      <c r="BY8" s="33">
        <v>36.9</v>
      </c>
      <c r="BZ8" s="34">
        <v>36.729999999999997</v>
      </c>
      <c r="CA8" s="35"/>
      <c r="CB8" s="35"/>
      <c r="CC8" s="235"/>
      <c r="CD8" s="235"/>
      <c r="CE8" s="36">
        <v>43.49</v>
      </c>
      <c r="CF8" s="30">
        <v>97.272000000000006</v>
      </c>
      <c r="CG8" s="30"/>
      <c r="CH8" s="31"/>
      <c r="CI8" s="32">
        <v>46.841000000000001</v>
      </c>
      <c r="CJ8" s="33">
        <v>2.82</v>
      </c>
      <c r="CK8" s="33"/>
      <c r="CL8" s="35"/>
      <c r="CM8" s="28">
        <v>2.82</v>
      </c>
      <c r="CN8" s="286"/>
      <c r="CO8" s="249">
        <f t="shared" si="13"/>
        <v>122.92137</v>
      </c>
      <c r="CP8" s="12">
        <f t="shared" si="13"/>
        <v>63.892752000000002</v>
      </c>
      <c r="CQ8" s="12">
        <f t="shared" si="13"/>
        <v>0</v>
      </c>
      <c r="CR8" s="12">
        <f t="shared" si="13"/>
        <v>0</v>
      </c>
      <c r="CS8" s="11">
        <f t="shared" si="13"/>
        <v>0</v>
      </c>
      <c r="CT8" s="11">
        <f t="shared" si="13"/>
        <v>0</v>
      </c>
      <c r="CU8" s="272">
        <f t="shared" si="13"/>
        <v>41.393000000000001</v>
      </c>
      <c r="CV8" s="249">
        <f t="shared" si="14"/>
        <v>94.528929600000012</v>
      </c>
      <c r="CW8" s="12">
        <f t="shared" si="14"/>
        <v>0</v>
      </c>
      <c r="CX8" s="254">
        <f t="shared" si="14"/>
        <v>0</v>
      </c>
      <c r="CY8" s="272">
        <f t="shared" si="14"/>
        <v>45.520083800000009</v>
      </c>
      <c r="CZ8" s="13"/>
      <c r="DA8" s="240">
        <f>(D8+'[2]октябрь 20 '!D8)/(AY8+'[2]октябрь 20 '!BA8)</f>
        <v>2.416416656023876</v>
      </c>
      <c r="DB8" s="241">
        <f>(T8+'[2]октябрь 20 '!T8)/(AY8+'[2]октябрь 20 '!BA8)</f>
        <v>1.4623501787647304</v>
      </c>
      <c r="DD8" s="292">
        <f t="shared" si="15"/>
        <v>9.5519999999999996</v>
      </c>
      <c r="DE8" s="291">
        <v>0.17</v>
      </c>
      <c r="DF8" s="291">
        <v>13.75</v>
      </c>
      <c r="DG8" s="145">
        <f t="shared" si="16"/>
        <v>9.5357615999999989</v>
      </c>
      <c r="DH8" s="293">
        <f t="shared" ref="DH8:DH37" si="29">IF(AB8=0,0,(DG8*DF8%)/(AB8/100))</f>
        <v>1.7343481746031748</v>
      </c>
      <c r="DJ8" s="322"/>
    </row>
    <row r="9" spans="1:114" s="76" customFormat="1" ht="16.5" customHeight="1" thickBot="1">
      <c r="A9" s="144">
        <v>3</v>
      </c>
      <c r="B9" s="122">
        <f>'[1]октябрь 20'!K8</f>
        <v>267.55099999999999</v>
      </c>
      <c r="C9" s="123">
        <f t="shared" si="17"/>
        <v>0.90814745599904323</v>
      </c>
      <c r="D9" s="145">
        <f>B9*((100-C9)/100)</f>
        <v>265.12124239999997</v>
      </c>
      <c r="E9" s="125">
        <f t="shared" si="19"/>
        <v>38.454896150640437</v>
      </c>
      <c r="F9" s="146">
        <f t="shared" si="0"/>
        <v>2.2462191171735992</v>
      </c>
      <c r="G9" s="127">
        <v>20.58</v>
      </c>
      <c r="H9" s="126">
        <f t="shared" si="20"/>
        <v>1.8373654359061256</v>
      </c>
      <c r="I9" s="230">
        <f>'[1]июль 20'!AI8</f>
        <v>0</v>
      </c>
      <c r="J9" s="439">
        <f>'[1]октябрь 20'!AA8</f>
        <v>10.295999999999999</v>
      </c>
      <c r="K9" s="465">
        <f>'[1]сентябрь 20'!AM8</f>
        <v>0</v>
      </c>
      <c r="L9" s="441">
        <f>'[1]октябрь 20'!AE8</f>
        <v>48.256999999999998</v>
      </c>
      <c r="M9" s="469">
        <f t="shared" si="21"/>
        <v>0.40885368126747429</v>
      </c>
      <c r="N9" s="399">
        <f>'[1]октябрь 20'!W8</f>
        <v>0</v>
      </c>
      <c r="O9" s="403">
        <f>'[1]октябрь 20'!AU8</f>
        <v>3.2410000000000001</v>
      </c>
      <c r="P9" s="401">
        <f t="shared" si="1"/>
        <v>164.19200000000001</v>
      </c>
      <c r="Q9" s="122">
        <f>'[1]октябрь 20'!S8</f>
        <v>164.19200000000001</v>
      </c>
      <c r="R9" s="123">
        <f t="shared" si="22"/>
        <v>2.58</v>
      </c>
      <c r="S9" s="129">
        <v>12.57</v>
      </c>
      <c r="T9" s="125">
        <f t="shared" si="2"/>
        <v>159.95584640000001</v>
      </c>
      <c r="U9" s="147">
        <f>IF(AY9=0,0,T9/AY9)</f>
        <v>1.355213474540371</v>
      </c>
      <c r="V9" s="130">
        <v>51.2</v>
      </c>
      <c r="W9" s="130">
        <v>76.959999999999994</v>
      </c>
      <c r="X9" s="129">
        <v>0.75</v>
      </c>
      <c r="Y9" s="131">
        <v>557</v>
      </c>
      <c r="Z9" s="131">
        <v>1178</v>
      </c>
      <c r="AA9" s="148" t="s">
        <v>159</v>
      </c>
      <c r="AB9" s="149">
        <v>74.53</v>
      </c>
      <c r="AC9" s="150">
        <v>107</v>
      </c>
      <c r="AD9" s="151">
        <v>5</v>
      </c>
      <c r="AE9" s="149"/>
      <c r="AF9" s="134">
        <f t="shared" si="4"/>
        <v>0</v>
      </c>
      <c r="AG9" s="152"/>
      <c r="AH9" s="129">
        <v>78.45</v>
      </c>
      <c r="AI9" s="134">
        <f t="shared" si="5"/>
        <v>664.66152673049214</v>
      </c>
      <c r="AJ9" s="153">
        <v>19.690000000000001</v>
      </c>
      <c r="AK9" s="154"/>
      <c r="AL9" s="155">
        <v>8.65</v>
      </c>
      <c r="AM9" s="478">
        <v>37.85</v>
      </c>
      <c r="AN9" s="126">
        <f t="shared" si="23"/>
        <v>0.23356988583770441</v>
      </c>
      <c r="AO9" s="157" t="s">
        <v>339</v>
      </c>
      <c r="AP9" s="156">
        <v>7.94</v>
      </c>
      <c r="AQ9" s="156">
        <v>7.4</v>
      </c>
      <c r="AR9" s="149"/>
      <c r="AS9" s="149">
        <v>7.67</v>
      </c>
      <c r="AT9" s="149">
        <v>162.05000000000001</v>
      </c>
      <c r="AU9" s="149">
        <v>2.48</v>
      </c>
      <c r="AV9" s="149"/>
      <c r="AW9" s="149"/>
      <c r="AX9" s="158">
        <f t="shared" si="6"/>
        <v>0</v>
      </c>
      <c r="AY9" s="125">
        <f t="shared" si="7"/>
        <v>118.03000000000002</v>
      </c>
      <c r="AZ9" s="125">
        <f t="shared" si="24"/>
        <v>121.18102785218748</v>
      </c>
      <c r="BA9" s="159">
        <f t="shared" si="8"/>
        <v>4.6611454225352116</v>
      </c>
      <c r="BB9" s="160">
        <f t="shared" si="9"/>
        <v>4.7212000000000005</v>
      </c>
      <c r="BC9" s="161">
        <f t="shared" si="10"/>
        <v>0.86283421673087513</v>
      </c>
      <c r="BD9" s="160">
        <f t="shared" si="25"/>
        <v>9.382345422535213</v>
      </c>
      <c r="BE9" s="162">
        <v>0.77800000000000002</v>
      </c>
      <c r="BF9" s="25">
        <f t="shared" si="26"/>
        <v>247.25000000000006</v>
      </c>
      <c r="BG9" s="25">
        <f t="shared" si="11"/>
        <v>125.80645161290323</v>
      </c>
      <c r="BH9" s="25">
        <f t="shared" si="27"/>
        <v>377.41935483870969</v>
      </c>
      <c r="BI9" s="26">
        <f t="shared" si="12"/>
        <v>1</v>
      </c>
      <c r="BJ9" s="37">
        <f t="shared" si="28"/>
        <v>377.41935483870969</v>
      </c>
      <c r="BK9" s="38">
        <v>144.435</v>
      </c>
      <c r="BL9" s="31">
        <v>74.858999999999995</v>
      </c>
      <c r="BM9" s="31"/>
      <c r="BN9" s="31"/>
      <c r="BO9" s="40"/>
      <c r="BP9" s="40"/>
      <c r="BQ9" s="32">
        <v>48.256999999999998</v>
      </c>
      <c r="BR9" s="33">
        <v>0.91</v>
      </c>
      <c r="BS9" s="34">
        <v>1.49</v>
      </c>
      <c r="BT9" s="35"/>
      <c r="BU9" s="28"/>
      <c r="BV9" s="287"/>
      <c r="BW9" s="287">
        <v>3.1</v>
      </c>
      <c r="BX9" s="36"/>
      <c r="BY9" s="33">
        <v>37.909999999999997</v>
      </c>
      <c r="BZ9" s="34">
        <v>36.369999999999997</v>
      </c>
      <c r="CA9" s="35"/>
      <c r="CB9" s="35"/>
      <c r="CC9" s="235"/>
      <c r="CD9" s="235">
        <v>29.97</v>
      </c>
      <c r="CE9" s="36">
        <v>43.32</v>
      </c>
      <c r="CF9" s="30">
        <v>110.678</v>
      </c>
      <c r="CG9" s="30"/>
      <c r="CH9" s="31"/>
      <c r="CI9" s="32">
        <v>53.514000000000003</v>
      </c>
      <c r="CJ9" s="33">
        <v>2.58</v>
      </c>
      <c r="CK9" s="33"/>
      <c r="CL9" s="35"/>
      <c r="CM9" s="36">
        <v>2.58</v>
      </c>
      <c r="CN9" s="286"/>
      <c r="CO9" s="249">
        <f t="shared" si="13"/>
        <v>143.1206415</v>
      </c>
      <c r="CP9" s="12">
        <f t="shared" si="13"/>
        <v>73.743600900000004</v>
      </c>
      <c r="CQ9" s="12">
        <f t="shared" si="13"/>
        <v>0</v>
      </c>
      <c r="CR9" s="12">
        <f t="shared" si="13"/>
        <v>0</v>
      </c>
      <c r="CS9" s="11">
        <f t="shared" si="13"/>
        <v>0</v>
      </c>
      <c r="CT9" s="11">
        <f t="shared" si="13"/>
        <v>0</v>
      </c>
      <c r="CU9" s="272">
        <f t="shared" si="13"/>
        <v>48.256999999999998</v>
      </c>
      <c r="CV9" s="249">
        <f t="shared" si="14"/>
        <v>107.82250760000001</v>
      </c>
      <c r="CW9" s="251">
        <f t="shared" si="14"/>
        <v>0</v>
      </c>
      <c r="CX9" s="249">
        <f t="shared" si="14"/>
        <v>0</v>
      </c>
      <c r="CY9" s="272">
        <f t="shared" si="14"/>
        <v>52.133338800000004</v>
      </c>
      <c r="CZ9" s="13"/>
      <c r="DA9" s="240">
        <f>(D9+'[2]октябрь 20 '!D9)/(AY9+'[2]октябрь 20 '!BA9)</f>
        <v>2.1839549909271332</v>
      </c>
      <c r="DB9" s="241">
        <f>(T9+'[2]октябрь 20 '!T9)/(AY9+'[2]октябрь 20 '!BA9)</f>
        <v>1.3148166895378504</v>
      </c>
      <c r="DD9" s="292">
        <f t="shared" si="15"/>
        <v>10.295999999999999</v>
      </c>
      <c r="DE9" s="291">
        <v>0.21</v>
      </c>
      <c r="DF9" s="291">
        <v>12.77</v>
      </c>
      <c r="DG9" s="145">
        <f t="shared" si="16"/>
        <v>10.2743784</v>
      </c>
      <c r="DH9" s="293">
        <f t="shared" si="29"/>
        <v>1.7604161031530929</v>
      </c>
      <c r="DJ9" s="322"/>
    </row>
    <row r="10" spans="1:114" s="76" customFormat="1" ht="16.5" customHeight="1" thickBot="1">
      <c r="A10" s="144">
        <v>4</v>
      </c>
      <c r="B10" s="122">
        <f>'[1]октябрь 20'!K9</f>
        <v>282.63799999999998</v>
      </c>
      <c r="C10" s="123">
        <f t="shared" si="17"/>
        <v>1.3546202916805243</v>
      </c>
      <c r="D10" s="145">
        <f t="shared" si="18"/>
        <v>278.8093283</v>
      </c>
      <c r="E10" s="125">
        <f>IF(B10=0,0,(BK10*BY10+BL10*BZ10+BM10*CA10+BQ10*CE10+BN10*CB10+BO10*CC10+BP10*CD10)/B10)</f>
        <v>37.915810542106868</v>
      </c>
      <c r="F10" s="146">
        <f t="shared" si="0"/>
        <v>2.0858033088950401</v>
      </c>
      <c r="G10" s="127">
        <v>20.63</v>
      </c>
      <c r="H10" s="126">
        <f t="shared" si="20"/>
        <v>1.7055534398144687</v>
      </c>
      <c r="I10" s="230">
        <f>'[1]июль 20'!AI9</f>
        <v>0</v>
      </c>
      <c r="J10" s="439">
        <f>'[1]октябрь 20'!AA9</f>
        <v>11.222</v>
      </c>
      <c r="K10" s="464">
        <f>'[1]сентябрь 20'!AM9</f>
        <v>0</v>
      </c>
      <c r="L10" s="441">
        <f>'[1]октябрь 20'!AE9</f>
        <v>50.828000000000003</v>
      </c>
      <c r="M10" s="470">
        <f t="shared" si="21"/>
        <v>0.38024986908057162</v>
      </c>
      <c r="N10" s="403">
        <f>'[1]октябрь 20'!W9</f>
        <v>0</v>
      </c>
      <c r="O10" s="403">
        <f>'[1]октябрь 20'!AU9</f>
        <v>3.37</v>
      </c>
      <c r="P10" s="401">
        <f t="shared" si="1"/>
        <v>173.917</v>
      </c>
      <c r="Q10" s="122">
        <f>'[1]октябрь 20'!S9</f>
        <v>173.917</v>
      </c>
      <c r="R10" s="123">
        <f t="shared" si="22"/>
        <v>2.5499999999999998</v>
      </c>
      <c r="S10" s="129">
        <v>18.63</v>
      </c>
      <c r="T10" s="125">
        <f t="shared" si="2"/>
        <v>169.48211650000002</v>
      </c>
      <c r="U10" s="147">
        <f t="shared" si="3"/>
        <v>1.2679143899154637</v>
      </c>
      <c r="V10" s="130">
        <v>107.92</v>
      </c>
      <c r="W10" s="130">
        <v>78.98</v>
      </c>
      <c r="X10" s="129">
        <v>0.76</v>
      </c>
      <c r="Y10" s="131">
        <v>560</v>
      </c>
      <c r="Z10" s="131">
        <v>1174</v>
      </c>
      <c r="AA10" s="148" t="s">
        <v>165</v>
      </c>
      <c r="AB10" s="149">
        <v>75.569999999999993</v>
      </c>
      <c r="AC10" s="150">
        <v>113</v>
      </c>
      <c r="AD10" s="151">
        <v>5</v>
      </c>
      <c r="AE10" s="149"/>
      <c r="AF10" s="134">
        <f t="shared" si="4"/>
        <v>0</v>
      </c>
      <c r="AG10" s="152"/>
      <c r="AH10" s="129">
        <v>75.25</v>
      </c>
      <c r="AI10" s="134">
        <f t="shared" si="5"/>
        <v>562.95354230567818</v>
      </c>
      <c r="AJ10" s="153">
        <v>18.12</v>
      </c>
      <c r="AK10" s="154"/>
      <c r="AL10" s="155">
        <v>10.89</v>
      </c>
      <c r="AM10" s="478">
        <v>31.08</v>
      </c>
      <c r="AN10" s="126">
        <f t="shared" si="23"/>
        <v>0.17980908301995949</v>
      </c>
      <c r="AO10" s="157" t="s">
        <v>347</v>
      </c>
      <c r="AP10" s="156">
        <v>8.23</v>
      </c>
      <c r="AQ10" s="156">
        <v>7.76</v>
      </c>
      <c r="AR10" s="149"/>
      <c r="AS10" s="149">
        <v>8.16</v>
      </c>
      <c r="AT10" s="149">
        <v>172.85</v>
      </c>
      <c r="AU10" s="149">
        <v>2.79</v>
      </c>
      <c r="AV10" s="149"/>
      <c r="AW10" s="149"/>
      <c r="AX10" s="158">
        <f t="shared" si="6"/>
        <v>0</v>
      </c>
      <c r="AY10" s="125">
        <f>AT10-AL10-AM10+AV10+AW10+AU10</f>
        <v>133.66999999999999</v>
      </c>
      <c r="AZ10" s="125">
        <f t="shared" si="24"/>
        <v>123.77091161623827</v>
      </c>
      <c r="BA10" s="159">
        <f t="shared" si="8"/>
        <v>4.7566478873239433</v>
      </c>
      <c r="BB10" s="160">
        <f t="shared" si="9"/>
        <v>5.3468</v>
      </c>
      <c r="BC10" s="161">
        <f t="shared" si="10"/>
        <v>0.95555507989499433</v>
      </c>
      <c r="BD10" s="160">
        <f t="shared" si="25"/>
        <v>10.103447887323943</v>
      </c>
      <c r="BE10" s="162">
        <v>0.83199999999999996</v>
      </c>
      <c r="BF10" s="25">
        <f t="shared" si="26"/>
        <v>380.92000000000007</v>
      </c>
      <c r="BG10" s="25">
        <f t="shared" si="11"/>
        <v>125.80645161290323</v>
      </c>
      <c r="BH10" s="25">
        <f t="shared" si="27"/>
        <v>503.22580645161293</v>
      </c>
      <c r="BI10" s="26">
        <f t="shared" si="12"/>
        <v>1</v>
      </c>
      <c r="BJ10" s="37">
        <f t="shared" si="28"/>
        <v>503.22580645161293</v>
      </c>
      <c r="BK10" s="38">
        <v>152.583</v>
      </c>
      <c r="BL10" s="31">
        <v>79.227000000000004</v>
      </c>
      <c r="BM10" s="31"/>
      <c r="BN10" s="31"/>
      <c r="BO10" s="40"/>
      <c r="BP10" s="40"/>
      <c r="BQ10" s="32">
        <v>50.828000000000003</v>
      </c>
      <c r="BR10" s="33">
        <v>1.99</v>
      </c>
      <c r="BS10" s="34">
        <v>1</v>
      </c>
      <c r="BT10" s="35"/>
      <c r="BU10" s="28"/>
      <c r="BV10" s="287"/>
      <c r="BW10" s="287"/>
      <c r="BX10" s="36"/>
      <c r="BY10" s="33">
        <v>37.04</v>
      </c>
      <c r="BZ10" s="34">
        <v>36.020000000000003</v>
      </c>
      <c r="CA10" s="35"/>
      <c r="CB10" s="35"/>
      <c r="CC10" s="235"/>
      <c r="CD10" s="235"/>
      <c r="CE10" s="36">
        <v>43.5</v>
      </c>
      <c r="CF10" s="30">
        <v>117.438</v>
      </c>
      <c r="CG10" s="30"/>
      <c r="CH10" s="31"/>
      <c r="CI10" s="32">
        <v>56.478999999999999</v>
      </c>
      <c r="CJ10" s="33">
        <v>2.5499999999999998</v>
      </c>
      <c r="CK10" s="33"/>
      <c r="CL10" s="35"/>
      <c r="CM10" s="36">
        <v>2.5499999999999998</v>
      </c>
      <c r="CN10" s="286"/>
      <c r="CO10" s="249">
        <f t="shared" si="13"/>
        <v>149.5465983</v>
      </c>
      <c r="CP10" s="12">
        <f t="shared" si="13"/>
        <v>78.434730000000002</v>
      </c>
      <c r="CQ10" s="12">
        <f t="shared" si="13"/>
        <v>0</v>
      </c>
      <c r="CR10" s="14">
        <f t="shared" si="13"/>
        <v>0</v>
      </c>
      <c r="CS10" s="11">
        <f t="shared" si="13"/>
        <v>0</v>
      </c>
      <c r="CT10" s="11">
        <f t="shared" si="13"/>
        <v>0</v>
      </c>
      <c r="CU10" s="272">
        <f t="shared" si="13"/>
        <v>50.828000000000003</v>
      </c>
      <c r="CV10" s="249">
        <f t="shared" si="14"/>
        <v>114.443331</v>
      </c>
      <c r="CW10" s="12">
        <f t="shared" si="14"/>
        <v>0</v>
      </c>
      <c r="CX10" s="249">
        <f t="shared" si="14"/>
        <v>0</v>
      </c>
      <c r="CY10" s="272">
        <f t="shared" si="14"/>
        <v>55.038785500000003</v>
      </c>
      <c r="CZ10" s="13"/>
      <c r="DA10" s="240">
        <f>(D10+'[2]октябрь 20 '!D10)/(AY10+'[2]октябрь 20 '!BA10)</f>
        <v>2.1123110735944386</v>
      </c>
      <c r="DB10" s="241">
        <f>(T10+'[2]октябрь 20 '!T10)/(AY10+'[2]октябрь 20 '!BA10)</f>
        <v>1.2769922777413674</v>
      </c>
      <c r="DD10" s="292">
        <f t="shared" si="15"/>
        <v>11.222</v>
      </c>
      <c r="DE10" s="291">
        <v>0.12</v>
      </c>
      <c r="DF10" s="291">
        <v>11.12</v>
      </c>
      <c r="DG10" s="145">
        <f t="shared" si="16"/>
        <v>11.208533599999999</v>
      </c>
      <c r="DH10" s="293">
        <f t="shared" si="29"/>
        <v>1.6493171050946143</v>
      </c>
      <c r="DJ10" s="322"/>
    </row>
    <row r="11" spans="1:114" s="76" customFormat="1" ht="16.5" customHeight="1" thickBot="1">
      <c r="A11" s="144">
        <v>5</v>
      </c>
      <c r="B11" s="122">
        <f>'[1]октябрь 20'!K10</f>
        <v>282.57299999999998</v>
      </c>
      <c r="C11" s="123">
        <f t="shared" si="17"/>
        <v>1.0510129771775789</v>
      </c>
      <c r="D11" s="145">
        <f t="shared" si="18"/>
        <v>279.60312109999995</v>
      </c>
      <c r="E11" s="125">
        <f t="shared" si="19"/>
        <v>37.852314446178511</v>
      </c>
      <c r="F11" s="146">
        <f t="shared" si="0"/>
        <v>2.1206152529389457</v>
      </c>
      <c r="G11" s="127">
        <v>22.04</v>
      </c>
      <c r="H11" s="126">
        <f t="shared" si="20"/>
        <v>1.7416239749715585</v>
      </c>
      <c r="I11" s="230">
        <f>'[1]июль 20'!AI10</f>
        <v>0</v>
      </c>
      <c r="J11" s="439">
        <f>'[1]октябрь 20'!AA10</f>
        <v>11.162000000000001</v>
      </c>
      <c r="K11" s="464">
        <f>'[1]сентябрь 20'!AM10</f>
        <v>0</v>
      </c>
      <c r="L11" s="441">
        <f>'[1]октябрь 20'!AE10</f>
        <v>49.97</v>
      </c>
      <c r="M11" s="468">
        <f t="shared" si="21"/>
        <v>0.37899127796738719</v>
      </c>
      <c r="N11" s="399">
        <f>'[1]октябрь 20'!W10</f>
        <v>0</v>
      </c>
      <c r="O11" s="403">
        <f>'[1]октябрь 20'!AU10</f>
        <v>3.6720000000000002</v>
      </c>
      <c r="P11" s="401">
        <f t="shared" si="1"/>
        <v>173.98399999999998</v>
      </c>
      <c r="Q11" s="122">
        <f>'[1]октябрь 20'!S10</f>
        <v>173.98400000000001</v>
      </c>
      <c r="R11" s="123">
        <f t="shared" si="22"/>
        <v>2.48</v>
      </c>
      <c r="S11" s="129">
        <v>8.09</v>
      </c>
      <c r="T11" s="125">
        <f t="shared" si="2"/>
        <v>169.66919680000001</v>
      </c>
      <c r="U11" s="147">
        <f t="shared" si="3"/>
        <v>1.2868350155479713</v>
      </c>
      <c r="V11" s="130">
        <v>131.85</v>
      </c>
      <c r="W11" s="130">
        <v>131.85</v>
      </c>
      <c r="X11" s="129">
        <v>0.52</v>
      </c>
      <c r="Y11" s="131">
        <v>562</v>
      </c>
      <c r="Z11" s="131">
        <v>1174</v>
      </c>
      <c r="AA11" s="148" t="s">
        <v>145</v>
      </c>
      <c r="AB11" s="149">
        <v>75.739999999999995</v>
      </c>
      <c r="AC11" s="150">
        <v>113</v>
      </c>
      <c r="AD11" s="151">
        <v>5</v>
      </c>
      <c r="AE11" s="149"/>
      <c r="AF11" s="134">
        <f t="shared" si="4"/>
        <v>0</v>
      </c>
      <c r="AG11" s="152"/>
      <c r="AH11" s="129">
        <v>78.650000000000006</v>
      </c>
      <c r="AI11" s="134">
        <f t="shared" si="5"/>
        <v>596.5111869548731</v>
      </c>
      <c r="AJ11" s="163">
        <v>19.600000000000001</v>
      </c>
      <c r="AK11" s="154"/>
      <c r="AL11" s="155">
        <v>10.49</v>
      </c>
      <c r="AM11" s="478">
        <v>29.2</v>
      </c>
      <c r="AN11" s="126">
        <f t="shared" si="23"/>
        <v>0.17237308146399055</v>
      </c>
      <c r="AO11" s="157" t="s">
        <v>351</v>
      </c>
      <c r="AP11" s="156">
        <v>7.71</v>
      </c>
      <c r="AQ11" s="156">
        <v>8.19</v>
      </c>
      <c r="AR11" s="149"/>
      <c r="AS11" s="149">
        <v>7.77</v>
      </c>
      <c r="AT11" s="149">
        <v>169.4</v>
      </c>
      <c r="AU11" s="149">
        <v>2.14</v>
      </c>
      <c r="AV11" s="149"/>
      <c r="AW11" s="149"/>
      <c r="AX11" s="158">
        <f t="shared" si="6"/>
        <v>0</v>
      </c>
      <c r="AY11" s="125">
        <f t="shared" si="7"/>
        <v>131.85</v>
      </c>
      <c r="AZ11" s="125">
        <f t="shared" si="24"/>
        <v>123.63900393127597</v>
      </c>
      <c r="BA11" s="159">
        <f t="shared" si="8"/>
        <v>4.7339545774647886</v>
      </c>
      <c r="BB11" s="160">
        <f t="shared" si="9"/>
        <v>5.274</v>
      </c>
      <c r="BC11" s="161">
        <f t="shared" si="10"/>
        <v>0.94356316995963285</v>
      </c>
      <c r="BD11" s="160">
        <f t="shared" si="25"/>
        <v>10.007954577464789</v>
      </c>
      <c r="BE11" s="162">
        <v>0.85799999999999998</v>
      </c>
      <c r="BF11" s="25">
        <f t="shared" si="26"/>
        <v>512.7700000000001</v>
      </c>
      <c r="BG11" s="25">
        <f t="shared" si="11"/>
        <v>125.80645161290323</v>
      </c>
      <c r="BH11" s="25">
        <f t="shared" si="27"/>
        <v>629.0322580645161</v>
      </c>
      <c r="BI11" s="26">
        <f t="shared" si="12"/>
        <v>1</v>
      </c>
      <c r="BJ11" s="37">
        <f t="shared" si="28"/>
        <v>629.0322580645161</v>
      </c>
      <c r="BK11" s="38">
        <v>153.499</v>
      </c>
      <c r="BL11" s="31">
        <v>79.103999999999999</v>
      </c>
      <c r="BM11" s="31"/>
      <c r="BN11" s="31"/>
      <c r="BO11" s="40"/>
      <c r="BP11" s="40"/>
      <c r="BQ11" s="32">
        <v>49.97</v>
      </c>
      <c r="BR11" s="33">
        <v>1.27</v>
      </c>
      <c r="BS11" s="34">
        <v>1.29</v>
      </c>
      <c r="BT11" s="35"/>
      <c r="BU11" s="28"/>
      <c r="BV11" s="287"/>
      <c r="BW11" s="287"/>
      <c r="BX11" s="36"/>
      <c r="BY11" s="33">
        <v>37.049999999999997</v>
      </c>
      <c r="BZ11" s="34">
        <v>36.049999999999997</v>
      </c>
      <c r="CA11" s="35"/>
      <c r="CB11" s="35"/>
      <c r="CC11" s="235"/>
      <c r="CD11" s="235"/>
      <c r="CE11" s="36">
        <v>43.17</v>
      </c>
      <c r="CF11" s="30">
        <v>117.45399999999999</v>
      </c>
      <c r="CG11" s="30"/>
      <c r="CH11" s="31"/>
      <c r="CI11" s="32">
        <v>56.53</v>
      </c>
      <c r="CJ11" s="33">
        <v>2.48</v>
      </c>
      <c r="CK11" s="33"/>
      <c r="CL11" s="35"/>
      <c r="CM11" s="36">
        <v>2.48</v>
      </c>
      <c r="CN11" s="286"/>
      <c r="CO11" s="249">
        <f t="shared" si="13"/>
        <v>151.5495627</v>
      </c>
      <c r="CP11" s="12">
        <f t="shared" si="13"/>
        <v>78.083558400000001</v>
      </c>
      <c r="CQ11" s="15">
        <f t="shared" si="13"/>
        <v>0</v>
      </c>
      <c r="CR11" s="16">
        <f t="shared" si="13"/>
        <v>0</v>
      </c>
      <c r="CS11" s="11">
        <f t="shared" si="13"/>
        <v>0</v>
      </c>
      <c r="CT11" s="11">
        <f t="shared" si="13"/>
        <v>0</v>
      </c>
      <c r="CU11" s="272">
        <f t="shared" si="13"/>
        <v>49.97</v>
      </c>
      <c r="CV11" s="249">
        <f t="shared" si="14"/>
        <v>114.54114079999999</v>
      </c>
      <c r="CW11" s="12">
        <f t="shared" si="14"/>
        <v>0</v>
      </c>
      <c r="CX11" s="249">
        <f t="shared" si="14"/>
        <v>0</v>
      </c>
      <c r="CY11" s="272">
        <f t="shared" si="14"/>
        <v>55.128056000000001</v>
      </c>
      <c r="CZ11" s="13"/>
      <c r="DA11" s="240">
        <f>(D11+'[2]октябрь 20 '!D11)/(AY11+'[2]октябрь 20 '!BA11)</f>
        <v>2.201434740592326</v>
      </c>
      <c r="DB11" s="241">
        <f>(T11+'[2]октябрь 20 '!T11)/(AY11+'[2]октябрь 20 '!BA11)</f>
        <v>1.3310152609804633</v>
      </c>
      <c r="DD11" s="292">
        <f t="shared" si="15"/>
        <v>11.162000000000001</v>
      </c>
      <c r="DE11" s="291">
        <v>0.17</v>
      </c>
      <c r="DF11" s="407">
        <v>11.21</v>
      </c>
      <c r="DG11" s="145">
        <f t="shared" si="16"/>
        <v>11.1430246</v>
      </c>
      <c r="DH11" s="293">
        <f t="shared" si="29"/>
        <v>1.6492382593873782</v>
      </c>
      <c r="DJ11" s="322"/>
    </row>
    <row r="12" spans="1:114" s="76" customFormat="1" ht="16.5" customHeight="1" thickBot="1">
      <c r="A12" s="144">
        <v>6</v>
      </c>
      <c r="B12" s="122">
        <f>'[1]октябрь 20'!K11</f>
        <v>260.03800000000001</v>
      </c>
      <c r="C12" s="123">
        <f t="shared" si="17"/>
        <v>1.0265400826033115</v>
      </c>
      <c r="D12" s="145">
        <f t="shared" si="18"/>
        <v>257.36860570000005</v>
      </c>
      <c r="E12" s="125">
        <f t="shared" si="19"/>
        <v>38.104938355163469</v>
      </c>
      <c r="F12" s="146">
        <f t="shared" si="0"/>
        <v>2.2192688255583346</v>
      </c>
      <c r="G12" s="127">
        <v>19.579999999999998</v>
      </c>
      <c r="H12" s="126">
        <f t="shared" si="20"/>
        <v>1.9053514331292571</v>
      </c>
      <c r="I12" s="230">
        <f>'[1]июль 20'!AI11</f>
        <v>0</v>
      </c>
      <c r="J12" s="439">
        <f>'[1]октябрь 20'!AA11</f>
        <v>10.382999999999999</v>
      </c>
      <c r="K12" s="464">
        <f>'[1]сентябрь 20'!AM11</f>
        <v>0</v>
      </c>
      <c r="L12" s="441">
        <f>'[1]октябрь 20'!AE11</f>
        <v>36.405000000000001</v>
      </c>
      <c r="M12" s="469">
        <f t="shared" si="21"/>
        <v>0.31391739242907651</v>
      </c>
      <c r="N12" s="403">
        <f>'[1]октябрь 20'!W11</f>
        <v>0</v>
      </c>
      <c r="O12" s="403">
        <f>'[1]октябрь 20'!AU11</f>
        <v>6.2560000000000002</v>
      </c>
      <c r="P12" s="401">
        <f t="shared" si="1"/>
        <v>160.05099999999999</v>
      </c>
      <c r="Q12" s="122">
        <f>'[1]октябрь 20'!S11</f>
        <v>160.05099999999999</v>
      </c>
      <c r="R12" s="123">
        <f t="shared" si="22"/>
        <v>2.72</v>
      </c>
      <c r="S12" s="129">
        <v>10.72</v>
      </c>
      <c r="T12" s="125">
        <f t="shared" si="2"/>
        <v>155.6976128</v>
      </c>
      <c r="U12" s="147">
        <f t="shared" si="3"/>
        <v>1.3425680158661724</v>
      </c>
      <c r="V12" s="130">
        <v>115.97</v>
      </c>
      <c r="W12" s="130">
        <v>49.22</v>
      </c>
      <c r="X12" s="129">
        <v>0.98</v>
      </c>
      <c r="Y12" s="131">
        <v>556</v>
      </c>
      <c r="Z12" s="150">
        <v>1171</v>
      </c>
      <c r="AA12" s="148" t="s">
        <v>415</v>
      </c>
      <c r="AB12" s="149">
        <v>76.27</v>
      </c>
      <c r="AC12" s="150">
        <v>104</v>
      </c>
      <c r="AD12" s="151">
        <v>5</v>
      </c>
      <c r="AE12" s="149">
        <v>3.35</v>
      </c>
      <c r="AF12" s="134">
        <f t="shared" si="4"/>
        <v>28.886781064068295</v>
      </c>
      <c r="AG12" s="152"/>
      <c r="AH12" s="129">
        <v>64.599999999999994</v>
      </c>
      <c r="AI12" s="134">
        <f t="shared" si="5"/>
        <v>557.0406139518841</v>
      </c>
      <c r="AJ12" s="153">
        <v>17.649999999999999</v>
      </c>
      <c r="AK12" s="154"/>
      <c r="AL12" s="155">
        <v>11.36</v>
      </c>
      <c r="AM12" s="478">
        <v>36.14</v>
      </c>
      <c r="AN12" s="126">
        <f t="shared" si="23"/>
        <v>0.22405455672659638</v>
      </c>
      <c r="AO12" s="157" t="s">
        <v>356</v>
      </c>
      <c r="AP12" s="156">
        <v>8.41</v>
      </c>
      <c r="AQ12" s="156">
        <v>8.24</v>
      </c>
      <c r="AR12" s="149"/>
      <c r="AS12" s="149">
        <v>5.82</v>
      </c>
      <c r="AT12" s="149">
        <v>161.30000000000001</v>
      </c>
      <c r="AU12" s="149">
        <v>2.17</v>
      </c>
      <c r="AV12" s="164"/>
      <c r="AW12" s="164"/>
      <c r="AX12" s="158">
        <f t="shared" si="6"/>
        <v>0</v>
      </c>
      <c r="AY12" s="125">
        <f t="shared" si="7"/>
        <v>115.97</v>
      </c>
      <c r="AZ12" s="125">
        <f t="shared" si="24"/>
        <v>113.84609871004669</v>
      </c>
      <c r="BA12" s="159">
        <f t="shared" si="8"/>
        <v>2.9124591549295773</v>
      </c>
      <c r="BB12" s="160">
        <f t="shared" si="9"/>
        <v>4.6387999999999998</v>
      </c>
      <c r="BC12" s="161">
        <f t="shared" si="10"/>
        <v>0.9019086879136663</v>
      </c>
      <c r="BD12" s="160">
        <f t="shared" si="25"/>
        <v>7.5512591549295767</v>
      </c>
      <c r="BE12" s="162">
        <v>0.86599999999999999</v>
      </c>
      <c r="BF12" s="25">
        <f t="shared" si="26"/>
        <v>628.74000000000012</v>
      </c>
      <c r="BG12" s="25">
        <f t="shared" si="11"/>
        <v>125.80645161290323</v>
      </c>
      <c r="BH12" s="25">
        <f t="shared" si="27"/>
        <v>754.83870967741927</v>
      </c>
      <c r="BI12" s="26">
        <f t="shared" si="12"/>
        <v>1</v>
      </c>
      <c r="BJ12" s="37">
        <f t="shared" si="28"/>
        <v>754.83870967741927</v>
      </c>
      <c r="BK12" s="38">
        <v>150.78899999999999</v>
      </c>
      <c r="BL12" s="31">
        <v>72.843999999999994</v>
      </c>
      <c r="BM12" s="31"/>
      <c r="BN12" s="31"/>
      <c r="BO12" s="40"/>
      <c r="BP12" s="40"/>
      <c r="BQ12" s="32">
        <v>36.405000000000001</v>
      </c>
      <c r="BR12" s="33">
        <v>1.35</v>
      </c>
      <c r="BS12" s="34">
        <v>0.87</v>
      </c>
      <c r="BT12" s="33"/>
      <c r="BU12" s="28"/>
      <c r="BV12" s="287"/>
      <c r="BW12" s="287"/>
      <c r="BX12" s="36"/>
      <c r="BY12" s="33">
        <v>37.94</v>
      </c>
      <c r="BZ12" s="34">
        <v>35.950000000000003</v>
      </c>
      <c r="CA12" s="33"/>
      <c r="CB12" s="35"/>
      <c r="CC12" s="235"/>
      <c r="CD12" s="235"/>
      <c r="CE12" s="36">
        <v>43.1</v>
      </c>
      <c r="CF12" s="30">
        <v>103.062</v>
      </c>
      <c r="CG12" s="30"/>
      <c r="CH12" s="31"/>
      <c r="CI12" s="32">
        <v>56.988999999999997</v>
      </c>
      <c r="CJ12" s="33">
        <v>2.72</v>
      </c>
      <c r="CK12" s="33"/>
      <c r="CL12" s="35"/>
      <c r="CM12" s="36">
        <v>2.72</v>
      </c>
      <c r="CN12" s="286"/>
      <c r="CO12" s="249">
        <f t="shared" si="13"/>
        <v>148.75334849999999</v>
      </c>
      <c r="CP12" s="12">
        <f t="shared" si="13"/>
        <v>72.210257199999987</v>
      </c>
      <c r="CQ12" s="12">
        <f t="shared" si="13"/>
        <v>0</v>
      </c>
      <c r="CR12" s="12">
        <f t="shared" si="13"/>
        <v>0</v>
      </c>
      <c r="CS12" s="11">
        <f t="shared" si="13"/>
        <v>0</v>
      </c>
      <c r="CT12" s="11">
        <f t="shared" si="13"/>
        <v>0</v>
      </c>
      <c r="CU12" s="272">
        <f t="shared" si="13"/>
        <v>36.405000000000001</v>
      </c>
      <c r="CV12" s="249">
        <f t="shared" si="14"/>
        <v>100.25871359999999</v>
      </c>
      <c r="CW12" s="12">
        <f t="shared" si="14"/>
        <v>0</v>
      </c>
      <c r="CX12" s="252">
        <f t="shared" si="14"/>
        <v>0</v>
      </c>
      <c r="CY12" s="272">
        <f t="shared" si="14"/>
        <v>55.438899199999994</v>
      </c>
      <c r="CZ12" s="13"/>
      <c r="DA12" s="240">
        <f>(D12+'[2]октябрь 20 '!D12)/(AY12+'[2]октябрь 20 '!BA12)</f>
        <v>2.1985851930862705</v>
      </c>
      <c r="DB12" s="241">
        <f>(T12+'[2]октябрь 20 '!T12)/(AY12+'[2]октябрь 20 '!BA12)</f>
        <v>1.3279825058345855</v>
      </c>
      <c r="DD12" s="292">
        <f t="shared" si="15"/>
        <v>10.382999999999999</v>
      </c>
      <c r="DE12" s="291">
        <v>0.48</v>
      </c>
      <c r="DF12" s="291">
        <v>11.76</v>
      </c>
      <c r="DG12" s="145">
        <f t="shared" si="16"/>
        <v>10.333161599999999</v>
      </c>
      <c r="DH12" s="293">
        <f t="shared" si="29"/>
        <v>1.5932605272846465</v>
      </c>
      <c r="DJ12" s="322"/>
    </row>
    <row r="13" spans="1:114" s="76" customFormat="1" ht="16.5" customHeight="1" thickBot="1">
      <c r="A13" s="144">
        <v>7</v>
      </c>
      <c r="B13" s="122">
        <f>'[1]октябрь 20'!K12</f>
        <v>207.51</v>
      </c>
      <c r="C13" s="123">
        <f t="shared" si="17"/>
        <v>1.9145582381571971</v>
      </c>
      <c r="D13" s="145">
        <f t="shared" si="18"/>
        <v>203.5371002</v>
      </c>
      <c r="E13" s="125">
        <f t="shared" si="19"/>
        <v>39.050472410968148</v>
      </c>
      <c r="F13" s="146">
        <f t="shared" si="0"/>
        <v>2.0212224448857992</v>
      </c>
      <c r="G13" s="127">
        <v>13.75</v>
      </c>
      <c r="H13" s="126">
        <f t="shared" si="20"/>
        <v>1.7329106276067523</v>
      </c>
      <c r="I13" s="230">
        <f>'[1]июль 20'!AI12</f>
        <v>0</v>
      </c>
      <c r="J13" s="439">
        <f>'[1]октябрь 20'!AA12</f>
        <v>8.3490000000000002</v>
      </c>
      <c r="K13" s="464">
        <f>'[1]сентябрь 20'!AM12</f>
        <v>0</v>
      </c>
      <c r="L13" s="441">
        <f>'[1]октябрь 20'!AE12</f>
        <v>29.033000000000001</v>
      </c>
      <c r="M13" s="468">
        <f t="shared" si="21"/>
        <v>0.28831181727904664</v>
      </c>
      <c r="N13" s="399">
        <f>'[1]октябрь 20'!W12</f>
        <v>0</v>
      </c>
      <c r="O13" s="403">
        <f>'[1]октябрь 20'!AU12</f>
        <v>5.0970000000000004</v>
      </c>
      <c r="P13" s="401">
        <f t="shared" si="1"/>
        <v>140.03800000000001</v>
      </c>
      <c r="Q13" s="122">
        <f>'[1]октябрь 20'!S12</f>
        <v>140.03800000000001</v>
      </c>
      <c r="R13" s="123">
        <f t="shared" si="22"/>
        <v>2.6699999999999995</v>
      </c>
      <c r="S13" s="129">
        <v>3.02</v>
      </c>
      <c r="T13" s="125">
        <f t="shared" si="2"/>
        <v>136.29898539999999</v>
      </c>
      <c r="U13" s="147">
        <f t="shared" si="3"/>
        <v>1.3535152472691159</v>
      </c>
      <c r="V13" s="130">
        <v>100.7</v>
      </c>
      <c r="W13" s="130">
        <v>100.7</v>
      </c>
      <c r="X13" s="129">
        <v>0.61</v>
      </c>
      <c r="Y13" s="165">
        <v>565</v>
      </c>
      <c r="Z13" s="166">
        <v>1156</v>
      </c>
      <c r="AA13" s="148" t="s">
        <v>220</v>
      </c>
      <c r="AB13" s="149">
        <v>76.52</v>
      </c>
      <c r="AC13" s="150">
        <v>87</v>
      </c>
      <c r="AD13" s="151">
        <v>5</v>
      </c>
      <c r="AE13" s="149"/>
      <c r="AF13" s="134">
        <f t="shared" si="4"/>
        <v>0</v>
      </c>
      <c r="AG13" s="152"/>
      <c r="AH13" s="129">
        <v>77.599999999999994</v>
      </c>
      <c r="AI13" s="134">
        <f t="shared" si="5"/>
        <v>770.60575968222417</v>
      </c>
      <c r="AJ13" s="136">
        <v>16.97</v>
      </c>
      <c r="AK13" s="154"/>
      <c r="AL13" s="155">
        <v>6.67</v>
      </c>
      <c r="AM13" s="478">
        <v>34.700000000000003</v>
      </c>
      <c r="AN13" s="126">
        <f t="shared" si="23"/>
        <v>0.25090383224873464</v>
      </c>
      <c r="AO13" s="157" t="s">
        <v>353</v>
      </c>
      <c r="AP13" s="156">
        <v>6.28</v>
      </c>
      <c r="AQ13" s="156">
        <v>8.5500000000000007</v>
      </c>
      <c r="AR13" s="149"/>
      <c r="AS13" s="149">
        <v>8.2200000000000006</v>
      </c>
      <c r="AT13" s="149">
        <v>138.30000000000001</v>
      </c>
      <c r="AU13" s="149">
        <v>3.77</v>
      </c>
      <c r="AV13" s="149"/>
      <c r="AW13" s="149"/>
      <c r="AX13" s="158">
        <f t="shared" si="6"/>
        <v>0</v>
      </c>
      <c r="AY13" s="125">
        <f t="shared" si="7"/>
        <v>100.70000000000002</v>
      </c>
      <c r="AZ13" s="125">
        <f t="shared" si="24"/>
        <v>91.875743830901101</v>
      </c>
      <c r="BA13" s="159">
        <f t="shared" si="8"/>
        <v>4.9412619718309854</v>
      </c>
      <c r="BB13" s="160">
        <f t="shared" si="9"/>
        <v>4.0280000000000005</v>
      </c>
      <c r="BC13" s="161">
        <f t="shared" si="10"/>
        <v>0.96947040739511436</v>
      </c>
      <c r="BD13" s="160">
        <f t="shared" si="25"/>
        <v>8.9692619718309849</v>
      </c>
      <c r="BE13" s="162">
        <v>0.879</v>
      </c>
      <c r="BF13" s="25">
        <f t="shared" si="26"/>
        <v>729.44000000000017</v>
      </c>
      <c r="BG13" s="25">
        <f t="shared" si="11"/>
        <v>125.80645161290323</v>
      </c>
      <c r="BH13" s="25">
        <f t="shared" si="27"/>
        <v>880.64516129032245</v>
      </c>
      <c r="BI13" s="26">
        <f t="shared" si="12"/>
        <v>1</v>
      </c>
      <c r="BJ13" s="37">
        <f t="shared" si="28"/>
        <v>880.64516129032245</v>
      </c>
      <c r="BK13" s="39">
        <v>120.345</v>
      </c>
      <c r="BL13" s="40">
        <v>58.131999999999998</v>
      </c>
      <c r="BM13" s="325"/>
      <c r="BN13" s="31"/>
      <c r="BO13" s="40"/>
      <c r="BP13" s="40"/>
      <c r="BQ13" s="32">
        <v>29.033000000000001</v>
      </c>
      <c r="BR13" s="33">
        <v>2.34</v>
      </c>
      <c r="BS13" s="34">
        <v>1.99</v>
      </c>
      <c r="BT13" s="33"/>
      <c r="BU13" s="28"/>
      <c r="BV13" s="287"/>
      <c r="BW13" s="287"/>
      <c r="BX13" s="36"/>
      <c r="BY13" s="33">
        <v>38.68</v>
      </c>
      <c r="BZ13" s="34">
        <v>37.76</v>
      </c>
      <c r="CA13" s="33"/>
      <c r="CB13" s="35"/>
      <c r="CC13" s="235"/>
      <c r="CD13" s="235"/>
      <c r="CE13" s="36">
        <v>43.17</v>
      </c>
      <c r="CF13" s="30">
        <v>90.225999999999999</v>
      </c>
      <c r="CG13" s="30"/>
      <c r="CH13" s="30"/>
      <c r="CI13" s="32">
        <v>49.811999999999998</v>
      </c>
      <c r="CJ13" s="33">
        <v>2.67</v>
      </c>
      <c r="CK13" s="33"/>
      <c r="CL13" s="33"/>
      <c r="CM13" s="36">
        <v>2.67</v>
      </c>
      <c r="CN13" s="286"/>
      <c r="CO13" s="249">
        <f t="shared" si="13"/>
        <v>117.52892699999998</v>
      </c>
      <c r="CP13" s="12">
        <f t="shared" si="13"/>
        <v>56.9751732</v>
      </c>
      <c r="CQ13" s="12">
        <f t="shared" si="13"/>
        <v>0</v>
      </c>
      <c r="CR13" s="12">
        <f t="shared" si="13"/>
        <v>0</v>
      </c>
      <c r="CS13" s="11">
        <f t="shared" si="13"/>
        <v>0</v>
      </c>
      <c r="CT13" s="11">
        <f t="shared" si="13"/>
        <v>0</v>
      </c>
      <c r="CU13" s="272">
        <f t="shared" si="13"/>
        <v>29.033000000000001</v>
      </c>
      <c r="CV13" s="249">
        <f t="shared" si="14"/>
        <v>87.816965799999991</v>
      </c>
      <c r="CW13" s="251">
        <f t="shared" si="14"/>
        <v>0</v>
      </c>
      <c r="CX13" s="249">
        <f t="shared" si="14"/>
        <v>0</v>
      </c>
      <c r="CY13" s="272">
        <f t="shared" si="14"/>
        <v>48.482019599999994</v>
      </c>
      <c r="CZ13" s="13"/>
      <c r="DA13" s="240">
        <f>(D13+'[2]октябрь 20 '!D13)/(AY13+'[2]октябрь 20 '!BA13)</f>
        <v>2.1114888205777915</v>
      </c>
      <c r="DB13" s="241">
        <f>(T13+'[2]октябрь 20 '!T13)/(AY13+'[2]октябрь 20 '!BA13)</f>
        <v>1.3257505306149664</v>
      </c>
      <c r="DD13" s="292">
        <f t="shared" si="15"/>
        <v>8.3490000000000002</v>
      </c>
      <c r="DE13" s="291">
        <v>0.33</v>
      </c>
      <c r="DF13" s="291">
        <v>11</v>
      </c>
      <c r="DG13" s="145">
        <f t="shared" si="16"/>
        <v>8.3214483000000001</v>
      </c>
      <c r="DH13" s="293">
        <f t="shared" si="29"/>
        <v>1.1962353802927341</v>
      </c>
      <c r="DJ13" s="322"/>
    </row>
    <row r="14" spans="1:114" s="76" customFormat="1" ht="16.5" customHeight="1" thickBot="1">
      <c r="A14" s="144">
        <v>8</v>
      </c>
      <c r="B14" s="122">
        <f>'[1]октябрь 20'!K13</f>
        <v>43.593000000000004</v>
      </c>
      <c r="C14" s="123">
        <f t="shared" si="17"/>
        <v>0.95093340673961402</v>
      </c>
      <c r="D14" s="145">
        <f t="shared" si="18"/>
        <v>43.178459600000004</v>
      </c>
      <c r="E14" s="125">
        <f t="shared" si="19"/>
        <v>38.891203863005522</v>
      </c>
      <c r="F14" s="146">
        <f t="shared" si="0"/>
        <v>1.2287552532726238</v>
      </c>
      <c r="G14" s="127">
        <v>3.42</v>
      </c>
      <c r="H14" s="126">
        <f t="shared" si="20"/>
        <v>1.049017063175868</v>
      </c>
      <c r="I14" s="230">
        <f>'[1]июль 20'!AI13</f>
        <v>0</v>
      </c>
      <c r="J14" s="439">
        <f>'[1]октябрь 20'!AA13</f>
        <v>2.0190000000000001</v>
      </c>
      <c r="K14" s="464">
        <f>'[1]сентябрь 20'!AM13</f>
        <v>0</v>
      </c>
      <c r="L14" s="441">
        <f>'[1]октябрь 20'!AE13</f>
        <v>6.3159999999999998</v>
      </c>
      <c r="M14" s="471">
        <f t="shared" si="21"/>
        <v>0.17973819009675582</v>
      </c>
      <c r="N14" s="403">
        <f>'[1]октябрь 20'!W13</f>
        <v>0</v>
      </c>
      <c r="O14" s="403">
        <f>'[1]октябрь 20'!AU13</f>
        <v>1.1830000000000001</v>
      </c>
      <c r="P14" s="401">
        <f t="shared" si="1"/>
        <v>30.611000000000001</v>
      </c>
      <c r="Q14" s="122">
        <f>'[1]октябрь 20'!S13</f>
        <v>30.611000000000001</v>
      </c>
      <c r="R14" s="123">
        <f t="shared" si="22"/>
        <v>2.83</v>
      </c>
      <c r="S14" s="129"/>
      <c r="T14" s="125">
        <f t="shared" si="2"/>
        <v>29.7447087</v>
      </c>
      <c r="U14" s="147">
        <f t="shared" si="3"/>
        <v>0.84646296812749</v>
      </c>
      <c r="V14" s="130">
        <v>35.14</v>
      </c>
      <c r="W14" s="130"/>
      <c r="X14" s="129">
        <v>1.49</v>
      </c>
      <c r="Y14" s="131">
        <v>570</v>
      </c>
      <c r="Z14" s="150">
        <v>1029</v>
      </c>
      <c r="AA14" s="148" t="s">
        <v>416</v>
      </c>
      <c r="AB14" s="149">
        <v>76.319999999999993</v>
      </c>
      <c r="AC14" s="150">
        <v>19</v>
      </c>
      <c r="AD14" s="151">
        <v>2</v>
      </c>
      <c r="AE14" s="149"/>
      <c r="AF14" s="134">
        <f t="shared" si="4"/>
        <v>0</v>
      </c>
      <c r="AG14" s="152"/>
      <c r="AH14" s="129">
        <v>15.4</v>
      </c>
      <c r="AI14" s="134">
        <f t="shared" si="5"/>
        <v>438.24701195219126</v>
      </c>
      <c r="AJ14" s="153">
        <v>6.8</v>
      </c>
      <c r="AK14" s="154"/>
      <c r="AL14" s="155">
        <v>2.6</v>
      </c>
      <c r="AM14" s="478"/>
      <c r="AN14" s="126">
        <f t="shared" si="23"/>
        <v>0</v>
      </c>
      <c r="AO14" s="157" t="s">
        <v>323</v>
      </c>
      <c r="AP14" s="156">
        <v>6.06</v>
      </c>
      <c r="AQ14" s="156">
        <v>7.5</v>
      </c>
      <c r="AR14" s="149"/>
      <c r="AS14" s="149">
        <v>9.14</v>
      </c>
      <c r="AT14" s="149">
        <v>37.15</v>
      </c>
      <c r="AU14" s="149">
        <v>0.59</v>
      </c>
      <c r="AV14" s="149"/>
      <c r="AW14" s="149"/>
      <c r="AX14" s="158">
        <f t="shared" si="6"/>
        <v>0</v>
      </c>
      <c r="AY14" s="125">
        <f t="shared" si="7"/>
        <v>35.14</v>
      </c>
      <c r="AZ14" s="125">
        <f t="shared" si="24"/>
        <v>19.48085610743307</v>
      </c>
      <c r="BA14" s="159">
        <f t="shared" si="8"/>
        <v>1.0903633802816901</v>
      </c>
      <c r="BB14" s="160">
        <f t="shared" si="9"/>
        <v>1.4056</v>
      </c>
      <c r="BC14" s="161">
        <f t="shared" si="10"/>
        <v>1.5970613049880835</v>
      </c>
      <c r="BD14" s="159">
        <f t="shared" si="25"/>
        <v>2.4959633802816903</v>
      </c>
      <c r="BE14" s="167">
        <v>0.89800000000000002</v>
      </c>
      <c r="BF14" s="25">
        <f t="shared" si="26"/>
        <v>764.58000000000015</v>
      </c>
      <c r="BG14" s="25">
        <f t="shared" si="11"/>
        <v>125.80645161290323</v>
      </c>
      <c r="BH14" s="25">
        <f t="shared" si="27"/>
        <v>1006.4516129032256</v>
      </c>
      <c r="BI14" s="26">
        <f t="shared" si="12"/>
        <v>1</v>
      </c>
      <c r="BJ14" s="37">
        <f t="shared" si="28"/>
        <v>1006.4516129032256</v>
      </c>
      <c r="BK14" s="39">
        <v>24.655000000000001</v>
      </c>
      <c r="BL14" s="40">
        <v>12.622</v>
      </c>
      <c r="BM14" s="325"/>
      <c r="BN14" s="31"/>
      <c r="BO14" s="40"/>
      <c r="BP14" s="40"/>
      <c r="BQ14" s="32">
        <v>6.3159999999999998</v>
      </c>
      <c r="BR14" s="33">
        <v>0.98</v>
      </c>
      <c r="BS14" s="34">
        <v>1.37</v>
      </c>
      <c r="BT14" s="33"/>
      <c r="BU14" s="28"/>
      <c r="BV14" s="287"/>
      <c r="BW14" s="287"/>
      <c r="BX14" s="36"/>
      <c r="BY14" s="33">
        <v>38.409999999999997</v>
      </c>
      <c r="BZ14" s="34">
        <v>37.61</v>
      </c>
      <c r="CA14" s="33"/>
      <c r="CB14" s="35"/>
      <c r="CC14" s="235"/>
      <c r="CD14" s="235"/>
      <c r="CE14" s="36">
        <v>43.33</v>
      </c>
      <c r="CF14" s="30">
        <v>20.411000000000001</v>
      </c>
      <c r="CG14" s="30"/>
      <c r="CH14" s="30"/>
      <c r="CI14" s="32">
        <v>10.199999999999999</v>
      </c>
      <c r="CJ14" s="33">
        <v>2.83</v>
      </c>
      <c r="CK14" s="33"/>
      <c r="CL14" s="33"/>
      <c r="CM14" s="36">
        <v>2.83</v>
      </c>
      <c r="CN14" s="286"/>
      <c r="CO14" s="249">
        <f t="shared" si="13"/>
        <v>24.413381000000001</v>
      </c>
      <c r="CP14" s="12">
        <f t="shared" si="13"/>
        <v>12.4490786</v>
      </c>
      <c r="CQ14" s="12">
        <f t="shared" si="13"/>
        <v>0</v>
      </c>
      <c r="CR14" s="12">
        <f t="shared" si="13"/>
        <v>0</v>
      </c>
      <c r="CS14" s="11">
        <f t="shared" si="13"/>
        <v>0</v>
      </c>
      <c r="CT14" s="11">
        <f t="shared" si="13"/>
        <v>0</v>
      </c>
      <c r="CU14" s="272">
        <f t="shared" si="13"/>
        <v>6.3159999999999998</v>
      </c>
      <c r="CV14" s="249">
        <f t="shared" si="14"/>
        <v>19.833368700000001</v>
      </c>
      <c r="CW14" s="12">
        <f t="shared" si="14"/>
        <v>0</v>
      </c>
      <c r="CX14" s="252">
        <f t="shared" si="14"/>
        <v>0</v>
      </c>
      <c r="CY14" s="272">
        <f t="shared" si="14"/>
        <v>9.9113399999999992</v>
      </c>
      <c r="CZ14" s="13"/>
      <c r="DA14" s="240">
        <f>(D14+'[2]октябрь 20 '!D14)/(AY14+'[2]октябрь 20 '!BA14)</f>
        <v>2.0858867603924742</v>
      </c>
      <c r="DB14" s="241">
        <f>(T14+'[2]октябрь 20 '!T14)/(AY14+'[2]октябрь 20 '!BA14)</f>
        <v>1.2854503773635948</v>
      </c>
      <c r="DD14" s="292">
        <f t="shared" si="15"/>
        <v>2.0190000000000001</v>
      </c>
      <c r="DE14" s="291">
        <v>0.64</v>
      </c>
      <c r="DF14" s="291">
        <v>10.36</v>
      </c>
      <c r="DG14" s="145">
        <f t="shared" si="16"/>
        <v>2.0060784000000003</v>
      </c>
      <c r="DH14" s="293">
        <f t="shared" si="29"/>
        <v>0.27231357735849065</v>
      </c>
      <c r="DJ14" s="322"/>
    </row>
    <row r="15" spans="1:114" s="76" customFormat="1" ht="16.5" customHeight="1" thickBot="1">
      <c r="A15" s="144">
        <v>9</v>
      </c>
      <c r="B15" s="122">
        <f>'[1]октябрь 20'!K14</f>
        <v>232.63</v>
      </c>
      <c r="C15" s="123">
        <f t="shared" si="17"/>
        <v>0.73868258608090098</v>
      </c>
      <c r="D15" s="145">
        <f t="shared" si="18"/>
        <v>230.9116027</v>
      </c>
      <c r="E15" s="125">
        <f t="shared" si="19"/>
        <v>39.052723896316031</v>
      </c>
      <c r="F15" s="146">
        <f t="shared" si="0"/>
        <v>2.5481306852791881</v>
      </c>
      <c r="G15" s="127">
        <v>11.07</v>
      </c>
      <c r="H15" s="126">
        <f t="shared" si="20"/>
        <v>2.1888612083425292</v>
      </c>
      <c r="I15" s="230">
        <f>'[1]июль 20'!AI14</f>
        <v>0</v>
      </c>
      <c r="J15" s="277">
        <f>'[1]октябрь 20'!AA14</f>
        <v>9.1739999999999995</v>
      </c>
      <c r="K15" s="518">
        <f>'[1]сентябрь 20'!AM14</f>
        <v>0</v>
      </c>
      <c r="L15" s="441">
        <f>'[1]октябрь 20'!AE14</f>
        <v>32.557000000000002</v>
      </c>
      <c r="M15" s="469">
        <f t="shared" si="21"/>
        <v>0.35926947693665862</v>
      </c>
      <c r="N15" s="403">
        <f>'[1]октябрь 20'!W14</f>
        <v>0</v>
      </c>
      <c r="O15" s="403">
        <f>'[1]октябрь 20'!AU14</f>
        <v>5.8390000000000004</v>
      </c>
      <c r="P15" s="401">
        <f t="shared" si="1"/>
        <v>146.29499999999999</v>
      </c>
      <c r="Q15" s="122">
        <f>'[1]октябрь 20'!S14</f>
        <v>146.29499999999999</v>
      </c>
      <c r="R15" s="123">
        <f t="shared" si="22"/>
        <v>2.88</v>
      </c>
      <c r="S15" s="129">
        <v>10.65</v>
      </c>
      <c r="T15" s="125">
        <f t="shared" si="2"/>
        <v>142.081704</v>
      </c>
      <c r="U15" s="147">
        <f t="shared" si="3"/>
        <v>1.567884617082322</v>
      </c>
      <c r="V15" s="130">
        <v>90.62</v>
      </c>
      <c r="W15" s="130">
        <v>60.86</v>
      </c>
      <c r="X15" s="129">
        <v>0.82</v>
      </c>
      <c r="Y15" s="131">
        <v>560</v>
      </c>
      <c r="Z15" s="150">
        <v>1093</v>
      </c>
      <c r="AA15" s="148" t="s">
        <v>413</v>
      </c>
      <c r="AB15" s="149">
        <v>76.45</v>
      </c>
      <c r="AC15" s="150">
        <v>93</v>
      </c>
      <c r="AD15" s="151">
        <v>4</v>
      </c>
      <c r="AE15" s="149"/>
      <c r="AF15" s="134">
        <f t="shared" si="4"/>
        <v>0</v>
      </c>
      <c r="AG15" s="152"/>
      <c r="AH15" s="129">
        <v>51.25</v>
      </c>
      <c r="AI15" s="134">
        <f t="shared" si="5"/>
        <v>565.54844405208576</v>
      </c>
      <c r="AJ15" s="136">
        <v>13.17</v>
      </c>
      <c r="AK15" s="154"/>
      <c r="AL15" s="155">
        <v>6.37</v>
      </c>
      <c r="AM15" s="478">
        <v>18.55</v>
      </c>
      <c r="AN15" s="126">
        <f t="shared" si="23"/>
        <v>0.16300527240773288</v>
      </c>
      <c r="AO15" s="157" t="s">
        <v>166</v>
      </c>
      <c r="AP15" s="156">
        <v>8.1</v>
      </c>
      <c r="AQ15" s="156">
        <v>7.65</v>
      </c>
      <c r="AR15" s="149"/>
      <c r="AS15" s="149">
        <v>7.12</v>
      </c>
      <c r="AT15" s="149">
        <v>113.8</v>
      </c>
      <c r="AU15" s="149">
        <v>1.74</v>
      </c>
      <c r="AV15" s="149"/>
      <c r="AW15" s="149"/>
      <c r="AX15" s="158">
        <f t="shared" si="6"/>
        <v>0</v>
      </c>
      <c r="AY15" s="125">
        <f t="shared" si="7"/>
        <v>90.61999999999999</v>
      </c>
      <c r="AZ15" s="125">
        <f t="shared" si="24"/>
        <v>104.06268404191184</v>
      </c>
      <c r="BA15" s="159">
        <f t="shared" si="8"/>
        <v>2.82669014084507</v>
      </c>
      <c r="BB15" s="160">
        <f t="shared" si="9"/>
        <v>3.6247999999999996</v>
      </c>
      <c r="BC15" s="161">
        <f t="shared" si="10"/>
        <v>0.76825334702357195</v>
      </c>
      <c r="BD15" s="159">
        <f t="shared" si="25"/>
        <v>6.4514901408450696</v>
      </c>
      <c r="BE15" s="167">
        <v>0.88200000000000001</v>
      </c>
      <c r="BF15" s="25">
        <f t="shared" si="26"/>
        <v>855.20000000000016</v>
      </c>
      <c r="BG15" s="25">
        <f t="shared" si="11"/>
        <v>125.80645161290323</v>
      </c>
      <c r="BH15" s="25">
        <f t="shared" si="27"/>
        <v>1132.2580645161288</v>
      </c>
      <c r="BI15" s="26">
        <f t="shared" si="12"/>
        <v>1</v>
      </c>
      <c r="BJ15" s="37">
        <f t="shared" si="28"/>
        <v>1132.2580645161288</v>
      </c>
      <c r="BK15" s="38">
        <v>134.869</v>
      </c>
      <c r="BL15" s="42">
        <v>65.203999999999994</v>
      </c>
      <c r="BM15" s="31"/>
      <c r="BN15" s="31"/>
      <c r="BO15" s="40"/>
      <c r="BP15" s="40"/>
      <c r="BQ15" s="32">
        <v>32.557000000000002</v>
      </c>
      <c r="BR15" s="33">
        <v>0.81</v>
      </c>
      <c r="BS15" s="35">
        <v>0.96</v>
      </c>
      <c r="BT15" s="35"/>
      <c r="BU15" s="28"/>
      <c r="BV15" s="287"/>
      <c r="BW15" s="287"/>
      <c r="BX15" s="36"/>
      <c r="BY15" s="33">
        <v>38.58</v>
      </c>
      <c r="BZ15" s="34">
        <v>37.770000000000003</v>
      </c>
      <c r="CA15" s="35"/>
      <c r="CB15" s="35"/>
      <c r="CC15" s="35"/>
      <c r="CD15" s="35"/>
      <c r="CE15" s="35">
        <v>43.58</v>
      </c>
      <c r="CF15" s="38">
        <v>87.698999999999998</v>
      </c>
      <c r="CG15" s="30"/>
      <c r="CH15" s="30"/>
      <c r="CI15" s="32">
        <v>58.595999999999997</v>
      </c>
      <c r="CJ15" s="33">
        <v>2.88</v>
      </c>
      <c r="CK15" s="33"/>
      <c r="CL15" s="33"/>
      <c r="CM15" s="36">
        <v>2.88</v>
      </c>
      <c r="CN15" s="286"/>
      <c r="CO15" s="249">
        <f t="shared" si="13"/>
        <v>133.77656110000001</v>
      </c>
      <c r="CP15" s="12">
        <f t="shared" si="13"/>
        <v>64.578041599999992</v>
      </c>
      <c r="CQ15" s="12">
        <f t="shared" si="13"/>
        <v>0</v>
      </c>
      <c r="CR15" s="17">
        <f t="shared" si="13"/>
        <v>0</v>
      </c>
      <c r="CS15" s="11">
        <f t="shared" si="13"/>
        <v>0</v>
      </c>
      <c r="CT15" s="11">
        <f t="shared" si="13"/>
        <v>0</v>
      </c>
      <c r="CU15" s="272">
        <f t="shared" si="13"/>
        <v>32.557000000000002</v>
      </c>
      <c r="CV15" s="249">
        <f t="shared" si="14"/>
        <v>85.173268800000002</v>
      </c>
      <c r="CW15" s="12">
        <f t="shared" si="14"/>
        <v>0</v>
      </c>
      <c r="CX15" s="249">
        <f t="shared" si="14"/>
        <v>0</v>
      </c>
      <c r="CY15" s="274">
        <f t="shared" si="14"/>
        <v>56.9084352</v>
      </c>
      <c r="CZ15" s="13"/>
      <c r="DA15" s="240">
        <f>(D15+'[2]октябрь 20 '!D15)/(AY15+'[2]октябрь 20 '!BA15)</f>
        <v>2.254887680946537</v>
      </c>
      <c r="DB15" s="241">
        <f>(T15+'[2]октябрь 20 '!T15)/(AY15+'[2]октябрь 20 '!BA15)</f>
        <v>1.3953693936580787</v>
      </c>
      <c r="DD15" s="292">
        <f t="shared" si="15"/>
        <v>9.1739999999999995</v>
      </c>
      <c r="DE15" s="291">
        <v>0.33</v>
      </c>
      <c r="DF15" s="291">
        <v>9.09</v>
      </c>
      <c r="DG15" s="145">
        <f t="shared" si="16"/>
        <v>9.1437258000000003</v>
      </c>
      <c r="DH15" s="293">
        <f t="shared" si="29"/>
        <v>1.08720036</v>
      </c>
      <c r="DJ15" s="322"/>
    </row>
    <row r="16" spans="1:114" s="76" customFormat="1" ht="16.5" customHeight="1" thickBot="1">
      <c r="A16" s="144">
        <v>10</v>
      </c>
      <c r="B16" s="122">
        <f>'[1]октябрь 20'!K15</f>
        <v>247.505</v>
      </c>
      <c r="C16" s="123">
        <f t="shared" si="17"/>
        <v>0.64161645219288499</v>
      </c>
      <c r="D16" s="145">
        <f t="shared" si="18"/>
        <v>245.91696719999996</v>
      </c>
      <c r="E16" s="125">
        <f t="shared" si="19"/>
        <v>38.675671602593887</v>
      </c>
      <c r="F16" s="146">
        <f t="shared" si="0"/>
        <v>2.088466812738853</v>
      </c>
      <c r="G16" s="127">
        <v>23.62</v>
      </c>
      <c r="H16" s="126">
        <f t="shared" si="20"/>
        <v>1.7942077893842887</v>
      </c>
      <c r="I16" s="230">
        <f>'[1]июль 20'!AI15</f>
        <v>0</v>
      </c>
      <c r="J16" s="439">
        <f>'[1]октябрь 20'!AA15</f>
        <v>10.016</v>
      </c>
      <c r="K16" s="467">
        <f>'[1]сентябрь 20'!AM15</f>
        <v>0</v>
      </c>
      <c r="L16" s="441">
        <f>'[1]октябрь 20'!AE15</f>
        <v>34.649000000000001</v>
      </c>
      <c r="M16" s="468">
        <f t="shared" si="21"/>
        <v>0.29425902335456477</v>
      </c>
      <c r="N16" s="403">
        <f>'[1]октябрь 20'!W15</f>
        <v>0</v>
      </c>
      <c r="O16" s="403">
        <f>'[1]октябрь 20'!AU15</f>
        <v>6.0220000000000002</v>
      </c>
      <c r="P16" s="401">
        <f t="shared" si="1"/>
        <v>154.34300000000002</v>
      </c>
      <c r="Q16" s="122">
        <f>'[1]октябрь 20'!S15</f>
        <v>154.34299999999999</v>
      </c>
      <c r="R16" s="123">
        <f t="shared" si="22"/>
        <v>2.8000000000000003</v>
      </c>
      <c r="S16" s="501">
        <v>12.66</v>
      </c>
      <c r="T16" s="125">
        <f t="shared" si="2"/>
        <v>150.02139599999998</v>
      </c>
      <c r="U16" s="147">
        <f t="shared" si="3"/>
        <v>1.2740670573248407</v>
      </c>
      <c r="V16" s="130">
        <v>117.75</v>
      </c>
      <c r="W16" s="130">
        <v>63.58</v>
      </c>
      <c r="X16" s="129">
        <v>1.01</v>
      </c>
      <c r="Y16" s="131">
        <v>588</v>
      </c>
      <c r="Z16" s="150">
        <v>1159</v>
      </c>
      <c r="AA16" s="148" t="s">
        <v>110</v>
      </c>
      <c r="AB16" s="149">
        <v>76.56</v>
      </c>
      <c r="AC16" s="150">
        <v>99</v>
      </c>
      <c r="AD16" s="151">
        <v>5</v>
      </c>
      <c r="AE16" s="149">
        <v>7.65</v>
      </c>
      <c r="AF16" s="134">
        <f t="shared" si="4"/>
        <v>64.968152866242036</v>
      </c>
      <c r="AG16" s="152"/>
      <c r="AH16" s="129">
        <v>71.25</v>
      </c>
      <c r="AI16" s="134">
        <f t="shared" si="5"/>
        <v>605.09554140127386</v>
      </c>
      <c r="AJ16" s="153">
        <v>16.46</v>
      </c>
      <c r="AK16" s="154"/>
      <c r="AL16" s="155">
        <v>6.54</v>
      </c>
      <c r="AM16" s="478">
        <v>34.619999999999997</v>
      </c>
      <c r="AN16" s="126">
        <f t="shared" si="23"/>
        <v>0.22213666987487968</v>
      </c>
      <c r="AO16" s="157" t="s">
        <v>168</v>
      </c>
      <c r="AP16" s="156">
        <v>8.18</v>
      </c>
      <c r="AQ16" s="156">
        <v>7.97</v>
      </c>
      <c r="AR16" s="149"/>
      <c r="AS16" s="149">
        <v>6.29</v>
      </c>
      <c r="AT16" s="149">
        <v>155.85</v>
      </c>
      <c r="AU16" s="149">
        <v>3.06</v>
      </c>
      <c r="AV16" s="149"/>
      <c r="AW16" s="149"/>
      <c r="AX16" s="158">
        <f t="shared" si="6"/>
        <v>0</v>
      </c>
      <c r="AY16" s="125">
        <f t="shared" si="7"/>
        <v>117.75</v>
      </c>
      <c r="AZ16" s="125">
        <f t="shared" si="24"/>
        <v>110.77472897897796</v>
      </c>
      <c r="BA16" s="159">
        <f t="shared" si="8"/>
        <v>3.4716813380281688</v>
      </c>
      <c r="BB16" s="160">
        <f t="shared" si="9"/>
        <v>4.71</v>
      </c>
      <c r="BC16" s="161">
        <f t="shared" si="10"/>
        <v>0.94784316440433469</v>
      </c>
      <c r="BD16" s="160">
        <f t="shared" si="25"/>
        <v>8.1816813380281683</v>
      </c>
      <c r="BE16" s="162">
        <v>0.89</v>
      </c>
      <c r="BF16" s="25">
        <f t="shared" si="26"/>
        <v>972.95000000000016</v>
      </c>
      <c r="BG16" s="25">
        <f t="shared" si="11"/>
        <v>125.80645161290323</v>
      </c>
      <c r="BH16" s="25">
        <f t="shared" si="27"/>
        <v>1258.064516129032</v>
      </c>
      <c r="BI16" s="26">
        <f t="shared" si="12"/>
        <v>1</v>
      </c>
      <c r="BJ16" s="37">
        <f t="shared" si="28"/>
        <v>1258.064516129032</v>
      </c>
      <c r="BK16" s="328">
        <v>143.51900000000001</v>
      </c>
      <c r="BL16" s="31">
        <v>69.337000000000003</v>
      </c>
      <c r="BM16" s="31"/>
      <c r="BN16" s="234"/>
      <c r="BO16" s="42"/>
      <c r="BP16" s="40"/>
      <c r="BQ16" s="32">
        <v>34.649000000000001</v>
      </c>
      <c r="BR16" s="33">
        <v>0.72</v>
      </c>
      <c r="BS16" s="34">
        <v>0.8</v>
      </c>
      <c r="BT16" s="35"/>
      <c r="BU16" s="28"/>
      <c r="BV16" s="287"/>
      <c r="BW16" s="287"/>
      <c r="BX16" s="36"/>
      <c r="BY16" s="33">
        <v>38.049999999999997</v>
      </c>
      <c r="BZ16" s="34">
        <v>37.43</v>
      </c>
      <c r="CA16" s="35"/>
      <c r="CB16" s="405"/>
      <c r="CC16" s="404"/>
      <c r="CD16" s="235"/>
      <c r="CE16" s="36">
        <v>43.76</v>
      </c>
      <c r="CF16" s="38">
        <v>96.17</v>
      </c>
      <c r="CG16" s="30"/>
      <c r="CH16" s="30"/>
      <c r="CI16" s="32">
        <v>58.173000000000002</v>
      </c>
      <c r="CJ16" s="33">
        <v>2.8</v>
      </c>
      <c r="CK16" s="33"/>
      <c r="CL16" s="33"/>
      <c r="CM16" s="36">
        <v>2.8</v>
      </c>
      <c r="CN16" s="286"/>
      <c r="CO16" s="249">
        <f t="shared" si="13"/>
        <v>142.4856632</v>
      </c>
      <c r="CP16" s="12">
        <f t="shared" si="13"/>
        <v>68.782303999999996</v>
      </c>
      <c r="CQ16" s="12">
        <f t="shared" si="13"/>
        <v>0</v>
      </c>
      <c r="CR16" s="11">
        <f t="shared" si="13"/>
        <v>0</v>
      </c>
      <c r="CS16" s="11">
        <f t="shared" si="13"/>
        <v>0</v>
      </c>
      <c r="CT16" s="11">
        <f t="shared" si="13"/>
        <v>0</v>
      </c>
      <c r="CU16" s="272">
        <f t="shared" si="13"/>
        <v>34.649000000000001</v>
      </c>
      <c r="CV16" s="249">
        <f t="shared" si="14"/>
        <v>93.477239999999995</v>
      </c>
      <c r="CW16" s="12">
        <f t="shared" si="14"/>
        <v>0</v>
      </c>
      <c r="CX16" s="249">
        <f t="shared" si="14"/>
        <v>0</v>
      </c>
      <c r="CY16" s="272">
        <f t="shared" si="14"/>
        <v>56.544156000000001</v>
      </c>
      <c r="CZ16" s="13"/>
      <c r="DA16" s="240">
        <f>(D16+'[2]октябрь 20 '!D16)/(AY16+'[2]октябрь 20 '!BA16)</f>
        <v>2.646202657491123</v>
      </c>
      <c r="DB16" s="241">
        <f>(T16+'[2]октябрь 20 '!T16)/(AY16+'[2]октябрь 20 '!BA16)</f>
        <v>1.6225388777041618</v>
      </c>
      <c r="DD16" s="292">
        <f t="shared" si="15"/>
        <v>10.016</v>
      </c>
      <c r="DE16" s="291">
        <v>0.38</v>
      </c>
      <c r="DF16" s="291">
        <v>17.82</v>
      </c>
      <c r="DG16" s="145">
        <f t="shared" si="16"/>
        <v>9.9779392000000016</v>
      </c>
      <c r="DH16" s="293">
        <f t="shared" si="29"/>
        <v>2.3224513655172414</v>
      </c>
      <c r="DJ16" s="322"/>
    </row>
    <row r="17" spans="1:114" s="76" customFormat="1" ht="16.5" customHeight="1" thickBot="1">
      <c r="A17" s="144">
        <v>11</v>
      </c>
      <c r="B17" s="122">
        <f>'[1]октябрь 20'!K16</f>
        <v>255.04</v>
      </c>
      <c r="C17" s="123">
        <f t="shared" si="17"/>
        <v>0.73395451693851954</v>
      </c>
      <c r="D17" s="145">
        <f t="shared" si="18"/>
        <v>253.16812239999996</v>
      </c>
      <c r="E17" s="125">
        <f t="shared" si="19"/>
        <v>39.110646094730242</v>
      </c>
      <c r="F17" s="146">
        <f t="shared" si="0"/>
        <v>2.3040418856934837</v>
      </c>
      <c r="G17" s="127">
        <v>16.63</v>
      </c>
      <c r="H17" s="126">
        <f t="shared" si="20"/>
        <v>1.9789690789952681</v>
      </c>
      <c r="I17" s="230">
        <f>'[1]июль 20'!AI16</f>
        <v>0</v>
      </c>
      <c r="J17" s="277">
        <f>'[1]октябрь 20'!AA16</f>
        <v>10.188000000000001</v>
      </c>
      <c r="K17" s="465">
        <f>'[1]сентябрь 20'!AM16</f>
        <v>0</v>
      </c>
      <c r="L17" s="438">
        <f>'[1]октябрь 20'!AE16</f>
        <v>35.719000000000001</v>
      </c>
      <c r="M17" s="469">
        <f t="shared" si="21"/>
        <v>0.32507280669821631</v>
      </c>
      <c r="N17" s="403">
        <f>'[1]октябрь 20'!W16</f>
        <v>0</v>
      </c>
      <c r="O17" s="403">
        <f>'[1]октябрь 20'!AU16</f>
        <v>6.1459999999999999</v>
      </c>
      <c r="P17" s="401">
        <f t="shared" si="1"/>
        <v>159.47699999999998</v>
      </c>
      <c r="Q17" s="122">
        <f>'[1]октябрь 20'!S16</f>
        <v>159.477</v>
      </c>
      <c r="R17" s="123">
        <f t="shared" si="22"/>
        <v>3.17</v>
      </c>
      <c r="S17" s="129"/>
      <c r="T17" s="125">
        <f t="shared" si="2"/>
        <v>154.4215791</v>
      </c>
      <c r="U17" s="147">
        <f t="shared" si="3"/>
        <v>1.4053656634510379</v>
      </c>
      <c r="V17" s="130">
        <v>109.88</v>
      </c>
      <c r="W17" s="130">
        <v>109.88</v>
      </c>
      <c r="X17" s="129">
        <v>0.38</v>
      </c>
      <c r="Y17" s="131">
        <v>569</v>
      </c>
      <c r="Z17" s="150">
        <v>1178</v>
      </c>
      <c r="AA17" s="148" t="s">
        <v>110</v>
      </c>
      <c r="AB17" s="149">
        <v>76.83</v>
      </c>
      <c r="AC17" s="150">
        <v>102</v>
      </c>
      <c r="AD17" s="151">
        <v>5</v>
      </c>
      <c r="AE17" s="149">
        <v>7.6</v>
      </c>
      <c r="AF17" s="134">
        <f t="shared" si="4"/>
        <v>69.166363305424113</v>
      </c>
      <c r="AG17" s="152"/>
      <c r="AH17" s="129">
        <v>78.849999999999994</v>
      </c>
      <c r="AI17" s="134">
        <f t="shared" si="5"/>
        <v>717.60101929377504</v>
      </c>
      <c r="AJ17" s="136">
        <v>20.71</v>
      </c>
      <c r="AK17" s="154"/>
      <c r="AL17" s="155">
        <v>7.81</v>
      </c>
      <c r="AM17" s="478">
        <v>37.28</v>
      </c>
      <c r="AN17" s="126">
        <f t="shared" si="23"/>
        <v>0.24334203655352482</v>
      </c>
      <c r="AO17" s="157" t="s">
        <v>349</v>
      </c>
      <c r="AP17" s="156">
        <v>6.93</v>
      </c>
      <c r="AQ17" s="156">
        <v>7.97</v>
      </c>
      <c r="AR17" s="149"/>
      <c r="AS17" s="149">
        <v>7.46</v>
      </c>
      <c r="AT17" s="149">
        <v>153.19999999999999</v>
      </c>
      <c r="AU17" s="149">
        <v>1.77</v>
      </c>
      <c r="AV17" s="149"/>
      <c r="AW17" s="149"/>
      <c r="AX17" s="158">
        <f t="shared" si="6"/>
        <v>0</v>
      </c>
      <c r="AY17" s="125">
        <f t="shared" si="7"/>
        <v>109.87999999999998</v>
      </c>
      <c r="AZ17" s="125">
        <f t="shared" si="24"/>
        <v>114.37355155694027</v>
      </c>
      <c r="BA17" s="159">
        <f t="shared" si="8"/>
        <v>4.5566415492957741</v>
      </c>
      <c r="BB17" s="160">
        <f t="shared" si="9"/>
        <v>4.3951999999999991</v>
      </c>
      <c r="BC17" s="161">
        <f t="shared" si="10"/>
        <v>0.85260028369407526</v>
      </c>
      <c r="BD17" s="160">
        <f t="shared" si="25"/>
        <v>8.9518415492957732</v>
      </c>
      <c r="BE17" s="162">
        <v>0.88600000000000001</v>
      </c>
      <c r="BF17" s="25">
        <f t="shared" si="26"/>
        <v>1082.8300000000002</v>
      </c>
      <c r="BG17" s="25">
        <f t="shared" si="11"/>
        <v>125.80645161290323</v>
      </c>
      <c r="BH17" s="25">
        <f t="shared" si="27"/>
        <v>1383.8709677419351</v>
      </c>
      <c r="BI17" s="26">
        <f t="shared" si="12"/>
        <v>1</v>
      </c>
      <c r="BJ17" s="37">
        <f t="shared" si="28"/>
        <v>1383.8709677419351</v>
      </c>
      <c r="BK17" s="39">
        <v>147.90600000000001</v>
      </c>
      <c r="BL17" s="31">
        <v>71.415000000000006</v>
      </c>
      <c r="BM17" s="31"/>
      <c r="BN17" s="234"/>
      <c r="BO17" s="42"/>
      <c r="BP17" s="40"/>
      <c r="BQ17" s="32">
        <v>35.719000000000001</v>
      </c>
      <c r="BR17" s="33">
        <v>0.86</v>
      </c>
      <c r="BS17" s="34">
        <v>0.84</v>
      </c>
      <c r="BT17" s="35"/>
      <c r="BU17" s="28"/>
      <c r="BV17" s="287"/>
      <c r="BW17" s="287"/>
      <c r="BX17" s="36"/>
      <c r="BY17" s="33">
        <v>38.57</v>
      </c>
      <c r="BZ17" s="34">
        <v>38.090000000000003</v>
      </c>
      <c r="CA17" s="35"/>
      <c r="CB17" s="405"/>
      <c r="CC17" s="404"/>
      <c r="CD17" s="235"/>
      <c r="CE17" s="36">
        <v>43.39</v>
      </c>
      <c r="CF17" s="38">
        <v>82.992999999999995</v>
      </c>
      <c r="CG17" s="42">
        <v>76.483999999999995</v>
      </c>
      <c r="CH17" s="234"/>
      <c r="CI17" s="233"/>
      <c r="CJ17" s="33">
        <v>3.17</v>
      </c>
      <c r="CK17" s="33">
        <v>3.17</v>
      </c>
      <c r="CL17" s="33"/>
      <c r="CM17" s="36"/>
      <c r="CN17" s="286"/>
      <c r="CO17" s="249">
        <f t="shared" si="13"/>
        <v>146.63400840000003</v>
      </c>
      <c r="CP17" s="12">
        <f t="shared" si="13"/>
        <v>70.815113999999994</v>
      </c>
      <c r="CQ17" s="12">
        <f t="shared" si="13"/>
        <v>0</v>
      </c>
      <c r="CR17" s="12">
        <f t="shared" si="13"/>
        <v>0</v>
      </c>
      <c r="CS17" s="11">
        <f t="shared" si="13"/>
        <v>0</v>
      </c>
      <c r="CT17" s="11">
        <f t="shared" si="13"/>
        <v>0</v>
      </c>
      <c r="CU17" s="272">
        <f t="shared" si="13"/>
        <v>35.719000000000001</v>
      </c>
      <c r="CV17" s="249">
        <f t="shared" si="14"/>
        <v>80.362121899999991</v>
      </c>
      <c r="CW17" s="12">
        <f t="shared" si="14"/>
        <v>74.059457199999997</v>
      </c>
      <c r="CX17" s="254">
        <f t="shared" si="14"/>
        <v>0</v>
      </c>
      <c r="CY17" s="272">
        <f t="shared" si="14"/>
        <v>0</v>
      </c>
      <c r="CZ17" s="13"/>
      <c r="DA17" s="240">
        <f>(D17+'[2]октябрь 20 '!D17)/(AY17+'[2]октябрь 20 '!BA17)</f>
        <v>2.2336516227188357</v>
      </c>
      <c r="DB17" s="241">
        <f>(T17+'[2]октябрь 20 '!T17)/(AY17+'[2]октябрь 20 '!BA17)</f>
        <v>1.3698995927965574</v>
      </c>
      <c r="DD17" s="292">
        <f t="shared" si="15"/>
        <v>10.188000000000001</v>
      </c>
      <c r="DE17" s="291">
        <v>0.42</v>
      </c>
      <c r="DF17" s="291">
        <v>14.12</v>
      </c>
      <c r="DG17" s="145">
        <f t="shared" si="16"/>
        <v>10.145210400000002</v>
      </c>
      <c r="DH17" s="293">
        <f t="shared" si="29"/>
        <v>1.8645108791878173</v>
      </c>
      <c r="DJ17" s="322"/>
    </row>
    <row r="18" spans="1:114" s="76" customFormat="1" ht="16.5" customHeight="1" thickBot="1">
      <c r="A18" s="144">
        <v>12</v>
      </c>
      <c r="B18" s="122">
        <f>'[1]октябрь 20'!K17</f>
        <v>254.66800000000001</v>
      </c>
      <c r="C18" s="123">
        <f t="shared" si="17"/>
        <v>0.88498099486390136</v>
      </c>
      <c r="D18" s="145">
        <f t="shared" si="18"/>
        <v>252.41423660000004</v>
      </c>
      <c r="E18" s="125">
        <f t="shared" si="19"/>
        <v>39.314774176574993</v>
      </c>
      <c r="F18" s="146">
        <f t="shared" si="0"/>
        <v>2.1631179758334054</v>
      </c>
      <c r="G18" s="127"/>
      <c r="H18" s="126">
        <f t="shared" si="20"/>
        <v>1.8316499837175426</v>
      </c>
      <c r="I18" s="230">
        <f>'[1]июль 20'!AI17</f>
        <v>0</v>
      </c>
      <c r="J18" s="439">
        <f>'[1]октябрь 20'!AA17</f>
        <v>10.260999999999999</v>
      </c>
      <c r="K18" s="464">
        <f>'[1]сентябрь 20'!AM17</f>
        <v>0</v>
      </c>
      <c r="L18" s="441">
        <f>'[1]октябрь 20'!AE17</f>
        <v>38.679000000000002</v>
      </c>
      <c r="M18" s="468">
        <f t="shared" si="21"/>
        <v>0.33146799211586259</v>
      </c>
      <c r="N18" s="403">
        <f>'[1]октябрь 20'!W17</f>
        <v>0</v>
      </c>
      <c r="O18" s="403">
        <f>'[1]октябрь 20'!AU17</f>
        <v>6.1180000000000003</v>
      </c>
      <c r="P18" s="401">
        <f t="shared" si="1"/>
        <v>161.018</v>
      </c>
      <c r="Q18" s="122">
        <f>'[1]октябрь 20'!S17</f>
        <v>161.018</v>
      </c>
      <c r="R18" s="123">
        <f t="shared" si="22"/>
        <v>3.57</v>
      </c>
      <c r="S18" s="502">
        <v>14.78</v>
      </c>
      <c r="T18" s="125">
        <f t="shared" si="2"/>
        <v>155.2696574</v>
      </c>
      <c r="U18" s="147">
        <f t="shared" si="3"/>
        <v>1.3306166543834093</v>
      </c>
      <c r="V18" s="130">
        <v>95.37</v>
      </c>
      <c r="W18" s="130">
        <v>116.69</v>
      </c>
      <c r="X18" s="129">
        <v>0.45</v>
      </c>
      <c r="Y18" s="131">
        <v>580</v>
      </c>
      <c r="Z18" s="150">
        <v>1175</v>
      </c>
      <c r="AA18" s="148" t="s">
        <v>128</v>
      </c>
      <c r="AB18" s="149">
        <v>76.14</v>
      </c>
      <c r="AC18" s="150">
        <v>102</v>
      </c>
      <c r="AD18" s="151">
        <v>5</v>
      </c>
      <c r="AE18" s="149">
        <v>3.4</v>
      </c>
      <c r="AF18" s="134">
        <f t="shared" si="4"/>
        <v>29.137029736909763</v>
      </c>
      <c r="AG18" s="152"/>
      <c r="AH18" s="129">
        <v>83.75</v>
      </c>
      <c r="AI18" s="134">
        <f t="shared" si="5"/>
        <v>717.71360013711546</v>
      </c>
      <c r="AJ18" s="153">
        <v>14.73</v>
      </c>
      <c r="AK18" s="154"/>
      <c r="AL18" s="155">
        <v>10.72</v>
      </c>
      <c r="AM18" s="478">
        <v>30.4</v>
      </c>
      <c r="AN18" s="126">
        <f t="shared" si="23"/>
        <v>0.19493427380570696</v>
      </c>
      <c r="AO18" s="157" t="s">
        <v>417</v>
      </c>
      <c r="AP18" s="156">
        <v>6.7</v>
      </c>
      <c r="AQ18" s="156">
        <v>8.36</v>
      </c>
      <c r="AR18" s="151"/>
      <c r="AS18" s="149">
        <v>8.2100000000000009</v>
      </c>
      <c r="AT18" s="149">
        <v>155.94999999999999</v>
      </c>
      <c r="AU18" s="149">
        <v>1.86</v>
      </c>
      <c r="AV18" s="149"/>
      <c r="AW18" s="149"/>
      <c r="AX18" s="158">
        <f t="shared" si="6"/>
        <v>0</v>
      </c>
      <c r="AY18" s="125">
        <f t="shared" si="7"/>
        <v>116.68999999999998</v>
      </c>
      <c r="AZ18" s="125">
        <f t="shared" si="24"/>
        <v>115.20004680157096</v>
      </c>
      <c r="BA18" s="159">
        <f t="shared" si="8"/>
        <v>5.3263820422535213</v>
      </c>
      <c r="BB18" s="160">
        <f t="shared" si="9"/>
        <v>4.6675999999999993</v>
      </c>
      <c r="BC18" s="161">
        <f t="shared" si="10"/>
        <v>0.89531710276499943</v>
      </c>
      <c r="BD18" s="160">
        <f t="shared" si="25"/>
        <v>9.9939820422535206</v>
      </c>
      <c r="BE18" s="162">
        <v>0.88700000000000001</v>
      </c>
      <c r="BF18" s="25">
        <f t="shared" si="26"/>
        <v>1199.5200000000002</v>
      </c>
      <c r="BG18" s="25">
        <f t="shared" si="11"/>
        <v>125.80645161290323</v>
      </c>
      <c r="BH18" s="25">
        <f t="shared" si="27"/>
        <v>1509.6774193548383</v>
      </c>
      <c r="BI18" s="26">
        <f t="shared" si="12"/>
        <v>1</v>
      </c>
      <c r="BJ18" s="37">
        <f t="shared" si="28"/>
        <v>1509.6774193548383</v>
      </c>
      <c r="BK18" s="38">
        <v>144.54900000000001</v>
      </c>
      <c r="BL18" s="31">
        <v>71.44</v>
      </c>
      <c r="BM18" s="31"/>
      <c r="BN18" s="234"/>
      <c r="BO18" s="42"/>
      <c r="BP18" s="40"/>
      <c r="BQ18" s="411">
        <v>38.679000000000002</v>
      </c>
      <c r="BR18" s="41">
        <v>1.06</v>
      </c>
      <c r="BS18" s="34">
        <v>1.01</v>
      </c>
      <c r="BT18" s="35"/>
      <c r="BU18" s="28"/>
      <c r="BV18" s="287"/>
      <c r="BW18" s="287"/>
      <c r="BX18" s="36"/>
      <c r="BY18" s="34">
        <v>38.89</v>
      </c>
      <c r="BZ18" s="34">
        <v>37.799999999999997</v>
      </c>
      <c r="CA18" s="35"/>
      <c r="CB18" s="405"/>
      <c r="CC18" s="404"/>
      <c r="CD18" s="235"/>
      <c r="CE18" s="405">
        <v>43.7</v>
      </c>
      <c r="CF18" s="38">
        <v>84.54</v>
      </c>
      <c r="CG18" s="42">
        <v>76.477999999999994</v>
      </c>
      <c r="CH18" s="234"/>
      <c r="CI18" s="233"/>
      <c r="CJ18" s="33">
        <v>3.57</v>
      </c>
      <c r="CK18" s="33">
        <v>3.57</v>
      </c>
      <c r="CL18" s="33"/>
      <c r="CM18" s="36"/>
      <c r="CN18" s="286"/>
      <c r="CO18" s="249">
        <f t="shared" si="13"/>
        <v>143.0167806</v>
      </c>
      <c r="CP18" s="12">
        <f t="shared" si="13"/>
        <v>70.718456000000003</v>
      </c>
      <c r="CQ18" s="12">
        <f t="shared" si="13"/>
        <v>0</v>
      </c>
      <c r="CR18" s="12">
        <f t="shared" si="13"/>
        <v>0</v>
      </c>
      <c r="CS18" s="11">
        <f t="shared" si="13"/>
        <v>0</v>
      </c>
      <c r="CT18" s="11">
        <f t="shared" si="13"/>
        <v>0</v>
      </c>
      <c r="CU18" s="272">
        <f t="shared" si="13"/>
        <v>38.679000000000002</v>
      </c>
      <c r="CV18" s="249">
        <f t="shared" si="14"/>
        <v>81.521922000000004</v>
      </c>
      <c r="CW18" s="11">
        <f t="shared" si="14"/>
        <v>73.747735399999996</v>
      </c>
      <c r="CX18" s="249">
        <f t="shared" si="14"/>
        <v>0</v>
      </c>
      <c r="CY18" s="272">
        <f t="shared" si="14"/>
        <v>0</v>
      </c>
      <c r="CZ18" s="13"/>
      <c r="DA18" s="240">
        <f>(D18+'[2]октябрь 20 '!D18)/(AY18+'[2]октябрь 20 '!BA18)</f>
        <v>2.1902503879224278</v>
      </c>
      <c r="DB18" s="241">
        <f>(T18+'[2]октябрь 20 '!T18)/(AY18+'[2]октябрь 20 '!BA18)</f>
        <v>1.3480367701126474</v>
      </c>
      <c r="DD18" s="292">
        <f t="shared" si="15"/>
        <v>10.260999999999999</v>
      </c>
      <c r="DE18" s="291">
        <v>0.12</v>
      </c>
      <c r="DF18" s="291">
        <v>10.54</v>
      </c>
      <c r="DG18" s="145">
        <f t="shared" si="16"/>
        <v>10.248686799999998</v>
      </c>
      <c r="DH18" s="293">
        <f t="shared" si="29"/>
        <v>1.4187176106120301</v>
      </c>
      <c r="DJ18" s="322"/>
    </row>
    <row r="19" spans="1:114" s="76" customFormat="1" ht="16.5" customHeight="1" thickBot="1">
      <c r="A19" s="144">
        <v>13</v>
      </c>
      <c r="B19" s="122">
        <f>'[1]октябрь 20'!K18</f>
        <v>290.01100000000002</v>
      </c>
      <c r="C19" s="123">
        <f t="shared" si="17"/>
        <v>0.77849836730330901</v>
      </c>
      <c r="D19" s="145">
        <f t="shared" si="18"/>
        <v>287.75326910000001</v>
      </c>
      <c r="E19" s="125">
        <f t="shared" si="19"/>
        <v>38.49632641520494</v>
      </c>
      <c r="F19" s="146">
        <f t="shared" si="0"/>
        <v>2.3209652290692047</v>
      </c>
      <c r="G19" s="127">
        <v>22.82</v>
      </c>
      <c r="H19" s="126">
        <f t="shared" si="20"/>
        <v>1.9468968309404742</v>
      </c>
      <c r="I19" s="230">
        <f>'[1]июль 20'!AI18</f>
        <v>0</v>
      </c>
      <c r="J19" s="439">
        <f>'[1]октябрь 20'!AA18</f>
        <v>11.61</v>
      </c>
      <c r="K19" s="464">
        <f>'[1]сентябрь 20'!AM18</f>
        <v>0</v>
      </c>
      <c r="L19" s="441">
        <f>'[1]октябрь 20'!AE18</f>
        <v>46.377000000000002</v>
      </c>
      <c r="M19" s="469">
        <f t="shared" si="21"/>
        <v>0.37406839812873044</v>
      </c>
      <c r="N19" s="403">
        <f>'[1]октябрь 20'!W18</f>
        <v>0</v>
      </c>
      <c r="O19" s="403">
        <f>'[1]октябрь 20'!AU18</f>
        <v>7.0970000000000004</v>
      </c>
      <c r="P19" s="401">
        <f t="shared" si="1"/>
        <v>181.37700000000001</v>
      </c>
      <c r="Q19" s="122">
        <f>'[1]октябрь 20'!S18</f>
        <v>181.37700000000001</v>
      </c>
      <c r="R19" s="123">
        <f t="shared" si="22"/>
        <v>3.2599999999999993</v>
      </c>
      <c r="S19" s="501">
        <v>2.83</v>
      </c>
      <c r="T19" s="125">
        <f t="shared" si="2"/>
        <v>175.46410979999999</v>
      </c>
      <c r="U19" s="147">
        <f t="shared" si="3"/>
        <v>1.4152614115179867</v>
      </c>
      <c r="V19" s="130">
        <v>123.98</v>
      </c>
      <c r="W19" s="130">
        <v>95.22</v>
      </c>
      <c r="X19" s="129">
        <v>0.89</v>
      </c>
      <c r="Y19" s="131">
        <v>537</v>
      </c>
      <c r="Z19" s="150">
        <v>1169</v>
      </c>
      <c r="AA19" s="148" t="s">
        <v>116</v>
      </c>
      <c r="AB19" s="149">
        <v>76.150000000000006</v>
      </c>
      <c r="AC19" s="150">
        <v>116</v>
      </c>
      <c r="AD19" s="151">
        <v>5</v>
      </c>
      <c r="AE19" s="149"/>
      <c r="AF19" s="134">
        <f t="shared" si="4"/>
        <v>0</v>
      </c>
      <c r="AG19" s="152"/>
      <c r="AH19" s="129">
        <v>66.849999999999994</v>
      </c>
      <c r="AI19" s="134">
        <f t="shared" si="5"/>
        <v>539.19987094692692</v>
      </c>
      <c r="AJ19" s="136">
        <v>17.079999999999998</v>
      </c>
      <c r="AK19" s="154"/>
      <c r="AL19" s="155">
        <v>8.49</v>
      </c>
      <c r="AM19" s="478">
        <v>29.83</v>
      </c>
      <c r="AN19" s="126">
        <f t="shared" si="23"/>
        <v>0.1872567482736974</v>
      </c>
      <c r="AO19" s="157" t="s">
        <v>418</v>
      </c>
      <c r="AP19" s="156">
        <v>7.22</v>
      </c>
      <c r="AQ19" s="156">
        <v>8.31</v>
      </c>
      <c r="AR19" s="151"/>
      <c r="AS19" s="149">
        <v>5.93</v>
      </c>
      <c r="AT19" s="149">
        <v>159.30000000000001</v>
      </c>
      <c r="AU19" s="149">
        <v>3</v>
      </c>
      <c r="AV19" s="164"/>
      <c r="AW19" s="149"/>
      <c r="AX19" s="158">
        <f t="shared" si="6"/>
        <v>0</v>
      </c>
      <c r="AY19" s="125">
        <f t="shared" si="7"/>
        <v>123.98</v>
      </c>
      <c r="AZ19" s="125">
        <f t="shared" si="24"/>
        <v>128.82069500627426</v>
      </c>
      <c r="BA19" s="159">
        <f t="shared" si="8"/>
        <v>3.0708630281690135</v>
      </c>
      <c r="BB19" s="160">
        <f t="shared" si="9"/>
        <v>4.9592000000000001</v>
      </c>
      <c r="BC19" s="161">
        <f t="shared" si="10"/>
        <v>0.85227938794778857</v>
      </c>
      <c r="BD19" s="160">
        <f t="shared" si="25"/>
        <v>8.030063028169014</v>
      </c>
      <c r="BE19" s="162">
        <v>0.88300000000000001</v>
      </c>
      <c r="BF19" s="25">
        <f t="shared" si="26"/>
        <v>1323.5000000000002</v>
      </c>
      <c r="BG19" s="25">
        <f t="shared" si="11"/>
        <v>125.80645161290323</v>
      </c>
      <c r="BH19" s="25">
        <f t="shared" si="27"/>
        <v>1635.4838709677415</v>
      </c>
      <c r="BI19" s="26">
        <f t="shared" si="12"/>
        <v>1</v>
      </c>
      <c r="BJ19" s="37">
        <f t="shared" si="28"/>
        <v>1635.4838709677415</v>
      </c>
      <c r="BK19" s="38">
        <v>162.44499999999999</v>
      </c>
      <c r="BL19" s="31">
        <v>81.188999999999993</v>
      </c>
      <c r="BM19" s="31"/>
      <c r="BN19" s="234"/>
      <c r="BO19" s="42"/>
      <c r="BP19" s="40"/>
      <c r="BQ19" s="411">
        <v>46.377000000000002</v>
      </c>
      <c r="BR19" s="33">
        <v>1.01</v>
      </c>
      <c r="BS19" s="34">
        <v>0.76</v>
      </c>
      <c r="BT19" s="35"/>
      <c r="BU19" s="28"/>
      <c r="BV19" s="287"/>
      <c r="BW19" s="512"/>
      <c r="BX19" s="36"/>
      <c r="BY19" s="33">
        <v>37.700000000000003</v>
      </c>
      <c r="BZ19" s="34">
        <v>37.22</v>
      </c>
      <c r="CA19" s="35"/>
      <c r="CB19" s="405"/>
      <c r="CC19" s="404"/>
      <c r="CD19" s="235"/>
      <c r="CE19" s="413">
        <v>43.52</v>
      </c>
      <c r="CF19" s="41">
        <v>94.391000000000005</v>
      </c>
      <c r="CG19" s="41">
        <v>86.986000000000004</v>
      </c>
      <c r="CH19" s="30"/>
      <c r="CI19" s="32"/>
      <c r="CJ19" s="33">
        <v>3.26</v>
      </c>
      <c r="CK19" s="33">
        <v>3.26</v>
      </c>
      <c r="CL19" s="33"/>
      <c r="CM19" s="36"/>
      <c r="CN19" s="286"/>
      <c r="CO19" s="249">
        <f t="shared" si="13"/>
        <v>160.8043055</v>
      </c>
      <c r="CP19" s="12">
        <f t="shared" si="13"/>
        <v>80.571963599999989</v>
      </c>
      <c r="CQ19" s="12">
        <f t="shared" si="13"/>
        <v>0</v>
      </c>
      <c r="CR19" s="12">
        <f t="shared" si="13"/>
        <v>0</v>
      </c>
      <c r="CS19" s="11">
        <f t="shared" si="13"/>
        <v>0</v>
      </c>
      <c r="CT19" s="11">
        <f t="shared" si="13"/>
        <v>0</v>
      </c>
      <c r="CU19" s="272">
        <f t="shared" si="13"/>
        <v>46.377000000000002</v>
      </c>
      <c r="CV19" s="249">
        <f t="shared" si="14"/>
        <v>91.313853399999999</v>
      </c>
      <c r="CW19" s="251">
        <f t="shared" si="14"/>
        <v>84.150256400000004</v>
      </c>
      <c r="CX19" s="249">
        <f t="shared" si="14"/>
        <v>0</v>
      </c>
      <c r="CY19" s="272">
        <f t="shared" si="14"/>
        <v>0</v>
      </c>
      <c r="CZ19" s="13"/>
      <c r="DA19" s="240">
        <f>(D19+'[2]октябрь 20 '!D19)/(AY19+'[2]октябрь 20 '!BA19)</f>
        <v>2.2155322150372858</v>
      </c>
      <c r="DB19" s="241">
        <f>(T19+'[2]октябрь 20 '!T19)/(AY19+'[2]октябрь 20 '!BA19)</f>
        <v>1.353790029316736</v>
      </c>
      <c r="DD19" s="292">
        <f t="shared" si="15"/>
        <v>11.61</v>
      </c>
      <c r="DE19" s="291">
        <v>0.25</v>
      </c>
      <c r="DF19" s="291">
        <v>12.01</v>
      </c>
      <c r="DG19" s="145">
        <f t="shared" si="16"/>
        <v>11.580975</v>
      </c>
      <c r="DH19" s="293">
        <f t="shared" si="29"/>
        <v>1.826493890347997</v>
      </c>
      <c r="DJ19" s="322"/>
    </row>
    <row r="20" spans="1:114" s="76" customFormat="1" ht="16.5" customHeight="1" thickBot="1">
      <c r="A20" s="144">
        <v>14</v>
      </c>
      <c r="B20" s="122">
        <f>'[1]октябрь 20'!K19</f>
        <v>262.48899999999998</v>
      </c>
      <c r="C20" s="123">
        <f t="shared" si="17"/>
        <v>0.64399879614002875</v>
      </c>
      <c r="D20" s="145">
        <f t="shared" si="18"/>
        <v>260.79857399999997</v>
      </c>
      <c r="E20" s="125">
        <f t="shared" si="19"/>
        <v>39.205962230798249</v>
      </c>
      <c r="F20" s="146">
        <f t="shared" si="0"/>
        <v>2.2811035948569924</v>
      </c>
      <c r="G20" s="127">
        <v>17.52</v>
      </c>
      <c r="H20" s="126">
        <f t="shared" si="20"/>
        <v>1.9137634391673224</v>
      </c>
      <c r="I20" s="230">
        <f>'[1]июль 20'!AI19</f>
        <v>0</v>
      </c>
      <c r="J20" s="439">
        <f>'[1]октябрь 20'!AA19</f>
        <v>10.417999999999999</v>
      </c>
      <c r="K20" s="464">
        <f>'[1]сентябрь 20'!AM19</f>
        <v>0</v>
      </c>
      <c r="L20" s="441">
        <f>'[1]октябрь 20'!AE19</f>
        <v>41.997999999999998</v>
      </c>
      <c r="M20" s="468">
        <f t="shared" si="21"/>
        <v>0.36734015568967021</v>
      </c>
      <c r="N20" s="403">
        <f>'[1]октябрь 20'!W19</f>
        <v>0</v>
      </c>
      <c r="O20" s="403">
        <f>'[1]октябрь 20'!AU19</f>
        <v>7.3129999999999997</v>
      </c>
      <c r="P20" s="401">
        <f t="shared" si="1"/>
        <v>163.68299999999999</v>
      </c>
      <c r="Q20" s="122">
        <f>'[1]октябрь 20'!S19</f>
        <v>163.68299999999999</v>
      </c>
      <c r="R20" s="123">
        <f t="shared" si="22"/>
        <v>3.28</v>
      </c>
      <c r="S20" s="503">
        <v>1.6</v>
      </c>
      <c r="T20" s="125">
        <f t="shared" si="2"/>
        <v>158.31419759999997</v>
      </c>
      <c r="U20" s="147">
        <f t="shared" si="3"/>
        <v>1.3847126528470213</v>
      </c>
      <c r="V20" s="130">
        <v>114.33</v>
      </c>
      <c r="W20" s="130">
        <v>114.33</v>
      </c>
      <c r="X20" s="129">
        <v>0.68</v>
      </c>
      <c r="Y20" s="131">
        <v>538</v>
      </c>
      <c r="Z20" s="150">
        <v>1169</v>
      </c>
      <c r="AA20" s="168" t="s">
        <v>188</v>
      </c>
      <c r="AB20" s="149">
        <v>76.48</v>
      </c>
      <c r="AC20" s="150">
        <v>105</v>
      </c>
      <c r="AD20" s="151">
        <v>5</v>
      </c>
      <c r="AE20" s="149">
        <v>5.55</v>
      </c>
      <c r="AF20" s="134">
        <f t="shared" si="4"/>
        <v>48.543689320388339</v>
      </c>
      <c r="AG20" s="152"/>
      <c r="AH20" s="129">
        <v>75.95</v>
      </c>
      <c r="AI20" s="134">
        <f t="shared" si="5"/>
        <v>664.30508178080993</v>
      </c>
      <c r="AJ20" s="153">
        <v>16.510000000000002</v>
      </c>
      <c r="AK20" s="154"/>
      <c r="AL20" s="155">
        <v>11.82</v>
      </c>
      <c r="AM20" s="478">
        <v>37.43</v>
      </c>
      <c r="AN20" s="126">
        <f t="shared" si="23"/>
        <v>0.2334996880848409</v>
      </c>
      <c r="AO20" s="157" t="s">
        <v>419</v>
      </c>
      <c r="AP20" s="156">
        <v>7.14</v>
      </c>
      <c r="AQ20" s="156">
        <v>8.4499999999999993</v>
      </c>
      <c r="AR20" s="149"/>
      <c r="AS20" s="149">
        <v>6.67</v>
      </c>
      <c r="AT20" s="149">
        <v>160.30000000000001</v>
      </c>
      <c r="AU20" s="149">
        <v>3.28</v>
      </c>
      <c r="AV20" s="149"/>
      <c r="AW20" s="149"/>
      <c r="AX20" s="158">
        <f t="shared" si="6"/>
        <v>0</v>
      </c>
      <c r="AY20" s="125">
        <f t="shared" si="7"/>
        <v>114.33000000000001</v>
      </c>
      <c r="AZ20" s="125">
        <f t="shared" si="24"/>
        <v>118.07619917307277</v>
      </c>
      <c r="BA20" s="159">
        <f t="shared" si="8"/>
        <v>3.9242616197183096</v>
      </c>
      <c r="BB20" s="160">
        <f t="shared" si="9"/>
        <v>4.5732000000000008</v>
      </c>
      <c r="BC20" s="161">
        <f t="shared" si="10"/>
        <v>0.85516664474356097</v>
      </c>
      <c r="BD20" s="160">
        <f t="shared" si="25"/>
        <v>8.4974616197183099</v>
      </c>
      <c r="BE20" s="162">
        <v>0.88100000000000001</v>
      </c>
      <c r="BF20" s="25">
        <f t="shared" si="26"/>
        <v>1437.8300000000002</v>
      </c>
      <c r="BG20" s="25">
        <f t="shared" si="11"/>
        <v>125.80645161290323</v>
      </c>
      <c r="BH20" s="25">
        <f t="shared" si="27"/>
        <v>1761.2903225806447</v>
      </c>
      <c r="BI20" s="26">
        <f t="shared" si="12"/>
        <v>1</v>
      </c>
      <c r="BJ20" s="37">
        <f t="shared" si="28"/>
        <v>1761.2903225806447</v>
      </c>
      <c r="BK20" s="38">
        <v>146.989</v>
      </c>
      <c r="BL20" s="31">
        <v>73.501999999999995</v>
      </c>
      <c r="BM20" s="31"/>
      <c r="BN20" s="234"/>
      <c r="BO20" s="42"/>
      <c r="BP20" s="40"/>
      <c r="BQ20" s="411">
        <v>41.997999999999998</v>
      </c>
      <c r="BR20" s="33">
        <v>0.8</v>
      </c>
      <c r="BS20" s="34">
        <v>0.7</v>
      </c>
      <c r="BT20" s="35"/>
      <c r="BU20" s="28"/>
      <c r="BV20" s="287"/>
      <c r="BW20" s="287"/>
      <c r="BX20" s="36"/>
      <c r="BY20" s="33">
        <v>38.94</v>
      </c>
      <c r="BZ20" s="34">
        <v>37.21</v>
      </c>
      <c r="CA20" s="35"/>
      <c r="CB20" s="405"/>
      <c r="CC20" s="404"/>
      <c r="CD20" s="235"/>
      <c r="CE20" s="413">
        <v>43.63</v>
      </c>
      <c r="CF20" s="30">
        <v>84.956999999999994</v>
      </c>
      <c r="CG20" s="30">
        <v>78.725999999999999</v>
      </c>
      <c r="CH20" s="31"/>
      <c r="CI20" s="32"/>
      <c r="CJ20" s="33">
        <v>3.28</v>
      </c>
      <c r="CK20" s="33">
        <v>3.28</v>
      </c>
      <c r="CL20" s="35"/>
      <c r="CM20" s="36"/>
      <c r="CN20" s="286"/>
      <c r="CO20" s="249">
        <f t="shared" si="13"/>
        <v>145.81308799999999</v>
      </c>
      <c r="CP20" s="12">
        <f t="shared" si="13"/>
        <v>72.98748599999999</v>
      </c>
      <c r="CQ20" s="12">
        <f t="shared" si="13"/>
        <v>0</v>
      </c>
      <c r="CR20" s="12">
        <f t="shared" si="13"/>
        <v>0</v>
      </c>
      <c r="CS20" s="11">
        <f t="shared" si="13"/>
        <v>0</v>
      </c>
      <c r="CT20" s="11">
        <f t="shared" si="13"/>
        <v>0</v>
      </c>
      <c r="CU20" s="272">
        <f t="shared" si="13"/>
        <v>41.997999999999998</v>
      </c>
      <c r="CV20" s="249">
        <f t="shared" si="14"/>
        <v>82.170410399999994</v>
      </c>
      <c r="CW20" s="12">
        <f t="shared" si="14"/>
        <v>76.143787199999991</v>
      </c>
      <c r="CX20" s="249">
        <f t="shared" si="14"/>
        <v>0</v>
      </c>
      <c r="CY20" s="272">
        <f t="shared" si="14"/>
        <v>0</v>
      </c>
      <c r="CZ20" s="13"/>
      <c r="DA20" s="240">
        <f>(D20+'[2]октябрь 20 '!D20)/(AY20+'[2]октябрь 20 '!BA20)</f>
        <v>2.3494098914702279</v>
      </c>
      <c r="DB20" s="241">
        <f>(T20+'[2]октябрь 20 '!T20)/(AY20+'[2]октябрь 20 '!BA20)</f>
        <v>1.4466453039204765</v>
      </c>
      <c r="DD20" s="292">
        <f t="shared" si="15"/>
        <v>10.417999999999999</v>
      </c>
      <c r="DE20" s="291">
        <v>0.61</v>
      </c>
      <c r="DF20" s="407">
        <v>10.06</v>
      </c>
      <c r="DG20" s="145">
        <f t="shared" si="16"/>
        <v>10.354450199999999</v>
      </c>
      <c r="DH20" s="293">
        <f t="shared" si="29"/>
        <v>1.3620001178347279</v>
      </c>
      <c r="DJ20" s="322"/>
    </row>
    <row r="21" spans="1:114" s="76" customFormat="1" ht="16.5" customHeight="1" thickBot="1">
      <c r="A21" s="144">
        <v>15</v>
      </c>
      <c r="B21" s="122">
        <f>'[1]октябрь 20'!K20</f>
        <v>262.64400000000001</v>
      </c>
      <c r="C21" s="123">
        <f t="shared" si="17"/>
        <v>0.63454881893361348</v>
      </c>
      <c r="D21" s="145">
        <f t="shared" si="18"/>
        <v>260.97739560000002</v>
      </c>
      <c r="E21" s="125">
        <f t="shared" si="19"/>
        <v>39.129027276465479</v>
      </c>
      <c r="F21" s="146">
        <f t="shared" si="0"/>
        <v>2.4674047045476035</v>
      </c>
      <c r="G21" s="127">
        <v>11.45</v>
      </c>
      <c r="H21" s="126">
        <f t="shared" si="20"/>
        <v>1.9895943613500995</v>
      </c>
      <c r="I21" s="230">
        <f>'[1]июль 20'!AI20</f>
        <v>0</v>
      </c>
      <c r="J21" s="439">
        <f>'[1]октябрь 20'!AA20</f>
        <v>10.599</v>
      </c>
      <c r="K21" s="464">
        <f>'[1]сентябрь 20'!AM20</f>
        <v>0</v>
      </c>
      <c r="L21" s="441">
        <f>'[1]октябрь 20'!AE20</f>
        <v>50.537999999999997</v>
      </c>
      <c r="M21" s="469">
        <f t="shared" si="21"/>
        <v>0.47781034319750398</v>
      </c>
      <c r="N21" s="403">
        <f>'[1]октябрь 20'!W20</f>
        <v>0</v>
      </c>
      <c r="O21" s="403">
        <f>'[1]октябрь 20'!AU20</f>
        <v>6.36</v>
      </c>
      <c r="P21" s="401">
        <f t="shared" si="1"/>
        <v>163.625</v>
      </c>
      <c r="Q21" s="122">
        <f>'[1]октябрь 20'!S20</f>
        <v>163.625</v>
      </c>
      <c r="R21" s="123">
        <f t="shared" si="22"/>
        <v>3.33</v>
      </c>
      <c r="S21" s="501">
        <v>68.91</v>
      </c>
      <c r="T21" s="125">
        <f t="shared" si="2"/>
        <v>158.1762875</v>
      </c>
      <c r="U21" s="147">
        <f t="shared" si="3"/>
        <v>1.4954740238252813</v>
      </c>
      <c r="V21" s="130">
        <v>105.77</v>
      </c>
      <c r="W21" s="130">
        <v>49.79</v>
      </c>
      <c r="X21" s="129">
        <v>1.0900000000000001</v>
      </c>
      <c r="Y21" s="131">
        <v>530</v>
      </c>
      <c r="Z21" s="150">
        <v>1167</v>
      </c>
      <c r="AA21" s="168" t="s">
        <v>251</v>
      </c>
      <c r="AB21" s="149">
        <v>76.08</v>
      </c>
      <c r="AC21" s="150">
        <v>105</v>
      </c>
      <c r="AD21" s="151">
        <v>5</v>
      </c>
      <c r="AE21" s="149"/>
      <c r="AF21" s="134">
        <f t="shared" si="4"/>
        <v>0</v>
      </c>
      <c r="AG21" s="152"/>
      <c r="AH21" s="129">
        <v>59.3</v>
      </c>
      <c r="AI21" s="134">
        <f t="shared" si="5"/>
        <v>560.65046799659638</v>
      </c>
      <c r="AJ21" s="136">
        <v>17.5</v>
      </c>
      <c r="AK21" s="154"/>
      <c r="AL21" s="155">
        <v>6.51</v>
      </c>
      <c r="AM21" s="478">
        <v>41.17</v>
      </c>
      <c r="AN21" s="126">
        <f t="shared" si="23"/>
        <v>0.27139090309822023</v>
      </c>
      <c r="AO21" s="157" t="s">
        <v>203</v>
      </c>
      <c r="AP21" s="156">
        <v>7.22</v>
      </c>
      <c r="AQ21" s="156">
        <v>8.66</v>
      </c>
      <c r="AR21" s="149"/>
      <c r="AS21" s="149">
        <v>5.72</v>
      </c>
      <c r="AT21" s="149">
        <v>151.69999999999999</v>
      </c>
      <c r="AU21" s="149">
        <v>1.75</v>
      </c>
      <c r="AV21" s="149"/>
      <c r="AW21" s="149"/>
      <c r="AX21" s="158">
        <f t="shared" si="6"/>
        <v>0</v>
      </c>
      <c r="AY21" s="125">
        <f t="shared" si="7"/>
        <v>105.77</v>
      </c>
      <c r="AZ21" s="125">
        <f t="shared" si="24"/>
        <v>118.69077312213079</v>
      </c>
      <c r="BA21" s="159">
        <f t="shared" si="8"/>
        <v>2.6275746478873234</v>
      </c>
      <c r="BB21" s="160">
        <f t="shared" si="9"/>
        <v>4.2308000000000003</v>
      </c>
      <c r="BC21" s="161">
        <f t="shared" si="10"/>
        <v>0.78800879324571693</v>
      </c>
      <c r="BD21" s="160">
        <f t="shared" si="25"/>
        <v>6.8583746478873238</v>
      </c>
      <c r="BE21" s="162">
        <v>0.88</v>
      </c>
      <c r="BF21" s="25">
        <f t="shared" si="26"/>
        <v>1543.6000000000001</v>
      </c>
      <c r="BG21" s="25">
        <f t="shared" si="11"/>
        <v>125.80645161290323</v>
      </c>
      <c r="BH21" s="25">
        <f t="shared" si="27"/>
        <v>1887.0967741935478</v>
      </c>
      <c r="BI21" s="26">
        <f t="shared" si="12"/>
        <v>1</v>
      </c>
      <c r="BJ21" s="37">
        <f t="shared" si="28"/>
        <v>1887.0967741935478</v>
      </c>
      <c r="BK21" s="38">
        <v>138.6</v>
      </c>
      <c r="BL21" s="31">
        <v>73.506</v>
      </c>
      <c r="BM21" s="31"/>
      <c r="BN21" s="234">
        <v>42</v>
      </c>
      <c r="BO21" s="42"/>
      <c r="BP21" s="40"/>
      <c r="BQ21" s="411">
        <v>8.5380000000000003</v>
      </c>
      <c r="BR21" s="33">
        <v>0.81</v>
      </c>
      <c r="BS21" s="34">
        <v>0.74</v>
      </c>
      <c r="BT21" s="35"/>
      <c r="BU21" s="35"/>
      <c r="BV21" s="235"/>
      <c r="BW21" s="235"/>
      <c r="BX21" s="36"/>
      <c r="BY21" s="33">
        <v>38.39</v>
      </c>
      <c r="BZ21" s="34">
        <v>37.6</v>
      </c>
      <c r="CA21" s="35"/>
      <c r="CB21" s="405">
        <v>43.4</v>
      </c>
      <c r="CC21" s="404"/>
      <c r="CD21" s="235"/>
      <c r="CE21" s="413">
        <v>43.28</v>
      </c>
      <c r="CF21" s="30">
        <v>84.864000000000004</v>
      </c>
      <c r="CG21" s="30">
        <v>78.760999999999996</v>
      </c>
      <c r="CH21" s="31"/>
      <c r="CI21" s="32"/>
      <c r="CJ21" s="33">
        <v>3.33</v>
      </c>
      <c r="CK21" s="33">
        <v>3.33</v>
      </c>
      <c r="CL21" s="35"/>
      <c r="CM21" s="36"/>
      <c r="CN21" s="286"/>
      <c r="CO21" s="249">
        <f t="shared" si="13"/>
        <v>137.47734</v>
      </c>
      <c r="CP21" s="12">
        <f t="shared" si="13"/>
        <v>72.962055599999999</v>
      </c>
      <c r="CQ21" s="12">
        <f t="shared" si="13"/>
        <v>0</v>
      </c>
      <c r="CR21" s="12">
        <f t="shared" si="13"/>
        <v>42</v>
      </c>
      <c r="CS21" s="11">
        <f t="shared" si="13"/>
        <v>0</v>
      </c>
      <c r="CT21" s="11">
        <f t="shared" si="13"/>
        <v>0</v>
      </c>
      <c r="CU21" s="272">
        <f t="shared" si="13"/>
        <v>8.5380000000000003</v>
      </c>
      <c r="CV21" s="249">
        <f t="shared" si="14"/>
        <v>82.038028800000006</v>
      </c>
      <c r="CW21" s="12">
        <f t="shared" si="14"/>
        <v>76.138258699999994</v>
      </c>
      <c r="CX21" s="249">
        <f t="shared" si="14"/>
        <v>0</v>
      </c>
      <c r="CY21" s="272">
        <f t="shared" si="14"/>
        <v>0</v>
      </c>
      <c r="CZ21" s="13"/>
      <c r="DA21" s="240">
        <f>(D21+'[2]октябрь 20 '!D21)/(AY21+'[2]октябрь 20 '!BA21)</f>
        <v>2.2124523520234929</v>
      </c>
      <c r="DB21" s="241">
        <f>(T21+'[2]октябрь 20 '!T21)/(AY21+'[2]октябрь 20 '!BA21)</f>
        <v>1.3467507494417426</v>
      </c>
      <c r="DD21" s="292">
        <f t="shared" si="15"/>
        <v>10.599</v>
      </c>
      <c r="DE21" s="291">
        <v>0.28000000000000003</v>
      </c>
      <c r="DF21" s="291">
        <v>10.89</v>
      </c>
      <c r="DG21" s="145">
        <f t="shared" si="16"/>
        <v>10.5693228</v>
      </c>
      <c r="DH21" s="293">
        <f t="shared" si="29"/>
        <v>1.5128801957413252</v>
      </c>
      <c r="DJ21" s="322"/>
    </row>
    <row r="22" spans="1:114" s="76" customFormat="1" ht="16.5" customHeight="1" thickBot="1">
      <c r="A22" s="144">
        <v>16</v>
      </c>
      <c r="B22" s="122">
        <f>'[1]октябрь 20'!K21</f>
        <v>260.32400000000001</v>
      </c>
      <c r="C22" s="123">
        <f t="shared" si="17"/>
        <v>1.6472333707226376</v>
      </c>
      <c r="D22" s="145">
        <f t="shared" si="18"/>
        <v>256.03585620000001</v>
      </c>
      <c r="E22" s="125">
        <f t="shared" si="19"/>
        <v>39.27904050337272</v>
      </c>
      <c r="F22" s="146">
        <f t="shared" si="0"/>
        <v>2.3286571732605728</v>
      </c>
      <c r="G22" s="127">
        <v>16.79</v>
      </c>
      <c r="H22" s="126">
        <f t="shared" si="20"/>
        <v>1.8046007839927238</v>
      </c>
      <c r="I22" s="230">
        <f>'[1]июль 20'!AI21</f>
        <v>0</v>
      </c>
      <c r="J22" s="439">
        <f>'[1]октябрь 20'!AA21</f>
        <v>10.432</v>
      </c>
      <c r="K22" s="464">
        <f>'[1]сентябрь 20'!AM21</f>
        <v>0</v>
      </c>
      <c r="L22" s="441">
        <f>'[1]октябрь 20'!AE21</f>
        <v>57.62</v>
      </c>
      <c r="M22" s="468">
        <f t="shared" si="21"/>
        <v>0.52405638926784892</v>
      </c>
      <c r="N22" s="403">
        <f>'[1]октябрь 20'!W21</f>
        <v>0</v>
      </c>
      <c r="O22" s="403">
        <f>'[1]октябрь 20'!AU21</f>
        <v>5.21</v>
      </c>
      <c r="P22" s="401">
        <f t="shared" si="1"/>
        <v>161.55000000000001</v>
      </c>
      <c r="Q22" s="122">
        <f>'[1]октябрь 20'!S21</f>
        <v>161.55000000000001</v>
      </c>
      <c r="R22" s="123">
        <f t="shared" si="22"/>
        <v>3.3099999999999996</v>
      </c>
      <c r="S22" s="501">
        <v>2.48</v>
      </c>
      <c r="T22" s="125">
        <f t="shared" si="2"/>
        <v>156.20269500000001</v>
      </c>
      <c r="U22" s="147">
        <f t="shared" si="3"/>
        <v>1.420670259208731</v>
      </c>
      <c r="V22" s="130">
        <v>109.95</v>
      </c>
      <c r="W22" s="130">
        <v>86.33</v>
      </c>
      <c r="X22" s="129">
        <v>0.73</v>
      </c>
      <c r="Y22" s="131">
        <v>520</v>
      </c>
      <c r="Z22" s="150">
        <v>1157</v>
      </c>
      <c r="AA22" s="148" t="s">
        <v>249</v>
      </c>
      <c r="AB22" s="149">
        <v>76.67</v>
      </c>
      <c r="AC22" s="150">
        <v>104</v>
      </c>
      <c r="AD22" s="151">
        <v>5</v>
      </c>
      <c r="AE22" s="149"/>
      <c r="AF22" s="134">
        <f t="shared" si="4"/>
        <v>0</v>
      </c>
      <c r="AG22" s="152"/>
      <c r="AH22" s="129">
        <v>68.95</v>
      </c>
      <c r="AI22" s="134">
        <f t="shared" si="5"/>
        <v>627.10322874033636</v>
      </c>
      <c r="AJ22" s="153">
        <v>16.46</v>
      </c>
      <c r="AK22" s="154"/>
      <c r="AL22" s="155">
        <v>8.3800000000000008</v>
      </c>
      <c r="AM22" s="478">
        <v>31.69</v>
      </c>
      <c r="AN22" s="126">
        <f t="shared" si="23"/>
        <v>0.21390482618967263</v>
      </c>
      <c r="AO22" s="157" t="s">
        <v>361</v>
      </c>
      <c r="AP22" s="156">
        <v>7.08</v>
      </c>
      <c r="AQ22" s="156">
        <v>8.89</v>
      </c>
      <c r="AR22" s="151"/>
      <c r="AS22" s="149">
        <v>7.37</v>
      </c>
      <c r="AT22" s="149">
        <v>148.15</v>
      </c>
      <c r="AU22" s="149">
        <v>1.87</v>
      </c>
      <c r="AV22" s="149"/>
      <c r="AW22" s="149"/>
      <c r="AX22" s="158">
        <f t="shared" si="6"/>
        <v>0</v>
      </c>
      <c r="AY22" s="125">
        <f t="shared" si="7"/>
        <v>109.95000000000002</v>
      </c>
      <c r="AZ22" s="125">
        <f t="shared" si="24"/>
        <v>115.96084061033106</v>
      </c>
      <c r="BA22" s="159">
        <f t="shared" si="8"/>
        <v>3.9364623239436618</v>
      </c>
      <c r="BB22" s="160">
        <f t="shared" si="9"/>
        <v>4.3980000000000006</v>
      </c>
      <c r="BC22" s="161">
        <f t="shared" si="10"/>
        <v>0.83822196450195174</v>
      </c>
      <c r="BD22" s="160">
        <f t="shared" si="25"/>
        <v>8.3344623239436615</v>
      </c>
      <c r="BE22" s="162">
        <v>0.871</v>
      </c>
      <c r="BF22" s="25">
        <f t="shared" si="26"/>
        <v>1653.5500000000002</v>
      </c>
      <c r="BG22" s="25">
        <f t="shared" si="11"/>
        <v>125.80645161290323</v>
      </c>
      <c r="BH22" s="25">
        <f t="shared" si="27"/>
        <v>2012.903225806451</v>
      </c>
      <c r="BI22" s="26">
        <f t="shared" si="12"/>
        <v>1</v>
      </c>
      <c r="BJ22" s="37">
        <f t="shared" si="28"/>
        <v>2012.903225806451</v>
      </c>
      <c r="BK22" s="38">
        <v>129.92599999999999</v>
      </c>
      <c r="BL22" s="31">
        <v>72.778000000000006</v>
      </c>
      <c r="BM22" s="31"/>
      <c r="BN22" s="234">
        <v>52.305999999999997</v>
      </c>
      <c r="BO22" s="42"/>
      <c r="BP22" s="40"/>
      <c r="BQ22" s="411">
        <v>5.3140000000000001</v>
      </c>
      <c r="BR22" s="33">
        <v>3.11</v>
      </c>
      <c r="BS22" s="34">
        <v>0.34</v>
      </c>
      <c r="BT22" s="35"/>
      <c r="BU22" s="35"/>
      <c r="BV22" s="235"/>
      <c r="BW22" s="235"/>
      <c r="BX22" s="36"/>
      <c r="BY22" s="33">
        <v>38.380000000000003</v>
      </c>
      <c r="BZ22" s="34">
        <v>37.78</v>
      </c>
      <c r="CA22" s="35"/>
      <c r="CB22" s="405">
        <v>43.16</v>
      </c>
      <c r="CC22" s="404"/>
      <c r="CD22" s="235"/>
      <c r="CE22" s="413">
        <v>43.59</v>
      </c>
      <c r="CF22" s="30">
        <v>83.572999999999993</v>
      </c>
      <c r="CG22" s="30">
        <v>77.977000000000004</v>
      </c>
      <c r="CH22" s="31"/>
      <c r="CI22" s="32"/>
      <c r="CJ22" s="33">
        <v>3.31</v>
      </c>
      <c r="CK22" s="33">
        <v>3.31</v>
      </c>
      <c r="CL22" s="35"/>
      <c r="CM22" s="36"/>
      <c r="CN22" s="286"/>
      <c r="CO22" s="249">
        <f t="shared" si="13"/>
        <v>125.88530139999999</v>
      </c>
      <c r="CP22" s="12">
        <f t="shared" si="13"/>
        <v>72.530554800000004</v>
      </c>
      <c r="CQ22" s="12">
        <f t="shared" si="13"/>
        <v>0</v>
      </c>
      <c r="CR22" s="12">
        <f t="shared" si="13"/>
        <v>52.305999999999997</v>
      </c>
      <c r="CS22" s="11">
        <f t="shared" si="13"/>
        <v>0</v>
      </c>
      <c r="CT22" s="11">
        <f t="shared" si="13"/>
        <v>0</v>
      </c>
      <c r="CU22" s="272">
        <f t="shared" si="13"/>
        <v>5.3140000000000001</v>
      </c>
      <c r="CV22" s="249">
        <f t="shared" si="14"/>
        <v>80.806733699999995</v>
      </c>
      <c r="CW22" s="12">
        <f t="shared" si="14"/>
        <v>75.395961299999996</v>
      </c>
      <c r="CX22" s="249">
        <f t="shared" si="14"/>
        <v>0</v>
      </c>
      <c r="CY22" s="272">
        <f t="shared" si="14"/>
        <v>0</v>
      </c>
      <c r="CZ22" s="13"/>
      <c r="DA22" s="240">
        <f>(D22+'[2]октябрь 20 '!D22)/(AY22+'[2]октябрь 20 '!BA22)</f>
        <v>2.0728025981585509</v>
      </c>
      <c r="DB22" s="241">
        <f>(T22+'[2]октябрь 20 '!T22)/(AY22+'[2]октябрь 20 '!BA22)</f>
        <v>1.2659110902746118</v>
      </c>
      <c r="DD22" s="292">
        <f t="shared" si="15"/>
        <v>10.432</v>
      </c>
      <c r="DE22" s="291">
        <v>0.1</v>
      </c>
      <c r="DF22" s="291">
        <v>10.66</v>
      </c>
      <c r="DG22" s="145">
        <f t="shared" si="16"/>
        <v>10.421568000000002</v>
      </c>
      <c r="DH22" s="293">
        <f t="shared" si="29"/>
        <v>1.4489880641711232</v>
      </c>
      <c r="DJ22" s="322"/>
    </row>
    <row r="23" spans="1:114" s="76" customFormat="1" ht="16.5" customHeight="1" thickBot="1">
      <c r="A23" s="144">
        <v>17</v>
      </c>
      <c r="B23" s="122">
        <f>'[1]октябрь 20'!K22</f>
        <v>262.65100000000001</v>
      </c>
      <c r="C23" s="123">
        <f t="shared" si="17"/>
        <v>0.74601551107743735</v>
      </c>
      <c r="D23" s="145">
        <f t="shared" si="18"/>
        <v>260.69158279999999</v>
      </c>
      <c r="E23" s="125">
        <f t="shared" si="19"/>
        <v>39.645097106045661</v>
      </c>
      <c r="F23" s="146">
        <f t="shared" si="0"/>
        <v>1.9609717376259963</v>
      </c>
      <c r="G23" s="127"/>
      <c r="H23" s="126">
        <f t="shared" si="20"/>
        <v>1.5268661260719119</v>
      </c>
      <c r="I23" s="230">
        <f>'[1]июль 20'!AI22</f>
        <v>0</v>
      </c>
      <c r="J23" s="439">
        <f>'[1]октябрь 20'!AA22</f>
        <v>10.48</v>
      </c>
      <c r="K23" s="464">
        <f>'[1]сентябрь 20'!AM22</f>
        <v>0</v>
      </c>
      <c r="L23" s="441">
        <f>'[1]октябрь 20'!AE22</f>
        <v>57.71</v>
      </c>
      <c r="M23" s="469">
        <f t="shared" si="21"/>
        <v>0.43410561155408445</v>
      </c>
      <c r="N23" s="403">
        <f>'[1]октябрь 20'!W22</f>
        <v>0</v>
      </c>
      <c r="O23" s="403">
        <f>'[1]октябрь 20'!AU22</f>
        <v>5.68</v>
      </c>
      <c r="P23" s="401">
        <f t="shared" si="1"/>
        <v>163.86</v>
      </c>
      <c r="Q23" s="122">
        <f>'[1]октябрь 20'!S22</f>
        <v>163.86</v>
      </c>
      <c r="R23" s="123">
        <f t="shared" si="22"/>
        <v>3.6199999999999992</v>
      </c>
      <c r="S23" s="501">
        <v>8.7100000000000009</v>
      </c>
      <c r="T23" s="125">
        <f t="shared" si="2"/>
        <v>157.928268</v>
      </c>
      <c r="U23" s="147">
        <f t="shared" si="3"/>
        <v>1.1879665112080635</v>
      </c>
      <c r="V23" s="130">
        <v>132.94</v>
      </c>
      <c r="W23" s="130">
        <v>132.94</v>
      </c>
      <c r="X23" s="129">
        <v>0.51</v>
      </c>
      <c r="Y23" s="131">
        <v>524</v>
      </c>
      <c r="Z23" s="150">
        <v>1168</v>
      </c>
      <c r="AA23" s="148" t="s">
        <v>116</v>
      </c>
      <c r="AB23" s="149">
        <v>76.45</v>
      </c>
      <c r="AC23" s="150">
        <v>105</v>
      </c>
      <c r="AD23" s="151">
        <v>5</v>
      </c>
      <c r="AE23" s="149"/>
      <c r="AF23" s="134">
        <f t="shared" si="4"/>
        <v>0</v>
      </c>
      <c r="AG23" s="152"/>
      <c r="AH23" s="129">
        <v>87.45</v>
      </c>
      <c r="AI23" s="134">
        <f t="shared" si="5"/>
        <v>657.8155558898751</v>
      </c>
      <c r="AJ23" s="136">
        <v>16.5</v>
      </c>
      <c r="AK23" s="154"/>
      <c r="AL23" s="155">
        <v>8.51</v>
      </c>
      <c r="AM23" s="478">
        <v>30.47</v>
      </c>
      <c r="AN23" s="126">
        <f t="shared" si="23"/>
        <v>0.18013597398758496</v>
      </c>
      <c r="AO23" s="157" t="s">
        <v>424</v>
      </c>
      <c r="AP23" s="156">
        <v>7.1</v>
      </c>
      <c r="AQ23" s="156">
        <v>7.15</v>
      </c>
      <c r="AR23" s="151"/>
      <c r="AS23" s="149">
        <v>8</v>
      </c>
      <c r="AT23" s="149">
        <v>169.15</v>
      </c>
      <c r="AU23" s="149">
        <v>2.77</v>
      </c>
      <c r="AV23" s="149"/>
      <c r="AW23" s="149"/>
      <c r="AX23" s="158">
        <f t="shared" si="6"/>
        <v>0</v>
      </c>
      <c r="AY23" s="125">
        <f t="shared" si="7"/>
        <v>132.94000000000003</v>
      </c>
      <c r="AZ23" s="125">
        <f t="shared" si="24"/>
        <v>119.6851082722136</v>
      </c>
      <c r="BA23" s="159">
        <f t="shared" si="8"/>
        <v>5.4194366197183097</v>
      </c>
      <c r="BB23" s="160">
        <f t="shared" si="9"/>
        <v>5.3176000000000014</v>
      </c>
      <c r="BC23" s="161">
        <f t="shared" si="10"/>
        <v>0.98336935319376195</v>
      </c>
      <c r="BD23" s="160">
        <f t="shared" si="25"/>
        <v>10.73703661971831</v>
      </c>
      <c r="BE23" s="162">
        <v>0.879</v>
      </c>
      <c r="BF23" s="25">
        <f t="shared" si="26"/>
        <v>1786.4900000000002</v>
      </c>
      <c r="BG23" s="25">
        <f t="shared" si="11"/>
        <v>125.80645161290323</v>
      </c>
      <c r="BH23" s="25">
        <f t="shared" si="27"/>
        <v>2138.7096774193542</v>
      </c>
      <c r="BI23" s="26">
        <f t="shared" si="12"/>
        <v>1</v>
      </c>
      <c r="BJ23" s="37">
        <f t="shared" si="28"/>
        <v>2138.7096774193542</v>
      </c>
      <c r="BK23" s="38">
        <v>131.43</v>
      </c>
      <c r="BL23" s="31">
        <v>73.510999999999996</v>
      </c>
      <c r="BM23" s="31"/>
      <c r="BN23" s="234">
        <v>52.493000000000002</v>
      </c>
      <c r="BO23" s="42"/>
      <c r="BP23" s="40"/>
      <c r="BQ23" s="411">
        <v>5.2169999999999996</v>
      </c>
      <c r="BR23" s="33">
        <v>1.2</v>
      </c>
      <c r="BS23" s="34">
        <v>0.52</v>
      </c>
      <c r="BT23" s="35"/>
      <c r="BU23" s="35"/>
      <c r="BV23" s="235"/>
      <c r="BW23" s="235"/>
      <c r="BX23" s="36"/>
      <c r="BY23" s="33">
        <v>38.99</v>
      </c>
      <c r="BZ23" s="34">
        <v>38.090000000000003</v>
      </c>
      <c r="CA23" s="35"/>
      <c r="CB23" s="405">
        <v>43.07</v>
      </c>
      <c r="CC23" s="404"/>
      <c r="CD23" s="235"/>
      <c r="CE23" s="413">
        <v>43.6</v>
      </c>
      <c r="CF23" s="30">
        <v>85.218000000000004</v>
      </c>
      <c r="CG23" s="30">
        <v>78.641999999999996</v>
      </c>
      <c r="CH23" s="31"/>
      <c r="CI23" s="32"/>
      <c r="CJ23" s="33">
        <v>3.62</v>
      </c>
      <c r="CK23" s="33">
        <v>3.62</v>
      </c>
      <c r="CL23" s="35"/>
      <c r="CM23" s="36"/>
      <c r="CN23" s="286"/>
      <c r="CO23" s="249">
        <f t="shared" ref="CO23:CU37" si="30">BK23*((100-BR23)/100)</f>
        <v>129.85284000000001</v>
      </c>
      <c r="CP23" s="12">
        <f t="shared" si="30"/>
        <v>73.128742799999998</v>
      </c>
      <c r="CQ23" s="12">
        <f t="shared" si="30"/>
        <v>0</v>
      </c>
      <c r="CR23" s="12">
        <f t="shared" si="30"/>
        <v>52.493000000000002</v>
      </c>
      <c r="CS23" s="11">
        <f t="shared" si="30"/>
        <v>0</v>
      </c>
      <c r="CT23" s="11">
        <f t="shared" si="30"/>
        <v>0</v>
      </c>
      <c r="CU23" s="272">
        <f t="shared" si="30"/>
        <v>5.2169999999999996</v>
      </c>
      <c r="CV23" s="249">
        <f t="shared" ref="CV23:CY37" si="31">CF23*((100-CJ23)/100)</f>
        <v>82.133108399999998</v>
      </c>
      <c r="CW23" s="11">
        <f t="shared" si="31"/>
        <v>75.795159599999991</v>
      </c>
      <c r="CX23" s="249">
        <f t="shared" si="31"/>
        <v>0</v>
      </c>
      <c r="CY23" s="272">
        <f t="shared" si="31"/>
        <v>0</v>
      </c>
      <c r="CZ23" s="13"/>
      <c r="DA23" s="240">
        <f>(D23+'[2]октябрь 20 '!D23)/(AY23+'[2]октябрь 20 '!BA23)</f>
        <v>2.0529301726742299</v>
      </c>
      <c r="DB23" s="241">
        <f>(T23+'[2]октябрь 20 '!T23)/(AY23+'[2]октябрь 20 '!BA23)</f>
        <v>1.2416402534355948</v>
      </c>
      <c r="DD23" s="292">
        <f t="shared" si="15"/>
        <v>10.48</v>
      </c>
      <c r="DE23" s="291">
        <v>0.48</v>
      </c>
      <c r="DF23" s="291">
        <v>12.21</v>
      </c>
      <c r="DG23" s="145">
        <f t="shared" si="16"/>
        <v>10.429696</v>
      </c>
      <c r="DH23" s="293">
        <f t="shared" si="29"/>
        <v>1.6657500086330936</v>
      </c>
      <c r="DJ23" s="322"/>
    </row>
    <row r="24" spans="1:114" s="76" customFormat="1" ht="16.5" customHeight="1" thickBot="1">
      <c r="A24" s="144">
        <v>18</v>
      </c>
      <c r="B24" s="122">
        <f>'[1]октябрь 20'!K23</f>
        <v>277.44299999999998</v>
      </c>
      <c r="C24" s="123">
        <f t="shared" si="17"/>
        <v>0.48617218671943435</v>
      </c>
      <c r="D24" s="145">
        <f t="shared" si="18"/>
        <v>276.09414930000003</v>
      </c>
      <c r="E24" s="125">
        <f t="shared" si="19"/>
        <v>39.42668187699816</v>
      </c>
      <c r="F24" s="146">
        <f t="shared" si="0"/>
        <v>2.1926155439961881</v>
      </c>
      <c r="G24" s="127">
        <v>17.89</v>
      </c>
      <c r="H24" s="126">
        <f t="shared" si="20"/>
        <v>1.7086098260800509</v>
      </c>
      <c r="I24" s="230">
        <f>'[1]июль 20'!AI23</f>
        <v>0</v>
      </c>
      <c r="J24" s="439">
        <f>'[1]октябрь 20'!AA23</f>
        <v>11.198</v>
      </c>
      <c r="K24" s="464">
        <f>'[1]сентябрь 20'!AM23</f>
        <v>0</v>
      </c>
      <c r="L24" s="441">
        <f>'[1]октябрь 20'!AE23</f>
        <v>60.945999999999998</v>
      </c>
      <c r="M24" s="468">
        <f t="shared" si="21"/>
        <v>0.48400571791613722</v>
      </c>
      <c r="N24" s="403">
        <f>'[1]октябрь 20'!W23</f>
        <v>0</v>
      </c>
      <c r="O24" s="403">
        <f>'[1]октябрь 20'!AU23</f>
        <v>6.6820000000000004</v>
      </c>
      <c r="P24" s="401">
        <f t="shared" si="1"/>
        <v>174.03800000000001</v>
      </c>
      <c r="Q24" s="122">
        <f>'[1]октябрь 20'!S23</f>
        <v>174.03800000000001</v>
      </c>
      <c r="R24" s="123">
        <f t="shared" si="22"/>
        <v>3.33</v>
      </c>
      <c r="S24" s="129">
        <v>14.05</v>
      </c>
      <c r="T24" s="125">
        <f t="shared" si="2"/>
        <v>168.2425346</v>
      </c>
      <c r="U24" s="147">
        <f t="shared" si="3"/>
        <v>1.3361065327191868</v>
      </c>
      <c r="V24" s="130">
        <v>125.92</v>
      </c>
      <c r="W24" s="130">
        <v>74.92</v>
      </c>
      <c r="X24" s="129">
        <v>0.92</v>
      </c>
      <c r="Y24" s="150">
        <v>535</v>
      </c>
      <c r="Z24" s="150">
        <v>1171</v>
      </c>
      <c r="AA24" s="148" t="s">
        <v>150</v>
      </c>
      <c r="AB24" s="149">
        <v>76.33</v>
      </c>
      <c r="AC24" s="150">
        <v>111</v>
      </c>
      <c r="AD24" s="151">
        <v>5</v>
      </c>
      <c r="AE24" s="149"/>
      <c r="AF24" s="134">
        <f t="shared" si="4"/>
        <v>0</v>
      </c>
      <c r="AG24" s="152"/>
      <c r="AH24" s="129">
        <v>75.900000000000006</v>
      </c>
      <c r="AI24" s="134">
        <f t="shared" si="5"/>
        <v>602.76365946632779</v>
      </c>
      <c r="AJ24" s="153">
        <v>16.059999999999999</v>
      </c>
      <c r="AK24" s="154"/>
      <c r="AL24" s="155">
        <v>8.07</v>
      </c>
      <c r="AM24" s="478">
        <v>35.21</v>
      </c>
      <c r="AN24" s="126">
        <f t="shared" si="23"/>
        <v>0.21128112811281127</v>
      </c>
      <c r="AO24" s="157" t="s">
        <v>425</v>
      </c>
      <c r="AP24" s="156">
        <v>6.91</v>
      </c>
      <c r="AQ24" s="156">
        <v>8.1300000000000008</v>
      </c>
      <c r="AR24" s="151"/>
      <c r="AS24" s="149">
        <v>7.01</v>
      </c>
      <c r="AT24" s="149">
        <v>166.65</v>
      </c>
      <c r="AU24" s="149">
        <v>2.5499999999999998</v>
      </c>
      <c r="AV24" s="164"/>
      <c r="AW24" s="149"/>
      <c r="AX24" s="158">
        <f t="shared" si="6"/>
        <v>0</v>
      </c>
      <c r="AY24" s="125">
        <f t="shared" si="7"/>
        <v>125.92</v>
      </c>
      <c r="AZ24" s="125">
        <f t="shared" si="24"/>
        <v>126.11976911098508</v>
      </c>
      <c r="BA24" s="159">
        <f t="shared" si="8"/>
        <v>4.1215838028169003</v>
      </c>
      <c r="BB24" s="160">
        <f t="shared" si="9"/>
        <v>5.0368000000000004</v>
      </c>
      <c r="BC24" s="161">
        <f t="shared" si="10"/>
        <v>0.88296308126388789</v>
      </c>
      <c r="BD24" s="160">
        <f t="shared" si="25"/>
        <v>9.1583838028168998</v>
      </c>
      <c r="BE24" s="162">
        <v>0.879</v>
      </c>
      <c r="BF24" s="25">
        <f t="shared" si="26"/>
        <v>1912.4100000000003</v>
      </c>
      <c r="BG24" s="25">
        <f t="shared" si="11"/>
        <v>125.80645161290323</v>
      </c>
      <c r="BH24" s="25">
        <f t="shared" si="27"/>
        <v>2264.5161290322576</v>
      </c>
      <c r="BI24" s="26">
        <f t="shared" si="12"/>
        <v>1</v>
      </c>
      <c r="BJ24" s="37">
        <f t="shared" si="28"/>
        <v>2264.5161290322576</v>
      </c>
      <c r="BK24" s="38">
        <v>138.74600000000001</v>
      </c>
      <c r="BL24" s="31">
        <v>77.751000000000005</v>
      </c>
      <c r="BM24" s="31"/>
      <c r="BN24" s="234">
        <v>55.418999999999997</v>
      </c>
      <c r="BO24" s="42"/>
      <c r="BP24" s="40"/>
      <c r="BQ24" s="411">
        <v>5.5270000000000001</v>
      </c>
      <c r="BR24" s="33">
        <v>0.72</v>
      </c>
      <c r="BS24" s="34">
        <v>0.45</v>
      </c>
      <c r="BT24" s="35"/>
      <c r="BU24" s="35"/>
      <c r="BV24" s="235"/>
      <c r="BW24" s="235"/>
      <c r="BX24" s="36"/>
      <c r="BY24" s="33">
        <v>38.92</v>
      </c>
      <c r="BZ24" s="34">
        <v>37.49</v>
      </c>
      <c r="CA24" s="35"/>
      <c r="CB24" s="405">
        <v>43.03</v>
      </c>
      <c r="CC24" s="404"/>
      <c r="CD24" s="235"/>
      <c r="CE24" s="413">
        <v>43.26</v>
      </c>
      <c r="CF24" s="30">
        <v>90.775999999999996</v>
      </c>
      <c r="CG24" s="30">
        <v>83.262</v>
      </c>
      <c r="CH24" s="31"/>
      <c r="CI24" s="32"/>
      <c r="CJ24" s="33">
        <v>3.33</v>
      </c>
      <c r="CK24" s="33">
        <v>3.33</v>
      </c>
      <c r="CL24" s="35"/>
      <c r="CM24" s="36"/>
      <c r="CN24" s="286"/>
      <c r="CO24" s="249">
        <f t="shared" si="30"/>
        <v>137.74702880000001</v>
      </c>
      <c r="CP24" s="12">
        <f t="shared" si="30"/>
        <v>77.401120500000005</v>
      </c>
      <c r="CQ24" s="12">
        <f t="shared" si="30"/>
        <v>0</v>
      </c>
      <c r="CR24" s="12">
        <f t="shared" si="30"/>
        <v>55.418999999999997</v>
      </c>
      <c r="CS24" s="11">
        <f t="shared" si="30"/>
        <v>0</v>
      </c>
      <c r="CT24" s="11">
        <f t="shared" si="30"/>
        <v>0</v>
      </c>
      <c r="CU24" s="272">
        <f t="shared" si="30"/>
        <v>5.5270000000000001</v>
      </c>
      <c r="CV24" s="249">
        <f t="shared" si="31"/>
        <v>87.753159199999999</v>
      </c>
      <c r="CW24" s="12">
        <f t="shared" si="31"/>
        <v>80.4893754</v>
      </c>
      <c r="CX24" s="249">
        <f t="shared" si="31"/>
        <v>0</v>
      </c>
      <c r="CY24" s="272">
        <f t="shared" si="31"/>
        <v>0</v>
      </c>
      <c r="CZ24" s="13"/>
      <c r="DA24" s="240">
        <f>(D24+'[2]октябрь 20 '!D24)/(AY24+'[2]октябрь 20 '!BA24)</f>
        <v>2.090498621213619</v>
      </c>
      <c r="DB24" s="241">
        <f>(T24+'[2]октябрь 20 '!T24)/(AY24+'[2]октябрь 20 '!BA24)</f>
        <v>1.265007142712042</v>
      </c>
      <c r="DD24" s="292">
        <f t="shared" si="15"/>
        <v>11.198</v>
      </c>
      <c r="DE24" s="291">
        <v>0.12</v>
      </c>
      <c r="DF24" s="291">
        <v>11.06</v>
      </c>
      <c r="DG24" s="145">
        <f t="shared" si="16"/>
        <v>11.184562399999999</v>
      </c>
      <c r="DH24" s="293">
        <f t="shared" si="29"/>
        <v>1.6206112949561118</v>
      </c>
      <c r="DJ24" s="322"/>
    </row>
    <row r="25" spans="1:114" s="76" customFormat="1" ht="16.5" customHeight="1" thickBot="1">
      <c r="A25" s="144">
        <v>19</v>
      </c>
      <c r="B25" s="122">
        <f>'[1]октябрь 20'!K24</f>
        <v>267.63799999999998</v>
      </c>
      <c r="C25" s="123">
        <f t="shared" si="17"/>
        <v>0.58117505735358954</v>
      </c>
      <c r="D25" s="145">
        <f t="shared" si="18"/>
        <v>266.0825547</v>
      </c>
      <c r="E25" s="125">
        <f t="shared" si="19"/>
        <v>39.547252333375681</v>
      </c>
      <c r="F25" s="146">
        <f t="shared" si="0"/>
        <v>2.1662668297647154</v>
      </c>
      <c r="G25" s="127">
        <v>11.47</v>
      </c>
      <c r="H25" s="126">
        <f t="shared" si="20"/>
        <v>1.6868074143124645</v>
      </c>
      <c r="I25" s="230">
        <f>'[1]июль 20'!AI24</f>
        <v>0</v>
      </c>
      <c r="J25" s="439">
        <f>'[1]октябрь 20'!AA24</f>
        <v>10.523</v>
      </c>
      <c r="K25" s="465">
        <f>'[1]сентябрь 20'!AM24</f>
        <v>0</v>
      </c>
      <c r="L25" s="441">
        <f>'[1]октябрь 20'!AE24</f>
        <v>58.892000000000003</v>
      </c>
      <c r="M25" s="469">
        <f t="shared" si="21"/>
        <v>0.47945941545225113</v>
      </c>
      <c r="N25" s="403">
        <f>'[1]октябрь 20'!W24</f>
        <v>0</v>
      </c>
      <c r="O25" s="403">
        <f>'[1]октябрь 20'!AU24</f>
        <v>7.4669999999999996</v>
      </c>
      <c r="P25" s="401">
        <f t="shared" si="1"/>
        <v>167.43599999999998</v>
      </c>
      <c r="Q25" s="122">
        <f>'[1]октябрь 20'!S24</f>
        <v>167.43600000000001</v>
      </c>
      <c r="R25" s="123">
        <f>IF(Q25=0,0,(CI25*CM25+CG25*CK25+CH25*CL25+CF25*CJ25)/Q25)</f>
        <v>3.3699999999999997</v>
      </c>
      <c r="S25" s="501">
        <v>7.44</v>
      </c>
      <c r="T25" s="125">
        <f t="shared" si="2"/>
        <v>161.79340679999999</v>
      </c>
      <c r="U25" s="147">
        <f t="shared" si="3"/>
        <v>1.3172140910201089</v>
      </c>
      <c r="V25" s="130">
        <v>122.83</v>
      </c>
      <c r="W25" s="130">
        <v>101.29</v>
      </c>
      <c r="X25" s="129">
        <v>0.88</v>
      </c>
      <c r="Y25" s="150">
        <v>567</v>
      </c>
      <c r="Z25" s="150">
        <v>1180</v>
      </c>
      <c r="AA25" s="148" t="s">
        <v>427</v>
      </c>
      <c r="AB25" s="149">
        <v>76.27</v>
      </c>
      <c r="AC25" s="150">
        <v>107</v>
      </c>
      <c r="AD25" s="151">
        <v>5</v>
      </c>
      <c r="AE25" s="149">
        <v>5.4</v>
      </c>
      <c r="AF25" s="134">
        <f t="shared" si="4"/>
        <v>43.963201172352036</v>
      </c>
      <c r="AG25" s="152"/>
      <c r="AH25" s="129">
        <v>83.65</v>
      </c>
      <c r="AI25" s="134">
        <f t="shared" si="5"/>
        <v>681.02255149393477</v>
      </c>
      <c r="AJ25" s="136">
        <v>17.739999999999998</v>
      </c>
      <c r="AK25" s="154"/>
      <c r="AL25" s="155">
        <v>7.61</v>
      </c>
      <c r="AM25" s="478">
        <v>34.83</v>
      </c>
      <c r="AN25" s="126">
        <f t="shared" si="23"/>
        <v>0.21315789473684207</v>
      </c>
      <c r="AO25" s="157" t="s">
        <v>426</v>
      </c>
      <c r="AP25" s="156">
        <v>6.73</v>
      </c>
      <c r="AQ25" s="156">
        <v>8.0500000000000007</v>
      </c>
      <c r="AR25" s="152"/>
      <c r="AS25" s="149">
        <v>8.59</v>
      </c>
      <c r="AT25" s="149">
        <v>163.4</v>
      </c>
      <c r="AU25" s="149">
        <v>1.87</v>
      </c>
      <c r="AV25" s="164"/>
      <c r="AW25" s="149"/>
      <c r="AX25" s="158">
        <f t="shared" si="6"/>
        <v>0</v>
      </c>
      <c r="AY25" s="125">
        <f t="shared" si="7"/>
        <v>122.83</v>
      </c>
      <c r="AZ25" s="125">
        <f t="shared" si="24"/>
        <v>122.19524694025057</v>
      </c>
      <c r="BA25" s="159">
        <f t="shared" si="8"/>
        <v>5.5662595070422531</v>
      </c>
      <c r="BB25" s="160">
        <f t="shared" si="9"/>
        <v>4.9131999999999998</v>
      </c>
      <c r="BC25" s="161">
        <f t="shared" si="10"/>
        <v>0.89027767237742184</v>
      </c>
      <c r="BD25" s="160">
        <f t="shared" si="25"/>
        <v>10.479459507042254</v>
      </c>
      <c r="BE25" s="162">
        <v>0.88</v>
      </c>
      <c r="BF25" s="25">
        <f t="shared" si="26"/>
        <v>2035.2400000000002</v>
      </c>
      <c r="BG25" s="25">
        <f t="shared" si="11"/>
        <v>125.80645161290323</v>
      </c>
      <c r="BH25" s="25">
        <f t="shared" si="27"/>
        <v>2390.322580645161</v>
      </c>
      <c r="BI25" s="26">
        <f t="shared" si="12"/>
        <v>1</v>
      </c>
      <c r="BJ25" s="37">
        <f t="shared" si="28"/>
        <v>2390.322580645161</v>
      </c>
      <c r="BK25" s="38">
        <v>133.78299999999999</v>
      </c>
      <c r="BL25" s="31">
        <v>74.962999999999994</v>
      </c>
      <c r="BM25" s="31"/>
      <c r="BN25" s="234">
        <v>53.581000000000003</v>
      </c>
      <c r="BO25" s="42"/>
      <c r="BP25" s="40"/>
      <c r="BQ25" s="411">
        <v>5.3109999999999999</v>
      </c>
      <c r="BR25" s="33">
        <v>0.72</v>
      </c>
      <c r="BS25" s="34">
        <v>0.79</v>
      </c>
      <c r="BT25" s="35"/>
      <c r="BU25" s="35"/>
      <c r="BV25" s="235"/>
      <c r="BW25" s="235"/>
      <c r="BX25" s="36"/>
      <c r="BY25" s="33">
        <v>38.729999999999997</v>
      </c>
      <c r="BZ25" s="34">
        <v>38.090000000000003</v>
      </c>
      <c r="CA25" s="35"/>
      <c r="CB25" s="405">
        <v>43.21</v>
      </c>
      <c r="CC25" s="404"/>
      <c r="CD25" s="235"/>
      <c r="CE25" s="413">
        <v>43.75</v>
      </c>
      <c r="CF25" s="30">
        <v>87.213999999999999</v>
      </c>
      <c r="CG25" s="30">
        <v>80.221999999999994</v>
      </c>
      <c r="CH25" s="31"/>
      <c r="CI25" s="32"/>
      <c r="CJ25" s="33">
        <v>3.37</v>
      </c>
      <c r="CK25" s="33">
        <v>3.37</v>
      </c>
      <c r="CL25" s="35"/>
      <c r="CM25" s="36"/>
      <c r="CN25" s="286"/>
      <c r="CO25" s="249">
        <f t="shared" si="30"/>
        <v>132.8197624</v>
      </c>
      <c r="CP25" s="12">
        <f t="shared" si="30"/>
        <v>74.370792299999991</v>
      </c>
      <c r="CQ25" s="12">
        <f t="shared" si="30"/>
        <v>0</v>
      </c>
      <c r="CR25" s="12">
        <f t="shared" si="30"/>
        <v>53.581000000000003</v>
      </c>
      <c r="CS25" s="11">
        <f t="shared" si="30"/>
        <v>0</v>
      </c>
      <c r="CT25" s="11">
        <f t="shared" si="30"/>
        <v>0</v>
      </c>
      <c r="CU25" s="272">
        <f t="shared" si="30"/>
        <v>5.3109999999999999</v>
      </c>
      <c r="CV25" s="249">
        <f t="shared" si="31"/>
        <v>84.274888199999992</v>
      </c>
      <c r="CW25" s="251">
        <f t="shared" si="31"/>
        <v>77.518518599999993</v>
      </c>
      <c r="CX25" s="249">
        <f t="shared" si="31"/>
        <v>0</v>
      </c>
      <c r="CY25" s="272">
        <f t="shared" si="31"/>
        <v>0</v>
      </c>
      <c r="CZ25" s="13"/>
      <c r="DA25" s="240">
        <f>(D25+'[2]октябрь 20 '!D25)/(AY25+'[2]октябрь 20 '!BA25)</f>
        <v>2.1357896072184706</v>
      </c>
      <c r="DB25" s="241">
        <f>(T25+'[2]октябрь 20 '!T25)/(AY25+'[2]октябрь 20 '!BA25)</f>
        <v>1.2900441726250835</v>
      </c>
      <c r="DD25" s="292">
        <f t="shared" si="15"/>
        <v>10.523</v>
      </c>
      <c r="DE25" s="291">
        <v>0.34</v>
      </c>
      <c r="DF25" s="291">
        <v>12.72</v>
      </c>
      <c r="DG25" s="145">
        <f t="shared" si="16"/>
        <v>10.487221799999999</v>
      </c>
      <c r="DH25" s="293">
        <f t="shared" si="29"/>
        <v>1.7490161439097942</v>
      </c>
      <c r="DJ25" s="322"/>
    </row>
    <row r="26" spans="1:114" s="76" customFormat="1" ht="16.5" customHeight="1" thickBot="1">
      <c r="A26" s="144">
        <v>20</v>
      </c>
      <c r="B26" s="122">
        <f>'[1]октябрь 20'!K25</f>
        <v>272.75400000000002</v>
      </c>
      <c r="C26" s="123">
        <f t="shared" si="17"/>
        <v>1.6061193603026902</v>
      </c>
      <c r="D26" s="145">
        <f t="shared" si="18"/>
        <v>268.37324520000004</v>
      </c>
      <c r="E26" s="125">
        <f t="shared" si="19"/>
        <v>39.330857439304282</v>
      </c>
      <c r="F26" s="146">
        <f t="shared" si="0"/>
        <v>2.1425295002395019</v>
      </c>
      <c r="G26" s="127">
        <v>11.55</v>
      </c>
      <c r="H26" s="126">
        <f t="shared" si="20"/>
        <v>1.662759422002235</v>
      </c>
      <c r="I26" s="230">
        <f>'[1]июль 20'!AI25</f>
        <v>0</v>
      </c>
      <c r="J26" s="439">
        <f>'[1]октябрь 20'!AA25</f>
        <v>10.984</v>
      </c>
      <c r="K26" s="464">
        <f>'[1]сентябрь 20'!AM25</f>
        <v>0</v>
      </c>
      <c r="L26" s="441">
        <f>'[1]октябрь 20'!AE25</f>
        <v>60.095999999999997</v>
      </c>
      <c r="M26" s="468">
        <f t="shared" si="21"/>
        <v>0.47977007823726642</v>
      </c>
      <c r="N26" s="403">
        <f>'[1]октябрь 20'!W25</f>
        <v>0</v>
      </c>
      <c r="O26" s="403">
        <f>'[1]октябрь 20'!AU25</f>
        <v>6.9880000000000004</v>
      </c>
      <c r="P26" s="401">
        <f t="shared" si="1"/>
        <v>170.256</v>
      </c>
      <c r="Q26" s="122">
        <f>'[1]октябрь 20'!S25</f>
        <v>170.256</v>
      </c>
      <c r="R26" s="123">
        <f t="shared" ref="R26:R30" si="32">IF(Q26=0,0,(CI26*CM26+CG26*CK26+CH26*CL26+CF26*CJ26)/Q26)</f>
        <v>3.4700000000000006</v>
      </c>
      <c r="S26" s="501">
        <v>1.08</v>
      </c>
      <c r="T26" s="125">
        <f t="shared" si="2"/>
        <v>164.34811680000001</v>
      </c>
      <c r="U26" s="147">
        <f t="shared" si="3"/>
        <v>1.3120558582149131</v>
      </c>
      <c r="V26" s="169">
        <v>125.26</v>
      </c>
      <c r="W26" s="169">
        <v>125.26</v>
      </c>
      <c r="X26" s="170">
        <v>0.75</v>
      </c>
      <c r="Y26" s="166">
        <v>553</v>
      </c>
      <c r="Z26" s="166">
        <v>1177</v>
      </c>
      <c r="AA26" s="148" t="s">
        <v>171</v>
      </c>
      <c r="AB26" s="164">
        <v>76.55</v>
      </c>
      <c r="AC26" s="166">
        <v>109</v>
      </c>
      <c r="AD26" s="171">
        <v>5</v>
      </c>
      <c r="AE26" s="164"/>
      <c r="AF26" s="172">
        <f t="shared" si="4"/>
        <v>0</v>
      </c>
      <c r="AG26" s="173"/>
      <c r="AH26" s="170">
        <v>75.25</v>
      </c>
      <c r="AI26" s="134">
        <f t="shared" si="5"/>
        <v>600.75043908669966</v>
      </c>
      <c r="AJ26" s="174">
        <v>16.71</v>
      </c>
      <c r="AK26" s="175"/>
      <c r="AL26" s="176">
        <v>6.62</v>
      </c>
      <c r="AM26" s="478">
        <v>27.67</v>
      </c>
      <c r="AN26" s="126">
        <f t="shared" si="23"/>
        <v>0.17579415501905973</v>
      </c>
      <c r="AO26" s="178" t="s">
        <v>370</v>
      </c>
      <c r="AP26" s="177">
        <v>7.19</v>
      </c>
      <c r="AQ26" s="177">
        <v>8.43</v>
      </c>
      <c r="AR26" s="171"/>
      <c r="AS26" s="164">
        <v>6.59</v>
      </c>
      <c r="AT26" s="149">
        <v>157.4</v>
      </c>
      <c r="AU26" s="164">
        <v>2.15</v>
      </c>
      <c r="AV26" s="164"/>
      <c r="AW26" s="164"/>
      <c r="AX26" s="179">
        <f t="shared" si="6"/>
        <v>0</v>
      </c>
      <c r="AY26" s="125">
        <f t="shared" si="7"/>
        <v>125.26</v>
      </c>
      <c r="AZ26" s="125">
        <f t="shared" si="24"/>
        <v>121.83619168007975</v>
      </c>
      <c r="BA26" s="159">
        <f t="shared" si="8"/>
        <v>3.841459507042253</v>
      </c>
      <c r="BB26" s="159">
        <f t="shared" si="9"/>
        <v>5.0104000000000006</v>
      </c>
      <c r="BC26" s="180">
        <f t="shared" si="10"/>
        <v>0.9084164086029779</v>
      </c>
      <c r="BD26" s="159">
        <f t="shared" si="25"/>
        <v>8.8518595070422528</v>
      </c>
      <c r="BE26" s="167">
        <v>0.88100000000000001</v>
      </c>
      <c r="BF26" s="25">
        <f t="shared" si="26"/>
        <v>2160.5000000000005</v>
      </c>
      <c r="BG26" s="25">
        <f t="shared" si="11"/>
        <v>125.80645161290323</v>
      </c>
      <c r="BH26" s="25">
        <f t="shared" si="27"/>
        <v>2516.1290322580644</v>
      </c>
      <c r="BI26" s="26">
        <f t="shared" si="12"/>
        <v>1</v>
      </c>
      <c r="BJ26" s="37">
        <f t="shared" si="28"/>
        <v>2516.1290322580644</v>
      </c>
      <c r="BK26" s="38">
        <v>212.65799999999999</v>
      </c>
      <c r="BL26" s="43"/>
      <c r="BM26" s="31"/>
      <c r="BN26" s="406">
        <v>54.606999999999999</v>
      </c>
      <c r="BO26" s="42"/>
      <c r="BP26" s="40"/>
      <c r="BQ26" s="412">
        <v>5.4889999999999999</v>
      </c>
      <c r="BR26" s="33">
        <v>2.06</v>
      </c>
      <c r="BS26" s="34"/>
      <c r="BT26" s="35"/>
      <c r="BU26" s="35"/>
      <c r="BV26" s="235"/>
      <c r="BW26" s="235"/>
      <c r="BX26" s="36"/>
      <c r="BY26" s="33">
        <v>38.229999999999997</v>
      </c>
      <c r="BZ26" s="34"/>
      <c r="CA26" s="35"/>
      <c r="CB26" s="405">
        <v>43.22</v>
      </c>
      <c r="CC26" s="404"/>
      <c r="CD26" s="235"/>
      <c r="CE26" s="413">
        <v>43.29</v>
      </c>
      <c r="CF26" s="30">
        <v>83.131</v>
      </c>
      <c r="CG26" s="30">
        <v>87.125</v>
      </c>
      <c r="CH26" s="43"/>
      <c r="CI26" s="32"/>
      <c r="CJ26" s="33">
        <v>3.47</v>
      </c>
      <c r="CK26" s="33">
        <v>3.47</v>
      </c>
      <c r="CL26" s="35"/>
      <c r="CM26" s="36"/>
      <c r="CN26" s="286"/>
      <c r="CO26" s="249">
        <f t="shared" si="30"/>
        <v>208.27724519999998</v>
      </c>
      <c r="CP26" s="12">
        <f t="shared" si="30"/>
        <v>0</v>
      </c>
      <c r="CQ26" s="12">
        <f t="shared" si="30"/>
        <v>0</v>
      </c>
      <c r="CR26" s="12">
        <f t="shared" si="30"/>
        <v>54.606999999999999</v>
      </c>
      <c r="CS26" s="11">
        <f t="shared" si="30"/>
        <v>0</v>
      </c>
      <c r="CT26" s="11">
        <f t="shared" si="30"/>
        <v>0</v>
      </c>
      <c r="CU26" s="272">
        <f t="shared" si="30"/>
        <v>5.4889999999999999</v>
      </c>
      <c r="CV26" s="249">
        <f t="shared" si="31"/>
        <v>80.246354300000007</v>
      </c>
      <c r="CW26" s="12">
        <f t="shared" si="31"/>
        <v>84.101762500000007</v>
      </c>
      <c r="CX26" s="249">
        <f t="shared" si="31"/>
        <v>0</v>
      </c>
      <c r="CY26" s="274">
        <f t="shared" si="31"/>
        <v>0</v>
      </c>
      <c r="CZ26" s="13"/>
      <c r="DA26" s="240">
        <f>(D26+'[2]октябрь 20 '!D26)/(AY26+'[2]октябрь 20 '!BA26)</f>
        <v>2.4518455615993893</v>
      </c>
      <c r="DB26" s="241">
        <f>(T26+'[2]октябрь 20 '!T26)/(AY26+'[2]октябрь 20 '!BA26)</f>
        <v>1.4945068448007126</v>
      </c>
      <c r="DD26" s="292">
        <f t="shared" si="15"/>
        <v>10.984</v>
      </c>
      <c r="DE26" s="291">
        <v>1.52</v>
      </c>
      <c r="DF26" s="291">
        <v>10.33</v>
      </c>
      <c r="DG26" s="145">
        <f t="shared" si="16"/>
        <v>10.817043200000001</v>
      </c>
      <c r="DH26" s="293">
        <f t="shared" si="29"/>
        <v>1.4597002776747225</v>
      </c>
      <c r="DJ26" s="322"/>
    </row>
    <row r="27" spans="1:114" s="76" customFormat="1" ht="16.5" customHeight="1" thickBot="1">
      <c r="A27" s="144">
        <v>21</v>
      </c>
      <c r="B27" s="122">
        <f>'[1]октябрь 20'!K26</f>
        <v>262.59100000000001</v>
      </c>
      <c r="C27" s="123">
        <f t="shared" si="17"/>
        <v>0.89283086625208008</v>
      </c>
      <c r="D27" s="145">
        <f t="shared" si="18"/>
        <v>260.24650650000001</v>
      </c>
      <c r="E27" s="125">
        <f t="shared" si="19"/>
        <v>39.664157301659237</v>
      </c>
      <c r="F27" s="146">
        <f t="shared" si="0"/>
        <v>1.9843424056423942</v>
      </c>
      <c r="G27" s="127">
        <v>15.74</v>
      </c>
      <c r="H27" s="126">
        <f t="shared" si="20"/>
        <v>1.5365955508959204</v>
      </c>
      <c r="I27" s="230">
        <f>'[1]июль 20'!AI26</f>
        <v>0</v>
      </c>
      <c r="J27" s="439">
        <f>'[1]октябрь 20'!AA26</f>
        <v>10.436</v>
      </c>
      <c r="K27" s="464">
        <f>'[1]сентябрь 20'!AM26</f>
        <v>0</v>
      </c>
      <c r="L27" s="441">
        <f>'[1]октябрь 20'!AE26</f>
        <v>58.722000000000001</v>
      </c>
      <c r="M27" s="469">
        <f t="shared" si="21"/>
        <v>0.44774685474647352</v>
      </c>
      <c r="N27" s="403">
        <f>'[1]октябрь 20'!W26</f>
        <v>0</v>
      </c>
      <c r="O27" s="403">
        <f>'[1]октябрь 20'!AU26</f>
        <v>5.851</v>
      </c>
      <c r="P27" s="401">
        <f t="shared" si="1"/>
        <v>163.24799999999999</v>
      </c>
      <c r="Q27" s="122">
        <f>'[1]октябрь 20'!S26</f>
        <v>163.24799999999999</v>
      </c>
      <c r="R27" s="123">
        <f t="shared" si="32"/>
        <v>3.1</v>
      </c>
      <c r="S27" s="501">
        <v>10</v>
      </c>
      <c r="T27" s="125">
        <f t="shared" si="2"/>
        <v>158.18731199999999</v>
      </c>
      <c r="U27" s="147">
        <f t="shared" si="3"/>
        <v>1.2061556385817764</v>
      </c>
      <c r="V27" s="130">
        <v>110.91</v>
      </c>
      <c r="W27" s="130">
        <v>102.66</v>
      </c>
      <c r="X27" s="129">
        <v>0.77</v>
      </c>
      <c r="Y27" s="150">
        <v>535</v>
      </c>
      <c r="Z27" s="150">
        <v>1173</v>
      </c>
      <c r="AA27" s="148" t="s">
        <v>145</v>
      </c>
      <c r="AB27" s="149">
        <v>75.900000000000006</v>
      </c>
      <c r="AC27" s="150">
        <v>105</v>
      </c>
      <c r="AD27" s="151">
        <v>5</v>
      </c>
      <c r="AE27" s="149"/>
      <c r="AF27" s="134">
        <f t="shared" si="4"/>
        <v>0</v>
      </c>
      <c r="AG27" s="152"/>
      <c r="AH27" s="129">
        <v>77.349999999999994</v>
      </c>
      <c r="AI27" s="134">
        <f t="shared" si="5"/>
        <v>589.78269157453292</v>
      </c>
      <c r="AJ27" s="136">
        <v>20.76</v>
      </c>
      <c r="AK27" s="154"/>
      <c r="AL27" s="155">
        <v>6.48</v>
      </c>
      <c r="AM27" s="478">
        <v>34.65</v>
      </c>
      <c r="AN27" s="126">
        <f t="shared" si="23"/>
        <v>0.20340475491634868</v>
      </c>
      <c r="AO27" s="157" t="s">
        <v>428</v>
      </c>
      <c r="AP27" s="156">
        <v>7.09</v>
      </c>
      <c r="AQ27" s="156">
        <v>8.91</v>
      </c>
      <c r="AR27" s="151"/>
      <c r="AS27" s="149">
        <v>7.3</v>
      </c>
      <c r="AT27" s="149">
        <v>170.35</v>
      </c>
      <c r="AU27" s="149">
        <v>1.93</v>
      </c>
      <c r="AV27" s="164"/>
      <c r="AW27" s="149"/>
      <c r="AX27" s="158">
        <f t="shared" si="6"/>
        <v>0</v>
      </c>
      <c r="AY27" s="125">
        <f t="shared" si="7"/>
        <v>131.15</v>
      </c>
      <c r="AZ27" s="125">
        <f t="shared" si="24"/>
        <v>120.23144919477373</v>
      </c>
      <c r="BA27" s="159">
        <f t="shared" si="8"/>
        <v>4.3740880281690133</v>
      </c>
      <c r="BB27" s="160">
        <f t="shared" si="9"/>
        <v>5.2460000000000004</v>
      </c>
      <c r="BC27" s="161">
        <f t="shared" si="10"/>
        <v>0.96433278219297058</v>
      </c>
      <c r="BD27" s="160">
        <f t="shared" si="25"/>
        <v>9.6200880281690146</v>
      </c>
      <c r="BE27" s="162">
        <v>0.88600000000000001</v>
      </c>
      <c r="BF27" s="25">
        <f t="shared" si="26"/>
        <v>2291.6500000000005</v>
      </c>
      <c r="BG27" s="25">
        <f t="shared" si="11"/>
        <v>125.80645161290323</v>
      </c>
      <c r="BH27" s="25">
        <f t="shared" si="27"/>
        <v>2641.9354838709678</v>
      </c>
      <c r="BI27" s="26">
        <f t="shared" si="12"/>
        <v>1</v>
      </c>
      <c r="BJ27" s="37">
        <f t="shared" si="28"/>
        <v>2641.9354838709678</v>
      </c>
      <c r="BK27" s="38">
        <v>203.869</v>
      </c>
      <c r="BL27" s="31"/>
      <c r="BM27" s="31"/>
      <c r="BN27" s="234">
        <v>52.527999999999999</v>
      </c>
      <c r="BO27" s="42"/>
      <c r="BP27" s="40"/>
      <c r="BQ27" s="411">
        <v>6.194</v>
      </c>
      <c r="BR27" s="33">
        <v>1.1499999999999999</v>
      </c>
      <c r="BS27" s="34"/>
      <c r="BT27" s="35"/>
      <c r="BU27" s="35"/>
      <c r="BV27" s="235"/>
      <c r="BW27" s="235"/>
      <c r="BX27" s="36"/>
      <c r="BY27" s="33">
        <v>38.53</v>
      </c>
      <c r="BZ27" s="34"/>
      <c r="CA27" s="35"/>
      <c r="CB27" s="405">
        <v>43.55</v>
      </c>
      <c r="CC27" s="404"/>
      <c r="CD27" s="235"/>
      <c r="CE27" s="413">
        <v>44.04</v>
      </c>
      <c r="CF27" s="30">
        <v>64.075000000000003</v>
      </c>
      <c r="CG27" s="30">
        <v>99.173000000000002</v>
      </c>
      <c r="CH27" s="31"/>
      <c r="CI27" s="32"/>
      <c r="CJ27" s="33">
        <v>3.1</v>
      </c>
      <c r="CK27" s="33">
        <v>3.1</v>
      </c>
      <c r="CL27" s="35"/>
      <c r="CM27" s="36"/>
      <c r="CN27" s="286"/>
      <c r="CO27" s="249">
        <f t="shared" si="30"/>
        <v>201.52450649999997</v>
      </c>
      <c r="CP27" s="12">
        <f t="shared" si="30"/>
        <v>0</v>
      </c>
      <c r="CQ27" s="12">
        <f t="shared" si="30"/>
        <v>0</v>
      </c>
      <c r="CR27" s="12">
        <f t="shared" si="30"/>
        <v>52.527999999999999</v>
      </c>
      <c r="CS27" s="11">
        <f t="shared" si="30"/>
        <v>0</v>
      </c>
      <c r="CT27" s="11">
        <f t="shared" si="30"/>
        <v>0</v>
      </c>
      <c r="CU27" s="272">
        <f t="shared" si="30"/>
        <v>6.194</v>
      </c>
      <c r="CV27" s="249">
        <f t="shared" si="31"/>
        <v>62.088675000000009</v>
      </c>
      <c r="CW27" s="11">
        <f t="shared" si="31"/>
        <v>96.098637000000011</v>
      </c>
      <c r="CX27" s="249">
        <f t="shared" si="31"/>
        <v>0</v>
      </c>
      <c r="CY27" s="272">
        <f t="shared" si="31"/>
        <v>0</v>
      </c>
      <c r="CZ27" s="13"/>
      <c r="DA27" s="240">
        <f>(D27+'[2]октябрь 20 '!D27)/(AY27+'[2]октябрь 20 '!BA27)</f>
        <v>1.9850765334579492</v>
      </c>
      <c r="DB27" s="241">
        <f>(T27+'[2]октябрь 20 '!T27)/(AY27+'[2]октябрь 20 '!BA27)</f>
        <v>1.2032427042634917</v>
      </c>
      <c r="DD27" s="292">
        <f t="shared" si="15"/>
        <v>10.436</v>
      </c>
      <c r="DE27" s="291">
        <v>0.55000000000000004</v>
      </c>
      <c r="DF27" s="291">
        <v>10.99</v>
      </c>
      <c r="DG27" s="145">
        <f t="shared" si="16"/>
        <v>10.378602000000001</v>
      </c>
      <c r="DH27" s="293">
        <f t="shared" si="29"/>
        <v>1.5027778126482214</v>
      </c>
      <c r="DJ27" s="322"/>
    </row>
    <row r="28" spans="1:114" s="76" customFormat="1" ht="16.5" customHeight="1" thickBot="1">
      <c r="A28" s="144">
        <v>22</v>
      </c>
      <c r="B28" s="122">
        <f>'[1]октябрь 20'!K27</f>
        <v>250.04400000000001</v>
      </c>
      <c r="C28" s="123">
        <f t="shared" si="17"/>
        <v>1.1170974708451311</v>
      </c>
      <c r="D28" s="145">
        <f t="shared" si="18"/>
        <v>247.25076480000004</v>
      </c>
      <c r="E28" s="125">
        <f t="shared" si="19"/>
        <v>39.633891075170766</v>
      </c>
      <c r="F28" s="146">
        <f t="shared" si="0"/>
        <v>2.077912133792756</v>
      </c>
      <c r="G28" s="127">
        <v>11.59</v>
      </c>
      <c r="H28" s="126">
        <f t="shared" si="20"/>
        <v>1.5734327657786369</v>
      </c>
      <c r="I28" s="230">
        <f>'[1]июль 20'!AI27</f>
        <v>0</v>
      </c>
      <c r="J28" s="439">
        <f>'[1]октябрь 20'!AA27</f>
        <v>9.952</v>
      </c>
      <c r="K28" s="464">
        <f>'[1]сентябрь 20'!AM27</f>
        <v>0</v>
      </c>
      <c r="L28" s="441">
        <f>'[1]октябрь 20'!AE27</f>
        <v>60.027999999999999</v>
      </c>
      <c r="M28" s="468">
        <f t="shared" si="21"/>
        <v>0.50447936801411886</v>
      </c>
      <c r="N28" s="403">
        <f>'[1]октябрь 20'!W27</f>
        <v>0</v>
      </c>
      <c r="O28" s="403">
        <f>'[1]октябрь 20'!AU27</f>
        <v>4.202</v>
      </c>
      <c r="P28" s="401">
        <f t="shared" si="1"/>
        <v>154.125</v>
      </c>
      <c r="Q28" s="122">
        <f>'[1]октябрь 20'!S27</f>
        <v>154.125</v>
      </c>
      <c r="R28" s="123">
        <f t="shared" si="32"/>
        <v>3.11</v>
      </c>
      <c r="S28" s="501">
        <v>3.02</v>
      </c>
      <c r="T28" s="125">
        <f t="shared" si="2"/>
        <v>149.33171250000001</v>
      </c>
      <c r="U28" s="147">
        <f t="shared" si="3"/>
        <v>1.2549938020001683</v>
      </c>
      <c r="V28" s="130">
        <v>99.43</v>
      </c>
      <c r="W28" s="130">
        <v>99.43</v>
      </c>
      <c r="X28" s="129">
        <v>0.91</v>
      </c>
      <c r="Y28" s="150">
        <v>540</v>
      </c>
      <c r="Z28" s="150">
        <v>1172</v>
      </c>
      <c r="AA28" s="148" t="s">
        <v>256</v>
      </c>
      <c r="AB28" s="149">
        <v>75.95</v>
      </c>
      <c r="AC28" s="150">
        <v>100</v>
      </c>
      <c r="AD28" s="151">
        <v>5</v>
      </c>
      <c r="AE28" s="149">
        <v>7.4</v>
      </c>
      <c r="AF28" s="134">
        <f t="shared" si="4"/>
        <v>62.190100008404073</v>
      </c>
      <c r="AG28" s="152"/>
      <c r="AH28" s="129">
        <v>67.55</v>
      </c>
      <c r="AI28" s="134">
        <f t="shared" si="5"/>
        <v>567.69476426590472</v>
      </c>
      <c r="AJ28" s="153">
        <v>19.77</v>
      </c>
      <c r="AK28" s="154"/>
      <c r="AL28" s="155">
        <v>6.13</v>
      </c>
      <c r="AM28" s="478">
        <v>35.65</v>
      </c>
      <c r="AN28" s="126">
        <f t="shared" si="23"/>
        <v>0.2242138364779874</v>
      </c>
      <c r="AO28" s="157" t="s">
        <v>429</v>
      </c>
      <c r="AP28" s="156">
        <v>6.74</v>
      </c>
      <c r="AQ28" s="156">
        <v>8.48</v>
      </c>
      <c r="AR28" s="151"/>
      <c r="AS28" s="149">
        <v>6.92</v>
      </c>
      <c r="AT28" s="149">
        <v>159</v>
      </c>
      <c r="AU28" s="149">
        <v>1.77</v>
      </c>
      <c r="AV28" s="164"/>
      <c r="AW28" s="149"/>
      <c r="AX28" s="158">
        <f t="shared" si="6"/>
        <v>0</v>
      </c>
      <c r="AY28" s="125">
        <f t="shared" si="7"/>
        <v>118.99</v>
      </c>
      <c r="AZ28" s="125">
        <f t="shared" si="24"/>
        <v>115.11236916873222</v>
      </c>
      <c r="BA28" s="159">
        <f t="shared" si="8"/>
        <v>3.6210605633802815</v>
      </c>
      <c r="BB28" s="160">
        <f t="shared" si="9"/>
        <v>4.7595999999999998</v>
      </c>
      <c r="BC28" s="161">
        <f t="shared" si="10"/>
        <v>0.92221862219197603</v>
      </c>
      <c r="BD28" s="160">
        <f t="shared" si="25"/>
        <v>8.3806605633802818</v>
      </c>
      <c r="BE28" s="162">
        <v>0.88700000000000001</v>
      </c>
      <c r="BF28" s="25">
        <f t="shared" si="26"/>
        <v>2410.6400000000003</v>
      </c>
      <c r="BG28" s="25">
        <f t="shared" si="11"/>
        <v>125.80645161290323</v>
      </c>
      <c r="BH28" s="25">
        <f t="shared" si="27"/>
        <v>2767.7419354838712</v>
      </c>
      <c r="BI28" s="26">
        <f t="shared" si="12"/>
        <v>1</v>
      </c>
      <c r="BJ28" s="37">
        <f t="shared" si="28"/>
        <v>2767.7419354838712</v>
      </c>
      <c r="BK28" s="38">
        <v>190.01599999999999</v>
      </c>
      <c r="BL28" s="31"/>
      <c r="BM28" s="31"/>
      <c r="BN28" s="234">
        <v>50.042999999999999</v>
      </c>
      <c r="BO28" s="42"/>
      <c r="BP28" s="40"/>
      <c r="BQ28" s="411">
        <v>9.9849999999999994</v>
      </c>
      <c r="BR28" s="33">
        <v>1.47</v>
      </c>
      <c r="BS28" s="34"/>
      <c r="BT28" s="35"/>
      <c r="BU28" s="35"/>
      <c r="BV28" s="235"/>
      <c r="BW28" s="235"/>
      <c r="BX28" s="36"/>
      <c r="BY28" s="33">
        <v>38.54</v>
      </c>
      <c r="BZ28" s="34"/>
      <c r="CA28" s="35"/>
      <c r="CB28" s="405">
        <v>43.04</v>
      </c>
      <c r="CC28" s="404"/>
      <c r="CD28" s="235"/>
      <c r="CE28" s="36">
        <v>43.38</v>
      </c>
      <c r="CF28" s="30">
        <v>61.072000000000003</v>
      </c>
      <c r="CG28" s="30">
        <v>93.052999999999997</v>
      </c>
      <c r="CH28" s="31"/>
      <c r="CI28" s="32"/>
      <c r="CJ28" s="33">
        <v>3.11</v>
      </c>
      <c r="CK28" s="33">
        <v>3.11</v>
      </c>
      <c r="CL28" s="35"/>
      <c r="CM28" s="36"/>
      <c r="CN28" s="286"/>
      <c r="CO28" s="249">
        <f t="shared" si="30"/>
        <v>187.22276479999999</v>
      </c>
      <c r="CP28" s="12">
        <f t="shared" si="30"/>
        <v>0</v>
      </c>
      <c r="CQ28" s="12">
        <f t="shared" si="30"/>
        <v>0</v>
      </c>
      <c r="CR28" s="12">
        <f t="shared" si="30"/>
        <v>50.042999999999999</v>
      </c>
      <c r="CS28" s="11">
        <f t="shared" si="30"/>
        <v>0</v>
      </c>
      <c r="CT28" s="11">
        <f t="shared" si="30"/>
        <v>0</v>
      </c>
      <c r="CU28" s="272">
        <f t="shared" si="30"/>
        <v>9.9849999999999994</v>
      </c>
      <c r="CV28" s="249">
        <f t="shared" si="31"/>
        <v>59.172660800000003</v>
      </c>
      <c r="CW28" s="12">
        <f t="shared" si="31"/>
        <v>90.159051699999992</v>
      </c>
      <c r="CX28" s="249">
        <f t="shared" si="31"/>
        <v>0</v>
      </c>
      <c r="CY28" s="272">
        <f t="shared" si="31"/>
        <v>0</v>
      </c>
      <c r="CZ28" s="13"/>
      <c r="DA28" s="240">
        <f>(D28+'[2]октябрь 20 '!D28)/(AY28+'[2]октябрь 20 '!BA28)</f>
        <v>2.0160888327555213</v>
      </c>
      <c r="DB28" s="241">
        <f>(T28+'[2]октябрь 20 '!T28)/(AY28+'[2]октябрь 20 '!BA28)</f>
        <v>1.2094503980763207</v>
      </c>
      <c r="DD28" s="292">
        <f t="shared" si="15"/>
        <v>9.952</v>
      </c>
      <c r="DE28" s="305">
        <v>0.36</v>
      </c>
      <c r="DF28" s="291">
        <v>18.940000000000001</v>
      </c>
      <c r="DG28" s="145">
        <f t="shared" si="16"/>
        <v>9.9161728</v>
      </c>
      <c r="DH28" s="293">
        <f t="shared" si="29"/>
        <v>2.4728415119420672</v>
      </c>
      <c r="DJ28" s="322"/>
    </row>
    <row r="29" spans="1:114" s="76" customFormat="1" ht="16.5" customHeight="1" thickBot="1">
      <c r="A29" s="144">
        <v>23</v>
      </c>
      <c r="B29" s="122">
        <f>'[1]октябрь 20'!K28</f>
        <v>275.03800000000001</v>
      </c>
      <c r="C29" s="123">
        <f t="shared" si="17"/>
        <v>1.2152793432180282</v>
      </c>
      <c r="D29" s="145">
        <f t="shared" si="18"/>
        <v>271.69551999999999</v>
      </c>
      <c r="E29" s="125">
        <f t="shared" si="19"/>
        <v>39.46068935928853</v>
      </c>
      <c r="F29" s="146">
        <f t="shared" si="0"/>
        <v>2.1903863269912929</v>
      </c>
      <c r="G29" s="127">
        <v>9.75</v>
      </c>
      <c r="H29" s="126">
        <f t="shared" si="20"/>
        <v>1.6572276684940341</v>
      </c>
      <c r="I29" s="230">
        <f>'[1]июль 20'!AI28</f>
        <v>0</v>
      </c>
      <c r="J29" s="439">
        <f>'[1]октябрь 20'!AA28</f>
        <v>10.836</v>
      </c>
      <c r="K29" s="464">
        <f>'[1]сентябрь 20'!AM28</f>
        <v>0</v>
      </c>
      <c r="L29" s="441">
        <f>'[1]октябрь 20'!AE28</f>
        <v>66.132999999999996</v>
      </c>
      <c r="M29" s="469">
        <f t="shared" si="21"/>
        <v>0.53315865849725885</v>
      </c>
      <c r="N29" s="403">
        <f>'[1]октябрь 20'!W28</f>
        <v>0</v>
      </c>
      <c r="O29" s="403">
        <f>'[1]октябрь 20'!AU28</f>
        <v>5.3369999999999997</v>
      </c>
      <c r="P29" s="401">
        <f t="shared" si="1"/>
        <v>168.786</v>
      </c>
      <c r="Q29" s="122">
        <f>'[1]октябрь 20'!S28</f>
        <v>168.786</v>
      </c>
      <c r="R29" s="123">
        <f t="shared" si="32"/>
        <v>3.1599999999999997</v>
      </c>
      <c r="S29" s="501">
        <v>0.35</v>
      </c>
      <c r="T29" s="125">
        <f t="shared" si="2"/>
        <v>163.4523624</v>
      </c>
      <c r="U29" s="147">
        <f t="shared" si="3"/>
        <v>1.3177391357626569</v>
      </c>
      <c r="V29" s="130">
        <v>124.04</v>
      </c>
      <c r="W29" s="130">
        <v>102.6</v>
      </c>
      <c r="X29" s="129">
        <v>0.78</v>
      </c>
      <c r="Y29" s="150">
        <v>573</v>
      </c>
      <c r="Z29" s="150">
        <v>1176</v>
      </c>
      <c r="AA29" s="148" t="s">
        <v>431</v>
      </c>
      <c r="AB29" s="149">
        <v>75.989999999999995</v>
      </c>
      <c r="AC29" s="150">
        <v>110</v>
      </c>
      <c r="AD29" s="151">
        <v>5</v>
      </c>
      <c r="AE29" s="149">
        <v>4.25</v>
      </c>
      <c r="AF29" s="134">
        <f t="shared" si="4"/>
        <v>34.263140922283128</v>
      </c>
      <c r="AG29" s="152"/>
      <c r="AH29" s="129">
        <v>77.349999999999994</v>
      </c>
      <c r="AI29" s="134">
        <f t="shared" si="5"/>
        <v>623.58916478555295</v>
      </c>
      <c r="AJ29" s="136">
        <v>20.71</v>
      </c>
      <c r="AK29" s="154"/>
      <c r="AL29" s="155">
        <v>7.42</v>
      </c>
      <c r="AM29" s="478">
        <v>35.61</v>
      </c>
      <c r="AN29" s="126">
        <f t="shared" si="23"/>
        <v>0.21529625151148729</v>
      </c>
      <c r="AO29" s="157" t="s">
        <v>432</v>
      </c>
      <c r="AP29" s="156">
        <v>6.72</v>
      </c>
      <c r="AQ29" s="156">
        <v>8.9499999999999993</v>
      </c>
      <c r="AR29" s="149"/>
      <c r="AS29" s="149">
        <v>8.23</v>
      </c>
      <c r="AT29" s="149">
        <v>165.4</v>
      </c>
      <c r="AU29" s="149">
        <v>1.67</v>
      </c>
      <c r="AV29" s="164"/>
      <c r="AW29" s="149"/>
      <c r="AX29" s="158">
        <f t="shared" si="6"/>
        <v>0</v>
      </c>
      <c r="AY29" s="125">
        <f t="shared" si="7"/>
        <v>124.04000000000002</v>
      </c>
      <c r="AZ29" s="125">
        <f t="shared" si="24"/>
        <v>126.05819313895918</v>
      </c>
      <c r="BA29" s="159">
        <f t="shared" si="8"/>
        <v>4.93133485915493</v>
      </c>
      <c r="BB29" s="160">
        <f t="shared" si="9"/>
        <v>4.9616000000000007</v>
      </c>
      <c r="BC29" s="161">
        <f t="shared" si="10"/>
        <v>0.87916634927979165</v>
      </c>
      <c r="BD29" s="160">
        <f t="shared" si="25"/>
        <v>9.8929348591549306</v>
      </c>
      <c r="BE29" s="162">
        <v>0.88700000000000001</v>
      </c>
      <c r="BF29" s="25">
        <f t="shared" si="26"/>
        <v>2534.6800000000003</v>
      </c>
      <c r="BG29" s="25">
        <f t="shared" si="11"/>
        <v>125.80645161290323</v>
      </c>
      <c r="BH29" s="25">
        <f t="shared" si="27"/>
        <v>2893.5483870967746</v>
      </c>
      <c r="BI29" s="26">
        <f t="shared" si="12"/>
        <v>1</v>
      </c>
      <c r="BJ29" s="37">
        <f t="shared" si="28"/>
        <v>2893.5483870967746</v>
      </c>
      <c r="BK29" s="328">
        <v>208.905</v>
      </c>
      <c r="BL29" s="31"/>
      <c r="BM29" s="31"/>
      <c r="BN29" s="31">
        <v>55.125999999999998</v>
      </c>
      <c r="BO29" s="40"/>
      <c r="BP29" s="40"/>
      <c r="BQ29" s="32">
        <v>11.007</v>
      </c>
      <c r="BR29" s="33">
        <v>1.6</v>
      </c>
      <c r="BS29" s="34"/>
      <c r="BT29" s="35"/>
      <c r="BU29" s="35"/>
      <c r="BV29" s="235"/>
      <c r="BW29" s="235"/>
      <c r="BX29" s="36"/>
      <c r="BY29" s="33">
        <v>38.229999999999997</v>
      </c>
      <c r="BZ29" s="34"/>
      <c r="CA29" s="35"/>
      <c r="CB29" s="35">
        <v>43.3</v>
      </c>
      <c r="CC29" s="235"/>
      <c r="CD29" s="235"/>
      <c r="CE29" s="36">
        <v>43.59</v>
      </c>
      <c r="CF29" s="30">
        <v>67.090999999999994</v>
      </c>
      <c r="CG29" s="30">
        <v>101.69499999999999</v>
      </c>
      <c r="CH29" s="31"/>
      <c r="CI29" s="32"/>
      <c r="CJ29" s="33">
        <v>3.16</v>
      </c>
      <c r="CK29" s="33">
        <v>3.16</v>
      </c>
      <c r="CL29" s="35"/>
      <c r="CM29" s="36"/>
      <c r="CN29" s="286"/>
      <c r="CO29" s="249">
        <f t="shared" si="30"/>
        <v>205.56252000000003</v>
      </c>
      <c r="CP29" s="12">
        <f t="shared" si="30"/>
        <v>0</v>
      </c>
      <c r="CQ29" s="12">
        <f t="shared" si="30"/>
        <v>0</v>
      </c>
      <c r="CR29" s="12">
        <f t="shared" si="30"/>
        <v>55.125999999999998</v>
      </c>
      <c r="CS29" s="11">
        <f t="shared" si="30"/>
        <v>0</v>
      </c>
      <c r="CT29" s="11">
        <f t="shared" si="30"/>
        <v>0</v>
      </c>
      <c r="CU29" s="272">
        <f t="shared" si="30"/>
        <v>11.007</v>
      </c>
      <c r="CV29" s="249">
        <f t="shared" si="31"/>
        <v>64.970924400000001</v>
      </c>
      <c r="CW29" s="12">
        <f t="shared" si="31"/>
        <v>98.481437999999997</v>
      </c>
      <c r="CX29" s="249">
        <f t="shared" si="31"/>
        <v>0</v>
      </c>
      <c r="CY29" s="272">
        <f t="shared" si="31"/>
        <v>0</v>
      </c>
      <c r="CZ29" s="13"/>
      <c r="DA29" s="240">
        <f>(D29+'[2]октябрь 20 '!D29)/(AY29+'[2]октябрь 20 '!BA29)</f>
        <v>2.1319515139477399</v>
      </c>
      <c r="DB29" s="241">
        <f>(T29+'[2]октябрь 20 '!T29)/(AY29+'[2]октябрь 20 '!BA29)</f>
        <v>1.2751930018538136</v>
      </c>
      <c r="DD29" s="292">
        <f t="shared" si="15"/>
        <v>10.836</v>
      </c>
      <c r="DE29" s="291">
        <v>0.52</v>
      </c>
      <c r="DF29" s="291">
        <v>20.36</v>
      </c>
      <c r="DG29" s="145">
        <f t="shared" si="16"/>
        <v>10.779652800000001</v>
      </c>
      <c r="DH29" s="293">
        <f t="shared" si="29"/>
        <v>2.8881922754046592</v>
      </c>
      <c r="DJ29" s="322"/>
    </row>
    <row r="30" spans="1:114" s="76" customFormat="1" ht="16.5" customHeight="1" thickBot="1">
      <c r="A30" s="144">
        <v>24</v>
      </c>
      <c r="B30" s="122">
        <f>'[1]октябрь 20'!K29</f>
        <v>272.67500000000001</v>
      </c>
      <c r="C30" s="123">
        <f t="shared" si="17"/>
        <v>2.7245029063903914</v>
      </c>
      <c r="D30" s="145">
        <f t="shared" si="18"/>
        <v>265.24596170000001</v>
      </c>
      <c r="E30" s="125">
        <f t="shared" si="19"/>
        <v>39.442133418905293</v>
      </c>
      <c r="F30" s="146">
        <f t="shared" si="0"/>
        <v>2.4119847385650637</v>
      </c>
      <c r="G30" s="127">
        <v>12.45</v>
      </c>
      <c r="H30" s="126">
        <f t="shared" si="20"/>
        <v>1.8142035255069568</v>
      </c>
      <c r="I30" s="230">
        <f>'[1]июль 20'!AI29</f>
        <v>0</v>
      </c>
      <c r="J30" s="439">
        <f>'[1]октябрь 20'!AA29</f>
        <v>10.855</v>
      </c>
      <c r="K30" s="464">
        <f>'[1]сентябрь 20'!AM29</f>
        <v>0</v>
      </c>
      <c r="L30" s="441">
        <f>'[1]октябрь 20'!AE29</f>
        <v>65.738</v>
      </c>
      <c r="M30" s="468">
        <f t="shared" si="21"/>
        <v>0.59778121305810683</v>
      </c>
      <c r="N30" s="403">
        <f>'[1]октябрь 20'!W29</f>
        <v>0</v>
      </c>
      <c r="O30" s="403">
        <f>'[1]октябрь 20'!AU29</f>
        <v>5.0049999999999999</v>
      </c>
      <c r="P30" s="401">
        <f t="shared" si="1"/>
        <v>168.334</v>
      </c>
      <c r="Q30" s="122">
        <f>'[1]октябрь 20'!S29</f>
        <v>168.334</v>
      </c>
      <c r="R30" s="123">
        <f t="shared" si="32"/>
        <v>3.12</v>
      </c>
      <c r="S30" s="501">
        <v>10.29</v>
      </c>
      <c r="T30" s="125">
        <f t="shared" si="2"/>
        <v>163.08197920000001</v>
      </c>
      <c r="U30" s="147">
        <f t="shared" si="3"/>
        <v>1.4829678930617445</v>
      </c>
      <c r="V30" s="169">
        <v>109.97</v>
      </c>
      <c r="W30" s="169">
        <v>66.260000000000005</v>
      </c>
      <c r="X30" s="170">
        <v>0.66</v>
      </c>
      <c r="Y30" s="166">
        <v>549</v>
      </c>
      <c r="Z30" s="166">
        <v>1172</v>
      </c>
      <c r="AA30" s="148" t="s">
        <v>433</v>
      </c>
      <c r="AB30" s="164">
        <v>75.900000000000006</v>
      </c>
      <c r="AC30" s="166">
        <v>109</v>
      </c>
      <c r="AD30" s="171">
        <v>5</v>
      </c>
      <c r="AE30" s="164"/>
      <c r="AF30" s="172">
        <f t="shared" si="4"/>
        <v>0</v>
      </c>
      <c r="AG30" s="173"/>
      <c r="AH30" s="170">
        <v>73</v>
      </c>
      <c r="AI30" s="134">
        <f t="shared" si="5"/>
        <v>663.81740474674916</v>
      </c>
      <c r="AJ30" s="174">
        <v>15.05</v>
      </c>
      <c r="AK30" s="175"/>
      <c r="AL30" s="176">
        <v>7.9</v>
      </c>
      <c r="AM30" s="478">
        <v>37.619999999999997</v>
      </c>
      <c r="AN30" s="126">
        <f t="shared" si="23"/>
        <v>0.24516129032258063</v>
      </c>
      <c r="AO30" s="178" t="s">
        <v>353</v>
      </c>
      <c r="AP30" s="177">
        <v>6.55</v>
      </c>
      <c r="AQ30" s="177">
        <v>8.6300000000000008</v>
      </c>
      <c r="AR30" s="171"/>
      <c r="AS30" s="164">
        <v>9.24</v>
      </c>
      <c r="AT30" s="149">
        <v>153.44999999999999</v>
      </c>
      <c r="AU30" s="164">
        <v>2.04</v>
      </c>
      <c r="AV30" s="164"/>
      <c r="AW30" s="164"/>
      <c r="AX30" s="179">
        <f t="shared" si="6"/>
        <v>0</v>
      </c>
      <c r="AY30" s="125">
        <f t="shared" si="7"/>
        <v>109.96999999999998</v>
      </c>
      <c r="AZ30" s="125">
        <f t="shared" si="24"/>
        <v>121.74605473388925</v>
      </c>
      <c r="BA30" s="159">
        <f t="shared" si="8"/>
        <v>5.2251549295774646</v>
      </c>
      <c r="BB30" s="159">
        <f t="shared" si="9"/>
        <v>4.3987999999999996</v>
      </c>
      <c r="BC30" s="180">
        <f t="shared" si="10"/>
        <v>0.79782349660856888</v>
      </c>
      <c r="BD30" s="159">
        <f t="shared" si="25"/>
        <v>9.6239549295774651</v>
      </c>
      <c r="BE30" s="167">
        <v>0.88300000000000001</v>
      </c>
      <c r="BF30" s="25">
        <f t="shared" si="26"/>
        <v>2644.65</v>
      </c>
      <c r="BG30" s="25">
        <f t="shared" si="11"/>
        <v>125.80645161290323</v>
      </c>
      <c r="BH30" s="25">
        <f t="shared" si="27"/>
        <v>3019.354838709678</v>
      </c>
      <c r="BI30" s="26">
        <f t="shared" si="12"/>
        <v>1</v>
      </c>
      <c r="BJ30" s="37">
        <f t="shared" si="28"/>
        <v>3019.354838709678</v>
      </c>
      <c r="BK30" s="38">
        <v>206.93700000000001</v>
      </c>
      <c r="BL30" s="31"/>
      <c r="BM30" s="31"/>
      <c r="BN30" s="31">
        <v>54.895000000000003</v>
      </c>
      <c r="BO30" s="40"/>
      <c r="BP30" s="40"/>
      <c r="BQ30" s="44">
        <v>10.843</v>
      </c>
      <c r="BR30" s="45">
        <v>3.59</v>
      </c>
      <c r="BS30" s="46"/>
      <c r="BT30" s="47"/>
      <c r="BU30" s="47"/>
      <c r="BV30" s="283"/>
      <c r="BW30" s="283"/>
      <c r="BX30" s="48"/>
      <c r="BY30" s="45">
        <v>38.11</v>
      </c>
      <c r="BZ30" s="46"/>
      <c r="CA30" s="47"/>
      <c r="CB30" s="47">
        <v>43.53</v>
      </c>
      <c r="CC30" s="283"/>
      <c r="CD30" s="283"/>
      <c r="CE30" s="48">
        <v>44.17</v>
      </c>
      <c r="CF30" s="49">
        <v>114.746</v>
      </c>
      <c r="CG30" s="49">
        <v>53.588000000000001</v>
      </c>
      <c r="CH30" s="43"/>
      <c r="CI30" s="32"/>
      <c r="CJ30" s="33">
        <v>3.12</v>
      </c>
      <c r="CK30" s="33">
        <v>3.12</v>
      </c>
      <c r="CL30" s="35"/>
      <c r="CM30" s="36"/>
      <c r="CN30" s="286"/>
      <c r="CO30" s="249">
        <f t="shared" si="30"/>
        <v>199.50796170000001</v>
      </c>
      <c r="CP30" s="12">
        <f t="shared" si="30"/>
        <v>0</v>
      </c>
      <c r="CQ30" s="12">
        <f t="shared" si="30"/>
        <v>0</v>
      </c>
      <c r="CR30" s="12">
        <f t="shared" si="30"/>
        <v>54.895000000000003</v>
      </c>
      <c r="CS30" s="11">
        <f t="shared" si="30"/>
        <v>0</v>
      </c>
      <c r="CT30" s="11">
        <f t="shared" si="30"/>
        <v>0</v>
      </c>
      <c r="CU30" s="272">
        <f t="shared" si="30"/>
        <v>10.843</v>
      </c>
      <c r="CV30" s="249">
        <f t="shared" si="31"/>
        <v>111.1659248</v>
      </c>
      <c r="CW30" s="11">
        <f t="shared" si="31"/>
        <v>51.9160544</v>
      </c>
      <c r="CX30" s="252">
        <f t="shared" si="31"/>
        <v>0</v>
      </c>
      <c r="CY30" s="272">
        <f t="shared" si="31"/>
        <v>0</v>
      </c>
      <c r="CZ30" s="13"/>
      <c r="DA30" s="240">
        <f>(D30+'[2]октябрь 20 '!D30)/(AY30+'[2]октябрь 20 '!BA30)</f>
        <v>2.2117855236518515</v>
      </c>
      <c r="DB30" s="241">
        <f>(T30+'[2]октябрь 20 '!T30)/(AY30+'[2]октябрь 20 '!BA30)</f>
        <v>1.3480461856171395</v>
      </c>
      <c r="DD30" s="292">
        <f t="shared" si="15"/>
        <v>10.855</v>
      </c>
      <c r="DE30" s="291">
        <v>0.64</v>
      </c>
      <c r="DF30" s="291">
        <v>9.9499999999999993</v>
      </c>
      <c r="DG30" s="145">
        <f t="shared" si="16"/>
        <v>10.785528000000001</v>
      </c>
      <c r="DH30" s="293">
        <f t="shared" si="29"/>
        <v>1.4139130909090909</v>
      </c>
      <c r="DJ30" s="322"/>
    </row>
    <row r="31" spans="1:114" s="76" customFormat="1" ht="16.5" customHeight="1" thickBot="1">
      <c r="A31" s="144">
        <v>25</v>
      </c>
      <c r="B31" s="122">
        <f>'[1]октябрь 20'!K30</f>
        <v>240.21700000000001</v>
      </c>
      <c r="C31" s="123">
        <f t="shared" si="17"/>
        <v>2.2323815550106776</v>
      </c>
      <c r="D31" s="145">
        <f t="shared" si="18"/>
        <v>234.85444000000001</v>
      </c>
      <c r="E31" s="125">
        <f t="shared" si="19"/>
        <v>39.255431214277081</v>
      </c>
      <c r="F31" s="146">
        <f t="shared" si="0"/>
        <v>2.0818583458913218</v>
      </c>
      <c r="G31" s="127">
        <v>8.8699999999999992</v>
      </c>
      <c r="H31" s="126">
        <f t="shared" si="20"/>
        <v>1.5693417250243773</v>
      </c>
      <c r="I31" s="230">
        <f>'[1]июль 20'!AI30</f>
        <v>0</v>
      </c>
      <c r="J31" s="439">
        <f>'[1]октябрь 20'!AA30</f>
        <v>9.8070000000000004</v>
      </c>
      <c r="K31" s="464">
        <f>'[1]сентябрь 20'!AM30</f>
        <v>0</v>
      </c>
      <c r="L31" s="441">
        <f>'[1]октябрь 20'!AE30</f>
        <v>57.817</v>
      </c>
      <c r="M31" s="469">
        <f t="shared" si="21"/>
        <v>0.51251662086694438</v>
      </c>
      <c r="N31" s="403">
        <f>'[1]октябрь 20'!W30</f>
        <v>0</v>
      </c>
      <c r="O31" s="403">
        <f>'[1]октябрь 20'!AU30</f>
        <v>3.9609999999999999</v>
      </c>
      <c r="P31" s="401">
        <f t="shared" si="1"/>
        <v>152.55799999999999</v>
      </c>
      <c r="Q31" s="122">
        <f>'[1]октябрь 20'!S30</f>
        <v>152.55799999999999</v>
      </c>
      <c r="R31" s="123">
        <f>IF(Q31=0,0,(CI31*CM31+CG31*CK31+CH31*CL31+CF31*CJ31)/Q31)</f>
        <v>2.62</v>
      </c>
      <c r="S31" s="501"/>
      <c r="T31" s="125">
        <f t="shared" si="2"/>
        <v>148.56098040000001</v>
      </c>
      <c r="U31" s="147">
        <f t="shared" si="3"/>
        <v>1.3169132204591791</v>
      </c>
      <c r="V31" s="130">
        <v>112.81</v>
      </c>
      <c r="W31" s="130">
        <v>112.81</v>
      </c>
      <c r="X31" s="129">
        <v>0.34</v>
      </c>
      <c r="Y31" s="150">
        <v>574</v>
      </c>
      <c r="Z31" s="150">
        <v>1174</v>
      </c>
      <c r="AA31" s="148" t="s">
        <v>434</v>
      </c>
      <c r="AB31" s="149">
        <v>76.239999999999995</v>
      </c>
      <c r="AC31" s="150">
        <v>97</v>
      </c>
      <c r="AD31" s="151">
        <v>5</v>
      </c>
      <c r="AE31" s="149"/>
      <c r="AF31" s="134">
        <f t="shared" si="4"/>
        <v>0</v>
      </c>
      <c r="AG31" s="152"/>
      <c r="AH31" s="129">
        <v>75.7</v>
      </c>
      <c r="AI31" s="134">
        <f t="shared" si="5"/>
        <v>671.03980143604292</v>
      </c>
      <c r="AJ31" s="136">
        <v>17.53</v>
      </c>
      <c r="AK31" s="154"/>
      <c r="AL31" s="155">
        <v>7.2</v>
      </c>
      <c r="AM31" s="478">
        <v>28.92</v>
      </c>
      <c r="AN31" s="126">
        <f t="shared" si="23"/>
        <v>0.19680163320857438</v>
      </c>
      <c r="AO31" s="157" t="s">
        <v>435</v>
      </c>
      <c r="AP31" s="156">
        <v>6.29</v>
      </c>
      <c r="AQ31" s="156">
        <v>8.52</v>
      </c>
      <c r="AR31" s="151"/>
      <c r="AS31" s="149">
        <v>9.93</v>
      </c>
      <c r="AT31" s="149">
        <v>146.94999999999999</v>
      </c>
      <c r="AU31" s="149">
        <v>1.98</v>
      </c>
      <c r="AV31" s="164"/>
      <c r="AW31" s="149"/>
      <c r="AX31" s="158">
        <f t="shared" si="6"/>
        <v>0</v>
      </c>
      <c r="AY31" s="125">
        <f t="shared" si="7"/>
        <v>112.81</v>
      </c>
      <c r="AZ31" s="125">
        <f t="shared" si="24"/>
        <v>107.12559769765929</v>
      </c>
      <c r="BA31" s="159">
        <f t="shared" si="8"/>
        <v>5.8230359154929578</v>
      </c>
      <c r="BB31" s="160">
        <f t="shared" si="9"/>
        <v>4.5124000000000004</v>
      </c>
      <c r="BC31" s="161">
        <f t="shared" si="10"/>
        <v>0.93289326864486188</v>
      </c>
      <c r="BD31" s="160">
        <f t="shared" si="25"/>
        <v>10.335435915492958</v>
      </c>
      <c r="BE31" s="162">
        <v>0.88500000000000001</v>
      </c>
      <c r="BF31" s="25">
        <f t="shared" si="26"/>
        <v>2757.46</v>
      </c>
      <c r="BG31" s="25">
        <f t="shared" si="11"/>
        <v>125.80645161290323</v>
      </c>
      <c r="BH31" s="25">
        <f t="shared" si="27"/>
        <v>3145.1612903225814</v>
      </c>
      <c r="BI31" s="26">
        <f t="shared" si="12"/>
        <v>1</v>
      </c>
      <c r="BJ31" s="37">
        <f t="shared" si="28"/>
        <v>3145.1612903225814</v>
      </c>
      <c r="BK31" s="38">
        <v>182.4</v>
      </c>
      <c r="BL31" s="31"/>
      <c r="BM31" s="31"/>
      <c r="BN31" s="31">
        <v>48.002000000000002</v>
      </c>
      <c r="BO31" s="40"/>
      <c r="BP31" s="40"/>
      <c r="BQ31" s="32">
        <v>9.8149999999999995</v>
      </c>
      <c r="BR31" s="33">
        <v>2.94</v>
      </c>
      <c r="BS31" s="34"/>
      <c r="BT31" s="35"/>
      <c r="BU31" s="35"/>
      <c r="BV31" s="235"/>
      <c r="BW31" s="235"/>
      <c r="BX31" s="36"/>
      <c r="BY31" s="33">
        <v>37.909999999999997</v>
      </c>
      <c r="BZ31" s="34"/>
      <c r="CA31" s="35"/>
      <c r="CB31" s="35">
        <v>43.41</v>
      </c>
      <c r="CC31" s="235"/>
      <c r="CD31" s="235"/>
      <c r="CE31" s="36">
        <v>43.94</v>
      </c>
      <c r="CF31" s="30">
        <v>76.558999999999997</v>
      </c>
      <c r="CG31" s="30"/>
      <c r="CH31" s="31">
        <v>75.998999999999995</v>
      </c>
      <c r="CI31" s="32"/>
      <c r="CJ31" s="33">
        <v>2.62</v>
      </c>
      <c r="CK31" s="33"/>
      <c r="CL31" s="35">
        <v>2.62</v>
      </c>
      <c r="CM31" s="36"/>
      <c r="CN31" s="286"/>
      <c r="CO31" s="249">
        <f t="shared" si="30"/>
        <v>177.03744</v>
      </c>
      <c r="CP31" s="12">
        <f t="shared" si="30"/>
        <v>0</v>
      </c>
      <c r="CQ31" s="12">
        <f t="shared" si="30"/>
        <v>0</v>
      </c>
      <c r="CR31" s="12">
        <f t="shared" si="30"/>
        <v>48.002000000000002</v>
      </c>
      <c r="CS31" s="11">
        <f t="shared" si="30"/>
        <v>0</v>
      </c>
      <c r="CT31" s="11">
        <f t="shared" si="30"/>
        <v>0</v>
      </c>
      <c r="CU31" s="272">
        <f t="shared" si="30"/>
        <v>9.8149999999999995</v>
      </c>
      <c r="CV31" s="249">
        <f t="shared" si="31"/>
        <v>74.553154199999994</v>
      </c>
      <c r="CW31" s="12">
        <f t="shared" si="31"/>
        <v>0</v>
      </c>
      <c r="CX31" s="249">
        <f t="shared" si="31"/>
        <v>74.007826199999997</v>
      </c>
      <c r="CY31" s="272">
        <f t="shared" si="31"/>
        <v>0</v>
      </c>
      <c r="CZ31" s="13"/>
      <c r="DA31" s="240">
        <f>(D31+'[2]октябрь 20 '!D31)/(AY31+'[2]октябрь 20 '!BA31)</f>
        <v>2.1758886666676589</v>
      </c>
      <c r="DB31" s="241">
        <f>(T31+'[2]октябрь 20 '!T31)/(AY31+'[2]октябрь 20 '!BA31)</f>
        <v>1.334064531338601</v>
      </c>
      <c r="DD31" s="292">
        <f t="shared" si="15"/>
        <v>9.8070000000000004</v>
      </c>
      <c r="DE31" s="291">
        <v>0.71</v>
      </c>
      <c r="DF31" s="291">
        <v>12.2</v>
      </c>
      <c r="DG31" s="145">
        <f t="shared" si="16"/>
        <v>9.737370300000002</v>
      </c>
      <c r="DH31" s="293">
        <f t="shared" si="29"/>
        <v>1.5581835999475344</v>
      </c>
      <c r="DJ31" s="322"/>
    </row>
    <row r="32" spans="1:114" s="76" customFormat="1" ht="16.5" customHeight="1" thickBot="1">
      <c r="A32" s="144">
        <v>26</v>
      </c>
      <c r="B32" s="122">
        <f>'[1]октябрь 20'!K31</f>
        <v>67.507999999999996</v>
      </c>
      <c r="C32" s="123">
        <f t="shared" si="17"/>
        <v>1.6071606328138888</v>
      </c>
      <c r="D32" s="145">
        <f t="shared" si="18"/>
        <v>66.423037999999991</v>
      </c>
      <c r="E32" s="125">
        <f t="shared" si="19"/>
        <v>39.800346033062745</v>
      </c>
      <c r="F32" s="146">
        <f t="shared" si="0"/>
        <v>2.9031048076923072</v>
      </c>
      <c r="G32" s="127">
        <v>4.18</v>
      </c>
      <c r="H32" s="126">
        <f t="shared" si="20"/>
        <v>2.1999579545454546</v>
      </c>
      <c r="I32" s="230">
        <f>'[1]июль 20'!AI31</f>
        <v>0</v>
      </c>
      <c r="J32" s="439">
        <f>'[1]октябрь 20'!AA31</f>
        <v>2.6110000000000002</v>
      </c>
      <c r="K32" s="464">
        <f>'[1]сентябрь 20'!AM31</f>
        <v>0</v>
      </c>
      <c r="L32" s="441">
        <f>'[1]октябрь 20'!AE31</f>
        <v>16.088000000000001</v>
      </c>
      <c r="M32" s="468">
        <f t="shared" si="21"/>
        <v>0.7031468531468531</v>
      </c>
      <c r="N32" s="403">
        <f>'[1]октябрь 20'!W31</f>
        <v>0</v>
      </c>
      <c r="O32" s="403">
        <f>'[1]октябрь 20'!AU31</f>
        <v>1.093</v>
      </c>
      <c r="P32" s="401">
        <f t="shared" si="1"/>
        <v>45.698999999999998</v>
      </c>
      <c r="Q32" s="122">
        <f>'[1]октябрь 20'!S31</f>
        <v>45.698999999999998</v>
      </c>
      <c r="R32" s="123">
        <f t="shared" ref="R32:R37" si="33">IF(Q32=0,0,(CI32*CM32+CG32*CK32+CH32*CL32+CF32*CJ32)/Q32)</f>
        <v>2.73</v>
      </c>
      <c r="S32" s="501">
        <v>15.16</v>
      </c>
      <c r="T32" s="125">
        <f t="shared" si="2"/>
        <v>44.451417299999996</v>
      </c>
      <c r="U32" s="147">
        <f t="shared" si="3"/>
        <v>1.9428067001748248</v>
      </c>
      <c r="V32" s="130">
        <v>20.76</v>
      </c>
      <c r="W32" s="130">
        <v>22.88</v>
      </c>
      <c r="X32" s="129">
        <v>0.31</v>
      </c>
      <c r="Y32" s="150">
        <v>598</v>
      </c>
      <c r="Z32" s="150">
        <v>1067</v>
      </c>
      <c r="AA32" s="148" t="s">
        <v>436</v>
      </c>
      <c r="AB32" s="149">
        <v>75.58</v>
      </c>
      <c r="AC32" s="150">
        <v>28</v>
      </c>
      <c r="AD32" s="151">
        <v>2</v>
      </c>
      <c r="AE32" s="149"/>
      <c r="AF32" s="134">
        <f t="shared" si="4"/>
        <v>0</v>
      </c>
      <c r="AG32" s="152"/>
      <c r="AH32" s="129">
        <v>25.9</v>
      </c>
      <c r="AI32" s="134">
        <f t="shared" si="5"/>
        <v>1131.9930069930069</v>
      </c>
      <c r="AJ32" s="153">
        <v>5.95</v>
      </c>
      <c r="AK32" s="154"/>
      <c r="AL32" s="155">
        <v>1.92</v>
      </c>
      <c r="AM32" s="478">
        <v>18.559999999999999</v>
      </c>
      <c r="AN32" s="126">
        <f t="shared" si="23"/>
        <v>0.4372202591283863</v>
      </c>
      <c r="AO32" s="157" t="s">
        <v>332</v>
      </c>
      <c r="AP32" s="156">
        <v>6.06</v>
      </c>
      <c r="AQ32" s="156">
        <v>8.41</v>
      </c>
      <c r="AR32" s="151"/>
      <c r="AS32" s="149">
        <v>13.92</v>
      </c>
      <c r="AT32" s="149">
        <v>42.45</v>
      </c>
      <c r="AU32" s="149">
        <v>0.91</v>
      </c>
      <c r="AV32" s="149"/>
      <c r="AW32" s="149"/>
      <c r="AX32" s="158">
        <f t="shared" si="6"/>
        <v>0</v>
      </c>
      <c r="AY32" s="125">
        <f t="shared" si="7"/>
        <v>22.880000000000003</v>
      </c>
      <c r="AZ32" s="125">
        <f t="shared" si="24"/>
        <v>31.24627147102979</v>
      </c>
      <c r="BA32" s="159">
        <f t="shared" si="8"/>
        <v>2.792822535211267</v>
      </c>
      <c r="BB32" s="160">
        <f t="shared" si="9"/>
        <v>0.91520000000000012</v>
      </c>
      <c r="BC32" s="161">
        <f t="shared" si="10"/>
        <v>0.65411984422949621</v>
      </c>
      <c r="BD32" s="160">
        <f t="shared" si="25"/>
        <v>3.708022535211267</v>
      </c>
      <c r="BE32" s="162">
        <v>0.88200000000000001</v>
      </c>
      <c r="BF32" s="25">
        <f t="shared" si="26"/>
        <v>2780.34</v>
      </c>
      <c r="BG32" s="25">
        <f t="shared" si="11"/>
        <v>125.80645161290323</v>
      </c>
      <c r="BH32" s="25">
        <f t="shared" si="27"/>
        <v>3270.9677419354848</v>
      </c>
      <c r="BI32" s="26">
        <f t="shared" si="12"/>
        <v>1</v>
      </c>
      <c r="BJ32" s="37">
        <f t="shared" si="28"/>
        <v>3270.9677419354848</v>
      </c>
      <c r="BK32" s="38">
        <v>51.42</v>
      </c>
      <c r="BL32" s="31"/>
      <c r="BM32" s="31"/>
      <c r="BN32" s="31">
        <v>13.489000000000001</v>
      </c>
      <c r="BO32" s="40"/>
      <c r="BP32" s="40"/>
      <c r="BQ32" s="32">
        <v>2.5990000000000002</v>
      </c>
      <c r="BR32" s="33">
        <v>2.11</v>
      </c>
      <c r="BS32" s="34"/>
      <c r="BT32" s="35"/>
      <c r="BU32" s="35"/>
      <c r="BV32" s="235"/>
      <c r="BW32" s="235"/>
      <c r="BX32" s="36"/>
      <c r="BY32" s="33">
        <v>38.659999999999997</v>
      </c>
      <c r="BZ32" s="34"/>
      <c r="CA32" s="35"/>
      <c r="CB32" s="35">
        <v>43.29</v>
      </c>
      <c r="CC32" s="235"/>
      <c r="CD32" s="235"/>
      <c r="CE32" s="36">
        <v>44.25</v>
      </c>
      <c r="CF32" s="30">
        <v>16.515999999999998</v>
      </c>
      <c r="CG32" s="30"/>
      <c r="CH32" s="31">
        <v>29.183</v>
      </c>
      <c r="CI32" s="50"/>
      <c r="CJ32" s="33">
        <v>2.73</v>
      </c>
      <c r="CK32" s="33"/>
      <c r="CL32" s="35">
        <v>2.73</v>
      </c>
      <c r="CM32" s="36"/>
      <c r="CN32" s="286"/>
      <c r="CO32" s="249">
        <f t="shared" si="30"/>
        <v>50.335038000000004</v>
      </c>
      <c r="CP32" s="12">
        <f t="shared" si="30"/>
        <v>0</v>
      </c>
      <c r="CQ32" s="12">
        <f t="shared" si="30"/>
        <v>0</v>
      </c>
      <c r="CR32" s="12">
        <f t="shared" si="30"/>
        <v>13.489000000000001</v>
      </c>
      <c r="CS32" s="11">
        <f t="shared" si="30"/>
        <v>0</v>
      </c>
      <c r="CT32" s="11">
        <f t="shared" si="30"/>
        <v>0</v>
      </c>
      <c r="CU32" s="272">
        <f t="shared" si="30"/>
        <v>2.5990000000000002</v>
      </c>
      <c r="CV32" s="249">
        <f t="shared" si="31"/>
        <v>16.065113199999999</v>
      </c>
      <c r="CW32" s="11">
        <f t="shared" si="31"/>
        <v>0</v>
      </c>
      <c r="CX32" s="249">
        <f t="shared" si="31"/>
        <v>28.3863041</v>
      </c>
      <c r="CY32" s="272">
        <f t="shared" si="31"/>
        <v>0</v>
      </c>
      <c r="CZ32" s="13"/>
      <c r="DA32" s="240">
        <f>(D32+'[2]октябрь 20 '!D32)/(AY32+'[2]октябрь 20 '!BA32)</f>
        <v>2.2031093545439506</v>
      </c>
      <c r="DB32" s="241">
        <f>(T32+'[2]октябрь 20 '!T32)/(AY32+'[2]октябрь 20 '!BA32)</f>
        <v>1.3507448554143791</v>
      </c>
      <c r="DD32" s="292">
        <f t="shared" si="15"/>
        <v>2.6110000000000002</v>
      </c>
      <c r="DE32" s="291">
        <v>1.54</v>
      </c>
      <c r="DF32" s="291">
        <v>20.88</v>
      </c>
      <c r="DG32" s="145">
        <f t="shared" si="16"/>
        <v>2.5707906</v>
      </c>
      <c r="DH32" s="293">
        <f t="shared" si="29"/>
        <v>0.71021576776925111</v>
      </c>
      <c r="DJ32" s="322"/>
    </row>
    <row r="33" spans="1:114" s="76" customFormat="1" ht="16.5" customHeight="1" thickBot="1">
      <c r="A33" s="144">
        <v>27</v>
      </c>
      <c r="B33" s="122">
        <f>'[1]октябрь 20'!K32</f>
        <v>235.137</v>
      </c>
      <c r="C33" s="123">
        <f t="shared" si="17"/>
        <v>1.4133459217392415</v>
      </c>
      <c r="D33" s="145">
        <f t="shared" si="18"/>
        <v>231.81370079999999</v>
      </c>
      <c r="E33" s="125">
        <f t="shared" si="19"/>
        <v>39.521057170925886</v>
      </c>
      <c r="F33" s="146">
        <f t="shared" si="0"/>
        <v>1.9680253060531454</v>
      </c>
      <c r="G33" s="127">
        <v>4.8</v>
      </c>
      <c r="H33" s="126">
        <f t="shared" si="20"/>
        <v>1.4886552406825708</v>
      </c>
      <c r="I33" s="230">
        <f>'[1]июль 20'!AI32</f>
        <v>0</v>
      </c>
      <c r="J33" s="439">
        <f>'[1]октябрь 20'!AA32</f>
        <v>9.3759999999999994</v>
      </c>
      <c r="K33" s="464">
        <f>'[1]сентябрь 20'!AM32</f>
        <v>0</v>
      </c>
      <c r="L33" s="441">
        <f>'[1]октябрь 20'!AE32</f>
        <v>56.465000000000003</v>
      </c>
      <c r="M33" s="469">
        <f t="shared" si="21"/>
        <v>0.47937006537057475</v>
      </c>
      <c r="N33" s="403">
        <f>'[1]октябрь 20'!W32</f>
        <v>0</v>
      </c>
      <c r="O33" s="403">
        <f>'[1]октябрь 20'!AU32</f>
        <v>3.8540000000000001</v>
      </c>
      <c r="P33" s="401">
        <f t="shared" si="1"/>
        <v>149.27500000000001</v>
      </c>
      <c r="Q33" s="122">
        <f>'[1]октябрь 20'!S32</f>
        <v>149.27500000000001</v>
      </c>
      <c r="R33" s="123">
        <f t="shared" si="33"/>
        <v>2.66</v>
      </c>
      <c r="S33" s="501">
        <v>11.76</v>
      </c>
      <c r="T33" s="125">
        <f t="shared" si="2"/>
        <v>145.30428500000002</v>
      </c>
      <c r="U33" s="147">
        <f t="shared" si="3"/>
        <v>1.2335876135495376</v>
      </c>
      <c r="V33" s="130">
        <v>117.79</v>
      </c>
      <c r="W33" s="130">
        <v>117.79</v>
      </c>
      <c r="X33" s="129">
        <v>0.67</v>
      </c>
      <c r="Y33" s="150">
        <v>580</v>
      </c>
      <c r="Z33" s="150">
        <v>1139</v>
      </c>
      <c r="AA33" s="148" t="s">
        <v>253</v>
      </c>
      <c r="AB33" s="149">
        <v>76.2</v>
      </c>
      <c r="AC33" s="150">
        <v>94</v>
      </c>
      <c r="AD33" s="151">
        <v>4</v>
      </c>
      <c r="AE33" s="149">
        <v>7.15</v>
      </c>
      <c r="AF33" s="134">
        <f t="shared" si="4"/>
        <v>60.701247983699808</v>
      </c>
      <c r="AG33" s="152"/>
      <c r="AH33" s="129">
        <v>55.3</v>
      </c>
      <c r="AI33" s="134">
        <f t="shared" si="5"/>
        <v>469.4795823074964</v>
      </c>
      <c r="AJ33" s="136">
        <v>13.41</v>
      </c>
      <c r="AK33" s="154"/>
      <c r="AL33" s="155">
        <v>5.87</v>
      </c>
      <c r="AM33" s="478">
        <v>12.83</v>
      </c>
      <c r="AN33" s="126">
        <f t="shared" si="23"/>
        <v>9.4721299372462167E-2</v>
      </c>
      <c r="AO33" s="157" t="s">
        <v>437</v>
      </c>
      <c r="AP33" s="156">
        <v>8.09</v>
      </c>
      <c r="AQ33" s="156">
        <v>7.68</v>
      </c>
      <c r="AR33" s="151"/>
      <c r="AS33" s="149">
        <v>7.34</v>
      </c>
      <c r="AT33" s="149">
        <v>135.44999999999999</v>
      </c>
      <c r="AU33" s="149">
        <v>1.04</v>
      </c>
      <c r="AV33" s="149"/>
      <c r="AW33" s="149"/>
      <c r="AX33" s="158">
        <f t="shared" si="6"/>
        <v>0</v>
      </c>
      <c r="AY33" s="125">
        <f t="shared" si="7"/>
        <v>117.78999999999999</v>
      </c>
      <c r="AZ33" s="125">
        <f t="shared" si="24"/>
        <v>107.16359533860866</v>
      </c>
      <c r="BA33" s="159">
        <f t="shared" si="8"/>
        <v>3.1443112676056337</v>
      </c>
      <c r="BB33" s="160">
        <f t="shared" si="9"/>
        <v>4.7115999999999998</v>
      </c>
      <c r="BC33" s="161">
        <f t="shared" si="10"/>
        <v>0.97970593622755064</v>
      </c>
      <c r="BD33" s="160">
        <f t="shared" si="25"/>
        <v>7.8559112676056335</v>
      </c>
      <c r="BE33" s="162">
        <v>0.88600000000000001</v>
      </c>
      <c r="BF33" s="25">
        <f t="shared" si="26"/>
        <v>2898.13</v>
      </c>
      <c r="BG33" s="25">
        <f t="shared" si="11"/>
        <v>125.80645161290323</v>
      </c>
      <c r="BH33" s="25">
        <f t="shared" si="27"/>
        <v>3396.7741935483882</v>
      </c>
      <c r="BI33" s="26">
        <f t="shared" si="12"/>
        <v>1</v>
      </c>
      <c r="BJ33" s="37">
        <f t="shared" si="28"/>
        <v>3396.7741935483882</v>
      </c>
      <c r="BK33" s="38">
        <v>178.672</v>
      </c>
      <c r="BL33" s="31"/>
      <c r="BM33" s="31"/>
      <c r="BN33" s="31">
        <v>47.067999999999998</v>
      </c>
      <c r="BO33" s="40"/>
      <c r="BP33" s="40"/>
      <c r="BQ33" s="32">
        <v>9.3970000000000002</v>
      </c>
      <c r="BR33" s="33">
        <v>1.86</v>
      </c>
      <c r="BS33" s="34"/>
      <c r="BT33" s="35"/>
      <c r="BU33" s="35"/>
      <c r="BV33" s="235"/>
      <c r="BW33" s="235"/>
      <c r="BX33" s="36"/>
      <c r="BY33" s="33">
        <v>38.28</v>
      </c>
      <c r="BZ33" s="34"/>
      <c r="CA33" s="35"/>
      <c r="CB33" s="35">
        <v>43.31</v>
      </c>
      <c r="CC33" s="235"/>
      <c r="CD33" s="235"/>
      <c r="CE33" s="36">
        <v>44.14</v>
      </c>
      <c r="CF33" s="30">
        <v>57.384999999999998</v>
      </c>
      <c r="CG33" s="30"/>
      <c r="CH33" s="31">
        <v>91.89</v>
      </c>
      <c r="CI33" s="32"/>
      <c r="CJ33" s="33">
        <v>2.66</v>
      </c>
      <c r="CK33" s="33"/>
      <c r="CL33" s="35">
        <v>2.66</v>
      </c>
      <c r="CM33" s="36"/>
      <c r="CN33" s="270"/>
      <c r="CO33" s="249">
        <f t="shared" si="30"/>
        <v>175.34870080000002</v>
      </c>
      <c r="CP33" s="12">
        <f t="shared" si="30"/>
        <v>0</v>
      </c>
      <c r="CQ33" s="12">
        <f t="shared" si="30"/>
        <v>0</v>
      </c>
      <c r="CR33" s="12">
        <f t="shared" si="30"/>
        <v>47.067999999999998</v>
      </c>
      <c r="CS33" s="11">
        <f t="shared" si="30"/>
        <v>0</v>
      </c>
      <c r="CT33" s="11">
        <f t="shared" si="30"/>
        <v>0</v>
      </c>
      <c r="CU33" s="272">
        <f t="shared" si="30"/>
        <v>9.3970000000000002</v>
      </c>
      <c r="CV33" s="249">
        <f t="shared" si="31"/>
        <v>55.858559</v>
      </c>
      <c r="CW33" s="12">
        <f t="shared" si="31"/>
        <v>0</v>
      </c>
      <c r="CX33" s="254">
        <f t="shared" si="31"/>
        <v>89.445726000000008</v>
      </c>
      <c r="CY33" s="275">
        <f t="shared" si="31"/>
        <v>0</v>
      </c>
      <c r="CZ33" s="13"/>
      <c r="DA33" s="240">
        <f>(D33+'[2]октябрь 20 '!D33)/(AY33+'[2]октябрь 20 '!BA33)</f>
        <v>2.0035843096987889</v>
      </c>
      <c r="DB33" s="241">
        <f>(T33+'[2]октябрь 20 '!T33)/(AY33+'[2]октябрь 20 '!BA33)</f>
        <v>1.2349978539143636</v>
      </c>
      <c r="DD33" s="292">
        <f t="shared" si="15"/>
        <v>9.3759999999999994</v>
      </c>
      <c r="DE33" s="291">
        <v>0.98</v>
      </c>
      <c r="DF33" s="291">
        <v>18.079999999999998</v>
      </c>
      <c r="DG33" s="145">
        <f t="shared" si="16"/>
        <v>9.2841151999999987</v>
      </c>
      <c r="DH33" s="293">
        <f t="shared" si="29"/>
        <v>2.2028451813123358</v>
      </c>
      <c r="DJ33" s="322"/>
    </row>
    <row r="34" spans="1:114" s="76" customFormat="1" ht="16.5" customHeight="1" thickBot="1">
      <c r="A34" s="144">
        <v>28</v>
      </c>
      <c r="B34" s="122">
        <f>'[1]октябрь 20'!K33</f>
        <v>267.35000000000002</v>
      </c>
      <c r="C34" s="123">
        <f t="shared" si="17"/>
        <v>1.1633265008415932</v>
      </c>
      <c r="D34" s="145">
        <f t="shared" si="18"/>
        <v>264.23984660000002</v>
      </c>
      <c r="E34" s="125">
        <f t="shared" si="19"/>
        <v>39.318663774078921</v>
      </c>
      <c r="F34" s="146">
        <f t="shared" si="0"/>
        <v>2.1149339410917238</v>
      </c>
      <c r="G34" s="127"/>
      <c r="H34" s="126">
        <f t="shared" si="20"/>
        <v>1.6021117864574994</v>
      </c>
      <c r="I34" s="230">
        <f>'[1]июль 20'!AI33</f>
        <v>0</v>
      </c>
      <c r="J34" s="439">
        <f>'[1]октябрь 20'!AA33</f>
        <v>10.598000000000001</v>
      </c>
      <c r="K34" s="464">
        <f>'[1]сентябрь 20'!AM33</f>
        <v>0</v>
      </c>
      <c r="L34" s="441">
        <f>'[1]октябрь 20'!AE33</f>
        <v>64.072000000000003</v>
      </c>
      <c r="M34" s="468">
        <f t="shared" si="21"/>
        <v>0.51282215463422443</v>
      </c>
      <c r="N34" s="403">
        <f>'[1]октябрь 20'!W33</f>
        <v>0</v>
      </c>
      <c r="O34" s="403">
        <f>'[1]октябрь 20'!AU33</f>
        <v>5.5149999999999997</v>
      </c>
      <c r="P34" s="401">
        <f t="shared" si="1"/>
        <v>170.58100000000002</v>
      </c>
      <c r="Q34" s="122">
        <f>'[1]октябрь 20'!S33</f>
        <v>170.58099999999999</v>
      </c>
      <c r="R34" s="123">
        <f t="shared" si="33"/>
        <v>2.4000000000000004</v>
      </c>
      <c r="S34" s="501">
        <v>15.79</v>
      </c>
      <c r="T34" s="125">
        <f t="shared" si="2"/>
        <v>166.487056</v>
      </c>
      <c r="U34" s="147">
        <f t="shared" si="3"/>
        <v>1.3325360653113494</v>
      </c>
      <c r="V34" s="169">
        <v>124.94</v>
      </c>
      <c r="W34" s="169">
        <v>101.17</v>
      </c>
      <c r="X34" s="170">
        <v>0.61</v>
      </c>
      <c r="Y34" s="166">
        <v>594</v>
      </c>
      <c r="Z34" s="166">
        <v>1168</v>
      </c>
      <c r="AA34" s="148" t="s">
        <v>120</v>
      </c>
      <c r="AB34" s="164">
        <v>76.09</v>
      </c>
      <c r="AC34" s="166">
        <v>107</v>
      </c>
      <c r="AD34" s="171">
        <v>5</v>
      </c>
      <c r="AE34" s="164">
        <v>9.8000000000000007</v>
      </c>
      <c r="AF34" s="172">
        <f t="shared" si="4"/>
        <v>78.437650072034572</v>
      </c>
      <c r="AG34" s="173"/>
      <c r="AH34" s="170">
        <v>78.25</v>
      </c>
      <c r="AI34" s="134">
        <f t="shared" si="5"/>
        <v>626.30062429966381</v>
      </c>
      <c r="AJ34" s="174">
        <v>14.48</v>
      </c>
      <c r="AK34" s="175"/>
      <c r="AL34" s="176">
        <v>8.36</v>
      </c>
      <c r="AM34" s="478">
        <v>29.99</v>
      </c>
      <c r="AN34" s="126">
        <f t="shared" si="23"/>
        <v>0.18644700031084863</v>
      </c>
      <c r="AO34" s="178" t="s">
        <v>428</v>
      </c>
      <c r="AP34" s="177">
        <v>7.48</v>
      </c>
      <c r="AQ34" s="177">
        <v>8.34</v>
      </c>
      <c r="AR34" s="171"/>
      <c r="AS34" s="164">
        <v>6.44</v>
      </c>
      <c r="AT34" s="149">
        <v>160.85</v>
      </c>
      <c r="AU34" s="164">
        <v>2.44</v>
      </c>
      <c r="AV34" s="164"/>
      <c r="AW34" s="164"/>
      <c r="AX34" s="179">
        <f t="shared" si="6"/>
        <v>0</v>
      </c>
      <c r="AY34" s="125">
        <f t="shared" si="7"/>
        <v>124.94000000000001</v>
      </c>
      <c r="AZ34" s="125">
        <f t="shared" si="24"/>
        <v>121.25081041231154</v>
      </c>
      <c r="BA34" s="159">
        <f t="shared" si="8"/>
        <v>3.9036830985915492</v>
      </c>
      <c r="BB34" s="159">
        <f t="shared" si="9"/>
        <v>4.9976000000000003</v>
      </c>
      <c r="BC34" s="180">
        <f t="shared" si="10"/>
        <v>0.91502303456826062</v>
      </c>
      <c r="BD34" s="159">
        <f t="shared" si="25"/>
        <v>8.9012830985915485</v>
      </c>
      <c r="BE34" s="167">
        <v>0.88700000000000001</v>
      </c>
      <c r="BF34" s="25">
        <f t="shared" si="26"/>
        <v>3023.07</v>
      </c>
      <c r="BG34" s="25">
        <f t="shared" si="11"/>
        <v>125.80645161290323</v>
      </c>
      <c r="BH34" s="25">
        <f t="shared" si="27"/>
        <v>3522.5806451612916</v>
      </c>
      <c r="BI34" s="26">
        <f t="shared" si="12"/>
        <v>1</v>
      </c>
      <c r="BJ34" s="37">
        <f t="shared" si="28"/>
        <v>3522.5806451612916</v>
      </c>
      <c r="BK34" s="38">
        <v>203.27799999999999</v>
      </c>
      <c r="BL34" s="30"/>
      <c r="BM34" s="43"/>
      <c r="BN34" s="43">
        <v>53.494</v>
      </c>
      <c r="BO34" s="281"/>
      <c r="BP34" s="281"/>
      <c r="BQ34" s="44">
        <v>10.577999999999999</v>
      </c>
      <c r="BR34" s="45">
        <v>1.53</v>
      </c>
      <c r="BS34" s="46"/>
      <c r="BT34" s="47"/>
      <c r="BU34" s="47"/>
      <c r="BV34" s="283"/>
      <c r="BW34" s="283"/>
      <c r="BX34" s="48"/>
      <c r="BY34" s="45">
        <v>38.020000000000003</v>
      </c>
      <c r="BZ34" s="46"/>
      <c r="CA34" s="47"/>
      <c r="CB34" s="47">
        <v>43.32</v>
      </c>
      <c r="CC34" s="283"/>
      <c r="CD34" s="283"/>
      <c r="CE34" s="48">
        <v>44.04</v>
      </c>
      <c r="CF34" s="49">
        <v>65.298000000000002</v>
      </c>
      <c r="CG34" s="49"/>
      <c r="CH34" s="43">
        <v>105.283</v>
      </c>
      <c r="CI34" s="32"/>
      <c r="CJ34" s="33">
        <v>2.4</v>
      </c>
      <c r="CK34" s="33"/>
      <c r="CL34" s="35">
        <v>2.4</v>
      </c>
      <c r="CM34" s="36"/>
      <c r="CN34" s="270"/>
      <c r="CO34" s="249">
        <f t="shared" si="30"/>
        <v>200.16784659999999</v>
      </c>
      <c r="CP34" s="12">
        <f t="shared" si="30"/>
        <v>0</v>
      </c>
      <c r="CQ34" s="12">
        <f t="shared" si="30"/>
        <v>0</v>
      </c>
      <c r="CR34" s="12">
        <f t="shared" si="30"/>
        <v>53.494</v>
      </c>
      <c r="CS34" s="11">
        <f t="shared" si="30"/>
        <v>0</v>
      </c>
      <c r="CT34" s="11">
        <f t="shared" si="30"/>
        <v>0</v>
      </c>
      <c r="CU34" s="272">
        <f t="shared" si="30"/>
        <v>10.577999999999999</v>
      </c>
      <c r="CV34" s="249">
        <f t="shared" si="31"/>
        <v>63.730848000000002</v>
      </c>
      <c r="CW34" s="12">
        <f t="shared" si="31"/>
        <v>0</v>
      </c>
      <c r="CX34" s="249">
        <f t="shared" si="31"/>
        <v>102.756208</v>
      </c>
      <c r="CY34" s="272">
        <f t="shared" si="31"/>
        <v>0</v>
      </c>
      <c r="CZ34" s="13"/>
      <c r="DA34" s="240">
        <f>(D34+'[2]октябрь 20 '!D34)/(AY34+'[2]октябрь 20 '!BA34)</f>
        <v>2.154647363304707</v>
      </c>
      <c r="DB34" s="241">
        <f>(T34+'[2]октябрь 20 '!T34)/(AY34+'[2]октябрь 20 '!BA34)</f>
        <v>1.3318612036589603</v>
      </c>
      <c r="DD34" s="292">
        <f t="shared" si="15"/>
        <v>10.598000000000001</v>
      </c>
      <c r="DE34" s="291">
        <v>0.88</v>
      </c>
      <c r="DF34" s="291">
        <v>14.84</v>
      </c>
      <c r="DG34" s="145">
        <f t="shared" si="16"/>
        <v>10.504737600000002</v>
      </c>
      <c r="DH34" s="293">
        <f t="shared" si="29"/>
        <v>2.0487620710211596</v>
      </c>
      <c r="DJ34" s="322"/>
    </row>
    <row r="35" spans="1:114" s="76" customFormat="1" ht="16.5" customHeight="1" thickBot="1">
      <c r="A35" s="144">
        <v>29</v>
      </c>
      <c r="B35" s="122">
        <f>'[1]октябрь 20'!K34</f>
        <v>269.90199999999999</v>
      </c>
      <c r="C35" s="123">
        <f t="shared" si="17"/>
        <v>0.85120199183407319</v>
      </c>
      <c r="D35" s="145">
        <f t="shared" si="18"/>
        <v>267.60458879999999</v>
      </c>
      <c r="E35" s="125">
        <f t="shared" si="19"/>
        <v>39.374368326281385</v>
      </c>
      <c r="F35" s="146">
        <f t="shared" si="0"/>
        <v>2.1146154784670088</v>
      </c>
      <c r="G35" s="127">
        <v>12.97</v>
      </c>
      <c r="H35" s="126">
        <f t="shared" si="20"/>
        <v>1.6027545539312522</v>
      </c>
      <c r="I35" s="230">
        <f>'[1]июль 20'!AI34</f>
        <v>0</v>
      </c>
      <c r="J35" s="439">
        <f>'[1]октябрь 20'!AA34</f>
        <v>10.869</v>
      </c>
      <c r="K35" s="464">
        <f>'[1]сентябрь 20'!AM34</f>
        <v>0</v>
      </c>
      <c r="L35" s="441">
        <f>'[1]октябрь 20'!AE34</f>
        <v>64.775999999999996</v>
      </c>
      <c r="M35" s="469">
        <f t="shared" si="21"/>
        <v>0.51186092453575649</v>
      </c>
      <c r="N35" s="403">
        <f>'[1]октябрь 20'!W34</f>
        <v>0</v>
      </c>
      <c r="O35" s="403">
        <f>'[1]октябрь 20'!AU34</f>
        <v>5.45</v>
      </c>
      <c r="P35" s="401">
        <f t="shared" si="1"/>
        <v>171.673</v>
      </c>
      <c r="Q35" s="122">
        <f>'[1]октябрь 20'!S34</f>
        <v>171.673</v>
      </c>
      <c r="R35" s="123">
        <f t="shared" si="33"/>
        <v>2.1099999999999994</v>
      </c>
      <c r="S35" s="501">
        <v>1.95</v>
      </c>
      <c r="T35" s="125">
        <f t="shared" si="2"/>
        <v>168.0506997</v>
      </c>
      <c r="U35" s="147">
        <f t="shared" si="3"/>
        <v>1.3279391521137889</v>
      </c>
      <c r="V35" s="130">
        <v>126.55</v>
      </c>
      <c r="W35" s="130">
        <v>102.97</v>
      </c>
      <c r="X35" s="129">
        <v>0.91</v>
      </c>
      <c r="Y35" s="150">
        <v>604</v>
      </c>
      <c r="Z35" s="150">
        <v>1166</v>
      </c>
      <c r="AA35" s="148" t="s">
        <v>250</v>
      </c>
      <c r="AB35" s="149">
        <v>76.260000000000005</v>
      </c>
      <c r="AC35" s="150">
        <v>108</v>
      </c>
      <c r="AD35" s="151">
        <v>5</v>
      </c>
      <c r="AE35" s="181"/>
      <c r="AF35" s="134">
        <f t="shared" si="4"/>
        <v>0</v>
      </c>
      <c r="AG35" s="182"/>
      <c r="AH35" s="129">
        <v>68.8</v>
      </c>
      <c r="AI35" s="134">
        <f t="shared" si="5"/>
        <v>543.65863295140252</v>
      </c>
      <c r="AJ35" s="136">
        <v>16.739999999999998</v>
      </c>
      <c r="AK35" s="154"/>
      <c r="AL35" s="155">
        <v>6.75</v>
      </c>
      <c r="AM35" s="478">
        <v>37.29</v>
      </c>
      <c r="AN35" s="126">
        <f t="shared" si="23"/>
        <v>0.22275985663082437</v>
      </c>
      <c r="AO35" s="184" t="s">
        <v>439</v>
      </c>
      <c r="AP35" s="183">
        <v>7.61</v>
      </c>
      <c r="AQ35" s="183">
        <v>8.7899999999999991</v>
      </c>
      <c r="AR35" s="185"/>
      <c r="AS35" s="181">
        <v>6.24</v>
      </c>
      <c r="AT35" s="149">
        <v>167.4</v>
      </c>
      <c r="AU35" s="181">
        <v>3.19</v>
      </c>
      <c r="AV35" s="149"/>
      <c r="AW35" s="149"/>
      <c r="AX35" s="158">
        <f t="shared" si="6"/>
        <v>0</v>
      </c>
      <c r="AY35" s="125">
        <f t="shared" si="7"/>
        <v>126.55000000000001</v>
      </c>
      <c r="AZ35" s="125">
        <f t="shared" si="24"/>
        <v>123.00735738317677</v>
      </c>
      <c r="BA35" s="159">
        <f t="shared" si="8"/>
        <v>3.325656338028169</v>
      </c>
      <c r="BB35" s="160">
        <f t="shared" si="9"/>
        <v>5.0620000000000003</v>
      </c>
      <c r="BC35" s="161">
        <f t="shared" si="10"/>
        <v>0.91590787805124985</v>
      </c>
      <c r="BD35" s="160">
        <f t="shared" si="25"/>
        <v>8.3876563380281688</v>
      </c>
      <c r="BE35" s="162">
        <v>0.88800000000000001</v>
      </c>
      <c r="BF35" s="25">
        <f t="shared" si="26"/>
        <v>3149.6200000000003</v>
      </c>
      <c r="BG35" s="25">
        <f t="shared" si="11"/>
        <v>125.80645161290323</v>
      </c>
      <c r="BH35" s="25">
        <f t="shared" si="27"/>
        <v>3648.387096774195</v>
      </c>
      <c r="BI35" s="26">
        <f t="shared" si="12"/>
        <v>1</v>
      </c>
      <c r="BJ35" s="37">
        <f t="shared" si="28"/>
        <v>3648.387096774195</v>
      </c>
      <c r="BK35" s="38">
        <v>205.126</v>
      </c>
      <c r="BL35" s="31"/>
      <c r="BM35" s="31"/>
      <c r="BN35" s="31">
        <v>53.99</v>
      </c>
      <c r="BO35" s="40"/>
      <c r="BP35" s="40"/>
      <c r="BQ35" s="32">
        <v>10.786</v>
      </c>
      <c r="BR35" s="33">
        <v>1.1200000000000001</v>
      </c>
      <c r="BS35" s="34"/>
      <c r="BT35" s="35"/>
      <c r="BU35" s="35"/>
      <c r="BV35" s="235"/>
      <c r="BW35" s="235"/>
      <c r="BX35" s="36"/>
      <c r="BY35" s="33">
        <v>38.049999999999997</v>
      </c>
      <c r="BZ35" s="34"/>
      <c r="CA35" s="35"/>
      <c r="CB35" s="35">
        <v>43.47</v>
      </c>
      <c r="CC35" s="235"/>
      <c r="CD35" s="235"/>
      <c r="CE35" s="36">
        <v>44.06</v>
      </c>
      <c r="CF35" s="30">
        <v>65.876000000000005</v>
      </c>
      <c r="CG35" s="30"/>
      <c r="CH35" s="31">
        <v>105.797</v>
      </c>
      <c r="CI35" s="50"/>
      <c r="CJ35" s="33">
        <v>2.11</v>
      </c>
      <c r="CK35" s="33"/>
      <c r="CL35" s="35">
        <v>2.11</v>
      </c>
      <c r="CM35" s="36"/>
      <c r="CN35" s="270"/>
      <c r="CO35" s="249">
        <f t="shared" si="30"/>
        <v>202.82858879999998</v>
      </c>
      <c r="CP35" s="12">
        <f t="shared" si="30"/>
        <v>0</v>
      </c>
      <c r="CQ35" s="12">
        <f t="shared" si="30"/>
        <v>0</v>
      </c>
      <c r="CR35" s="12">
        <f t="shared" si="30"/>
        <v>53.99</v>
      </c>
      <c r="CS35" s="11">
        <f t="shared" si="30"/>
        <v>0</v>
      </c>
      <c r="CT35" s="11">
        <f t="shared" si="30"/>
        <v>0</v>
      </c>
      <c r="CU35" s="272">
        <f t="shared" si="30"/>
        <v>10.786</v>
      </c>
      <c r="CV35" s="249">
        <f t="shared" si="31"/>
        <v>64.486016400000011</v>
      </c>
      <c r="CW35" s="12">
        <f t="shared" si="31"/>
        <v>0</v>
      </c>
      <c r="CX35" s="249">
        <f t="shared" si="31"/>
        <v>103.5646833</v>
      </c>
      <c r="CY35" s="272">
        <f t="shared" si="31"/>
        <v>0</v>
      </c>
      <c r="CZ35" s="13"/>
      <c r="DA35" s="240">
        <f>(D35+'[2]октябрь 20 '!D35)/(AY35+'[2]октябрь 20 '!BA35)</f>
        <v>2.0656774131684323</v>
      </c>
      <c r="DB35" s="241">
        <f>(T35+'[2]октябрь 20 '!T35)/(AY35+'[2]октябрь 20 '!BA35)</f>
        <v>1.2664215851698493</v>
      </c>
      <c r="DD35" s="292">
        <f t="shared" si="15"/>
        <v>10.869</v>
      </c>
      <c r="DE35" s="291">
        <v>0.77</v>
      </c>
      <c r="DF35" s="291">
        <v>16.87</v>
      </c>
      <c r="DG35" s="145">
        <f t="shared" si="16"/>
        <v>10.7853087</v>
      </c>
      <c r="DH35" s="293">
        <f t="shared" si="29"/>
        <v>2.3858924438631002</v>
      </c>
      <c r="DJ35" s="322"/>
    </row>
    <row r="36" spans="1:114" s="76" customFormat="1" ht="16.5" customHeight="1" thickBot="1">
      <c r="A36" s="144">
        <v>30</v>
      </c>
      <c r="B36" s="122">
        <f>'[1]октябрь 20'!K35</f>
        <v>247.69</v>
      </c>
      <c r="C36" s="123">
        <f t="shared" si="17"/>
        <v>0.94975574306592925</v>
      </c>
      <c r="D36" s="145">
        <f t="shared" si="18"/>
        <v>245.33754999999996</v>
      </c>
      <c r="E36" s="125">
        <f t="shared" si="19"/>
        <v>39.359641568089138</v>
      </c>
      <c r="F36" s="146">
        <f t="shared" si="0"/>
        <v>2.0359962655601653</v>
      </c>
      <c r="G36" s="127"/>
      <c r="H36" s="126">
        <f t="shared" si="20"/>
        <v>1.5422701244813275</v>
      </c>
      <c r="I36" s="230">
        <f>'[1]июль 20'!AI35</f>
        <v>0</v>
      </c>
      <c r="J36" s="439">
        <f>'[1]октябрь 20'!AA35</f>
        <v>9.9390000000000001</v>
      </c>
      <c r="K36" s="464">
        <f>'[1]сентябрь 20'!AM35</f>
        <v>0</v>
      </c>
      <c r="L36" s="441">
        <f>'[1]октябрь 20'!AE35</f>
        <v>59.494</v>
      </c>
      <c r="M36" s="468">
        <f t="shared" si="21"/>
        <v>0.49372614107883811</v>
      </c>
      <c r="N36" s="403">
        <f>'[1]октябрь 20'!W35</f>
        <v>0</v>
      </c>
      <c r="O36" s="403">
        <f>'[1]октябрь 20'!AU35</f>
        <v>5.875</v>
      </c>
      <c r="P36" s="401">
        <f t="shared" si="1"/>
        <v>156.035</v>
      </c>
      <c r="Q36" s="122">
        <f>'[1]октябрь 20'!S35</f>
        <v>156.035</v>
      </c>
      <c r="R36" s="123">
        <f t="shared" si="33"/>
        <v>2.19</v>
      </c>
      <c r="S36" s="501">
        <v>1.66</v>
      </c>
      <c r="T36" s="125">
        <f t="shared" si="2"/>
        <v>152.61783349999999</v>
      </c>
      <c r="U36" s="147">
        <f t="shared" si="3"/>
        <v>1.2665380373443982</v>
      </c>
      <c r="V36" s="130">
        <v>120.5</v>
      </c>
      <c r="W36" s="130">
        <v>64.91</v>
      </c>
      <c r="X36" s="129">
        <v>0.82</v>
      </c>
      <c r="Y36" s="150">
        <v>600</v>
      </c>
      <c r="Z36" s="150">
        <v>1169</v>
      </c>
      <c r="AA36" s="148" t="s">
        <v>252</v>
      </c>
      <c r="AB36" s="149">
        <v>75.95</v>
      </c>
      <c r="AC36" s="150">
        <v>99</v>
      </c>
      <c r="AD36" s="151">
        <v>4</v>
      </c>
      <c r="AE36" s="149"/>
      <c r="AF36" s="134">
        <f t="shared" si="4"/>
        <v>0</v>
      </c>
      <c r="AG36" s="152"/>
      <c r="AH36" s="129">
        <v>78.45</v>
      </c>
      <c r="AI36" s="134">
        <f t="shared" si="5"/>
        <v>651.03734439834011</v>
      </c>
      <c r="AJ36" s="153">
        <v>15.79</v>
      </c>
      <c r="AK36" s="154"/>
      <c r="AL36" s="155">
        <v>7.32</v>
      </c>
      <c r="AM36" s="478">
        <v>35.83</v>
      </c>
      <c r="AN36" s="126">
        <f t="shared" si="23"/>
        <v>0.22117283950617284</v>
      </c>
      <c r="AO36" s="157" t="s">
        <v>144</v>
      </c>
      <c r="AP36" s="156">
        <v>7.73</v>
      </c>
      <c r="AQ36" s="156">
        <v>8.56</v>
      </c>
      <c r="AR36" s="151"/>
      <c r="AS36" s="149">
        <v>7.97</v>
      </c>
      <c r="AT36" s="149">
        <v>162</v>
      </c>
      <c r="AU36" s="149">
        <v>1.65</v>
      </c>
      <c r="AV36" s="149"/>
      <c r="AW36" s="149"/>
      <c r="AX36" s="158">
        <f t="shared" si="6"/>
        <v>0</v>
      </c>
      <c r="AY36" s="125">
        <f t="shared" si="7"/>
        <v>120.50000000000001</v>
      </c>
      <c r="AZ36" s="125">
        <f t="shared" si="24"/>
        <v>113.63739049434649</v>
      </c>
      <c r="BA36" s="159">
        <f t="shared" si="8"/>
        <v>4.843458802816901</v>
      </c>
      <c r="BB36" s="160">
        <f t="shared" si="9"/>
        <v>4.82</v>
      </c>
      <c r="BC36" s="161">
        <f t="shared" si="10"/>
        <v>0.94776281698789733</v>
      </c>
      <c r="BD36" s="160">
        <f t="shared" si="25"/>
        <v>9.6634588028169013</v>
      </c>
      <c r="BE36" s="162">
        <v>0.89</v>
      </c>
      <c r="BF36" s="25">
        <f t="shared" si="26"/>
        <v>3270.1200000000003</v>
      </c>
      <c r="BG36" s="25">
        <f t="shared" si="11"/>
        <v>125.80645161290323</v>
      </c>
      <c r="BH36" s="25">
        <f t="shared" si="27"/>
        <v>3774.1935483870984</v>
      </c>
      <c r="BI36" s="26">
        <f t="shared" si="12"/>
        <v>1</v>
      </c>
      <c r="BJ36" s="37">
        <f t="shared" si="28"/>
        <v>3774.1935483870984</v>
      </c>
      <c r="BK36" s="38">
        <v>188.196</v>
      </c>
      <c r="BL36" s="31"/>
      <c r="BM36" s="31"/>
      <c r="BN36" s="31">
        <v>49.485999999999997</v>
      </c>
      <c r="BO36" s="40"/>
      <c r="BP36" s="40"/>
      <c r="BQ36" s="32">
        <v>10.007999999999999</v>
      </c>
      <c r="BR36" s="33">
        <v>1.25</v>
      </c>
      <c r="BS36" s="34"/>
      <c r="BT36" s="35"/>
      <c r="BU36" s="35"/>
      <c r="BV36" s="235"/>
      <c r="BW36" s="235"/>
      <c r="BX36" s="36"/>
      <c r="BY36" s="33">
        <v>37.979999999999997</v>
      </c>
      <c r="BZ36" s="34"/>
      <c r="CA36" s="35"/>
      <c r="CB36" s="35">
        <v>43.67</v>
      </c>
      <c r="CC36" s="235"/>
      <c r="CD36" s="235"/>
      <c r="CE36" s="36">
        <v>43.99</v>
      </c>
      <c r="CF36" s="30">
        <v>60.460999999999999</v>
      </c>
      <c r="CG36" s="30"/>
      <c r="CH36" s="34">
        <v>95.573999999999998</v>
      </c>
      <c r="CI36" s="50"/>
      <c r="CJ36" s="33">
        <v>2.19</v>
      </c>
      <c r="CK36" s="33"/>
      <c r="CL36" s="35">
        <v>2.19</v>
      </c>
      <c r="CM36" s="36"/>
      <c r="CN36" s="270"/>
      <c r="CO36" s="249">
        <f t="shared" si="30"/>
        <v>185.84354999999999</v>
      </c>
      <c r="CP36" s="12">
        <f t="shared" si="30"/>
        <v>0</v>
      </c>
      <c r="CQ36" s="12">
        <f t="shared" si="30"/>
        <v>0</v>
      </c>
      <c r="CR36" s="12">
        <f t="shared" si="30"/>
        <v>49.485999999999997</v>
      </c>
      <c r="CS36" s="11">
        <f t="shared" si="30"/>
        <v>0</v>
      </c>
      <c r="CT36" s="11">
        <f t="shared" si="30"/>
        <v>0</v>
      </c>
      <c r="CU36" s="272">
        <f t="shared" si="30"/>
        <v>10.007999999999999</v>
      </c>
      <c r="CV36" s="249">
        <f t="shared" si="31"/>
        <v>59.136904099999995</v>
      </c>
      <c r="CW36" s="12">
        <f t="shared" si="31"/>
        <v>0</v>
      </c>
      <c r="CX36" s="249">
        <f t="shared" si="31"/>
        <v>93.480929399999994</v>
      </c>
      <c r="CY36" s="274">
        <f t="shared" si="31"/>
        <v>0</v>
      </c>
      <c r="CZ36" s="13"/>
      <c r="DA36" s="240">
        <f>(D36+'[2]октябрь 20 '!D36)/(AY36+'[2]октябрь 20 '!BA36)</f>
        <v>2.1075549907359017</v>
      </c>
      <c r="DB36" s="241">
        <f>(T36+'[2]октябрь 20 '!T36)/(AY36+'[2]октябрь 20 '!BA36)</f>
        <v>1.2935877432375604</v>
      </c>
      <c r="DD36" s="292">
        <f t="shared" si="15"/>
        <v>9.9390000000000001</v>
      </c>
      <c r="DE36" s="291">
        <v>1.82</v>
      </c>
      <c r="DF36" s="291">
        <v>20.57</v>
      </c>
      <c r="DG36" s="145">
        <f t="shared" si="16"/>
        <v>9.7581102000000008</v>
      </c>
      <c r="DH36" s="293">
        <f t="shared" si="29"/>
        <v>2.6428482793153392</v>
      </c>
      <c r="DJ36" s="322"/>
    </row>
    <row r="37" spans="1:114" s="76" customFormat="1" ht="16.5" customHeight="1" thickBot="1">
      <c r="A37" s="186">
        <v>31</v>
      </c>
      <c r="B37" s="122">
        <f>'[1]октябрь 20'!K36</f>
        <v>270.02199999999999</v>
      </c>
      <c r="C37" s="123">
        <f t="shared" si="17"/>
        <v>0.91919795424076567</v>
      </c>
      <c r="D37" s="187">
        <f t="shared" si="18"/>
        <v>267.53996329999995</v>
      </c>
      <c r="E37" s="285">
        <f t="shared" si="19"/>
        <v>39.560594988556488</v>
      </c>
      <c r="F37" s="189">
        <f t="shared" si="0"/>
        <v>2.5237238307706811</v>
      </c>
      <c r="G37" s="127"/>
      <c r="H37" s="126">
        <f t="shared" si="20"/>
        <v>1.9115646005093858</v>
      </c>
      <c r="I37" s="230">
        <f>'[1]июль 20'!AI36</f>
        <v>0</v>
      </c>
      <c r="J37" s="277">
        <f>'[1]октябрь 20'!AA36</f>
        <v>10.762</v>
      </c>
      <c r="K37" s="276">
        <f>'[1]сентябрь 20'!AM36</f>
        <v>0</v>
      </c>
      <c r="L37" s="438">
        <f>'[1]октябрь 20'!AE36</f>
        <v>64.894999999999996</v>
      </c>
      <c r="M37" s="128">
        <f t="shared" si="21"/>
        <v>0.61215923026129593</v>
      </c>
      <c r="N37" s="399">
        <f>'[1]октябрь 20'!W36</f>
        <v>0</v>
      </c>
      <c r="O37" s="403">
        <f>'[1]октябрь 20'!AU36</f>
        <v>6.5430000000000001</v>
      </c>
      <c r="P37" s="125">
        <f t="shared" si="1"/>
        <v>171.68700000000001</v>
      </c>
      <c r="Q37" s="122">
        <f>'[1]октябрь 20'!S36</f>
        <v>171.68700000000001</v>
      </c>
      <c r="R37" s="123">
        <f t="shared" si="33"/>
        <v>2.12</v>
      </c>
      <c r="S37" s="501"/>
      <c r="T37" s="125">
        <f t="shared" si="2"/>
        <v>168.04723560000002</v>
      </c>
      <c r="U37" s="191">
        <f t="shared" si="3"/>
        <v>1.5852017319120837</v>
      </c>
      <c r="V37" s="192">
        <v>106.01</v>
      </c>
      <c r="W37" s="192">
        <v>106.01</v>
      </c>
      <c r="X37" s="190">
        <v>0.49</v>
      </c>
      <c r="Y37" s="193">
        <v>623</v>
      </c>
      <c r="Z37" s="194">
        <v>1181</v>
      </c>
      <c r="AA37" s="195" t="s">
        <v>118</v>
      </c>
      <c r="AB37" s="196">
        <v>75.52</v>
      </c>
      <c r="AC37" s="194">
        <v>108</v>
      </c>
      <c r="AD37" s="193">
        <v>4</v>
      </c>
      <c r="AE37" s="196"/>
      <c r="AF37" s="134">
        <f t="shared" si="4"/>
        <v>0</v>
      </c>
      <c r="AG37" s="197"/>
      <c r="AH37" s="190">
        <v>70.8</v>
      </c>
      <c r="AI37" s="134">
        <f t="shared" si="5"/>
        <v>667.86152249787744</v>
      </c>
      <c r="AJ37" s="196">
        <v>12.61</v>
      </c>
      <c r="AK37" s="198"/>
      <c r="AL37" s="199">
        <v>6.89</v>
      </c>
      <c r="AM37" s="478">
        <v>37.1</v>
      </c>
      <c r="AN37" s="126">
        <f t="shared" si="23"/>
        <v>0.24733333333333335</v>
      </c>
      <c r="AO37" s="201" t="s">
        <v>323</v>
      </c>
      <c r="AP37" s="200">
        <v>7.22</v>
      </c>
      <c r="AQ37" s="156">
        <v>7.84</v>
      </c>
      <c r="AR37" s="193"/>
      <c r="AS37" s="196">
        <v>7.81</v>
      </c>
      <c r="AT37" s="242">
        <v>150</v>
      </c>
      <c r="AU37" s="196"/>
      <c r="AV37" s="196"/>
      <c r="AW37" s="196"/>
      <c r="AX37" s="202">
        <f t="shared" si="6"/>
        <v>0</v>
      </c>
      <c r="AY37" s="188">
        <f t="shared" si="7"/>
        <v>106.01000000000002</v>
      </c>
      <c r="AZ37" s="125">
        <f t="shared" si="24"/>
        <v>125.01714090584302</v>
      </c>
      <c r="BA37" s="203">
        <f t="shared" si="8"/>
        <v>4.2833999999999994</v>
      </c>
      <c r="BB37" s="204">
        <f t="shared" si="9"/>
        <v>4.2404000000000011</v>
      </c>
      <c r="BC37" s="205">
        <f t="shared" si="10"/>
        <v>0.75641013267471713</v>
      </c>
      <c r="BD37" s="206">
        <f t="shared" si="25"/>
        <v>8.5238000000000014</v>
      </c>
      <c r="BE37" s="207">
        <v>0.88500000000000001</v>
      </c>
      <c r="BF37" s="25">
        <f t="shared" si="26"/>
        <v>3376.1300000000006</v>
      </c>
      <c r="BG37" s="25">
        <f t="shared" si="11"/>
        <v>125.80645161290323</v>
      </c>
      <c r="BH37" s="25">
        <f t="shared" si="27"/>
        <v>3900.0000000000018</v>
      </c>
      <c r="BI37" s="26">
        <f t="shared" si="12"/>
        <v>1</v>
      </c>
      <c r="BJ37" s="37">
        <f t="shared" si="28"/>
        <v>3900.0000000000018</v>
      </c>
      <c r="BK37" s="51">
        <v>205.12700000000001</v>
      </c>
      <c r="BL37" s="53"/>
      <c r="BM37" s="53"/>
      <c r="BN37" s="53">
        <v>54.042999999999999</v>
      </c>
      <c r="BO37" s="282"/>
      <c r="BP37" s="282"/>
      <c r="BQ37" s="54">
        <v>10.852</v>
      </c>
      <c r="BR37" s="55">
        <v>1.21</v>
      </c>
      <c r="BS37" s="52"/>
      <c r="BT37" s="56"/>
      <c r="BU37" s="56"/>
      <c r="BV37" s="284"/>
      <c r="BW37" s="284"/>
      <c r="BX37" s="57"/>
      <c r="BY37" s="55">
        <v>38.299999999999997</v>
      </c>
      <c r="BZ37" s="52"/>
      <c r="CA37" s="56"/>
      <c r="CB37" s="56">
        <v>43.48</v>
      </c>
      <c r="CC37" s="284"/>
      <c r="CD37" s="284"/>
      <c r="CE37" s="57">
        <v>43.87</v>
      </c>
      <c r="CF37" s="58">
        <v>65.897000000000006</v>
      </c>
      <c r="CG37" s="58"/>
      <c r="CH37" s="52">
        <v>105.79</v>
      </c>
      <c r="CI37" s="54"/>
      <c r="CJ37" s="33">
        <v>2.12</v>
      </c>
      <c r="CK37" s="265"/>
      <c r="CL37" s="59">
        <v>2.12</v>
      </c>
      <c r="CM37" s="60"/>
      <c r="CN37" s="270"/>
      <c r="CO37" s="269">
        <f t="shared" si="30"/>
        <v>202.64496330000003</v>
      </c>
      <c r="CP37" s="18">
        <f t="shared" si="30"/>
        <v>0</v>
      </c>
      <c r="CQ37" s="18">
        <f t="shared" si="30"/>
        <v>0</v>
      </c>
      <c r="CR37" s="18">
        <f t="shared" si="30"/>
        <v>54.042999999999999</v>
      </c>
      <c r="CS37" s="251">
        <f t="shared" si="30"/>
        <v>0</v>
      </c>
      <c r="CT37" s="11">
        <f t="shared" si="30"/>
        <v>0</v>
      </c>
      <c r="CU37" s="273">
        <f t="shared" si="30"/>
        <v>10.852</v>
      </c>
      <c r="CV37" s="269">
        <f t="shared" si="31"/>
        <v>64.499983600000007</v>
      </c>
      <c r="CW37" s="18">
        <f t="shared" si="31"/>
        <v>0</v>
      </c>
      <c r="CX37" s="261">
        <f t="shared" si="31"/>
        <v>103.547252</v>
      </c>
      <c r="CY37" s="273">
        <f t="shared" si="31"/>
        <v>0</v>
      </c>
      <c r="CZ37" s="13"/>
      <c r="DA37" s="240">
        <f>(D37+'[2]октябрь 20 '!D37)/(AY37+'[2]октябрь 20 '!BA37)</f>
        <v>2.7452921666727259</v>
      </c>
      <c r="DB37" s="241">
        <f>(T37+'[2]октябрь 20 '!T37)/(AY37+'[2]октябрь 20 '!BA37)</f>
        <v>1.6667899341889969</v>
      </c>
      <c r="DD37" s="292">
        <f t="shared" si="15"/>
        <v>10.762</v>
      </c>
      <c r="DE37" s="294">
        <v>1.44</v>
      </c>
      <c r="DF37" s="294">
        <v>18.989999999999998</v>
      </c>
      <c r="DG37" s="323">
        <f t="shared" si="16"/>
        <v>10.607027200000001</v>
      </c>
      <c r="DH37" s="293">
        <f t="shared" si="29"/>
        <v>2.6672066542372885</v>
      </c>
      <c r="DJ37" s="322"/>
    </row>
    <row r="38" spans="1:114" s="214" customFormat="1" ht="16.5" customHeight="1" thickBot="1">
      <c r="A38" s="91" t="s">
        <v>56</v>
      </c>
      <c r="B38" s="92">
        <f>SUM(B7:B37)</f>
        <v>7510.3649999999989</v>
      </c>
      <c r="C38" s="330"/>
      <c r="D38" s="331">
        <f>SUM(D7:D37)</f>
        <v>7428.8444191609115</v>
      </c>
      <c r="E38" s="332"/>
      <c r="F38" s="331"/>
      <c r="G38" s="333">
        <f>SUM(G7:G37)</f>
        <v>358.52000000000004</v>
      </c>
      <c r="H38" s="329"/>
      <c r="I38" s="334">
        <f>SUM(I7:I37)</f>
        <v>0</v>
      </c>
      <c r="J38" s="329">
        <f>SUM(J7:J37)</f>
        <v>300.197</v>
      </c>
      <c r="K38" s="329">
        <f>SUM(K7:K37)</f>
        <v>0</v>
      </c>
      <c r="L38" s="396">
        <f>SUM(L7:L37)</f>
        <v>1496.12</v>
      </c>
      <c r="M38" s="335"/>
      <c r="N38" s="329">
        <f>SUM(N7:N37)</f>
        <v>0</v>
      </c>
      <c r="O38" s="396">
        <f>SUM(O7:O37)</f>
        <v>157.79899999999998</v>
      </c>
      <c r="P38" s="330">
        <f>SUM(P7:P37)</f>
        <v>4706.8600020000003</v>
      </c>
      <c r="Q38" s="396">
        <f>SUM(Q7:Q37)</f>
        <v>4706.8599999999997</v>
      </c>
      <c r="R38" s="336">
        <f>IF(Q38=0,0,(CA38*CH38+CE38*CI38+CF38*CJ38)/Q38)</f>
        <v>0</v>
      </c>
      <c r="S38" s="396">
        <f>SUM(S7:S37)</f>
        <v>287.18000000000006</v>
      </c>
      <c r="T38" s="331">
        <f>SUM(T7:T37)</f>
        <v>4569.7530281999998</v>
      </c>
      <c r="U38" s="337"/>
      <c r="V38" s="229">
        <f>SUM(V7:V37)</f>
        <v>3220.3100000000004</v>
      </c>
      <c r="W38" s="229">
        <f>SUM(W7:W37)</f>
        <v>2677.8</v>
      </c>
      <c r="X38" s="338"/>
      <c r="Y38" s="337"/>
      <c r="Z38" s="339"/>
      <c r="AA38" s="340"/>
      <c r="AB38" s="338"/>
      <c r="AC38" s="339"/>
      <c r="AD38" s="339">
        <f>SUM(AD7:AD37)</f>
        <v>141</v>
      </c>
      <c r="AE38" s="90">
        <f>SUM(AE7:AE37)</f>
        <v>65.55</v>
      </c>
      <c r="AF38" s="341"/>
      <c r="AG38" s="342">
        <f>SUM(AG7:AG37)</f>
        <v>0</v>
      </c>
      <c r="AH38" s="90">
        <f>SUM(AH7:AH37)</f>
        <v>2130.1000000000004</v>
      </c>
      <c r="AI38" s="341"/>
      <c r="AJ38" s="332">
        <f>SUM(AJ7:AJ37)</f>
        <v>493.74000000000007</v>
      </c>
      <c r="AK38" s="343"/>
      <c r="AL38" s="397">
        <f>SUM(AL7:AL37)</f>
        <v>235.77999999999997</v>
      </c>
      <c r="AM38" s="344">
        <f>SUM(AM7:AM37)</f>
        <v>958.31000000000006</v>
      </c>
      <c r="AN38" s="345"/>
      <c r="AO38" s="342"/>
      <c r="AP38" s="332"/>
      <c r="AQ38" s="342"/>
      <c r="AR38" s="342"/>
      <c r="AS38" s="346"/>
      <c r="AT38" s="332">
        <f>SUM(AT7:AT37)</f>
        <v>4503.0499999999993</v>
      </c>
      <c r="AU38" s="332">
        <f>SUM(AU7:AU37)</f>
        <v>67.17</v>
      </c>
      <c r="AV38" s="347">
        <f>SUM(AV7:AV37)</f>
        <v>0</v>
      </c>
      <c r="AW38" s="332">
        <f>SUM(AW7:AW37)</f>
        <v>0</v>
      </c>
      <c r="AX38" s="331"/>
      <c r="AY38" s="90">
        <f>SUM(AY7:AY37)</f>
        <v>3376.1300000000006</v>
      </c>
      <c r="AZ38" s="330">
        <f>SUM(AZ7:AZ37)</f>
        <v>3381.5687401126329</v>
      </c>
      <c r="BA38" s="342">
        <f>SUM(BA7:BA37)</f>
        <v>126.18220457746477</v>
      </c>
      <c r="BB38" s="342">
        <f>SUM(BB7:BB37)</f>
        <v>135.04519999999999</v>
      </c>
      <c r="BC38" s="332"/>
      <c r="BD38" s="89">
        <f>SUM(BD7:BD37)</f>
        <v>261.22740457746477</v>
      </c>
      <c r="BE38" s="348"/>
      <c r="BF38" s="19"/>
      <c r="BG38" s="19">
        <f t="shared" ref="BG38" si="34">IF(A38&lt;=$BE$43,$AT$43,0)</f>
        <v>0</v>
      </c>
      <c r="BH38" s="19"/>
      <c r="BI38" s="208">
        <f>SUM(BI7:BI37)</f>
        <v>31</v>
      </c>
      <c r="BJ38" s="209"/>
      <c r="BK38" s="278">
        <f t="shared" ref="BK38:BQ38" si="35">SUM(BK7:BK37)</f>
        <v>4731.4030000000002</v>
      </c>
      <c r="BL38" s="61">
        <f>SUM(BL7:BL37)</f>
        <v>1282.8419999999999</v>
      </c>
      <c r="BM38" s="61">
        <f t="shared" si="35"/>
        <v>9.9999999999999995E-7</v>
      </c>
      <c r="BN38" s="61">
        <f t="shared" si="35"/>
        <v>842.57000100000005</v>
      </c>
      <c r="BO38" s="61">
        <f t="shared" si="35"/>
        <v>9.9999999999999995E-7</v>
      </c>
      <c r="BP38" s="61">
        <f t="shared" si="35"/>
        <v>9.9999999999999995E-7</v>
      </c>
      <c r="BQ38" s="64">
        <f t="shared" si="35"/>
        <v>653.55000000000007</v>
      </c>
      <c r="BR38" s="63"/>
      <c r="BS38" s="24"/>
      <c r="BT38" s="24"/>
      <c r="BU38" s="24"/>
      <c r="BV38" s="62"/>
      <c r="BW38" s="62"/>
      <c r="BX38" s="65"/>
      <c r="BY38" s="63"/>
      <c r="BZ38" s="24"/>
      <c r="CA38" s="24"/>
      <c r="CB38" s="24"/>
      <c r="CC38" s="62"/>
      <c r="CD38" s="62"/>
      <c r="CE38" s="62"/>
      <c r="CF38" s="66">
        <f>SUM(CF7:CF37)</f>
        <v>2471.5350000000003</v>
      </c>
      <c r="CG38" s="66">
        <f>SUM(CG7:CG37)</f>
        <v>1152.1720009999999</v>
      </c>
      <c r="CH38" s="61">
        <f>SUM(CH7:CH37)</f>
        <v>609.51600100000007</v>
      </c>
      <c r="CI38" s="67">
        <f>SUM(CI7:CI37)</f>
        <v>473.637</v>
      </c>
      <c r="CJ38" s="210"/>
      <c r="CK38" s="266"/>
      <c r="CL38" s="211"/>
      <c r="CM38" s="212"/>
      <c r="CN38" s="213"/>
      <c r="CO38" s="68">
        <f t="shared" ref="CO38:CY38" si="36">SUM(CO7:CO37)</f>
        <v>4661.4717172999999</v>
      </c>
      <c r="CP38" s="69">
        <f t="shared" si="36"/>
        <v>1271.2527020999999</v>
      </c>
      <c r="CQ38" s="70">
        <f t="shared" si="36"/>
        <v>9.9999998999999992E-7</v>
      </c>
      <c r="CR38" s="69">
        <f t="shared" si="36"/>
        <v>842.57000099999993</v>
      </c>
      <c r="CS38" s="72">
        <f t="shared" si="36"/>
        <v>9.9999998999999992E-7</v>
      </c>
      <c r="CT38" s="72">
        <f t="shared" si="36"/>
        <v>9.9999998999999992E-7</v>
      </c>
      <c r="CU38" s="71">
        <f t="shared" si="36"/>
        <v>653.54999976091005</v>
      </c>
      <c r="CV38" s="72">
        <f t="shared" si="36"/>
        <v>2399.4072049000001</v>
      </c>
      <c r="CW38" s="72">
        <f t="shared" si="36"/>
        <v>1114.1954544</v>
      </c>
      <c r="CX38" s="72">
        <f t="shared" si="36"/>
        <v>595.18893000000003</v>
      </c>
      <c r="CY38" s="72">
        <f t="shared" si="36"/>
        <v>460.96144089999996</v>
      </c>
      <c r="CZ38" s="70"/>
      <c r="DA38" s="240">
        <f>(D38+'[2]октябрь 20 '!D38)/(AY38+'[2]октябрь 20 '!BA38)</f>
        <v>2.188828174352353</v>
      </c>
      <c r="DB38" s="241">
        <f>(T38+'[2]октябрь 20 '!T38)/(AY38+'[2]октябрь 20 '!BA38)</f>
        <v>1.3350183043820079</v>
      </c>
      <c r="DD38" s="295">
        <f>SUM(DD7:DD37)</f>
        <v>300.197</v>
      </c>
      <c r="DE38" s="296">
        <f>(SUMPRODUCT(DD7:DD37,DE7:DE37))/DD38</f>
        <v>0.54404124624829686</v>
      </c>
      <c r="DF38" s="296">
        <f>(SUMPRODUCT(DD7:DD37,DF7:DF37))/DD38</f>
        <v>13.352973214255968</v>
      </c>
      <c r="DG38" s="296">
        <f>(SUMPRODUCT(DE7:DE37,DG7:DG37))/DE38</f>
        <v>297.4986477388004</v>
      </c>
      <c r="DH38" s="324">
        <f>IF(J38=0,0,(DG38*DF38%)/(AB39/100))</f>
        <v>52.192296119578643</v>
      </c>
    </row>
    <row r="39" spans="1:114" s="214" customFormat="1" ht="16.5" customHeight="1" thickBot="1">
      <c r="A39" s="93" t="s">
        <v>57</v>
      </c>
      <c r="B39" s="349">
        <f>B38/AU2</f>
        <v>242.26983870967737</v>
      </c>
      <c r="C39" s="349">
        <f>(BK38*BR39+BM38*BT39+BQ38*BX39+BL38*BS39+BN38*BU39+BO38*BV39+BP38*BW39)/B38</f>
        <v>1.0854409983947524</v>
      </c>
      <c r="D39" s="350">
        <f>D38/AU2</f>
        <v>239.64014255357779</v>
      </c>
      <c r="E39" s="349">
        <f>(BK38*BY39+BM38*CA39+BQ38*CE39+BL38*BZ39+BN38*CB39+BO38*CC39+BP38*CD39)/B38</f>
        <v>39.066784107030763</v>
      </c>
      <c r="F39" s="351">
        <f>IF($AY$38=0,0,$D$38/$AY$38)</f>
        <v>2.2004023598501568</v>
      </c>
      <c r="G39" s="352">
        <f>G38/AU2</f>
        <v>11.565161290322582</v>
      </c>
      <c r="H39" s="353">
        <f>IF($AY$38=0,0,(CP38+CO38+CS38+CQ38+CT38)/AY38)</f>
        <v>1.7572559179889398</v>
      </c>
      <c r="I39" s="349">
        <f>I38/AU2</f>
        <v>0</v>
      </c>
      <c r="J39" s="349">
        <f>J38/AU2</f>
        <v>9.6837741935483876</v>
      </c>
      <c r="K39" s="349">
        <f>K38/AU2</f>
        <v>0</v>
      </c>
      <c r="L39" s="349">
        <f>L38/AU2</f>
        <v>48.261935483870964</v>
      </c>
      <c r="M39" s="354">
        <f>IF($AY$38=0,0,(CR38+CU38)/$AY$38)</f>
        <v>0.44314644304600526</v>
      </c>
      <c r="N39" s="349">
        <f>N38/AU2</f>
        <v>0</v>
      </c>
      <c r="O39" s="349">
        <f>O38/AU2</f>
        <v>5.0902903225806444</v>
      </c>
      <c r="P39" s="349">
        <f>P38/AU2</f>
        <v>151.83419361290325</v>
      </c>
      <c r="Q39" s="349">
        <f>Q38/AU2</f>
        <v>151.83419354838708</v>
      </c>
      <c r="R39" s="349">
        <f>(SUMPRODUCT(R7:R37,Q7:Q37))/Q38</f>
        <v>2.9129179920371548</v>
      </c>
      <c r="S39" s="355">
        <f>S38/AU2</f>
        <v>9.2638709677419371</v>
      </c>
      <c r="T39" s="356"/>
      <c r="U39" s="354">
        <f>IF($AY$38=0,0,$T$38/$AY$38)</f>
        <v>1.353547709418772</v>
      </c>
      <c r="V39" s="349">
        <f>V38/AU2</f>
        <v>103.88096774193549</v>
      </c>
      <c r="W39" s="349">
        <f>W38/AU2</f>
        <v>86.380645161290332</v>
      </c>
      <c r="X39" s="349">
        <f>(SUMPRODUCT(X7:X37,AY7:AY37))/AY38</f>
        <v>0.72908608377047079</v>
      </c>
      <c r="Y39" s="357">
        <f>AVERAGE(Y7:Y37)</f>
        <v>561.06451612903231</v>
      </c>
      <c r="Z39" s="357">
        <f>AVERAGE(Z7:Z37)</f>
        <v>1157.5483870967741</v>
      </c>
      <c r="AA39" s="357"/>
      <c r="AB39" s="349">
        <f>(SUMPRODUCT(AB7:AB37,AY7:AY37))/AY38</f>
        <v>76.112602239842658</v>
      </c>
      <c r="AC39" s="358">
        <f>AVERAGE(AC7:AC37)</f>
        <v>97.161290322580641</v>
      </c>
      <c r="AD39" s="358">
        <f>AVERAGE(AD7:AD37)</f>
        <v>4.5483870967741939</v>
      </c>
      <c r="AE39" s="349">
        <f>AE38/AU2</f>
        <v>2.1145161290322578</v>
      </c>
      <c r="AF39" s="355">
        <f>IF(AY38=0,0,AE38/AY38*1000)</f>
        <v>19.415721551006623</v>
      </c>
      <c r="AG39" s="356" t="e">
        <f>AG38/$AW$2</f>
        <v>#DIV/0!</v>
      </c>
      <c r="AH39" s="349">
        <f>AH38/AU2</f>
        <v>68.712903225806457</v>
      </c>
      <c r="AI39" s="355">
        <f>IF(AY38=0,0,AH38/AY38*1000)</f>
        <v>630.92949619830983</v>
      </c>
      <c r="AJ39" s="349">
        <f>AJ38/AU2</f>
        <v>15.927096774193551</v>
      </c>
      <c r="AK39" s="359"/>
      <c r="AL39" s="349">
        <f>AL38/AU2</f>
        <v>7.605806451612902</v>
      </c>
      <c r="AM39" s="349">
        <f>AM38/AU2</f>
        <v>30.913225806451614</v>
      </c>
      <c r="AN39" s="360">
        <f>IF(AM39=0,0,AM39/AT39)</f>
        <v>0.21281353749125598</v>
      </c>
      <c r="AO39" s="356"/>
      <c r="AP39" s="349">
        <f>AVERAGE(AP7:AP37)</f>
        <v>7.2154838709677422</v>
      </c>
      <c r="AQ39" s="349">
        <f>AVERAGE(AQ7:AQ37)</f>
        <v>8.2267741935483869</v>
      </c>
      <c r="AR39" s="356"/>
      <c r="AS39" s="349">
        <f>AVERAGE(AS7:AS37)</f>
        <v>7.7900000000000009</v>
      </c>
      <c r="AT39" s="349">
        <f>AT38/AU2</f>
        <v>145.2596774193548</v>
      </c>
      <c r="AU39" s="349">
        <f>AU38/AU2</f>
        <v>2.1667741935483873</v>
      </c>
      <c r="AV39" s="349" t="e">
        <f>AV38/$AW$2</f>
        <v>#DIV/0!</v>
      </c>
      <c r="AW39" s="349" t="e">
        <f>AW38/$AW$2</f>
        <v>#DIV/0!</v>
      </c>
      <c r="AX39" s="349" t="e">
        <f>IF(AY39=0,0,AW39/AY39*100)</f>
        <v>#DIV/0!</v>
      </c>
      <c r="AY39" s="349">
        <f>AY38/AU2</f>
        <v>108.90741935483872</v>
      </c>
      <c r="AZ39" s="349">
        <f>AZ38/AU2</f>
        <v>109.08286258427849</v>
      </c>
      <c r="BA39" s="356"/>
      <c r="BB39" s="356"/>
      <c r="BC39" s="351">
        <f>(AY38*AB39)/(D38*E39)</f>
        <v>0.88541485871700043</v>
      </c>
      <c r="BD39" s="349">
        <f>BD38/AU2</f>
        <v>8.4266904702407981</v>
      </c>
      <c r="BE39" s="361"/>
      <c r="BF39" s="19"/>
      <c r="BG39" s="19"/>
      <c r="BH39" s="19"/>
      <c r="BI39" s="19"/>
      <c r="BJ39" s="215"/>
      <c r="BK39" s="73"/>
      <c r="BL39" s="216"/>
      <c r="BM39" s="216"/>
      <c r="BN39" s="216"/>
      <c r="BO39" s="219"/>
      <c r="BP39" s="219"/>
      <c r="BQ39" s="217"/>
      <c r="BR39" s="73">
        <f>(SUMPRODUCT(BK7:BK37,BR7:BR37))/BK38</f>
        <v>1.4780242287541345</v>
      </c>
      <c r="BS39" s="29">
        <f>(SUMPRODUCT(BL7:BL37,BS7:BS37))/BL38</f>
        <v>0.9034080502509273</v>
      </c>
      <c r="BT39" s="29">
        <f t="shared" ref="BT39:BX39" si="37">(SUMPRODUCT(BM7:BM37,BT7:BT37))/BM38</f>
        <v>9.9999999999999995E-7</v>
      </c>
      <c r="BU39" s="29">
        <f t="shared" si="37"/>
        <v>1.1868450085015546E-15</v>
      </c>
      <c r="BV39" s="29">
        <f t="shared" si="37"/>
        <v>9.9999999999999995E-7</v>
      </c>
      <c r="BW39" s="29">
        <f t="shared" si="37"/>
        <v>9.9999999999999995E-7</v>
      </c>
      <c r="BX39" s="74">
        <f t="shared" si="37"/>
        <v>3.6583275954402866E-8</v>
      </c>
      <c r="BY39" s="73">
        <f t="shared" ref="BY39:CE39" si="38">(SUMPRODUCT(BK7:BK37,BY7:BY37))/BK38</f>
        <v>38.197115453915053</v>
      </c>
      <c r="BZ39" s="29">
        <f t="shared" si="38"/>
        <v>37.212323279094392</v>
      </c>
      <c r="CA39" s="29">
        <f t="shared" si="38"/>
        <v>9.9999999999999995E-7</v>
      </c>
      <c r="CB39" s="29">
        <f t="shared" si="38"/>
        <v>43.320530242804125</v>
      </c>
      <c r="CC39" s="29">
        <f t="shared" si="38"/>
        <v>9.9999999999999995E-7</v>
      </c>
      <c r="CD39" s="29">
        <f t="shared" si="38"/>
        <v>9.9999999999999995E-7</v>
      </c>
      <c r="CE39" s="74">
        <f t="shared" si="38"/>
        <v>43.51885998010863</v>
      </c>
      <c r="CF39" s="218"/>
      <c r="CG39" s="218"/>
      <c r="CH39" s="216"/>
      <c r="CI39" s="219"/>
      <c r="CJ39" s="75">
        <f>(SUMPRODUCT(CF7:CF37,CJ7:CJ37))/CF38</f>
        <v>2.9183400235076578</v>
      </c>
      <c r="CK39" s="75">
        <f>(SUMPRODUCT(CG7:CG37,CK7:CK37))/CG38</f>
        <v>3.2960830993149619</v>
      </c>
      <c r="CL39" s="29">
        <f>(SUMPRODUCT(CH7:CH37,CL7:CL37))/CH38</f>
        <v>2.3505651986977134</v>
      </c>
      <c r="CM39" s="74">
        <f>(SUMPRODUCT(CI7:CI37,CM7:CM37))/CI38</f>
        <v>2.676218095292386</v>
      </c>
      <c r="CN39" s="19"/>
      <c r="CO39" s="596">
        <f>CO38+CP38</f>
        <v>5932.7244193999995</v>
      </c>
      <c r="CP39" s="596"/>
      <c r="CQ39" s="597">
        <f>CQ38+CR38+CU38+CS38+CT38</f>
        <v>1496.1200037609096</v>
      </c>
      <c r="CR39" s="597"/>
      <c r="CS39" s="597"/>
      <c r="CT39" s="597"/>
      <c r="CU39" s="597"/>
      <c r="CV39" s="597">
        <f>CV38+CX38+CY38+CW38</f>
        <v>4569.7530301999996</v>
      </c>
      <c r="CW39" s="597"/>
      <c r="CX39" s="597"/>
      <c r="CY39" s="597"/>
      <c r="DA39" s="236"/>
      <c r="DB39" s="238"/>
      <c r="DD39" s="297"/>
      <c r="DE39" s="298"/>
      <c r="DF39" s="298"/>
      <c r="DG39" s="299"/>
      <c r="DH39" s="300"/>
    </row>
    <row r="40" spans="1:114" s="214" customFormat="1" ht="16.5" customHeight="1" thickBot="1">
      <c r="A40" s="94" t="s">
        <v>58</v>
      </c>
      <c r="B40" s="362"/>
      <c r="C40" s="362"/>
      <c r="D40" s="363"/>
      <c r="E40" s="364">
        <v>37.4</v>
      </c>
      <c r="F40" s="363">
        <v>2.15</v>
      </c>
      <c r="G40" s="365">
        <v>10.346</v>
      </c>
      <c r="H40" s="363">
        <v>1.8274999999999999</v>
      </c>
      <c r="I40" s="363"/>
      <c r="J40" s="363">
        <v>10.064</v>
      </c>
      <c r="K40" s="363"/>
      <c r="L40" s="363"/>
      <c r="M40" s="363">
        <v>0.32250000000000001</v>
      </c>
      <c r="N40" s="363"/>
      <c r="O40" s="363">
        <v>4.4029999999999996</v>
      </c>
      <c r="P40" s="366"/>
      <c r="Q40" s="362"/>
      <c r="R40" s="367"/>
      <c r="S40" s="368">
        <v>14.47</v>
      </c>
      <c r="T40" s="362"/>
      <c r="U40" s="369">
        <v>1.28</v>
      </c>
      <c r="V40" s="370">
        <v>3900</v>
      </c>
      <c r="W40" s="370">
        <v>3900</v>
      </c>
      <c r="X40" s="371"/>
      <c r="Y40" s="371"/>
      <c r="Z40" s="372">
        <v>1190</v>
      </c>
      <c r="AA40" s="372"/>
      <c r="AB40" s="362">
        <v>76</v>
      </c>
      <c r="AC40" s="362"/>
      <c r="AD40" s="362"/>
      <c r="AE40" s="362"/>
      <c r="AF40" s="362"/>
      <c r="AG40" s="362"/>
      <c r="AH40" s="362"/>
      <c r="AI40" s="362">
        <v>730</v>
      </c>
      <c r="AJ40" s="373"/>
      <c r="AK40" s="374"/>
      <c r="AL40" s="375"/>
      <c r="AM40" s="362"/>
      <c r="AN40" s="362"/>
      <c r="AO40" s="362"/>
      <c r="AP40" s="362"/>
      <c r="AQ40" s="362"/>
      <c r="AR40" s="362"/>
      <c r="AS40" s="362"/>
      <c r="AT40" s="376">
        <v>3900</v>
      </c>
      <c r="AU40" s="377">
        <v>46.8</v>
      </c>
      <c r="AV40" s="377"/>
      <c r="AW40" s="378"/>
      <c r="AX40" s="362"/>
      <c r="AY40" s="379">
        <v>125.81</v>
      </c>
      <c r="AZ40" s="362"/>
      <c r="BA40" s="362"/>
      <c r="BB40" s="362"/>
      <c r="BC40" s="363">
        <v>0.9</v>
      </c>
      <c r="BD40" s="362"/>
      <c r="BE40" s="380"/>
      <c r="BF40" s="19"/>
      <c r="BG40" s="19"/>
      <c r="BH40" s="19"/>
      <c r="BI40" s="19"/>
      <c r="BJ40" s="215"/>
      <c r="BK40" s="220"/>
      <c r="BL40" s="221"/>
      <c r="BM40" s="216"/>
      <c r="BN40" s="216"/>
      <c r="BO40" s="219"/>
      <c r="BP40" s="219"/>
      <c r="BQ40" s="217"/>
      <c r="BR40" s="218"/>
      <c r="BS40" s="216"/>
      <c r="BT40" s="216"/>
      <c r="BU40" s="216"/>
      <c r="BV40" s="219"/>
      <c r="BW40" s="219"/>
      <c r="BX40" s="217"/>
      <c r="BY40" s="218"/>
      <c r="BZ40" s="216"/>
      <c r="CA40" s="216"/>
      <c r="CB40" s="216"/>
      <c r="CC40" s="219"/>
      <c r="CD40" s="219"/>
      <c r="CE40" s="217"/>
      <c r="CF40" s="218"/>
      <c r="CG40" s="218"/>
      <c r="CH40" s="216"/>
      <c r="CI40" s="219"/>
      <c r="CJ40" s="220"/>
      <c r="CK40" s="218"/>
      <c r="CL40" s="216"/>
      <c r="CM40" s="217"/>
      <c r="CN40" s="213"/>
      <c r="CO40" s="604">
        <f>CO39+CQ39</f>
        <v>7428.8444231609092</v>
      </c>
      <c r="CP40" s="604"/>
      <c r="CQ40" s="604"/>
      <c r="CR40" s="604"/>
      <c r="CS40" s="604"/>
      <c r="CT40" s="604"/>
      <c r="CU40" s="604"/>
      <c r="DA40" s="237"/>
      <c r="DB40" s="239"/>
      <c r="DD40" s="301"/>
      <c r="DE40" s="302"/>
      <c r="DF40" s="302"/>
      <c r="DG40" s="303"/>
      <c r="DH40" s="304"/>
    </row>
    <row r="41" spans="1:114" s="214" customFormat="1" ht="16.5" customHeight="1" thickBot="1">
      <c r="A41" s="95" t="s">
        <v>59</v>
      </c>
      <c r="B41" s="381"/>
      <c r="C41" s="381"/>
      <c r="D41" s="382"/>
      <c r="E41" s="381"/>
      <c r="F41" s="383">
        <f>F39-F40</f>
        <v>5.0402359850156842E-2</v>
      </c>
      <c r="G41" s="384">
        <f>G39-G40</f>
        <v>1.2191612903225817</v>
      </c>
      <c r="H41" s="383"/>
      <c r="I41" s="385">
        <f>I39-I40</f>
        <v>0</v>
      </c>
      <c r="J41" s="385"/>
      <c r="K41" s="385"/>
      <c r="L41" s="385"/>
      <c r="M41" s="385"/>
      <c r="N41" s="385"/>
      <c r="O41" s="385"/>
      <c r="P41" s="383"/>
      <c r="Q41" s="386"/>
      <c r="R41" s="385">
        <f>R39-R40</f>
        <v>2.9129179920371548</v>
      </c>
      <c r="S41" s="386"/>
      <c r="T41" s="386"/>
      <c r="U41" s="383">
        <f>U39-U40</f>
        <v>7.3547709418771978E-2</v>
      </c>
      <c r="V41" s="383"/>
      <c r="W41" s="383"/>
      <c r="X41" s="383"/>
      <c r="Y41" s="383"/>
      <c r="Z41" s="387">
        <f>Z39-Z40</f>
        <v>-32.45161290322585</v>
      </c>
      <c r="AA41" s="388"/>
      <c r="AB41" s="381"/>
      <c r="AC41" s="381"/>
      <c r="AD41" s="381"/>
      <c r="AE41" s="381"/>
      <c r="AF41" s="381"/>
      <c r="AG41" s="381"/>
      <c r="AH41" s="381"/>
      <c r="AI41" s="381"/>
      <c r="AJ41" s="381"/>
      <c r="AK41" s="389"/>
      <c r="AL41" s="390"/>
      <c r="AM41" s="381"/>
      <c r="AN41" s="381"/>
      <c r="AO41" s="381"/>
      <c r="AP41" s="381"/>
      <c r="AQ41" s="381"/>
      <c r="AR41" s="381"/>
      <c r="AS41" s="381"/>
      <c r="AT41" s="391">
        <f>AT38+AV38-AT40</f>
        <v>603.04999999999927</v>
      </c>
      <c r="AU41" s="392"/>
      <c r="AV41" s="393"/>
      <c r="AW41" s="390"/>
      <c r="AX41" s="381"/>
      <c r="AY41" s="385"/>
      <c r="AZ41" s="381"/>
      <c r="BA41" s="381"/>
      <c r="BB41" s="381"/>
      <c r="BC41" s="394"/>
      <c r="BD41" s="381"/>
      <c r="BE41" s="395"/>
      <c r="BF41" s="222"/>
      <c r="BG41" s="222"/>
      <c r="BH41" s="222"/>
      <c r="BI41" s="222"/>
      <c r="BJ41" s="222"/>
      <c r="BK41" s="223"/>
      <c r="BL41" s="224"/>
      <c r="BM41" s="225"/>
      <c r="BN41" s="225"/>
      <c r="BO41" s="224"/>
      <c r="BP41" s="224"/>
      <c r="BQ41" s="226"/>
      <c r="BR41" s="227"/>
      <c r="BS41" s="225"/>
      <c r="BT41" s="225"/>
      <c r="BU41" s="225"/>
      <c r="BV41" s="224"/>
      <c r="BW41" s="224"/>
      <c r="BX41" s="224"/>
      <c r="BY41" s="228"/>
      <c r="BZ41" s="225"/>
      <c r="CA41" s="225"/>
      <c r="CB41" s="225"/>
      <c r="CC41" s="224"/>
      <c r="CD41" s="224"/>
      <c r="CE41" s="226"/>
      <c r="CF41" s="227"/>
      <c r="CG41" s="227"/>
      <c r="CH41" s="225"/>
      <c r="CI41" s="224"/>
      <c r="CJ41" s="228"/>
      <c r="CK41" s="227"/>
      <c r="CL41" s="225"/>
      <c r="CM41" s="226"/>
      <c r="CN41" s="213"/>
      <c r="CO41" s="213"/>
      <c r="CP41" s="213"/>
      <c r="CQ41" s="213"/>
      <c r="DA41" s="21"/>
      <c r="DH41" s="309"/>
    </row>
    <row r="42" spans="1:114" ht="15" hidden="1" customHeight="1">
      <c r="A42" s="96"/>
      <c r="B42" s="96"/>
      <c r="C42" s="96"/>
      <c r="D42" s="97"/>
      <c r="E42" s="96"/>
      <c r="F42" s="98"/>
      <c r="G42" s="99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1"/>
      <c r="AF42" s="101"/>
      <c r="AG42" s="100"/>
      <c r="AH42" s="100"/>
      <c r="AI42" s="100"/>
      <c r="AJ42" s="100"/>
      <c r="AK42" s="100"/>
      <c r="AL42" s="100"/>
      <c r="AM42" s="100"/>
      <c r="AN42" s="100"/>
      <c r="AO42" s="100"/>
      <c r="AP42" s="100"/>
      <c r="AQ42" s="100"/>
      <c r="AR42" s="100"/>
      <c r="AS42" s="96"/>
      <c r="AT42" s="612"/>
      <c r="AU42" s="612"/>
      <c r="AV42" s="612"/>
      <c r="AW42" s="96"/>
      <c r="AX42" s="96"/>
      <c r="AY42" s="100"/>
      <c r="AZ42" s="100"/>
      <c r="BA42" s="100"/>
      <c r="BB42" s="100"/>
      <c r="BC42" s="100"/>
      <c r="BD42" s="100"/>
      <c r="BE42" s="100"/>
      <c r="BK42" s="20"/>
      <c r="BL42" s="20"/>
      <c r="BM42" s="20"/>
    </row>
    <row r="43" spans="1:114" ht="13.5" thickBot="1">
      <c r="A43" s="100"/>
      <c r="B43" s="100"/>
      <c r="C43" s="100"/>
      <c r="D43" s="102"/>
      <c r="E43" s="100"/>
      <c r="F43" s="100"/>
      <c r="G43" s="96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1"/>
      <c r="AF43" s="101"/>
      <c r="AG43" s="100"/>
      <c r="AH43" s="100"/>
      <c r="AI43" s="100"/>
      <c r="AJ43" s="100"/>
      <c r="AK43" s="100"/>
      <c r="AL43" s="100"/>
      <c r="AM43" s="100"/>
      <c r="AN43" s="100"/>
      <c r="AO43" s="100"/>
      <c r="AP43" s="100"/>
      <c r="AQ43" s="100"/>
      <c r="AR43" s="100"/>
      <c r="AS43" s="96" t="s">
        <v>60</v>
      </c>
      <c r="AT43" s="103">
        <f>AT40/BE43</f>
        <v>125.80645161290323</v>
      </c>
      <c r="AU43" s="104"/>
      <c r="AV43" s="96"/>
      <c r="AW43" s="96" t="s">
        <v>61</v>
      </c>
      <c r="AX43" s="96"/>
      <c r="AY43" s="100"/>
      <c r="AZ43" s="100"/>
      <c r="BA43" s="100"/>
      <c r="BB43" s="100"/>
      <c r="BC43" s="100"/>
      <c r="BD43" s="105" t="s">
        <v>62</v>
      </c>
      <c r="BE43" s="100">
        <v>31</v>
      </c>
    </row>
    <row r="44" spans="1:114" ht="16.5" customHeight="1" thickBot="1">
      <c r="A44" s="100"/>
      <c r="B44" s="100"/>
      <c r="C44" s="100"/>
      <c r="D44" s="102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489" t="s">
        <v>343</v>
      </c>
      <c r="AG44" s="488"/>
      <c r="AH44" s="488"/>
      <c r="AI44" s="488"/>
      <c r="AJ44" s="488"/>
      <c r="AK44" s="488"/>
      <c r="AL44" s="488"/>
      <c r="AM44" s="490">
        <f>AM38/AT38</f>
        <v>0.21281353749125598</v>
      </c>
      <c r="AN44" s="479"/>
      <c r="AO44" s="480" t="s">
        <v>88</v>
      </c>
      <c r="AP44" s="100"/>
      <c r="AQ44" s="100"/>
      <c r="AR44" s="100"/>
      <c r="AS44" s="100"/>
      <c r="AT44" s="100"/>
      <c r="AU44" s="100"/>
      <c r="AV44" s="100"/>
      <c r="AW44" s="100"/>
      <c r="AX44" s="100"/>
      <c r="AY44" s="100"/>
      <c r="AZ44" s="100"/>
      <c r="BA44" s="100"/>
      <c r="BB44" s="100"/>
      <c r="BC44" s="100"/>
      <c r="BD44" s="96"/>
      <c r="BE44" s="96"/>
    </row>
    <row r="45" spans="1:114" ht="13.5" thickBot="1">
      <c r="A45" s="100"/>
      <c r="B45" s="100"/>
      <c r="C45" s="100"/>
      <c r="D45" s="102"/>
      <c r="E45" s="100"/>
      <c r="F45" s="100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101"/>
      <c r="AE45" s="101"/>
      <c r="AF45" s="101"/>
      <c r="AG45" s="100"/>
      <c r="AH45" s="100"/>
      <c r="AI45" s="100"/>
      <c r="AJ45" s="100"/>
      <c r="AK45" s="100"/>
      <c r="AL45" s="100"/>
      <c r="AM45" s="106" t="s">
        <v>63</v>
      </c>
      <c r="AN45" s="106"/>
      <c r="AO45" s="106"/>
      <c r="AP45" s="106"/>
      <c r="AQ45" s="106"/>
      <c r="AR45" s="106"/>
      <c r="AS45" s="107" t="s">
        <v>64</v>
      </c>
      <c r="AT45" s="108">
        <v>30</v>
      </c>
      <c r="AU45" s="108"/>
      <c r="AV45" s="100"/>
      <c r="AW45" s="100"/>
      <c r="AX45" s="100"/>
      <c r="AY45" s="100"/>
      <c r="AZ45" s="100"/>
      <c r="BA45" s="100"/>
      <c r="BB45" s="100"/>
      <c r="BC45" s="100"/>
      <c r="BD45" s="96"/>
      <c r="BE45" s="96"/>
      <c r="BM45" s="1"/>
      <c r="BS45" s="1"/>
    </row>
    <row r="46" spans="1:114" ht="12.75" customHeight="1" thickBot="1">
      <c r="A46" s="100"/>
      <c r="B46" s="100"/>
      <c r="C46" s="109" t="s">
        <v>65</v>
      </c>
      <c r="D46" s="102"/>
      <c r="E46" s="100"/>
      <c r="F46" s="100"/>
      <c r="G46" s="100"/>
      <c r="H46" s="100"/>
      <c r="I46" s="100"/>
      <c r="J46" s="100"/>
      <c r="K46" s="100"/>
      <c r="L46" s="110">
        <f>AT38/AD38</f>
        <v>31.936524822695031</v>
      </c>
      <c r="M46" s="109" t="s">
        <v>88</v>
      </c>
      <c r="N46" s="606"/>
      <c r="O46" s="606"/>
      <c r="P46" s="111"/>
      <c r="Q46" s="100"/>
      <c r="R46" s="100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101"/>
      <c r="AE46" s="101"/>
      <c r="AF46" s="101"/>
      <c r="AG46" s="100"/>
      <c r="AH46" s="100"/>
      <c r="AI46" s="100"/>
      <c r="AJ46" s="100"/>
      <c r="AK46" s="100"/>
      <c r="AL46" s="100"/>
      <c r="AM46" s="100"/>
      <c r="AN46" s="100"/>
      <c r="AO46" s="106"/>
      <c r="AP46" s="106"/>
      <c r="AQ46" s="106"/>
      <c r="AR46" s="106"/>
      <c r="AS46" s="107" t="s">
        <v>66</v>
      </c>
      <c r="AT46" s="112">
        <f>AT40/AT45</f>
        <v>130</v>
      </c>
      <c r="AU46" s="112"/>
      <c r="AV46" s="100"/>
      <c r="AW46" s="100"/>
      <c r="AX46" s="100">
        <v>0</v>
      </c>
      <c r="AY46" s="100"/>
      <c r="AZ46" s="607" t="s">
        <v>67</v>
      </c>
      <c r="BA46" s="607"/>
      <c r="BB46" s="607"/>
      <c r="BC46" s="607"/>
      <c r="BD46" s="607"/>
      <c r="BE46" s="607"/>
    </row>
    <row r="47" spans="1:114">
      <c r="A47" s="100"/>
      <c r="B47" s="100"/>
      <c r="C47" s="100"/>
      <c r="D47" s="102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100"/>
      <c r="AI47" s="100"/>
      <c r="AJ47" s="100"/>
      <c r="AK47" s="100"/>
      <c r="AL47" s="100"/>
      <c r="AM47" s="100"/>
      <c r="AN47" s="100"/>
      <c r="AO47" s="100"/>
      <c r="AP47" s="100"/>
      <c r="AQ47" s="100"/>
      <c r="AR47" s="100"/>
      <c r="AS47" s="100"/>
      <c r="AT47" s="100"/>
      <c r="AU47" s="100"/>
      <c r="AV47" s="100"/>
      <c r="AW47" s="100"/>
      <c r="AX47" s="100"/>
      <c r="AY47" s="100"/>
      <c r="AZ47" s="607"/>
      <c r="BA47" s="607"/>
      <c r="BB47" s="607"/>
      <c r="BC47" s="607"/>
      <c r="BD47" s="607"/>
      <c r="BE47" s="607"/>
    </row>
    <row r="48" spans="1:114">
      <c r="A48" s="100"/>
      <c r="B48" s="100"/>
      <c r="C48" s="100"/>
      <c r="D48" s="102"/>
      <c r="E48" s="100"/>
      <c r="F48" s="100"/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13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  <c r="AE48" s="100"/>
      <c r="AF48" s="100"/>
      <c r="AG48" s="100"/>
      <c r="AH48" s="100"/>
      <c r="AI48" s="100"/>
      <c r="AJ48" s="100"/>
      <c r="AK48" s="100"/>
      <c r="AL48" s="100"/>
      <c r="AM48" s="100"/>
      <c r="AN48" s="100"/>
      <c r="AO48" s="100"/>
      <c r="AP48" s="100"/>
      <c r="AQ48" s="100"/>
      <c r="AR48" s="100"/>
      <c r="AS48" s="100"/>
      <c r="AT48" s="100"/>
      <c r="AU48" s="100"/>
      <c r="AV48" s="100"/>
      <c r="AW48" s="100"/>
      <c r="AX48" s="100"/>
      <c r="AY48" s="100"/>
      <c r="AZ48" s="608">
        <f>BF37-BJ37</f>
        <v>-523.87000000000126</v>
      </c>
      <c r="BA48" s="608"/>
      <c r="BB48" s="608"/>
      <c r="BC48" s="608"/>
      <c r="BD48" s="609" t="s">
        <v>68</v>
      </c>
      <c r="BE48" s="114"/>
    </row>
    <row r="49" spans="1:57" ht="12" customHeight="1">
      <c r="A49" s="100"/>
      <c r="B49" s="100"/>
      <c r="C49" s="100"/>
      <c r="D49" s="102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15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100"/>
      <c r="AI49" s="100"/>
      <c r="AJ49" s="100"/>
      <c r="AK49" s="100"/>
      <c r="AL49" s="100"/>
      <c r="AM49" s="100"/>
      <c r="AN49" s="100"/>
      <c r="AO49" s="100"/>
      <c r="AP49" s="100"/>
      <c r="AQ49" s="100"/>
      <c r="AR49" s="100"/>
      <c r="AS49" s="100"/>
      <c r="AT49" s="100"/>
      <c r="AU49" s="100"/>
      <c r="AV49" s="100"/>
      <c r="AW49" s="100"/>
      <c r="AX49" s="100"/>
      <c r="AY49" s="100"/>
      <c r="AZ49" s="608"/>
      <c r="BA49" s="608"/>
      <c r="BB49" s="608"/>
      <c r="BC49" s="608"/>
      <c r="BD49" s="609"/>
      <c r="BE49" s="114"/>
    </row>
    <row r="50" spans="1:57" ht="13.5" customHeight="1">
      <c r="A50" s="100"/>
      <c r="B50" s="100"/>
      <c r="C50" s="100"/>
      <c r="D50" s="102"/>
      <c r="E50" s="100"/>
      <c r="F50" s="100"/>
      <c r="G50" s="100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100"/>
      <c r="AC50" s="100"/>
      <c r="AD50" s="100"/>
      <c r="AE50" s="100"/>
      <c r="AF50" s="100"/>
      <c r="AG50" s="100"/>
      <c r="AH50" s="100"/>
      <c r="AI50" s="100"/>
      <c r="AJ50" s="100"/>
      <c r="AK50" s="100"/>
      <c r="AL50" s="100"/>
      <c r="AM50" s="100"/>
      <c r="AN50" s="100"/>
      <c r="AO50" s="100"/>
      <c r="AP50" s="100"/>
      <c r="AQ50" s="100"/>
      <c r="AR50" s="100"/>
      <c r="AS50" s="100"/>
      <c r="AT50" s="100"/>
      <c r="AU50" s="100"/>
      <c r="AV50" s="100"/>
      <c r="AW50" s="100"/>
      <c r="AX50" s="100"/>
      <c r="AY50" s="100"/>
      <c r="AZ50" s="116"/>
      <c r="BA50" s="96"/>
      <c r="BB50" s="96"/>
      <c r="BC50" s="96"/>
      <c r="BD50" s="96"/>
      <c r="BE50" s="114"/>
    </row>
    <row r="51" spans="1:57" ht="13.5" customHeight="1" thickBot="1">
      <c r="A51" s="100"/>
      <c r="B51" s="100"/>
      <c r="C51" s="100"/>
      <c r="D51" s="102"/>
      <c r="E51" s="100"/>
      <c r="F51" s="100"/>
      <c r="G51" s="100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0"/>
      <c r="AC51" s="100"/>
      <c r="AD51" s="100"/>
      <c r="AE51" s="100"/>
      <c r="AF51" s="100"/>
      <c r="AG51" s="100"/>
      <c r="AH51" s="100"/>
      <c r="AI51" s="100"/>
      <c r="AJ51" s="100"/>
      <c r="AK51" s="100"/>
      <c r="AL51" s="100"/>
      <c r="AM51" s="100"/>
      <c r="AN51" s="100"/>
      <c r="AO51" s="100"/>
      <c r="AP51" s="100"/>
      <c r="AQ51" s="100"/>
      <c r="AR51" s="100"/>
      <c r="AS51" s="100"/>
      <c r="AT51" s="100"/>
      <c r="AU51" s="100"/>
      <c r="AV51" s="100"/>
      <c r="AW51" s="100"/>
      <c r="AX51" s="100"/>
      <c r="AY51" s="100"/>
      <c r="AZ51" s="610">
        <f>AZ48/AT40*100</f>
        <v>-13.432564102564134</v>
      </c>
      <c r="BA51" s="610"/>
      <c r="BB51" s="610"/>
      <c r="BC51" s="610"/>
      <c r="BD51" s="611" t="s">
        <v>69</v>
      </c>
      <c r="BE51" s="114"/>
    </row>
    <row r="52" spans="1:57" ht="13.5" thickBot="1">
      <c r="A52" s="100"/>
      <c r="B52" s="100"/>
      <c r="C52" s="100"/>
      <c r="D52" s="102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  <c r="AF52" s="100"/>
      <c r="AG52" s="100"/>
      <c r="AH52" s="100"/>
      <c r="AI52" s="100"/>
      <c r="AJ52" s="100"/>
      <c r="AK52" s="100"/>
      <c r="AL52" s="100"/>
      <c r="AM52" s="100"/>
      <c r="AN52" s="100"/>
      <c r="AO52" s="100"/>
      <c r="AP52" s="100"/>
      <c r="AQ52" s="100"/>
      <c r="AR52" s="100"/>
      <c r="AS52" s="100"/>
      <c r="AT52" s="100"/>
      <c r="AU52" s="100"/>
      <c r="AV52" s="100"/>
      <c r="AW52" s="100"/>
      <c r="AX52" s="100"/>
      <c r="AY52" s="100"/>
      <c r="AZ52" s="610"/>
      <c r="BA52" s="610"/>
      <c r="BB52" s="610"/>
      <c r="BC52" s="610"/>
      <c r="BD52" s="611"/>
      <c r="BE52" s="117"/>
    </row>
    <row r="53" spans="1:57">
      <c r="A53" s="100"/>
      <c r="B53" s="100"/>
      <c r="C53" s="100"/>
      <c r="D53" s="102"/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100"/>
      <c r="AI53" s="100"/>
      <c r="AJ53" s="100"/>
      <c r="AK53" s="100"/>
      <c r="AL53" s="100"/>
      <c r="AM53" s="100"/>
      <c r="AN53" s="100"/>
      <c r="AO53" s="100"/>
      <c r="AP53" s="100"/>
      <c r="AQ53" s="100"/>
      <c r="AR53" s="100"/>
      <c r="AS53" s="100"/>
      <c r="AT53" s="100"/>
      <c r="AU53" s="100"/>
      <c r="AV53" s="100"/>
      <c r="AW53" s="100"/>
      <c r="AX53" s="100"/>
      <c r="AY53" s="100"/>
      <c r="AZ53" s="100"/>
      <c r="BA53" s="100"/>
      <c r="BB53" s="100"/>
      <c r="BC53" s="100"/>
      <c r="BD53" s="100"/>
      <c r="BE53" s="100"/>
    </row>
    <row r="54" spans="1:57">
      <c r="A54" s="100"/>
      <c r="B54" s="100"/>
      <c r="C54" s="100"/>
      <c r="D54" s="102"/>
      <c r="E54" s="100"/>
      <c r="F54" s="100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100"/>
      <c r="AI54" s="100"/>
      <c r="AJ54" s="100"/>
      <c r="AK54" s="100"/>
      <c r="AL54" s="100"/>
      <c r="AM54" s="100"/>
      <c r="AN54" s="100"/>
      <c r="AO54" s="100"/>
      <c r="AP54" s="100"/>
      <c r="AQ54" s="100"/>
      <c r="AR54" s="100"/>
      <c r="AS54" s="100"/>
      <c r="AT54" s="100"/>
      <c r="AU54" s="100"/>
      <c r="AV54" s="100"/>
      <c r="AW54" s="100"/>
      <c r="AX54" s="100"/>
      <c r="AY54" s="100"/>
      <c r="AZ54" s="100"/>
      <c r="BA54" s="100"/>
      <c r="BB54" s="100"/>
      <c r="BC54" s="100"/>
      <c r="BD54" s="100"/>
      <c r="BE54" s="100"/>
    </row>
    <row r="55" spans="1:57">
      <c r="A55" s="100"/>
      <c r="B55" s="100"/>
      <c r="C55" s="100"/>
      <c r="D55" s="102"/>
      <c r="E55" s="100"/>
      <c r="F55" s="100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  <c r="AH55" s="100"/>
      <c r="AI55" s="100"/>
      <c r="AJ55" s="100"/>
      <c r="AK55" s="100"/>
      <c r="AL55" s="100"/>
      <c r="AM55" s="100"/>
      <c r="AN55" s="100"/>
      <c r="AO55" s="100"/>
      <c r="AP55" s="100"/>
      <c r="AQ55" s="100"/>
      <c r="AR55" s="100"/>
      <c r="AS55" s="100"/>
      <c r="AT55" s="100"/>
      <c r="AU55" s="100"/>
      <c r="AV55" s="100"/>
      <c r="AW55" s="100"/>
      <c r="AX55" s="100"/>
      <c r="AY55" s="100"/>
      <c r="AZ55" s="100"/>
      <c r="BA55" s="100"/>
      <c r="BB55" s="100"/>
      <c r="BC55" s="100"/>
      <c r="BD55" s="100"/>
      <c r="BE55" s="100"/>
    </row>
    <row r="56" spans="1:57" ht="13.5" thickBot="1">
      <c r="A56" s="100"/>
      <c r="B56" s="100"/>
      <c r="C56" s="100"/>
      <c r="D56" s="102"/>
      <c r="E56" s="100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/>
      <c r="AE56" s="100"/>
      <c r="AF56" s="100"/>
      <c r="AG56" s="100"/>
      <c r="AH56" s="100"/>
      <c r="AI56" s="100"/>
      <c r="AJ56" s="100"/>
      <c r="AK56" s="100"/>
      <c r="AL56" s="100"/>
      <c r="AM56" s="100"/>
      <c r="AN56" s="100"/>
      <c r="AO56" s="100"/>
      <c r="AP56" s="100"/>
      <c r="AQ56" s="100"/>
      <c r="AR56" s="100"/>
      <c r="AS56" s="100"/>
      <c r="AT56" s="100"/>
      <c r="AU56" s="100"/>
      <c r="AV56" s="100"/>
      <c r="AW56" s="100"/>
      <c r="AX56" s="100"/>
      <c r="AY56" s="100"/>
      <c r="AZ56" s="100"/>
      <c r="BA56" s="100"/>
      <c r="BB56" s="100"/>
      <c r="BC56" s="100"/>
      <c r="BD56" s="100"/>
      <c r="BE56" s="100"/>
    </row>
    <row r="57" spans="1:57" ht="15.75">
      <c r="A57" s="100"/>
      <c r="B57" s="100"/>
      <c r="C57" s="100"/>
      <c r="D57" s="102"/>
      <c r="E57" s="100"/>
      <c r="F57" s="100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100"/>
      <c r="AI57" s="100"/>
      <c r="AJ57" s="100"/>
      <c r="AK57" s="100"/>
      <c r="AL57" s="100"/>
      <c r="AM57" s="100"/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X57" s="100"/>
      <c r="AY57" s="100"/>
      <c r="AZ57" s="481" t="s">
        <v>344</v>
      </c>
      <c r="BA57" s="482"/>
      <c r="BB57" s="482"/>
      <c r="BC57" s="482"/>
      <c r="BD57" s="482"/>
      <c r="BE57" s="483"/>
    </row>
    <row r="58" spans="1:57" ht="15.75">
      <c r="A58" s="100"/>
      <c r="B58" s="100"/>
      <c r="C58" s="100"/>
      <c r="D58" s="102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  <c r="AA58" s="100"/>
      <c r="AB58" s="100"/>
      <c r="AC58" s="100"/>
      <c r="AD58" s="100"/>
      <c r="AE58" s="100"/>
      <c r="AF58" s="100"/>
      <c r="AG58" s="100"/>
      <c r="AH58" s="100"/>
      <c r="AI58" s="100"/>
      <c r="AJ58" s="100"/>
      <c r="AK58" s="100"/>
      <c r="AL58" s="100"/>
      <c r="AM58" s="100"/>
      <c r="AN58" s="100"/>
      <c r="AO58" s="100"/>
      <c r="AP58" s="100"/>
      <c r="AQ58" s="100"/>
      <c r="AR58" s="100"/>
      <c r="AS58" s="100"/>
      <c r="AT58" s="100"/>
      <c r="AU58" s="100"/>
      <c r="AV58" s="100"/>
      <c r="AW58" s="100"/>
      <c r="AX58" s="100"/>
      <c r="AY58" s="100"/>
      <c r="AZ58" s="484" t="s">
        <v>340</v>
      </c>
      <c r="BA58" s="485"/>
      <c r="BB58" s="485"/>
      <c r="BC58" s="485"/>
      <c r="BD58" s="617">
        <f>'[5]октябрь 20'!$F$38</f>
        <v>958.30999999999983</v>
      </c>
      <c r="BE58" s="618"/>
    </row>
    <row r="59" spans="1:57" ht="16.5" thickBot="1">
      <c r="A59" s="100"/>
      <c r="B59" s="100"/>
      <c r="C59" s="100"/>
      <c r="D59" s="102"/>
      <c r="E59" s="100"/>
      <c r="F59" s="100"/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  <c r="AE59" s="100"/>
      <c r="AF59" s="100"/>
      <c r="AG59" s="100"/>
      <c r="AH59" s="100"/>
      <c r="AI59" s="100"/>
      <c r="AJ59" s="100"/>
      <c r="AK59" s="100"/>
      <c r="AL59" s="100"/>
      <c r="AM59" s="100"/>
      <c r="AN59" s="100"/>
      <c r="AO59" s="100"/>
      <c r="AP59" s="100"/>
      <c r="AQ59" s="100"/>
      <c r="AR59" s="100"/>
      <c r="AS59" s="100"/>
      <c r="AT59" s="100"/>
      <c r="AU59" s="100"/>
      <c r="AV59" s="100"/>
      <c r="AW59" s="100"/>
      <c r="AX59" s="100"/>
      <c r="AY59" s="100"/>
      <c r="AZ59" s="484" t="s">
        <v>341</v>
      </c>
      <c r="BA59" s="485"/>
      <c r="BB59" s="485"/>
      <c r="BC59" s="485"/>
      <c r="BD59" s="619">
        <f>'[5]октябрь 20'!$B$38</f>
        <v>958.31000000000006</v>
      </c>
      <c r="BE59" s="620"/>
    </row>
    <row r="60" spans="1:57" ht="16.5" thickBot="1">
      <c r="A60" s="100"/>
      <c r="B60" s="100"/>
      <c r="C60" s="100"/>
      <c r="D60" s="102"/>
      <c r="E60" s="100"/>
      <c r="F60" s="100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  <c r="AE60" s="100"/>
      <c r="AF60" s="100"/>
      <c r="AG60" s="100"/>
      <c r="AH60" s="100"/>
      <c r="AI60" s="100"/>
      <c r="AJ60" s="100"/>
      <c r="AK60" s="100"/>
      <c r="AL60" s="100"/>
      <c r="AM60" s="100"/>
      <c r="AN60" s="100"/>
      <c r="AO60" s="100"/>
      <c r="AP60" s="100"/>
      <c r="AQ60" s="100"/>
      <c r="AR60" s="100"/>
      <c r="AS60" s="100"/>
      <c r="AT60" s="100"/>
      <c r="AU60" s="100"/>
      <c r="AV60" s="100"/>
      <c r="AW60" s="100"/>
      <c r="AX60" s="100"/>
      <c r="AY60" s="100"/>
      <c r="AZ60" s="486" t="s">
        <v>342</v>
      </c>
      <c r="BA60" s="487"/>
      <c r="BB60" s="487"/>
      <c r="BC60" s="487"/>
      <c r="BD60" s="621">
        <f>BD59-BD58</f>
        <v>0</v>
      </c>
      <c r="BE60" s="622"/>
    </row>
    <row r="61" spans="1:57">
      <c r="A61" s="100"/>
      <c r="B61" s="100"/>
      <c r="C61" s="100"/>
      <c r="D61" s="102"/>
      <c r="E61" s="100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/>
      <c r="AE61" s="100"/>
      <c r="AF61" s="100"/>
      <c r="AG61" s="100"/>
      <c r="AH61" s="100"/>
      <c r="AI61" s="100"/>
      <c r="AJ61" s="100"/>
      <c r="AK61" s="100"/>
      <c r="AL61" s="100"/>
      <c r="AM61" s="100"/>
      <c r="AN61" s="100"/>
      <c r="AO61" s="100"/>
      <c r="AP61" s="100"/>
      <c r="AQ61" s="100"/>
      <c r="AR61" s="100"/>
      <c r="AS61" s="100"/>
      <c r="AT61" s="100"/>
      <c r="AU61" s="100"/>
      <c r="AV61" s="100"/>
      <c r="AW61" s="100"/>
      <c r="AX61" s="100"/>
      <c r="AY61" s="100"/>
      <c r="AZ61" s="100"/>
      <c r="BA61" s="100"/>
      <c r="BB61" s="100"/>
      <c r="BC61" s="100"/>
      <c r="BD61" s="100"/>
      <c r="BE61" s="100"/>
    </row>
    <row r="62" spans="1:57">
      <c r="A62" s="100"/>
      <c r="B62" s="100"/>
      <c r="C62" s="100"/>
      <c r="D62" s="102"/>
      <c r="E62" s="100"/>
      <c r="F62" s="100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100"/>
      <c r="AC62" s="100"/>
      <c r="AD62" s="100"/>
      <c r="AE62" s="100"/>
      <c r="AF62" s="100"/>
      <c r="AG62" s="100"/>
      <c r="AH62" s="100"/>
      <c r="AI62" s="100"/>
      <c r="AJ62" s="100"/>
      <c r="AK62" s="100"/>
      <c r="AL62" s="100"/>
      <c r="AM62" s="100"/>
      <c r="AN62" s="100"/>
      <c r="AO62" s="100"/>
      <c r="AP62" s="100"/>
      <c r="AQ62" s="100"/>
      <c r="AR62" s="100"/>
      <c r="AS62" s="100"/>
      <c r="AT62" s="100"/>
      <c r="AU62" s="100"/>
      <c r="AV62" s="100"/>
      <c r="AW62" s="100"/>
      <c r="AX62" s="100"/>
      <c r="AY62" s="100"/>
      <c r="AZ62" s="100"/>
      <c r="BA62" s="100"/>
      <c r="BB62" s="100"/>
      <c r="BC62" s="100"/>
      <c r="BD62" s="100"/>
      <c r="BE62" s="100"/>
    </row>
    <row r="63" spans="1:57">
      <c r="A63" s="100"/>
      <c r="B63" s="100"/>
      <c r="C63" s="100"/>
      <c r="D63" s="102"/>
      <c r="E63" s="100"/>
      <c r="F63" s="100"/>
      <c r="G63" s="100"/>
      <c r="H63" s="100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  <c r="AA63" s="100"/>
      <c r="AB63" s="100"/>
      <c r="AC63" s="100"/>
      <c r="AD63" s="100"/>
      <c r="AE63" s="100"/>
      <c r="AF63" s="100"/>
      <c r="AG63" s="100"/>
      <c r="AH63" s="100"/>
      <c r="AI63" s="100"/>
      <c r="AJ63" s="100"/>
      <c r="AK63" s="100"/>
      <c r="AL63" s="100"/>
      <c r="AM63" s="100"/>
      <c r="AN63" s="100"/>
      <c r="AO63" s="100"/>
      <c r="AP63" s="100"/>
      <c r="AQ63" s="100"/>
      <c r="AR63" s="100"/>
      <c r="AS63" s="100"/>
      <c r="AT63" s="100"/>
      <c r="AU63" s="100"/>
      <c r="AV63" s="100"/>
      <c r="AW63" s="100"/>
      <c r="AX63" s="100"/>
      <c r="AY63" s="100"/>
      <c r="AZ63" s="100"/>
      <c r="BA63" s="100"/>
      <c r="BB63" s="100"/>
      <c r="BC63" s="100"/>
      <c r="BD63" s="100"/>
      <c r="BE63" s="100"/>
    </row>
    <row r="64" spans="1:57">
      <c r="A64" s="100"/>
      <c r="B64" s="100"/>
      <c r="C64" s="100"/>
      <c r="D64" s="102"/>
      <c r="E64" s="100"/>
      <c r="F64" s="100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  <c r="AE64" s="100"/>
      <c r="AF64" s="100"/>
      <c r="AG64" s="100"/>
      <c r="AH64" s="100"/>
      <c r="AI64" s="100"/>
      <c r="AJ64" s="100"/>
      <c r="AK64" s="100"/>
      <c r="AL64" s="100"/>
      <c r="AM64" s="100"/>
      <c r="AN64" s="100"/>
      <c r="AO64" s="100"/>
      <c r="AP64" s="100"/>
      <c r="AQ64" s="100"/>
      <c r="AR64" s="100"/>
      <c r="AS64" s="100"/>
      <c r="AT64" s="100"/>
      <c r="AU64" s="100"/>
      <c r="AV64" s="100"/>
      <c r="AW64" s="100"/>
      <c r="AX64" s="100"/>
      <c r="AY64" s="100"/>
      <c r="AZ64" s="100"/>
      <c r="BA64" s="100"/>
      <c r="BB64" s="100"/>
      <c r="BC64" s="100"/>
      <c r="BD64" s="100"/>
      <c r="BE64" s="100"/>
    </row>
    <row r="65" spans="1:57">
      <c r="A65" s="100"/>
      <c r="B65" s="100"/>
      <c r="C65" s="100"/>
      <c r="D65" s="102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/>
      <c r="AE65" s="100"/>
      <c r="AF65" s="100"/>
      <c r="AG65" s="100"/>
      <c r="AH65" s="100"/>
      <c r="AI65" s="100"/>
      <c r="AJ65" s="100"/>
      <c r="AK65" s="100"/>
      <c r="AL65" s="100"/>
      <c r="AM65" s="100"/>
      <c r="AN65" s="100"/>
      <c r="AO65" s="100"/>
      <c r="AP65" s="100"/>
      <c r="AQ65" s="100"/>
      <c r="AR65" s="100"/>
      <c r="AS65" s="100"/>
      <c r="AT65" s="100"/>
      <c r="AU65" s="100"/>
      <c r="AV65" s="100"/>
      <c r="AW65" s="100"/>
      <c r="AX65" s="100"/>
      <c r="AY65" s="100"/>
      <c r="AZ65" s="100"/>
      <c r="BA65" s="100"/>
      <c r="BB65" s="100"/>
      <c r="BC65" s="100"/>
      <c r="BD65" s="100"/>
      <c r="BE65" s="100"/>
    </row>
    <row r="66" spans="1:57">
      <c r="A66" s="100"/>
      <c r="B66" s="100"/>
      <c r="C66" s="100"/>
      <c r="D66" s="102"/>
      <c r="E66" s="100"/>
      <c r="F66" s="100"/>
      <c r="G66" s="100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/>
      <c r="AE66" s="100"/>
      <c r="AF66" s="100"/>
      <c r="AG66" s="100"/>
      <c r="AH66" s="100"/>
      <c r="AI66" s="100"/>
      <c r="AJ66" s="100"/>
      <c r="AK66" s="100"/>
      <c r="AL66" s="100"/>
      <c r="AM66" s="100"/>
      <c r="AN66" s="100"/>
      <c r="AO66" s="100"/>
      <c r="AP66" s="100"/>
      <c r="AQ66" s="100"/>
      <c r="AR66" s="100"/>
      <c r="AS66" s="100"/>
      <c r="AT66" s="100"/>
      <c r="AU66" s="100"/>
      <c r="AV66" s="100"/>
      <c r="AW66" s="100"/>
      <c r="AX66" s="100"/>
      <c r="AY66" s="100"/>
      <c r="AZ66" s="100"/>
      <c r="BA66" s="100"/>
      <c r="BB66" s="100"/>
      <c r="BC66" s="100"/>
      <c r="BD66" s="100"/>
      <c r="BE66" s="100"/>
    </row>
    <row r="67" spans="1:57">
      <c r="A67" s="100"/>
      <c r="B67" s="100"/>
      <c r="C67" s="100"/>
      <c r="D67" s="102"/>
      <c r="E67" s="100"/>
      <c r="F67" s="100"/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  <c r="AD67" s="100"/>
      <c r="AE67" s="100"/>
      <c r="AF67" s="100"/>
      <c r="AG67" s="100"/>
      <c r="AH67" s="100"/>
      <c r="AI67" s="100"/>
      <c r="AJ67" s="100"/>
      <c r="AK67" s="100"/>
      <c r="AL67" s="100"/>
      <c r="AM67" s="100"/>
      <c r="AN67" s="100"/>
      <c r="AO67" s="100"/>
      <c r="AP67" s="100"/>
      <c r="AQ67" s="100"/>
      <c r="AR67" s="100"/>
      <c r="AS67" s="100"/>
      <c r="AT67" s="100"/>
      <c r="AU67" s="100"/>
      <c r="AV67" s="100"/>
      <c r="AW67" s="100"/>
      <c r="AX67" s="100"/>
      <c r="AY67" s="100"/>
      <c r="AZ67" s="100"/>
      <c r="BA67" s="100"/>
      <c r="BB67" s="100"/>
      <c r="BC67" s="100"/>
      <c r="BD67" s="100"/>
      <c r="BE67" s="100"/>
    </row>
    <row r="68" spans="1:57">
      <c r="A68" s="100"/>
      <c r="B68" s="100"/>
      <c r="C68" s="100"/>
      <c r="D68" s="102"/>
      <c r="E68" s="100"/>
      <c r="F68" s="100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  <c r="AI68" s="100"/>
      <c r="AJ68" s="100"/>
      <c r="AK68" s="100"/>
      <c r="AL68" s="100"/>
      <c r="AM68" s="100"/>
      <c r="AN68" s="100"/>
      <c r="AO68" s="100"/>
      <c r="AP68" s="100"/>
      <c r="AQ68" s="100"/>
      <c r="AR68" s="100"/>
      <c r="AS68" s="100"/>
      <c r="AT68" s="100"/>
      <c r="AU68" s="100"/>
      <c r="AV68" s="100"/>
      <c r="AW68" s="100"/>
      <c r="AX68" s="100"/>
      <c r="AY68" s="100"/>
      <c r="AZ68" s="100"/>
      <c r="BA68" s="100"/>
      <c r="BB68" s="100"/>
      <c r="BC68" s="100"/>
      <c r="BD68" s="100"/>
      <c r="BE68" s="100"/>
    </row>
    <row r="69" spans="1:57">
      <c r="A69" s="100"/>
      <c r="B69" s="100"/>
      <c r="C69" s="100"/>
      <c r="D69" s="102"/>
      <c r="E69" s="100"/>
      <c r="F69" s="100"/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100"/>
      <c r="AC69" s="100"/>
      <c r="AD69" s="100"/>
      <c r="AE69" s="100"/>
      <c r="AF69" s="100"/>
      <c r="AG69" s="100"/>
      <c r="AH69" s="100"/>
      <c r="AI69" s="100"/>
      <c r="AJ69" s="100"/>
      <c r="AK69" s="100"/>
      <c r="AL69" s="100"/>
      <c r="AM69" s="100"/>
      <c r="AN69" s="100"/>
      <c r="AO69" s="100"/>
      <c r="AP69" s="100"/>
      <c r="AQ69" s="100"/>
      <c r="AR69" s="100"/>
      <c r="AS69" s="100"/>
      <c r="AT69" s="100"/>
      <c r="AU69" s="100"/>
      <c r="AV69" s="100"/>
      <c r="AW69" s="100"/>
      <c r="AX69" s="100"/>
      <c r="AY69" s="100"/>
      <c r="AZ69" s="100"/>
      <c r="BA69" s="100"/>
      <c r="BB69" s="100"/>
      <c r="BC69" s="100"/>
      <c r="BD69" s="100"/>
      <c r="BE69" s="100"/>
    </row>
    <row r="70" spans="1:57">
      <c r="A70" s="100"/>
      <c r="B70" s="100"/>
      <c r="C70" s="100"/>
      <c r="D70" s="102"/>
      <c r="E70" s="100"/>
      <c r="F70" s="100"/>
      <c r="G70" s="100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  <c r="AE70" s="100"/>
      <c r="AF70" s="100"/>
      <c r="AG70" s="100"/>
      <c r="AH70" s="100"/>
      <c r="AI70" s="100"/>
      <c r="AJ70" s="100"/>
      <c r="AK70" s="100"/>
      <c r="AL70" s="100"/>
      <c r="AM70" s="100"/>
      <c r="AN70" s="100"/>
      <c r="AO70" s="100"/>
      <c r="AP70" s="100"/>
      <c r="AQ70" s="100"/>
      <c r="AR70" s="100"/>
      <c r="AS70" s="100"/>
      <c r="AT70" s="100"/>
      <c r="AU70" s="100"/>
      <c r="AV70" s="100"/>
      <c r="AW70" s="100"/>
      <c r="AX70" s="100"/>
      <c r="AY70" s="100"/>
      <c r="AZ70" s="100"/>
      <c r="BA70" s="100"/>
      <c r="BB70" s="100"/>
      <c r="BC70" s="100"/>
      <c r="BD70" s="100"/>
      <c r="BE70" s="100"/>
    </row>
    <row r="71" spans="1:57" ht="18" customHeight="1">
      <c r="A71" s="318" t="s">
        <v>70</v>
      </c>
      <c r="B71" s="319"/>
      <c r="C71" s="318"/>
      <c r="D71" s="318"/>
      <c r="E71" s="318"/>
      <c r="F71" s="318"/>
      <c r="G71" s="318"/>
      <c r="H71" s="318"/>
      <c r="I71" s="318"/>
      <c r="J71" s="320"/>
      <c r="K71" s="320"/>
      <c r="L71" s="605" t="s">
        <v>327</v>
      </c>
      <c r="M71" s="605"/>
      <c r="N71" s="605"/>
      <c r="O71" s="605"/>
      <c r="P71" s="605"/>
      <c r="Q71" s="605"/>
      <c r="R71" s="109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/>
      <c r="AE71" s="100"/>
      <c r="AF71" s="100"/>
      <c r="AG71" s="100"/>
      <c r="AH71" s="100"/>
      <c r="AI71" s="100"/>
      <c r="AJ71" s="100"/>
      <c r="AK71" s="100"/>
      <c r="AL71" s="100"/>
      <c r="AM71" s="100"/>
      <c r="AN71" s="100"/>
      <c r="AO71" s="100"/>
      <c r="AP71" s="100"/>
      <c r="AQ71" s="100"/>
      <c r="AR71" s="100"/>
      <c r="AS71" s="100"/>
      <c r="AT71" s="100"/>
      <c r="AU71" s="100"/>
      <c r="AV71" s="100"/>
      <c r="AW71" s="100"/>
      <c r="AX71" s="100"/>
      <c r="AY71" s="100"/>
      <c r="AZ71" s="100"/>
      <c r="BA71" s="100"/>
      <c r="BB71" s="100"/>
      <c r="BC71" s="100"/>
      <c r="BD71" s="100"/>
      <c r="BE71" s="100"/>
    </row>
    <row r="72" spans="1:57" ht="15">
      <c r="A72" s="118"/>
      <c r="B72" s="118"/>
      <c r="C72" s="119"/>
      <c r="D72" s="120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  <c r="AE72" s="100"/>
      <c r="AF72" s="100"/>
      <c r="AG72" s="100"/>
      <c r="AH72" s="100"/>
      <c r="AI72" s="100"/>
      <c r="AJ72" s="100"/>
      <c r="AK72" s="100"/>
      <c r="AL72" s="100"/>
      <c r="AM72" s="100"/>
      <c r="AN72" s="100"/>
      <c r="AO72" s="100"/>
      <c r="AP72" s="100"/>
      <c r="AQ72" s="100"/>
      <c r="AR72" s="100"/>
      <c r="AS72" s="100"/>
      <c r="AT72" s="100"/>
      <c r="AU72" s="100"/>
      <c r="AV72" s="100"/>
      <c r="AW72" s="100"/>
      <c r="AX72" s="100"/>
      <c r="AY72" s="100"/>
      <c r="AZ72" s="100"/>
      <c r="BA72" s="100"/>
      <c r="BB72" s="100"/>
      <c r="BC72" s="100"/>
      <c r="BD72" s="100"/>
      <c r="BE72" s="100"/>
    </row>
    <row r="73" spans="1:57" ht="15.75">
      <c r="A73" s="100"/>
      <c r="B73" s="100"/>
      <c r="C73" s="100"/>
      <c r="D73" s="102"/>
      <c r="E73" s="100"/>
      <c r="F73" s="100"/>
      <c r="G73" s="100"/>
      <c r="H73" s="100"/>
      <c r="I73" s="100"/>
      <c r="J73" s="100"/>
      <c r="K73" s="100"/>
      <c r="L73" s="111"/>
      <c r="M73" s="111"/>
      <c r="N73" s="111"/>
      <c r="O73" s="111"/>
      <c r="P73" s="111"/>
      <c r="Q73" s="111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00"/>
      <c r="AK73" s="100"/>
      <c r="AL73" s="100"/>
      <c r="AM73" s="100"/>
      <c r="AN73" s="100"/>
      <c r="AO73" s="100"/>
      <c r="AP73" s="100"/>
      <c r="AQ73" s="100"/>
      <c r="AR73" s="100"/>
      <c r="AS73" s="100"/>
      <c r="AT73" s="100"/>
      <c r="AU73" s="100"/>
      <c r="AV73" s="100"/>
      <c r="AW73" s="100"/>
      <c r="AX73" s="100"/>
      <c r="AY73" s="100"/>
      <c r="AZ73" s="100"/>
      <c r="BA73" s="100"/>
      <c r="BB73" s="100"/>
      <c r="BC73" s="100"/>
      <c r="BD73" s="100"/>
      <c r="BE73" s="100"/>
    </row>
    <row r="74" spans="1:57">
      <c r="A74" s="100"/>
      <c r="B74" s="100"/>
      <c r="C74" s="100"/>
      <c r="D74" s="102"/>
      <c r="E74" s="100"/>
      <c r="F74" s="100"/>
      <c r="G74" s="100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00"/>
      <c r="AK74" s="100"/>
      <c r="AL74" s="100"/>
      <c r="AM74" s="100"/>
      <c r="AN74" s="100"/>
      <c r="AO74" s="100"/>
      <c r="AP74" s="100"/>
      <c r="AQ74" s="100"/>
      <c r="AR74" s="100"/>
      <c r="AS74" s="100"/>
      <c r="AT74" s="100"/>
      <c r="AU74" s="100"/>
      <c r="AV74" s="100"/>
      <c r="AW74" s="100"/>
      <c r="AX74" s="100"/>
      <c r="AY74" s="100"/>
      <c r="AZ74" s="100"/>
      <c r="BA74" s="100"/>
      <c r="BB74" s="100"/>
      <c r="BC74" s="100"/>
      <c r="BD74" s="100"/>
      <c r="BE74" s="100"/>
    </row>
    <row r="75" spans="1:57">
      <c r="A75" s="100"/>
      <c r="B75" s="100"/>
      <c r="C75" s="100"/>
      <c r="D75" s="102"/>
      <c r="E75" s="100"/>
      <c r="F75" s="100"/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  <c r="AD75" s="100"/>
      <c r="AE75" s="100"/>
      <c r="AF75" s="100"/>
      <c r="AG75" s="100"/>
      <c r="AH75" s="100"/>
      <c r="AI75" s="100"/>
      <c r="AJ75" s="100"/>
      <c r="AK75" s="100"/>
      <c r="AL75" s="100"/>
      <c r="AM75" s="100"/>
      <c r="AN75" s="100"/>
      <c r="AO75" s="100"/>
      <c r="AP75" s="100"/>
      <c r="AQ75" s="100"/>
      <c r="AR75" s="100"/>
      <c r="AS75" s="100"/>
      <c r="AT75" s="100"/>
      <c r="AU75" s="100"/>
      <c r="AV75" s="100"/>
      <c r="AW75" s="100"/>
      <c r="AX75" s="100"/>
      <c r="AY75" s="100"/>
      <c r="AZ75" s="100"/>
      <c r="BA75" s="100"/>
      <c r="BB75" s="100"/>
      <c r="BC75" s="100"/>
      <c r="BD75" s="100"/>
      <c r="BE75" s="100"/>
    </row>
    <row r="77" spans="1:57">
      <c r="AY77" t="s">
        <v>302</v>
      </c>
    </row>
  </sheetData>
  <sheetProtection selectLockedCells="1" selectUnlockedCells="1"/>
  <mergeCells count="81">
    <mergeCell ref="AE3:AF4"/>
    <mergeCell ref="AG3:AI4"/>
    <mergeCell ref="AI5:AI6"/>
    <mergeCell ref="AY2:BC2"/>
    <mergeCell ref="A3:A6"/>
    <mergeCell ref="B3:G3"/>
    <mergeCell ref="H3:P3"/>
    <mergeCell ref="Q3:U3"/>
    <mergeCell ref="V3:V6"/>
    <mergeCell ref="W3:W6"/>
    <mergeCell ref="X3:X6"/>
    <mergeCell ref="Y3:Y6"/>
    <mergeCell ref="Z3:Z6"/>
    <mergeCell ref="P4:P6"/>
    <mergeCell ref="L4:L6"/>
    <mergeCell ref="M4:M6"/>
    <mergeCell ref="CJ3:CM5"/>
    <mergeCell ref="B4:B6"/>
    <mergeCell ref="C4:C6"/>
    <mergeCell ref="D4:D6"/>
    <mergeCell ref="E4:E6"/>
    <mergeCell ref="F4:F6"/>
    <mergeCell ref="G4:G6"/>
    <mergeCell ref="H4:H6"/>
    <mergeCell ref="I4:I6"/>
    <mergeCell ref="J4:J6"/>
    <mergeCell ref="BD3:BD6"/>
    <mergeCell ref="BE3:BE6"/>
    <mergeCell ref="BK3:BQ5"/>
    <mergeCell ref="BR3:BX5"/>
    <mergeCell ref="BY3:CE5"/>
    <mergeCell ref="K4:K6"/>
    <mergeCell ref="AA3:AA6"/>
    <mergeCell ref="AB3:AB6"/>
    <mergeCell ref="N4:N6"/>
    <mergeCell ref="O4:O6"/>
    <mergeCell ref="DD4:DH4"/>
    <mergeCell ref="AE5:AE6"/>
    <mergeCell ref="AF5:AF6"/>
    <mergeCell ref="AG5:AG6"/>
    <mergeCell ref="AH5:AH6"/>
    <mergeCell ref="CF3:CI5"/>
    <mergeCell ref="AQ3:AQ6"/>
    <mergeCell ref="AS3:AS6"/>
    <mergeCell ref="AT3:AY4"/>
    <mergeCell ref="AZ3:AZ6"/>
    <mergeCell ref="BA3:BB4"/>
    <mergeCell ref="BC3:BC6"/>
    <mergeCell ref="Q4:Q6"/>
    <mergeCell ref="R4:R6"/>
    <mergeCell ref="S4:S6"/>
    <mergeCell ref="T4:T6"/>
    <mergeCell ref="U4:U6"/>
    <mergeCell ref="AC3:AC6"/>
    <mergeCell ref="AD3:AD6"/>
    <mergeCell ref="DA5:DB5"/>
    <mergeCell ref="CO39:CP39"/>
    <mergeCell ref="CQ39:CU39"/>
    <mergeCell ref="CV39:CY39"/>
    <mergeCell ref="AX5:AX6"/>
    <mergeCell ref="AY5:AY6"/>
    <mergeCell ref="AJ3:AK6"/>
    <mergeCell ref="AL3:AL6"/>
    <mergeCell ref="AM3:AM6"/>
    <mergeCell ref="AN3:AN6"/>
    <mergeCell ref="AO3:AO6"/>
    <mergeCell ref="AP3:AP6"/>
    <mergeCell ref="AT5:AT6"/>
    <mergeCell ref="AW5:AW6"/>
    <mergeCell ref="CO40:CU40"/>
    <mergeCell ref="BD58:BE58"/>
    <mergeCell ref="BD59:BE59"/>
    <mergeCell ref="BD60:BE60"/>
    <mergeCell ref="L71:Q71"/>
    <mergeCell ref="N46:O46"/>
    <mergeCell ref="AZ46:BE47"/>
    <mergeCell ref="AZ48:BC49"/>
    <mergeCell ref="BD48:BD49"/>
    <mergeCell ref="AZ51:BC52"/>
    <mergeCell ref="BD51:BD52"/>
    <mergeCell ref="AT42:AV42"/>
  </mergeCells>
  <printOptions horizontalCentered="1" verticalCentered="1"/>
  <pageMargins left="0" right="0" top="0" bottom="0" header="0" footer="0"/>
  <pageSetup paperSize="9" scale="46" firstPageNumber="0" orientation="landscape" r:id="rId1"/>
  <headerFooter alignWithMargins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>
  <dimension ref="A1:DJ77"/>
  <sheetViews>
    <sheetView showZeros="0" zoomScale="90" zoomScaleNormal="90" workbookViewId="0">
      <pane xSplit="1" ySplit="6" topLeftCell="CP19" activePane="bottomRight" state="frozen"/>
      <selection pane="topRight" activeCell="B1" sqref="B1"/>
      <selection pane="bottomLeft" activeCell="A7" sqref="A7"/>
      <selection pane="bottomRight" activeCell="CR44" sqref="CR44"/>
    </sheetView>
  </sheetViews>
  <sheetFormatPr defaultColWidth="8.7109375" defaultRowHeight="12.75"/>
  <cols>
    <col min="1" max="1" width="3.5703125" customWidth="1"/>
    <col min="2" max="2" width="9.7109375" customWidth="1"/>
    <col min="3" max="3" width="6" customWidth="1"/>
    <col min="4" max="4" width="12" style="1" hidden="1" customWidth="1"/>
    <col min="5" max="5" width="7.140625" customWidth="1"/>
    <col min="6" max="6" width="7.5703125" customWidth="1"/>
    <col min="7" max="7" width="7.7109375" customWidth="1"/>
    <col min="8" max="8" width="7.28515625" customWidth="1"/>
    <col min="9" max="9" width="7.42578125" hidden="1" customWidth="1"/>
    <col min="10" max="10" width="9.140625" customWidth="1"/>
    <col min="11" max="11" width="5.5703125" hidden="1" customWidth="1"/>
    <col min="12" max="12" width="9.28515625" customWidth="1"/>
    <col min="13" max="13" width="7.42578125" customWidth="1"/>
    <col min="14" max="14" width="4.140625" customWidth="1"/>
    <col min="15" max="15" width="8.140625" customWidth="1"/>
    <col min="16" max="16" width="9.85546875" hidden="1" customWidth="1"/>
    <col min="17" max="17" width="9.28515625" customWidth="1"/>
    <col min="18" max="18" width="6" customWidth="1"/>
    <col min="19" max="19" width="8.140625" customWidth="1"/>
    <col min="20" max="20" width="9.140625" hidden="1" customWidth="1"/>
    <col min="21" max="21" width="7.140625" customWidth="1"/>
    <col min="22" max="22" width="8.140625" customWidth="1"/>
    <col min="23" max="23" width="8.28515625" customWidth="1"/>
    <col min="24" max="24" width="6" customWidth="1"/>
    <col min="25" max="25" width="5.42578125" customWidth="1"/>
    <col min="26" max="26" width="6.85546875" customWidth="1"/>
    <col min="27" max="27" width="6.5703125" customWidth="1"/>
    <col min="28" max="28" width="7.5703125" customWidth="1"/>
    <col min="29" max="29" width="6.5703125" customWidth="1"/>
    <col min="30" max="30" width="4.28515625" customWidth="1"/>
    <col min="31" max="32" width="6.85546875" customWidth="1"/>
    <col min="33" max="33" width="0" hidden="1" customWidth="1"/>
    <col min="34" max="34" width="8.42578125" customWidth="1"/>
    <col min="35" max="35" width="7" customWidth="1"/>
    <col min="36" max="36" width="7.85546875" customWidth="1"/>
    <col min="37" max="37" width="0" hidden="1" customWidth="1"/>
    <col min="38" max="38" width="7.28515625" customWidth="1"/>
    <col min="39" max="39" width="7.7109375" customWidth="1"/>
    <col min="40" max="40" width="7" hidden="1" customWidth="1"/>
    <col min="41" max="41" width="9.42578125" customWidth="1"/>
    <col min="42" max="42" width="6.28515625" customWidth="1"/>
    <col min="43" max="43" width="6.85546875" customWidth="1"/>
    <col min="44" max="44" width="0" hidden="1" customWidth="1"/>
    <col min="45" max="45" width="6.7109375" customWidth="1"/>
    <col min="46" max="46" width="9.7109375" customWidth="1"/>
    <col min="47" max="47" width="7" customWidth="1"/>
    <col min="48" max="48" width="0" hidden="1" customWidth="1"/>
    <col min="49" max="49" width="6.140625" hidden="1" customWidth="1"/>
    <col min="50" max="50" width="5.140625" hidden="1" customWidth="1"/>
    <col min="51" max="51" width="8.42578125" customWidth="1"/>
    <col min="52" max="52" width="10" customWidth="1"/>
    <col min="53" max="53" width="8.7109375" hidden="1" customWidth="1"/>
    <col min="54" max="54" width="3.85546875" hidden="1" customWidth="1"/>
    <col min="55" max="55" width="6.5703125" customWidth="1"/>
    <col min="56" max="56" width="6.140625" customWidth="1"/>
    <col min="57" max="57" width="6.7109375" customWidth="1"/>
    <col min="58" max="58" width="8.85546875" customWidth="1"/>
    <col min="59" max="59" width="7.85546875" customWidth="1"/>
    <col min="60" max="60" width="9.85546875" customWidth="1"/>
    <col min="61" max="62" width="8.7109375" customWidth="1"/>
    <col min="63" max="63" width="10.28515625" customWidth="1"/>
    <col min="64" max="64" width="10.85546875" customWidth="1"/>
    <col min="65" max="65" width="10.7109375" customWidth="1"/>
    <col min="66" max="66" width="11.28515625" customWidth="1"/>
    <col min="67" max="68" width="8.85546875" customWidth="1"/>
    <col min="69" max="69" width="11.28515625" customWidth="1"/>
    <col min="70" max="70" width="7.7109375" customWidth="1"/>
    <col min="71" max="71" width="10" customWidth="1"/>
    <col min="72" max="72" width="8.85546875" customWidth="1"/>
    <col min="73" max="73" width="10.140625" customWidth="1"/>
    <col min="74" max="75" width="8.85546875" customWidth="1"/>
    <col min="76" max="76" width="10.85546875" customWidth="1"/>
    <col min="77" max="78" width="8.7109375" customWidth="1"/>
    <col min="79" max="79" width="10" customWidth="1"/>
    <col min="80" max="80" width="10.42578125" customWidth="1"/>
    <col min="81" max="82" width="8.42578125" customWidth="1"/>
    <col min="83" max="83" width="9.85546875" customWidth="1"/>
    <col min="84" max="85" width="11.42578125" customWidth="1"/>
    <col min="86" max="86" width="11.140625" customWidth="1"/>
    <col min="87" max="87" width="11.28515625" customWidth="1"/>
    <col min="88" max="89" width="10" customWidth="1"/>
    <col min="90" max="90" width="8.7109375" customWidth="1"/>
    <col min="91" max="91" width="11.85546875" customWidth="1"/>
    <col min="92" max="92" width="8.7109375" customWidth="1"/>
    <col min="93" max="93" width="12.140625" customWidth="1"/>
    <col min="94" max="94" width="12.5703125" customWidth="1"/>
    <col min="95" max="95" width="11.7109375" customWidth="1"/>
    <col min="96" max="98" width="12.28515625" customWidth="1"/>
    <col min="99" max="99" width="13.28515625" customWidth="1"/>
    <col min="100" max="100" width="12.85546875" customWidth="1"/>
    <col min="101" max="101" width="13.42578125" customWidth="1"/>
    <col min="102" max="103" width="12.5703125" customWidth="1"/>
    <col min="104" max="104" width="9.5703125" customWidth="1"/>
    <col min="105" max="105" width="19.140625" customWidth="1"/>
    <col min="106" max="106" width="19.42578125" customWidth="1"/>
    <col min="111" max="111" width="8.7109375" hidden="1" customWidth="1"/>
    <col min="112" max="112" width="9" bestFit="1" customWidth="1"/>
    <col min="114" max="114" width="9.5703125" bestFit="1" customWidth="1"/>
  </cols>
  <sheetData>
    <row r="1" spans="1:114" ht="17.25" customHeight="1">
      <c r="A1" s="310" t="s">
        <v>0</v>
      </c>
      <c r="B1" s="310"/>
      <c r="C1" s="310"/>
      <c r="D1" s="311"/>
      <c r="E1" s="310"/>
      <c r="F1" s="310"/>
      <c r="G1" s="310"/>
      <c r="H1" s="310"/>
      <c r="I1" s="310"/>
      <c r="J1" s="310"/>
      <c r="K1" s="310"/>
      <c r="L1" s="310"/>
      <c r="M1" s="310"/>
      <c r="N1" s="310"/>
      <c r="O1" s="310"/>
      <c r="P1" s="77"/>
      <c r="Q1" s="77"/>
      <c r="R1" s="77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</row>
    <row r="2" spans="1:114" ht="19.5" customHeight="1" thickBot="1">
      <c r="A2" s="22"/>
      <c r="B2" s="78"/>
      <c r="C2" s="78"/>
      <c r="D2" s="79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80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80"/>
      <c r="AT2" s="312" t="s">
        <v>1</v>
      </c>
      <c r="AU2" s="313">
        <v>31</v>
      </c>
      <c r="AV2" s="314"/>
      <c r="AW2" s="314"/>
      <c r="AX2" s="315" t="s">
        <v>81</v>
      </c>
      <c r="AY2" s="556" t="s">
        <v>405</v>
      </c>
      <c r="AZ2" s="556"/>
      <c r="BA2" s="556"/>
      <c r="BB2" s="556"/>
      <c r="BC2" s="556"/>
      <c r="BD2" s="316" t="s">
        <v>107</v>
      </c>
      <c r="BE2" s="317"/>
    </row>
    <row r="3" spans="1:114" ht="39.75" customHeight="1" thickBot="1">
      <c r="A3" s="557" t="s">
        <v>3</v>
      </c>
      <c r="B3" s="558" t="s">
        <v>71</v>
      </c>
      <c r="C3" s="558"/>
      <c r="D3" s="558"/>
      <c r="E3" s="558"/>
      <c r="F3" s="558"/>
      <c r="G3" s="558"/>
      <c r="H3" s="554" t="s">
        <v>4</v>
      </c>
      <c r="I3" s="554"/>
      <c r="J3" s="554"/>
      <c r="K3" s="554"/>
      <c r="L3" s="554"/>
      <c r="M3" s="554"/>
      <c r="N3" s="554"/>
      <c r="O3" s="554"/>
      <c r="P3" s="559"/>
      <c r="Q3" s="560" t="s">
        <v>5</v>
      </c>
      <c r="R3" s="561"/>
      <c r="S3" s="561"/>
      <c r="T3" s="561"/>
      <c r="U3" s="562"/>
      <c r="V3" s="563" t="s">
        <v>6</v>
      </c>
      <c r="W3" s="563" t="s">
        <v>7</v>
      </c>
      <c r="X3" s="564" t="s">
        <v>8</v>
      </c>
      <c r="Y3" s="564" t="s">
        <v>9</v>
      </c>
      <c r="Z3" s="564" t="s">
        <v>10</v>
      </c>
      <c r="AA3" s="564" t="s">
        <v>11</v>
      </c>
      <c r="AB3" s="564" t="s">
        <v>12</v>
      </c>
      <c r="AC3" s="564" t="s">
        <v>13</v>
      </c>
      <c r="AD3" s="564" t="s">
        <v>14</v>
      </c>
      <c r="AE3" s="554" t="s">
        <v>15</v>
      </c>
      <c r="AF3" s="554"/>
      <c r="AG3" s="554" t="s">
        <v>16</v>
      </c>
      <c r="AH3" s="554"/>
      <c r="AI3" s="554"/>
      <c r="AJ3" s="593" t="s">
        <v>17</v>
      </c>
      <c r="AK3" s="593"/>
      <c r="AL3" s="564" t="s">
        <v>18</v>
      </c>
      <c r="AM3" s="599" t="s">
        <v>19</v>
      </c>
      <c r="AN3" s="600" t="s">
        <v>95</v>
      </c>
      <c r="AO3" s="603" t="s">
        <v>20</v>
      </c>
      <c r="AP3" s="564" t="s">
        <v>105</v>
      </c>
      <c r="AQ3" s="564" t="s">
        <v>21</v>
      </c>
      <c r="AR3" s="81"/>
      <c r="AS3" s="593" t="s">
        <v>22</v>
      </c>
      <c r="AT3" s="554" t="s">
        <v>23</v>
      </c>
      <c r="AU3" s="554"/>
      <c r="AV3" s="554"/>
      <c r="AW3" s="554"/>
      <c r="AX3" s="554"/>
      <c r="AY3" s="554"/>
      <c r="AZ3" s="564" t="s">
        <v>24</v>
      </c>
      <c r="BA3" s="594" t="s">
        <v>25</v>
      </c>
      <c r="BB3" s="594"/>
      <c r="BC3" s="564" t="s">
        <v>26</v>
      </c>
      <c r="BD3" s="564" t="s">
        <v>27</v>
      </c>
      <c r="BE3" s="572" t="s">
        <v>28</v>
      </c>
      <c r="BF3" s="3"/>
      <c r="BG3" s="3"/>
      <c r="BH3" s="3"/>
      <c r="BI3" s="3"/>
      <c r="BJ3" s="3"/>
      <c r="BK3" s="573" t="s">
        <v>29</v>
      </c>
      <c r="BL3" s="574"/>
      <c r="BM3" s="574"/>
      <c r="BN3" s="574"/>
      <c r="BO3" s="575"/>
      <c r="BP3" s="575"/>
      <c r="BQ3" s="576"/>
      <c r="BR3" s="573" t="s">
        <v>30</v>
      </c>
      <c r="BS3" s="585"/>
      <c r="BT3" s="585"/>
      <c r="BU3" s="585"/>
      <c r="BV3" s="585"/>
      <c r="BW3" s="585"/>
      <c r="BX3" s="586"/>
      <c r="BY3" s="566" t="s">
        <v>31</v>
      </c>
      <c r="BZ3" s="566"/>
      <c r="CA3" s="566"/>
      <c r="CB3" s="566"/>
      <c r="CC3" s="566"/>
      <c r="CD3" s="566"/>
      <c r="CE3" s="566"/>
      <c r="CF3" s="566" t="s">
        <v>87</v>
      </c>
      <c r="CG3" s="566"/>
      <c r="CH3" s="566"/>
      <c r="CI3" s="566"/>
      <c r="CJ3" s="566" t="s">
        <v>32</v>
      </c>
      <c r="CK3" s="566"/>
      <c r="CL3" s="566"/>
      <c r="CM3" s="566"/>
      <c r="CN3" s="4"/>
      <c r="CO3" s="5"/>
      <c r="CP3" s="6"/>
      <c r="CQ3" s="6"/>
    </row>
    <row r="4" spans="1:114" s="7" customFormat="1" ht="30.75" customHeight="1" thickBot="1">
      <c r="A4" s="557"/>
      <c r="B4" s="565" t="s">
        <v>72</v>
      </c>
      <c r="C4" s="613" t="s">
        <v>73</v>
      </c>
      <c r="D4" s="615" t="s">
        <v>33</v>
      </c>
      <c r="E4" s="613" t="s">
        <v>74</v>
      </c>
      <c r="F4" s="569" t="s">
        <v>75</v>
      </c>
      <c r="G4" s="569" t="s">
        <v>34</v>
      </c>
      <c r="H4" s="555" t="s">
        <v>76</v>
      </c>
      <c r="I4" s="570" t="s">
        <v>101</v>
      </c>
      <c r="J4" s="555" t="s">
        <v>89</v>
      </c>
      <c r="K4" s="565" t="s">
        <v>35</v>
      </c>
      <c r="L4" s="565" t="s">
        <v>77</v>
      </c>
      <c r="M4" s="565" t="s">
        <v>78</v>
      </c>
      <c r="N4" s="565" t="s">
        <v>101</v>
      </c>
      <c r="O4" s="565" t="s">
        <v>96</v>
      </c>
      <c r="P4" s="555" t="s">
        <v>79</v>
      </c>
      <c r="Q4" s="555" t="s">
        <v>36</v>
      </c>
      <c r="R4" s="555" t="s">
        <v>32</v>
      </c>
      <c r="S4" s="555" t="s">
        <v>37</v>
      </c>
      <c r="T4" s="555" t="s">
        <v>38</v>
      </c>
      <c r="U4" s="555" t="s">
        <v>39</v>
      </c>
      <c r="V4" s="563"/>
      <c r="W4" s="563"/>
      <c r="X4" s="564"/>
      <c r="Y4" s="564"/>
      <c r="Z4" s="564"/>
      <c r="AA4" s="564"/>
      <c r="AB4" s="564"/>
      <c r="AC4" s="564"/>
      <c r="AD4" s="564"/>
      <c r="AE4" s="554"/>
      <c r="AF4" s="554"/>
      <c r="AG4" s="554"/>
      <c r="AH4" s="554"/>
      <c r="AI4" s="554"/>
      <c r="AJ4" s="593"/>
      <c r="AK4" s="593"/>
      <c r="AL4" s="564"/>
      <c r="AM4" s="599"/>
      <c r="AN4" s="601"/>
      <c r="AO4" s="603"/>
      <c r="AP4" s="564"/>
      <c r="AQ4" s="564"/>
      <c r="AR4" s="82"/>
      <c r="AS4" s="593"/>
      <c r="AT4" s="554"/>
      <c r="AU4" s="554"/>
      <c r="AV4" s="554"/>
      <c r="AW4" s="554"/>
      <c r="AX4" s="554"/>
      <c r="AY4" s="554"/>
      <c r="AZ4" s="564"/>
      <c r="BA4" s="594"/>
      <c r="BB4" s="594"/>
      <c r="BC4" s="564"/>
      <c r="BD4" s="564"/>
      <c r="BE4" s="572"/>
      <c r="BF4" s="3"/>
      <c r="BG4" s="3"/>
      <c r="BH4" s="3"/>
      <c r="BI4" s="3"/>
      <c r="BJ4" s="3"/>
      <c r="BK4" s="577"/>
      <c r="BL4" s="578"/>
      <c r="BM4" s="578"/>
      <c r="BN4" s="578"/>
      <c r="BO4" s="579"/>
      <c r="BP4" s="579"/>
      <c r="BQ4" s="580"/>
      <c r="BR4" s="577"/>
      <c r="BS4" s="566"/>
      <c r="BT4" s="566"/>
      <c r="BU4" s="566"/>
      <c r="BV4" s="566"/>
      <c r="BW4" s="566"/>
      <c r="BX4" s="587"/>
      <c r="BY4" s="566"/>
      <c r="BZ4" s="566"/>
      <c r="CA4" s="566"/>
      <c r="CB4" s="566"/>
      <c r="CC4" s="566"/>
      <c r="CD4" s="566"/>
      <c r="CE4" s="566"/>
      <c r="CF4" s="566"/>
      <c r="CG4" s="566"/>
      <c r="CH4" s="566"/>
      <c r="CI4" s="566"/>
      <c r="CJ4" s="566"/>
      <c r="CK4" s="566"/>
      <c r="CL4" s="566"/>
      <c r="CM4" s="566"/>
      <c r="CN4" s="4"/>
      <c r="CO4" s="6"/>
      <c r="CP4" s="6"/>
      <c r="CQ4" s="262"/>
      <c r="CR4" s="231"/>
      <c r="CS4" s="231"/>
      <c r="CT4" s="231"/>
      <c r="CU4" s="231"/>
      <c r="CV4" s="231"/>
      <c r="CW4" s="231"/>
      <c r="CX4" s="231"/>
      <c r="CY4" s="231"/>
      <c r="DD4" s="590" t="s">
        <v>90</v>
      </c>
      <c r="DE4" s="591"/>
      <c r="DF4" s="591"/>
      <c r="DG4" s="591"/>
      <c r="DH4" s="592"/>
    </row>
    <row r="5" spans="1:114" s="7" customFormat="1" ht="8.25" hidden="1" customHeight="1">
      <c r="A5" s="557"/>
      <c r="B5" s="565"/>
      <c r="C5" s="614"/>
      <c r="D5" s="616"/>
      <c r="E5" s="614"/>
      <c r="F5" s="569"/>
      <c r="G5" s="569"/>
      <c r="H5" s="555"/>
      <c r="I5" s="570"/>
      <c r="J5" s="565"/>
      <c r="K5" s="565"/>
      <c r="L5" s="565"/>
      <c r="M5" s="565"/>
      <c r="N5" s="565"/>
      <c r="O5" s="565"/>
      <c r="P5" s="555"/>
      <c r="Q5" s="555"/>
      <c r="R5" s="555"/>
      <c r="S5" s="555"/>
      <c r="T5" s="555"/>
      <c r="U5" s="555"/>
      <c r="V5" s="563"/>
      <c r="W5" s="563"/>
      <c r="X5" s="564"/>
      <c r="Y5" s="564"/>
      <c r="Z5" s="564"/>
      <c r="AA5" s="564"/>
      <c r="AB5" s="564"/>
      <c r="AC5" s="564"/>
      <c r="AD5" s="564"/>
      <c r="AE5" s="555" t="s">
        <v>40</v>
      </c>
      <c r="AF5" s="555" t="s">
        <v>41</v>
      </c>
      <c r="AG5" s="555" t="s">
        <v>42</v>
      </c>
      <c r="AH5" s="555" t="s">
        <v>40</v>
      </c>
      <c r="AI5" s="555" t="s">
        <v>41</v>
      </c>
      <c r="AJ5" s="593"/>
      <c r="AK5" s="593"/>
      <c r="AL5" s="564"/>
      <c r="AM5" s="599"/>
      <c r="AN5" s="601"/>
      <c r="AO5" s="603"/>
      <c r="AP5" s="564"/>
      <c r="AQ5" s="564"/>
      <c r="AR5" s="83"/>
      <c r="AS5" s="593"/>
      <c r="AT5" s="555" t="s">
        <v>43</v>
      </c>
      <c r="AU5" s="84"/>
      <c r="AV5" s="85"/>
      <c r="AW5" s="598" t="s">
        <v>44</v>
      </c>
      <c r="AX5" s="598" t="s">
        <v>45</v>
      </c>
      <c r="AY5" s="555" t="s">
        <v>46</v>
      </c>
      <c r="AZ5" s="564"/>
      <c r="BA5" s="86" t="s">
        <v>47</v>
      </c>
      <c r="BB5" s="86" t="s">
        <v>48</v>
      </c>
      <c r="BC5" s="564"/>
      <c r="BD5" s="564"/>
      <c r="BE5" s="572"/>
      <c r="BF5" s="3"/>
      <c r="BG5" s="3"/>
      <c r="BH5" s="3"/>
      <c r="BI5" s="3"/>
      <c r="BJ5" s="3"/>
      <c r="BK5" s="581"/>
      <c r="BL5" s="582"/>
      <c r="BM5" s="582"/>
      <c r="BN5" s="582"/>
      <c r="BO5" s="583"/>
      <c r="BP5" s="583"/>
      <c r="BQ5" s="584"/>
      <c r="BR5" s="581"/>
      <c r="BS5" s="588"/>
      <c r="BT5" s="588"/>
      <c r="BU5" s="588"/>
      <c r="BV5" s="588"/>
      <c r="BW5" s="588"/>
      <c r="BX5" s="589"/>
      <c r="BY5" s="567"/>
      <c r="BZ5" s="566"/>
      <c r="CA5" s="566"/>
      <c r="CB5" s="566"/>
      <c r="CC5" s="566"/>
      <c r="CD5" s="566"/>
      <c r="CE5" s="566"/>
      <c r="CF5" s="567"/>
      <c r="CG5" s="567"/>
      <c r="CH5" s="567"/>
      <c r="CI5" s="567"/>
      <c r="CJ5" s="567"/>
      <c r="CK5" s="567"/>
      <c r="CL5" s="567"/>
      <c r="CM5" s="567"/>
      <c r="CN5" s="4"/>
      <c r="CO5"/>
      <c r="CP5"/>
      <c r="CQ5" s="255"/>
      <c r="CR5" s="256"/>
      <c r="CS5" s="256"/>
      <c r="CT5" s="256"/>
      <c r="CU5" s="256"/>
      <c r="CV5" s="257"/>
      <c r="CW5" s="257"/>
      <c r="CX5" s="257"/>
      <c r="CY5" s="258"/>
      <c r="DA5" s="595" t="s">
        <v>49</v>
      </c>
      <c r="DB5" s="595"/>
    </row>
    <row r="6" spans="1:114" s="7" customFormat="1" ht="106.5" customHeight="1" thickBot="1">
      <c r="A6" s="557"/>
      <c r="B6" s="565"/>
      <c r="C6" s="565"/>
      <c r="D6" s="568"/>
      <c r="E6" s="565"/>
      <c r="F6" s="569"/>
      <c r="G6" s="569"/>
      <c r="H6" s="555"/>
      <c r="I6" s="570"/>
      <c r="J6" s="571"/>
      <c r="K6" s="565"/>
      <c r="L6" s="565"/>
      <c r="M6" s="565"/>
      <c r="N6" s="565"/>
      <c r="O6" s="565"/>
      <c r="P6" s="565"/>
      <c r="Q6" s="565"/>
      <c r="R6" s="565"/>
      <c r="S6" s="565"/>
      <c r="T6" s="555"/>
      <c r="U6" s="555"/>
      <c r="V6" s="563"/>
      <c r="W6" s="563"/>
      <c r="X6" s="564"/>
      <c r="Y6" s="564"/>
      <c r="Z6" s="564"/>
      <c r="AA6" s="564"/>
      <c r="AB6" s="564"/>
      <c r="AC6" s="564"/>
      <c r="AD6" s="564"/>
      <c r="AE6" s="555"/>
      <c r="AF6" s="555"/>
      <c r="AG6" s="555"/>
      <c r="AH6" s="555"/>
      <c r="AI6" s="555"/>
      <c r="AJ6" s="593"/>
      <c r="AK6" s="593"/>
      <c r="AL6" s="564"/>
      <c r="AM6" s="599"/>
      <c r="AN6" s="602"/>
      <c r="AO6" s="603"/>
      <c r="AP6" s="564"/>
      <c r="AQ6" s="564"/>
      <c r="AR6" s="516"/>
      <c r="AS6" s="593"/>
      <c r="AT6" s="555"/>
      <c r="AU6" s="515" t="s">
        <v>50</v>
      </c>
      <c r="AV6" s="515" t="s">
        <v>51</v>
      </c>
      <c r="AW6" s="598"/>
      <c r="AX6" s="598"/>
      <c r="AY6" s="555"/>
      <c r="AZ6" s="555"/>
      <c r="BA6" s="87"/>
      <c r="BB6" s="88">
        <v>0.04</v>
      </c>
      <c r="BC6" s="564"/>
      <c r="BD6" s="564"/>
      <c r="BE6" s="572"/>
      <c r="BF6" s="8" t="s">
        <v>52</v>
      </c>
      <c r="BG6" s="8" t="s">
        <v>53</v>
      </c>
      <c r="BH6" s="8" t="s">
        <v>54</v>
      </c>
      <c r="BI6" s="3"/>
      <c r="BJ6" s="3"/>
      <c r="BK6" s="308" t="s">
        <v>100</v>
      </c>
      <c r="BL6" s="280" t="s">
        <v>82</v>
      </c>
      <c r="BM6" s="279" t="s">
        <v>262</v>
      </c>
      <c r="BN6" s="307" t="s">
        <v>421</v>
      </c>
      <c r="BO6" s="308" t="s">
        <v>97</v>
      </c>
      <c r="BP6" s="326" t="s">
        <v>99</v>
      </c>
      <c r="BQ6" s="495" t="s">
        <v>420</v>
      </c>
      <c r="BR6" s="308" t="s">
        <v>100</v>
      </c>
      <c r="BS6" s="280" t="s">
        <v>82</v>
      </c>
      <c r="BT6" s="279" t="s">
        <v>262</v>
      </c>
      <c r="BU6" s="327"/>
      <c r="BV6" s="308" t="s">
        <v>97</v>
      </c>
      <c r="BW6" s="326" t="s">
        <v>99</v>
      </c>
      <c r="BX6" s="306"/>
      <c r="BY6" s="308" t="s">
        <v>100</v>
      </c>
      <c r="BZ6" s="280" t="s">
        <v>82</v>
      </c>
      <c r="CA6" s="279" t="s">
        <v>262</v>
      </c>
      <c r="CB6" s="307" t="s">
        <v>421</v>
      </c>
      <c r="CC6" s="308" t="s">
        <v>97</v>
      </c>
      <c r="CD6" s="326" t="s">
        <v>99</v>
      </c>
      <c r="CE6" s="495" t="s">
        <v>420</v>
      </c>
      <c r="CF6" s="267" t="s">
        <v>106</v>
      </c>
      <c r="CG6" s="268" t="s">
        <v>85</v>
      </c>
      <c r="CH6" s="244" t="s">
        <v>430</v>
      </c>
      <c r="CI6" s="245" t="s">
        <v>408</v>
      </c>
      <c r="CJ6" s="267" t="s">
        <v>106</v>
      </c>
      <c r="CK6" s="268" t="s">
        <v>85</v>
      </c>
      <c r="CL6" s="244" t="s">
        <v>430</v>
      </c>
      <c r="CM6" s="245" t="s">
        <v>408</v>
      </c>
      <c r="CN6" s="243"/>
      <c r="CO6" s="248" t="s">
        <v>100</v>
      </c>
      <c r="CP6" s="10" t="s">
        <v>82</v>
      </c>
      <c r="CQ6" s="264" t="s">
        <v>263</v>
      </c>
      <c r="CR6" s="23" t="s">
        <v>422</v>
      </c>
      <c r="CS6" s="248" t="s">
        <v>98</v>
      </c>
      <c r="CT6" s="248" t="s">
        <v>99</v>
      </c>
      <c r="CU6" s="496" t="s">
        <v>423</v>
      </c>
      <c r="CV6" s="259" t="s">
        <v>106</v>
      </c>
      <c r="CW6" s="248" t="s">
        <v>84</v>
      </c>
      <c r="CX6" s="232" t="s">
        <v>430</v>
      </c>
      <c r="CY6" s="263" t="s">
        <v>408</v>
      </c>
      <c r="CZ6" s="253"/>
      <c r="DA6" s="321" t="s">
        <v>80</v>
      </c>
      <c r="DB6" s="321" t="s">
        <v>55</v>
      </c>
      <c r="DD6" s="288" t="s">
        <v>91</v>
      </c>
      <c r="DE6" s="289" t="s">
        <v>92</v>
      </c>
      <c r="DF6" s="290" t="s">
        <v>93</v>
      </c>
      <c r="DG6" s="290"/>
      <c r="DH6" s="289" t="s">
        <v>94</v>
      </c>
    </row>
    <row r="7" spans="1:114" s="76" customFormat="1" ht="16.5" customHeight="1" thickBot="1">
      <c r="A7" s="121">
        <v>1</v>
      </c>
      <c r="B7" s="122">
        <f>'[1]октябрь 20'!K6</f>
        <v>132.47499999999999</v>
      </c>
      <c r="C7" s="123">
        <f>IF(B7=0,0,(BK7*BR7+BL7*BS7+BM7*BT7+BN7*BU7+BQ7*BX7+BO7*BV7+BP7*BW7)/B7)</f>
        <v>0.69824226389133026</v>
      </c>
      <c r="D7" s="124">
        <f>B7*((100-C7)/100)</f>
        <v>131.55000356090994</v>
      </c>
      <c r="E7" s="125">
        <f>IF(B7=0,0,(BK7*BY7+BL7*BZ7+BM7*CA7+BQ7*CE7+BN7*CB7+BO7*CC7+BP7*CD7)/B7)</f>
        <v>38.261744329118734</v>
      </c>
      <c r="F7" s="126">
        <f t="shared" ref="F7:F37" si="0">IF(AY7=0,0,D7/AY7)</f>
        <v>1.9294515042667928</v>
      </c>
      <c r="G7" s="127"/>
      <c r="H7" s="126">
        <f>IF(AY7=0,0,(CP7+CO7+CS7+CQ7+CT7)/AY7)</f>
        <v>1.5787768671164555</v>
      </c>
      <c r="I7" s="230">
        <f>'[1]июль 20'!AI6</f>
        <v>0</v>
      </c>
      <c r="J7" s="517">
        <f>'[1]октябрь 20'!AA6</f>
        <v>5.29</v>
      </c>
      <c r="K7" s="445">
        <f>'[1]сентябрь 20'!AM6</f>
        <v>0</v>
      </c>
      <c r="L7" s="446">
        <f>'[1]октябрь 20'!AE6</f>
        <v>23.908999999999999</v>
      </c>
      <c r="M7" s="399">
        <f>IF(AY7=0,0,(CR7+CU7)/AY7)</f>
        <v>0.3506746958185683</v>
      </c>
      <c r="N7" s="399">
        <f>'[1]октябрь 20'!W6</f>
        <v>0</v>
      </c>
      <c r="O7" s="402">
        <f>'[1]октябрь 20'!AU6</f>
        <v>1.611</v>
      </c>
      <c r="P7" s="125">
        <f t="shared" ref="P7:P37" si="1">CF7+CH7+CI7+CG7</f>
        <v>80.995001999999999</v>
      </c>
      <c r="Q7" s="122">
        <f>'[1]октябрь 20'!S6</f>
        <v>80.995000000000005</v>
      </c>
      <c r="R7" s="123">
        <f>IF(Q7=0,0,(CI7*CM7+CG7*CK7+CH7*CL7+CF7*CJ7)/Q7)</f>
        <v>2.4400000000000244</v>
      </c>
      <c r="S7" s="129">
        <v>16.760000000000002</v>
      </c>
      <c r="T7" s="125">
        <f t="shared" ref="T7:T37" si="2">Q7*((100-R7)/100)</f>
        <v>79.018721999999983</v>
      </c>
      <c r="U7" s="128">
        <f t="shared" ref="U7:U37" si="3">IF(AY7=0,0,T7/AY7)</f>
        <v>1.1589721619243176</v>
      </c>
      <c r="V7" s="130">
        <v>68.180000000000007</v>
      </c>
      <c r="W7" s="130">
        <v>68.180000000000007</v>
      </c>
      <c r="X7" s="129">
        <v>0.6</v>
      </c>
      <c r="Y7" s="131">
        <v>530</v>
      </c>
      <c r="Z7" s="131">
        <v>1177</v>
      </c>
      <c r="AA7" s="132" t="s">
        <v>413</v>
      </c>
      <c r="AB7" s="129">
        <v>76.12</v>
      </c>
      <c r="AC7" s="131">
        <v>53</v>
      </c>
      <c r="AD7" s="133">
        <v>3</v>
      </c>
      <c r="AE7" s="129"/>
      <c r="AF7" s="134">
        <f t="shared" ref="AF7:AF37" si="4">IF(AY7=0,0,AE7/AY7*1000)</f>
        <v>0</v>
      </c>
      <c r="AG7" s="135"/>
      <c r="AH7" s="129">
        <v>42.9</v>
      </c>
      <c r="AI7" s="134">
        <f t="shared" ref="AI7:AI37" si="5">IF(AY7=0,0,AH7/AY7*1000)</f>
        <v>629.21677911410961</v>
      </c>
      <c r="AJ7" s="136">
        <v>10.18</v>
      </c>
      <c r="AK7" s="127"/>
      <c r="AL7" s="137">
        <v>9.18</v>
      </c>
      <c r="AM7" s="478">
        <f>AT7*0.2</f>
        <v>17.990000000000002</v>
      </c>
      <c r="AN7" s="126">
        <f>IF(AM7=0,0,AM7/AT7)</f>
        <v>0.2</v>
      </c>
      <c r="AO7" s="139" t="s">
        <v>412</v>
      </c>
      <c r="AP7" s="138">
        <v>7.4</v>
      </c>
      <c r="AQ7" s="138">
        <v>8.23</v>
      </c>
      <c r="AR7" s="129"/>
      <c r="AS7" s="129">
        <v>8.9700000000000006</v>
      </c>
      <c r="AT7" s="129">
        <v>89.95</v>
      </c>
      <c r="AU7" s="129">
        <v>5.4</v>
      </c>
      <c r="AV7" s="129"/>
      <c r="AW7" s="129"/>
      <c r="AX7" s="140">
        <f t="shared" ref="AX7:AX37" si="6">IF(AY7=0,0,AW7/AY7*100)</f>
        <v>0</v>
      </c>
      <c r="AY7" s="125">
        <f t="shared" ref="AY7:AY37" si="7">AT7-AL7-AM7+AV7+AW7+AU7</f>
        <v>68.180000000000007</v>
      </c>
      <c r="AZ7" s="125">
        <f>IF(AB7=0,0,((D7*0.97)*(E7/100)*0.9)/(AB7/100))+DH7</f>
        <v>58.408359590698048</v>
      </c>
      <c r="BA7" s="141">
        <f t="shared" ref="BA7:BA37" si="8">(AH7*AS7)/100*(55/71)</f>
        <v>2.9809457746478869</v>
      </c>
      <c r="BB7" s="142">
        <f t="shared" ref="BB7:BB37" si="9">AY7*$BB$6</f>
        <v>2.7272000000000003</v>
      </c>
      <c r="BC7" s="122">
        <f t="shared" ref="BC7:BC37" si="10">IF((D7*E7)=0,0,(AY7*AB7)/(D7*E7))</f>
        <v>1.0310984807903472</v>
      </c>
      <c r="BD7" s="142">
        <f>BA7+BB7</f>
        <v>5.7081457746478872</v>
      </c>
      <c r="BE7" s="143">
        <v>1.0309999999999999</v>
      </c>
      <c r="BF7" s="25">
        <f>AY7</f>
        <v>68.180000000000007</v>
      </c>
      <c r="BG7" s="25">
        <f t="shared" ref="BG7:BG38" si="11">IF(A7&lt;=$BE$43,$AT$43,0)</f>
        <v>125.80645161290323</v>
      </c>
      <c r="BH7" s="25">
        <f>BG7</f>
        <v>125.80645161290323</v>
      </c>
      <c r="BI7" s="26">
        <f t="shared" ref="BI7:BI37" si="12">IF(AY7&lt;&gt;0,1,0)</f>
        <v>1</v>
      </c>
      <c r="BJ7" s="27">
        <f>BG7*BI7</f>
        <v>125.80645161290323</v>
      </c>
      <c r="BK7" s="28">
        <v>71.567999999999998</v>
      </c>
      <c r="BL7" s="28">
        <v>36.997999999999998</v>
      </c>
      <c r="BM7" s="28">
        <v>9.9999999999999995E-7</v>
      </c>
      <c r="BN7" s="28">
        <v>9.9999999999999995E-7</v>
      </c>
      <c r="BO7" s="28">
        <v>9.9999999999999995E-7</v>
      </c>
      <c r="BP7" s="28">
        <v>9.9999999999999995E-7</v>
      </c>
      <c r="BQ7" s="28">
        <v>23.908999999999999</v>
      </c>
      <c r="BR7" s="28">
        <v>0.76</v>
      </c>
      <c r="BS7" s="28">
        <v>1.03</v>
      </c>
      <c r="BT7" s="28">
        <v>9.9999999999999995E-7</v>
      </c>
      <c r="BU7" s="28">
        <v>9.9999999999999995E-7</v>
      </c>
      <c r="BV7" s="28">
        <v>9.9999999999999995E-7</v>
      </c>
      <c r="BW7" s="28">
        <v>9.9999999999999995E-7</v>
      </c>
      <c r="BX7" s="28">
        <v>9.9999999999999995E-7</v>
      </c>
      <c r="BY7" s="28">
        <v>37.65</v>
      </c>
      <c r="BZ7" s="28">
        <v>36.06</v>
      </c>
      <c r="CA7" s="28">
        <v>9.9999999999999995E-7</v>
      </c>
      <c r="CB7" s="28">
        <v>9.9999999999999995E-7</v>
      </c>
      <c r="CC7" s="28">
        <v>9.9999999999999995E-7</v>
      </c>
      <c r="CD7" s="28">
        <v>9.9999999999999995E-7</v>
      </c>
      <c r="CE7" s="28">
        <v>43.5</v>
      </c>
      <c r="CF7" s="28">
        <v>54.491999999999997</v>
      </c>
      <c r="CG7" s="28">
        <v>9.9999999999999995E-7</v>
      </c>
      <c r="CH7" s="28">
        <v>9.9999999999999995E-7</v>
      </c>
      <c r="CI7" s="28">
        <v>26.503</v>
      </c>
      <c r="CJ7" s="28">
        <v>2.44</v>
      </c>
      <c r="CK7" s="28">
        <v>9.9999999999999995E-7</v>
      </c>
      <c r="CL7" s="28">
        <v>9.9999999999999995E-7</v>
      </c>
      <c r="CM7" s="28">
        <v>2.44</v>
      </c>
      <c r="CN7" s="286"/>
      <c r="CO7" s="252">
        <f t="shared" ref="CO7:CU22" si="13">BK7*((100-BR7)/100)</f>
        <v>71.024083199999993</v>
      </c>
      <c r="CP7" s="11">
        <f t="shared" si="13"/>
        <v>36.6169206</v>
      </c>
      <c r="CQ7" s="11">
        <f t="shared" si="13"/>
        <v>9.9999998999999992E-7</v>
      </c>
      <c r="CR7" s="11">
        <f t="shared" si="13"/>
        <v>9.9999998999999992E-7</v>
      </c>
      <c r="CS7" s="11">
        <f t="shared" si="13"/>
        <v>9.9999998999999992E-7</v>
      </c>
      <c r="CT7" s="11">
        <f t="shared" si="13"/>
        <v>9.9999998999999992E-7</v>
      </c>
      <c r="CU7" s="271">
        <f t="shared" si="13"/>
        <v>23.90899976091</v>
      </c>
      <c r="CV7" s="260">
        <f t="shared" ref="CV7:CY37" si="14">CF7*((100-CJ7)/100)</f>
        <v>53.162395199999999</v>
      </c>
      <c r="CW7" s="250">
        <f t="shared" si="14"/>
        <v>9.9999998999999992E-7</v>
      </c>
      <c r="CX7" s="260">
        <f t="shared" si="14"/>
        <v>9.9999998999999992E-7</v>
      </c>
      <c r="CY7" s="271">
        <f t="shared" si="14"/>
        <v>25.856326800000001</v>
      </c>
      <c r="CZ7" s="13"/>
      <c r="DA7" s="240">
        <f>(D7+'[2]октябрь 20 '!D7)/(AY7+'[2]октябрь 20 '!BA7)</f>
        <v>2.0824340656390095</v>
      </c>
      <c r="DB7" s="241">
        <f>(T7+'[2]октябрь 20 '!T7)/(AY7+'[2]октябрь 20 '!BA7)</f>
        <v>1.2884007827422777</v>
      </c>
      <c r="DD7" s="292">
        <f t="shared" ref="DD7:DD37" si="15">J7</f>
        <v>5.29</v>
      </c>
      <c r="DE7" s="291">
        <v>0.31</v>
      </c>
      <c r="DF7" s="291">
        <v>9.85</v>
      </c>
      <c r="DG7" s="145">
        <f t="shared" ref="DG7:DG37" si="16">DD7*((100-DE7)/100)</f>
        <v>5.2736010000000002</v>
      </c>
      <c r="DH7" s="293">
        <f>IF(AB7=0,0,(DG7*DF7%)/(AB7/100))</f>
        <v>0.68240895756699937</v>
      </c>
      <c r="DJ7" s="322"/>
    </row>
    <row r="8" spans="1:114" s="76" customFormat="1" ht="16.5" customHeight="1" thickBot="1">
      <c r="A8" s="144">
        <v>2</v>
      </c>
      <c r="B8" s="122">
        <f>'[1]октябрь 20'!K7</f>
        <v>230.01599999999999</v>
      </c>
      <c r="C8" s="123">
        <f t="shared" ref="C8:C37" si="17">IF(B8=0,0,(BK8*BR8+BL8*BS8+BM8*BT8+BN8*BU8+BQ8*BX8+BO8*BV8+BP8*BW8)/B8)</f>
        <v>0.78641398859209799</v>
      </c>
      <c r="D8" s="145">
        <f t="shared" ref="D8:D37" si="18">B8*((100-C8)/100)</f>
        <v>228.20712199999997</v>
      </c>
      <c r="E8" s="125">
        <f t="shared" ref="E8:E37" si="19">IF(B8=0,0,(BK8*BY8+BL8*BZ8+BM8*CA8+BQ8*CE8+BN8*CB8+BO8*CC8+BP8*CD8)/B8)</f>
        <v>38.038275902545912</v>
      </c>
      <c r="F8" s="146">
        <f t="shared" si="0"/>
        <v>2.9104338987374052</v>
      </c>
      <c r="G8" s="127">
        <v>17.36</v>
      </c>
      <c r="H8" s="126">
        <f t="shared" ref="H8:H37" si="20">IF(AY8=0,0,(CP8+CO8+CS8+CQ8+CT8)/AY8)</f>
        <v>2.3825292947328145</v>
      </c>
      <c r="I8" s="230">
        <f>'[1]июль 20'!AI7</f>
        <v>0</v>
      </c>
      <c r="J8" s="439">
        <f>'[1]октябрь 20'!AA7</f>
        <v>9.5519999999999996</v>
      </c>
      <c r="K8" s="464">
        <f>'[1]сентябрь 20'!AM7</f>
        <v>0</v>
      </c>
      <c r="L8" s="441">
        <f>'[1]октябрь 20'!AE7</f>
        <v>41.393000000000001</v>
      </c>
      <c r="M8" s="468">
        <f t="shared" ref="M8:M37" si="21">IF(AY8=0,0,(CR8+CU8)/AY8)</f>
        <v>0.52790460400459116</v>
      </c>
      <c r="N8" s="403">
        <f>'[1]октябрь 20'!W7</f>
        <v>0</v>
      </c>
      <c r="O8" s="403">
        <f>'[1]октябрь 20'!AU7</f>
        <v>3.7610000000000001</v>
      </c>
      <c r="P8" s="401">
        <f t="shared" si="1"/>
        <v>144.113</v>
      </c>
      <c r="Q8" s="122">
        <f>'[1]октябрь 20'!S7</f>
        <v>144.113</v>
      </c>
      <c r="R8" s="123">
        <f t="shared" ref="R8:R37" si="22">IF(Q8=0,0,(CI8*CM8+CG8*CK8+CH8*CL8+CF8*CJ8)/Q8)</f>
        <v>2.82</v>
      </c>
      <c r="S8" s="129">
        <v>2.2200000000000002</v>
      </c>
      <c r="T8" s="125">
        <f t="shared" si="2"/>
        <v>140.04901340000001</v>
      </c>
      <c r="U8" s="147">
        <f t="shared" si="3"/>
        <v>1.7861116362708838</v>
      </c>
      <c r="V8" s="130">
        <v>78.41</v>
      </c>
      <c r="W8" s="130">
        <v>48.09</v>
      </c>
      <c r="X8" s="129">
        <v>0.54</v>
      </c>
      <c r="Y8" s="131">
        <v>522</v>
      </c>
      <c r="Z8" s="131">
        <v>1105</v>
      </c>
      <c r="AA8" s="148" t="s">
        <v>414</v>
      </c>
      <c r="AB8" s="149">
        <v>75.599999999999994</v>
      </c>
      <c r="AC8" s="150">
        <v>93</v>
      </c>
      <c r="AD8" s="151">
        <v>3</v>
      </c>
      <c r="AE8" s="149">
        <v>4</v>
      </c>
      <c r="AF8" s="134">
        <f t="shared" si="4"/>
        <v>51.013901288101003</v>
      </c>
      <c r="AG8" s="152"/>
      <c r="AH8" s="129">
        <v>70.400000000000006</v>
      </c>
      <c r="AI8" s="134">
        <f t="shared" si="5"/>
        <v>897.84466267057769</v>
      </c>
      <c r="AJ8" s="153">
        <v>12.3</v>
      </c>
      <c r="AK8" s="154"/>
      <c r="AL8" s="155">
        <v>6.25</v>
      </c>
      <c r="AM8" s="478">
        <f t="shared" ref="AM8:AM15" si="23">AT8*0.2</f>
        <v>20.78</v>
      </c>
      <c r="AN8" s="126">
        <f t="shared" ref="AN8:AN37" si="24">IF(AM8=0,0,AM8/AT8)</f>
        <v>0.2</v>
      </c>
      <c r="AO8" s="157" t="s">
        <v>322</v>
      </c>
      <c r="AP8" s="156">
        <v>7.57</v>
      </c>
      <c r="AQ8" s="156">
        <v>8.0299999999999994</v>
      </c>
      <c r="AR8" s="149"/>
      <c r="AS8" s="149">
        <v>9.44</v>
      </c>
      <c r="AT8" s="149">
        <v>103.9</v>
      </c>
      <c r="AU8" s="149">
        <v>1.54</v>
      </c>
      <c r="AV8" s="149"/>
      <c r="AW8" s="149"/>
      <c r="AX8" s="158">
        <f t="shared" si="6"/>
        <v>0</v>
      </c>
      <c r="AY8" s="125">
        <f t="shared" si="7"/>
        <v>78.410000000000011</v>
      </c>
      <c r="AZ8" s="125">
        <f t="shared" ref="AZ8:AZ37" si="25">IF(AB8=0,0,((D8*0.97)*(E8/100)*0.9)/(AB8/100))+DH8</f>
        <v>101.97467323978289</v>
      </c>
      <c r="BA8" s="159">
        <f t="shared" si="8"/>
        <v>5.1481239436619717</v>
      </c>
      <c r="BB8" s="160">
        <f t="shared" si="9"/>
        <v>3.1364000000000005</v>
      </c>
      <c r="BC8" s="161">
        <f t="shared" si="10"/>
        <v>0.6828781725866333</v>
      </c>
      <c r="BD8" s="160">
        <f t="shared" ref="BD8:BD37" si="26">BA8+BB8</f>
        <v>8.2845239436619718</v>
      </c>
      <c r="BE8" s="162">
        <v>0.81100000000000005</v>
      </c>
      <c r="BF8" s="25">
        <f t="shared" ref="BF8:BF37" si="27">BF7+AY8</f>
        <v>146.59000000000003</v>
      </c>
      <c r="BG8" s="25">
        <f t="shared" si="11"/>
        <v>125.80645161290323</v>
      </c>
      <c r="BH8" s="25">
        <f t="shared" ref="BH8:BH37" si="28">BG8+BH7</f>
        <v>251.61290322580646</v>
      </c>
      <c r="BI8" s="26">
        <f t="shared" si="12"/>
        <v>1</v>
      </c>
      <c r="BJ8" s="27">
        <f t="shared" ref="BJ8:BJ37" si="29">BG8*BI8+BJ7</f>
        <v>251.61290322580646</v>
      </c>
      <c r="BK8" s="30">
        <v>124.163</v>
      </c>
      <c r="BL8" s="31">
        <v>64.459999999999994</v>
      </c>
      <c r="BM8" s="31"/>
      <c r="BN8" s="31"/>
      <c r="BO8" s="40"/>
      <c r="BP8" s="40"/>
      <c r="BQ8" s="32">
        <v>41.393000000000001</v>
      </c>
      <c r="BR8" s="33">
        <v>1</v>
      </c>
      <c r="BS8" s="34">
        <v>0.88</v>
      </c>
      <c r="BT8" s="35"/>
      <c r="BU8" s="28"/>
      <c r="BV8" s="287"/>
      <c r="BW8" s="28"/>
      <c r="BX8" s="36"/>
      <c r="BY8" s="33">
        <v>36.9</v>
      </c>
      <c r="BZ8" s="34">
        <v>36.729999999999997</v>
      </c>
      <c r="CA8" s="35"/>
      <c r="CB8" s="35"/>
      <c r="CC8" s="235"/>
      <c r="CD8" s="235"/>
      <c r="CE8" s="36">
        <v>43.49</v>
      </c>
      <c r="CF8" s="30">
        <v>97.272000000000006</v>
      </c>
      <c r="CG8" s="30"/>
      <c r="CH8" s="31"/>
      <c r="CI8" s="32">
        <v>46.841000000000001</v>
      </c>
      <c r="CJ8" s="33">
        <v>2.82</v>
      </c>
      <c r="CK8" s="33"/>
      <c r="CL8" s="35"/>
      <c r="CM8" s="28">
        <v>2.82</v>
      </c>
      <c r="CN8" s="286"/>
      <c r="CO8" s="249">
        <f t="shared" si="13"/>
        <v>122.92137</v>
      </c>
      <c r="CP8" s="12">
        <f t="shared" si="13"/>
        <v>63.892752000000002</v>
      </c>
      <c r="CQ8" s="12">
        <f t="shared" si="13"/>
        <v>0</v>
      </c>
      <c r="CR8" s="12">
        <f t="shared" si="13"/>
        <v>0</v>
      </c>
      <c r="CS8" s="11">
        <f t="shared" si="13"/>
        <v>0</v>
      </c>
      <c r="CT8" s="11">
        <f t="shared" si="13"/>
        <v>0</v>
      </c>
      <c r="CU8" s="272">
        <f t="shared" si="13"/>
        <v>41.393000000000001</v>
      </c>
      <c r="CV8" s="249">
        <f t="shared" si="14"/>
        <v>94.528929600000012</v>
      </c>
      <c r="CW8" s="12">
        <f t="shared" si="14"/>
        <v>0</v>
      </c>
      <c r="CX8" s="254">
        <f t="shared" si="14"/>
        <v>0</v>
      </c>
      <c r="CY8" s="272">
        <f t="shared" si="14"/>
        <v>45.520083800000009</v>
      </c>
      <c r="CZ8" s="13"/>
      <c r="DA8" s="240">
        <f>(D8+'[2]октябрь 20 '!D8)/(AY8+'[2]октябрь 20 '!BA8)</f>
        <v>2.3319285121583899</v>
      </c>
      <c r="DB8" s="241">
        <f>(T8+'[2]октябрь 20 '!T8)/(AY8+'[2]октябрь 20 '!BA8)</f>
        <v>1.4112202331168251</v>
      </c>
      <c r="DD8" s="292">
        <f t="shared" si="15"/>
        <v>9.5519999999999996</v>
      </c>
      <c r="DE8" s="291">
        <v>0.17</v>
      </c>
      <c r="DF8" s="291">
        <v>13.75</v>
      </c>
      <c r="DG8" s="145">
        <f t="shared" si="16"/>
        <v>9.5357615999999989</v>
      </c>
      <c r="DH8" s="293">
        <f t="shared" ref="DH8:DH37" si="30">IF(AB8=0,0,(DG8*DF8%)/(AB8/100))</f>
        <v>1.7343481746031748</v>
      </c>
      <c r="DJ8" s="322"/>
    </row>
    <row r="9" spans="1:114" s="76" customFormat="1" ht="16.5" customHeight="1" thickBot="1">
      <c r="A9" s="144">
        <v>3</v>
      </c>
      <c r="B9" s="122">
        <f>'[1]октябрь 20'!K8</f>
        <v>267.55099999999999</v>
      </c>
      <c r="C9" s="123">
        <f t="shared" si="17"/>
        <v>0.90814745599904323</v>
      </c>
      <c r="D9" s="145">
        <f>B9*((100-C9)/100)</f>
        <v>265.12124239999997</v>
      </c>
      <c r="E9" s="125">
        <f t="shared" si="19"/>
        <v>38.454896150640437</v>
      </c>
      <c r="F9" s="146">
        <f t="shared" si="0"/>
        <v>2.1472523074431029</v>
      </c>
      <c r="G9" s="127">
        <v>20.58</v>
      </c>
      <c r="H9" s="126">
        <f t="shared" si="20"/>
        <v>1.7564124273102779</v>
      </c>
      <c r="I9" s="230">
        <f>'[1]июль 20'!AI8</f>
        <v>0</v>
      </c>
      <c r="J9" s="439">
        <f>'[1]октябрь 20'!AA8</f>
        <v>10.295999999999999</v>
      </c>
      <c r="K9" s="465">
        <f>'[1]сентябрь 20'!AM8</f>
        <v>0</v>
      </c>
      <c r="L9" s="441">
        <f>'[1]октябрь 20'!AE8</f>
        <v>48.256999999999998</v>
      </c>
      <c r="M9" s="469">
        <f t="shared" si="21"/>
        <v>0.39083988013282572</v>
      </c>
      <c r="N9" s="399">
        <f>'[1]октябрь 20'!W8</f>
        <v>0</v>
      </c>
      <c r="O9" s="403">
        <f>'[1]октябрь 20'!AU8</f>
        <v>3.2410000000000001</v>
      </c>
      <c r="P9" s="401">
        <f t="shared" si="1"/>
        <v>164.19200000000001</v>
      </c>
      <c r="Q9" s="122">
        <f>'[1]октябрь 20'!S8</f>
        <v>164.19200000000001</v>
      </c>
      <c r="R9" s="123">
        <f t="shared" si="22"/>
        <v>2.58</v>
      </c>
      <c r="S9" s="129">
        <v>12.57</v>
      </c>
      <c r="T9" s="125">
        <f t="shared" si="2"/>
        <v>159.95584640000001</v>
      </c>
      <c r="U9" s="147">
        <f>IF(AY9=0,0,T9/AY9)</f>
        <v>1.2955037369401474</v>
      </c>
      <c r="V9" s="130">
        <v>51.2</v>
      </c>
      <c r="W9" s="130">
        <v>76.959999999999994</v>
      </c>
      <c r="X9" s="129">
        <v>0.75</v>
      </c>
      <c r="Y9" s="131">
        <v>557</v>
      </c>
      <c r="Z9" s="131">
        <v>1178</v>
      </c>
      <c r="AA9" s="148" t="s">
        <v>159</v>
      </c>
      <c r="AB9" s="149">
        <v>74.53</v>
      </c>
      <c r="AC9" s="150">
        <v>107</v>
      </c>
      <c r="AD9" s="151">
        <v>5</v>
      </c>
      <c r="AE9" s="149"/>
      <c r="AF9" s="134">
        <f t="shared" si="4"/>
        <v>0</v>
      </c>
      <c r="AG9" s="152"/>
      <c r="AH9" s="129">
        <v>78.45</v>
      </c>
      <c r="AI9" s="134">
        <f t="shared" si="5"/>
        <v>635.37701465943144</v>
      </c>
      <c r="AJ9" s="153">
        <v>19.690000000000001</v>
      </c>
      <c r="AK9" s="154"/>
      <c r="AL9" s="155">
        <v>8.65</v>
      </c>
      <c r="AM9" s="478">
        <f t="shared" si="23"/>
        <v>32.410000000000004</v>
      </c>
      <c r="AN9" s="126">
        <f t="shared" si="24"/>
        <v>0.2</v>
      </c>
      <c r="AO9" s="157" t="s">
        <v>339</v>
      </c>
      <c r="AP9" s="156">
        <v>7.94</v>
      </c>
      <c r="AQ9" s="156">
        <v>7.4</v>
      </c>
      <c r="AR9" s="149"/>
      <c r="AS9" s="149">
        <v>7.67</v>
      </c>
      <c r="AT9" s="149">
        <v>162.05000000000001</v>
      </c>
      <c r="AU9" s="149">
        <v>2.48</v>
      </c>
      <c r="AV9" s="149"/>
      <c r="AW9" s="149"/>
      <c r="AX9" s="158">
        <f t="shared" si="6"/>
        <v>0</v>
      </c>
      <c r="AY9" s="125">
        <f t="shared" si="7"/>
        <v>123.47000000000001</v>
      </c>
      <c r="AZ9" s="125">
        <f t="shared" si="25"/>
        <v>121.18102785218748</v>
      </c>
      <c r="BA9" s="159">
        <f t="shared" si="8"/>
        <v>4.6611454225352116</v>
      </c>
      <c r="BB9" s="160">
        <f t="shared" si="9"/>
        <v>4.9388000000000005</v>
      </c>
      <c r="BC9" s="161">
        <f t="shared" si="10"/>
        <v>0.90260222604220242</v>
      </c>
      <c r="BD9" s="160">
        <f t="shared" si="26"/>
        <v>9.5999454225352121</v>
      </c>
      <c r="BE9" s="162">
        <v>0.85</v>
      </c>
      <c r="BF9" s="25">
        <f t="shared" si="27"/>
        <v>270.06000000000006</v>
      </c>
      <c r="BG9" s="25">
        <f t="shared" si="11"/>
        <v>125.80645161290323</v>
      </c>
      <c r="BH9" s="25">
        <f t="shared" si="28"/>
        <v>377.41935483870969</v>
      </c>
      <c r="BI9" s="26">
        <f t="shared" si="12"/>
        <v>1</v>
      </c>
      <c r="BJ9" s="37">
        <f t="shared" si="29"/>
        <v>377.41935483870969</v>
      </c>
      <c r="BK9" s="38">
        <v>144.435</v>
      </c>
      <c r="BL9" s="31">
        <v>74.858999999999995</v>
      </c>
      <c r="BM9" s="31"/>
      <c r="BN9" s="31"/>
      <c r="BO9" s="40"/>
      <c r="BP9" s="40"/>
      <c r="BQ9" s="32">
        <v>48.256999999999998</v>
      </c>
      <c r="BR9" s="33">
        <v>0.91</v>
      </c>
      <c r="BS9" s="34">
        <v>1.49</v>
      </c>
      <c r="BT9" s="35"/>
      <c r="BU9" s="28"/>
      <c r="BV9" s="287"/>
      <c r="BW9" s="287"/>
      <c r="BX9" s="36"/>
      <c r="BY9" s="33">
        <v>37.909999999999997</v>
      </c>
      <c r="BZ9" s="34">
        <v>36.369999999999997</v>
      </c>
      <c r="CA9" s="35"/>
      <c r="CB9" s="35"/>
      <c r="CC9" s="235"/>
      <c r="CD9" s="235"/>
      <c r="CE9" s="36">
        <v>43.32</v>
      </c>
      <c r="CF9" s="30">
        <v>110.678</v>
      </c>
      <c r="CG9" s="30"/>
      <c r="CH9" s="31"/>
      <c r="CI9" s="32">
        <v>53.514000000000003</v>
      </c>
      <c r="CJ9" s="33">
        <v>2.58</v>
      </c>
      <c r="CK9" s="33"/>
      <c r="CL9" s="35"/>
      <c r="CM9" s="36">
        <v>2.58</v>
      </c>
      <c r="CN9" s="286"/>
      <c r="CO9" s="249">
        <f t="shared" si="13"/>
        <v>143.1206415</v>
      </c>
      <c r="CP9" s="12">
        <f t="shared" si="13"/>
        <v>73.743600900000004</v>
      </c>
      <c r="CQ9" s="12">
        <f t="shared" si="13"/>
        <v>0</v>
      </c>
      <c r="CR9" s="12">
        <f t="shared" si="13"/>
        <v>0</v>
      </c>
      <c r="CS9" s="11">
        <f t="shared" si="13"/>
        <v>0</v>
      </c>
      <c r="CT9" s="11">
        <f t="shared" si="13"/>
        <v>0</v>
      </c>
      <c r="CU9" s="272">
        <f t="shared" si="13"/>
        <v>48.256999999999998</v>
      </c>
      <c r="CV9" s="249">
        <f t="shared" si="14"/>
        <v>107.82250760000001</v>
      </c>
      <c r="CW9" s="251">
        <f t="shared" si="14"/>
        <v>0</v>
      </c>
      <c r="CX9" s="249">
        <f t="shared" si="14"/>
        <v>0</v>
      </c>
      <c r="CY9" s="272">
        <f t="shared" si="14"/>
        <v>52.133338800000004</v>
      </c>
      <c r="CZ9" s="13"/>
      <c r="DA9" s="240">
        <f>(D9+'[2]октябрь 20 '!D9)/(AY9+'[2]октябрь 20 '!BA9)</f>
        <v>2.1507816085888201</v>
      </c>
      <c r="DB9" s="241">
        <f>(T9+'[2]октябрь 20 '!T9)/(AY9+'[2]октябрь 20 '!BA9)</f>
        <v>1.2948451622270616</v>
      </c>
      <c r="DD9" s="292">
        <f t="shared" si="15"/>
        <v>10.295999999999999</v>
      </c>
      <c r="DE9" s="291">
        <v>0.21</v>
      </c>
      <c r="DF9" s="291">
        <v>12.77</v>
      </c>
      <c r="DG9" s="145">
        <f t="shared" si="16"/>
        <v>10.2743784</v>
      </c>
      <c r="DH9" s="293">
        <f t="shared" si="30"/>
        <v>1.7604161031530929</v>
      </c>
      <c r="DJ9" s="322"/>
    </row>
    <row r="10" spans="1:114" s="76" customFormat="1" ht="16.5" customHeight="1" thickBot="1">
      <c r="A10" s="144">
        <v>4</v>
      </c>
      <c r="B10" s="122">
        <f>'[1]октябрь 20'!K9</f>
        <v>282.63799999999998</v>
      </c>
      <c r="C10" s="123">
        <f t="shared" si="17"/>
        <v>1.3546202916805243</v>
      </c>
      <c r="D10" s="145">
        <f t="shared" si="18"/>
        <v>278.8093283</v>
      </c>
      <c r="E10" s="125">
        <f>IF(B10=0,0,(BK10*BY10+BL10*BZ10+BM10*CA10+BQ10*CE10+BN10*CB10+BO10*CC10+BP10*CD10)/B10)</f>
        <v>37.915810542106868</v>
      </c>
      <c r="F10" s="146">
        <f t="shared" si="0"/>
        <v>2.1417216799815644</v>
      </c>
      <c r="G10" s="127">
        <v>20.63</v>
      </c>
      <c r="H10" s="126">
        <f t="shared" si="20"/>
        <v>1.7512776793670306</v>
      </c>
      <c r="I10" s="230">
        <f>'[1]июль 20'!AI9</f>
        <v>0</v>
      </c>
      <c r="J10" s="439">
        <f>'[1]октябрь 20'!AA9</f>
        <v>11.222</v>
      </c>
      <c r="K10" s="464">
        <f>'[1]сентябрь 20'!AM9</f>
        <v>0</v>
      </c>
      <c r="L10" s="441">
        <f>'[1]октябрь 20'!AE9</f>
        <v>50.828000000000003</v>
      </c>
      <c r="M10" s="470">
        <f t="shared" si="21"/>
        <v>0.39044400061453383</v>
      </c>
      <c r="N10" s="403">
        <f>'[1]октябрь 20'!W9</f>
        <v>0</v>
      </c>
      <c r="O10" s="403">
        <f>'[1]октябрь 20'!AU9</f>
        <v>3.37</v>
      </c>
      <c r="P10" s="401">
        <f t="shared" si="1"/>
        <v>173.917</v>
      </c>
      <c r="Q10" s="122">
        <f>'[1]октябрь 20'!S9</f>
        <v>173.917</v>
      </c>
      <c r="R10" s="123">
        <f t="shared" si="22"/>
        <v>2.5499999999999998</v>
      </c>
      <c r="S10" s="129">
        <v>18.63</v>
      </c>
      <c r="T10" s="125">
        <f t="shared" si="2"/>
        <v>169.48211650000002</v>
      </c>
      <c r="U10" s="147">
        <f t="shared" si="3"/>
        <v>1.3019059494546017</v>
      </c>
      <c r="V10" s="130">
        <v>107.92</v>
      </c>
      <c r="W10" s="130">
        <v>78.98</v>
      </c>
      <c r="X10" s="129">
        <v>0.76</v>
      </c>
      <c r="Y10" s="131">
        <v>560</v>
      </c>
      <c r="Z10" s="131">
        <v>1174</v>
      </c>
      <c r="AA10" s="148" t="s">
        <v>165</v>
      </c>
      <c r="AB10" s="149">
        <v>75.569999999999993</v>
      </c>
      <c r="AC10" s="150">
        <v>113</v>
      </c>
      <c r="AD10" s="151">
        <v>5</v>
      </c>
      <c r="AE10" s="149"/>
      <c r="AF10" s="134">
        <f t="shared" si="4"/>
        <v>0</v>
      </c>
      <c r="AG10" s="152"/>
      <c r="AH10" s="129">
        <v>75.25</v>
      </c>
      <c r="AI10" s="134">
        <f t="shared" si="5"/>
        <v>578.04578276232917</v>
      </c>
      <c r="AJ10" s="153">
        <v>18.12</v>
      </c>
      <c r="AK10" s="154"/>
      <c r="AL10" s="155">
        <v>10.89</v>
      </c>
      <c r="AM10" s="478">
        <f t="shared" si="23"/>
        <v>34.57</v>
      </c>
      <c r="AN10" s="126">
        <f t="shared" si="24"/>
        <v>0.2</v>
      </c>
      <c r="AO10" s="157" t="s">
        <v>347</v>
      </c>
      <c r="AP10" s="156">
        <v>8.23</v>
      </c>
      <c r="AQ10" s="156">
        <v>7.76</v>
      </c>
      <c r="AR10" s="149"/>
      <c r="AS10" s="149">
        <v>8.16</v>
      </c>
      <c r="AT10" s="149">
        <v>172.85</v>
      </c>
      <c r="AU10" s="149">
        <v>2.79</v>
      </c>
      <c r="AV10" s="149"/>
      <c r="AW10" s="149"/>
      <c r="AX10" s="158">
        <f t="shared" si="6"/>
        <v>0</v>
      </c>
      <c r="AY10" s="125">
        <f>AT10-AL10-AM10+AV10+AW10+AU10</f>
        <v>130.17999999999998</v>
      </c>
      <c r="AZ10" s="125">
        <f t="shared" si="25"/>
        <v>123.77091161623827</v>
      </c>
      <c r="BA10" s="159">
        <f t="shared" si="8"/>
        <v>4.7566478873239433</v>
      </c>
      <c r="BB10" s="160">
        <f t="shared" si="9"/>
        <v>5.2071999999999994</v>
      </c>
      <c r="BC10" s="161">
        <f t="shared" si="10"/>
        <v>0.9306064210423457</v>
      </c>
      <c r="BD10" s="160">
        <f t="shared" si="26"/>
        <v>9.9638478873239436</v>
      </c>
      <c r="BE10" s="162">
        <v>0.875</v>
      </c>
      <c r="BF10" s="25">
        <f t="shared" si="27"/>
        <v>400.24</v>
      </c>
      <c r="BG10" s="25">
        <f t="shared" si="11"/>
        <v>125.80645161290323</v>
      </c>
      <c r="BH10" s="25">
        <f t="shared" si="28"/>
        <v>503.22580645161293</v>
      </c>
      <c r="BI10" s="26">
        <f t="shared" si="12"/>
        <v>1</v>
      </c>
      <c r="BJ10" s="37">
        <f t="shared" si="29"/>
        <v>503.22580645161293</v>
      </c>
      <c r="BK10" s="38">
        <v>152.583</v>
      </c>
      <c r="BL10" s="31">
        <v>79.227000000000004</v>
      </c>
      <c r="BM10" s="31"/>
      <c r="BN10" s="31"/>
      <c r="BO10" s="40"/>
      <c r="BP10" s="40"/>
      <c r="BQ10" s="32">
        <v>50.828000000000003</v>
      </c>
      <c r="BR10" s="33">
        <v>1.99</v>
      </c>
      <c r="BS10" s="34">
        <v>1</v>
      </c>
      <c r="BT10" s="35"/>
      <c r="BU10" s="28"/>
      <c r="BV10" s="287"/>
      <c r="BW10" s="287"/>
      <c r="BX10" s="36"/>
      <c r="BY10" s="33">
        <v>37.04</v>
      </c>
      <c r="BZ10" s="34">
        <v>36.020000000000003</v>
      </c>
      <c r="CA10" s="35"/>
      <c r="CB10" s="35"/>
      <c r="CC10" s="235"/>
      <c r="CD10" s="235"/>
      <c r="CE10" s="36">
        <v>43.5</v>
      </c>
      <c r="CF10" s="30">
        <v>117.438</v>
      </c>
      <c r="CG10" s="30"/>
      <c r="CH10" s="31"/>
      <c r="CI10" s="32">
        <v>56.478999999999999</v>
      </c>
      <c r="CJ10" s="33">
        <v>2.5499999999999998</v>
      </c>
      <c r="CK10" s="33"/>
      <c r="CL10" s="35"/>
      <c r="CM10" s="36">
        <v>2.5499999999999998</v>
      </c>
      <c r="CN10" s="286"/>
      <c r="CO10" s="249">
        <f t="shared" si="13"/>
        <v>149.5465983</v>
      </c>
      <c r="CP10" s="12">
        <f t="shared" si="13"/>
        <v>78.434730000000002</v>
      </c>
      <c r="CQ10" s="12">
        <f t="shared" si="13"/>
        <v>0</v>
      </c>
      <c r="CR10" s="14">
        <f t="shared" si="13"/>
        <v>0</v>
      </c>
      <c r="CS10" s="11">
        <f t="shared" si="13"/>
        <v>0</v>
      </c>
      <c r="CT10" s="11">
        <f t="shared" si="13"/>
        <v>0</v>
      </c>
      <c r="CU10" s="272">
        <f t="shared" si="13"/>
        <v>50.828000000000003</v>
      </c>
      <c r="CV10" s="249">
        <f t="shared" si="14"/>
        <v>114.443331</v>
      </c>
      <c r="CW10" s="12">
        <f t="shared" si="14"/>
        <v>0</v>
      </c>
      <c r="CX10" s="249">
        <f t="shared" si="14"/>
        <v>0</v>
      </c>
      <c r="CY10" s="272">
        <f t="shared" si="14"/>
        <v>55.038785500000003</v>
      </c>
      <c r="CZ10" s="13"/>
      <c r="DA10" s="240">
        <f>(D10+'[2]октябрь 20 '!D10)/(AY10+'[2]октябрь 20 '!BA10)</f>
        <v>2.1328958539847598</v>
      </c>
      <c r="DB10" s="241">
        <f>(T10+'[2]октябрь 20 '!T10)/(AY10+'[2]октябрь 20 '!BA10)</f>
        <v>1.2894367542799066</v>
      </c>
      <c r="DD10" s="292">
        <f t="shared" si="15"/>
        <v>11.222</v>
      </c>
      <c r="DE10" s="291">
        <v>0.12</v>
      </c>
      <c r="DF10" s="291">
        <v>11.12</v>
      </c>
      <c r="DG10" s="145">
        <f t="shared" si="16"/>
        <v>11.208533599999999</v>
      </c>
      <c r="DH10" s="293">
        <f t="shared" si="30"/>
        <v>1.6493171050946143</v>
      </c>
      <c r="DJ10" s="322"/>
    </row>
    <row r="11" spans="1:114" s="76" customFormat="1" ht="16.5" customHeight="1" thickBot="1">
      <c r="A11" s="144">
        <v>5</v>
      </c>
      <c r="B11" s="122">
        <f>'[1]октябрь 20'!K10</f>
        <v>282.57299999999998</v>
      </c>
      <c r="C11" s="123">
        <f t="shared" si="17"/>
        <v>1.0510129771775789</v>
      </c>
      <c r="D11" s="145">
        <f t="shared" si="18"/>
        <v>279.60312109999995</v>
      </c>
      <c r="E11" s="125">
        <f t="shared" si="19"/>
        <v>37.852314446178511</v>
      </c>
      <c r="F11" s="146">
        <f t="shared" si="0"/>
        <v>2.1986562955099469</v>
      </c>
      <c r="G11" s="127">
        <v>22.04</v>
      </c>
      <c r="H11" s="126">
        <f t="shared" si="20"/>
        <v>1.8057177093654162</v>
      </c>
      <c r="I11" s="230">
        <f>'[1]июль 20'!AI10</f>
        <v>0</v>
      </c>
      <c r="J11" s="439">
        <f>'[1]октябрь 20'!AA10</f>
        <v>11.162000000000001</v>
      </c>
      <c r="K11" s="464">
        <f>'[1]сентябрь 20'!AM10</f>
        <v>0</v>
      </c>
      <c r="L11" s="441">
        <f>'[1]октябрь 20'!AE10</f>
        <v>49.97</v>
      </c>
      <c r="M11" s="468">
        <f t="shared" si="21"/>
        <v>0.39293858614453092</v>
      </c>
      <c r="N11" s="399">
        <f>'[1]октябрь 20'!W10</f>
        <v>0</v>
      </c>
      <c r="O11" s="403">
        <f>'[1]октябрь 20'!AU10</f>
        <v>3.6720000000000002</v>
      </c>
      <c r="P11" s="401">
        <f t="shared" si="1"/>
        <v>173.98399999999998</v>
      </c>
      <c r="Q11" s="122">
        <f>'[1]октябрь 20'!S10</f>
        <v>173.98400000000001</v>
      </c>
      <c r="R11" s="123">
        <f t="shared" si="22"/>
        <v>2.48</v>
      </c>
      <c r="S11" s="129">
        <v>8.09</v>
      </c>
      <c r="T11" s="125">
        <f t="shared" si="2"/>
        <v>169.66919680000001</v>
      </c>
      <c r="U11" s="147">
        <f t="shared" si="3"/>
        <v>1.3341920012581585</v>
      </c>
      <c r="V11" s="130">
        <v>127.17</v>
      </c>
      <c r="W11" s="130">
        <v>127.17</v>
      </c>
      <c r="X11" s="129">
        <v>0.52</v>
      </c>
      <c r="Y11" s="131">
        <v>562</v>
      </c>
      <c r="Z11" s="131">
        <v>1174</v>
      </c>
      <c r="AA11" s="148" t="s">
        <v>145</v>
      </c>
      <c r="AB11" s="149">
        <v>75.739999999999995</v>
      </c>
      <c r="AC11" s="150">
        <v>113</v>
      </c>
      <c r="AD11" s="151">
        <v>5</v>
      </c>
      <c r="AE11" s="149"/>
      <c r="AF11" s="134">
        <f t="shared" si="4"/>
        <v>0</v>
      </c>
      <c r="AG11" s="152"/>
      <c r="AH11" s="129">
        <v>78.650000000000006</v>
      </c>
      <c r="AI11" s="134">
        <f t="shared" si="5"/>
        <v>618.46347408980103</v>
      </c>
      <c r="AJ11" s="163">
        <v>19.600000000000001</v>
      </c>
      <c r="AK11" s="154"/>
      <c r="AL11" s="155">
        <v>10.49</v>
      </c>
      <c r="AM11" s="478">
        <f t="shared" si="23"/>
        <v>33.880000000000003</v>
      </c>
      <c r="AN11" s="126">
        <f t="shared" si="24"/>
        <v>0.2</v>
      </c>
      <c r="AO11" s="157" t="s">
        <v>351</v>
      </c>
      <c r="AP11" s="156">
        <v>7.71</v>
      </c>
      <c r="AQ11" s="156">
        <v>8.19</v>
      </c>
      <c r="AR11" s="149"/>
      <c r="AS11" s="149">
        <v>7.77</v>
      </c>
      <c r="AT11" s="149">
        <v>169.4</v>
      </c>
      <c r="AU11" s="149">
        <v>2.14</v>
      </c>
      <c r="AV11" s="149"/>
      <c r="AW11" s="149"/>
      <c r="AX11" s="158">
        <f t="shared" si="6"/>
        <v>0</v>
      </c>
      <c r="AY11" s="125">
        <f t="shared" si="7"/>
        <v>127.17</v>
      </c>
      <c r="AZ11" s="125">
        <f t="shared" si="25"/>
        <v>123.63900393127597</v>
      </c>
      <c r="BA11" s="159">
        <f t="shared" si="8"/>
        <v>4.7339545774647886</v>
      </c>
      <c r="BB11" s="160">
        <f t="shared" si="9"/>
        <v>5.0868000000000002</v>
      </c>
      <c r="BC11" s="161">
        <f t="shared" si="10"/>
        <v>0.91007150795423974</v>
      </c>
      <c r="BD11" s="160">
        <f t="shared" si="26"/>
        <v>9.8207545774647897</v>
      </c>
      <c r="BE11" s="162">
        <v>0.88300000000000001</v>
      </c>
      <c r="BF11" s="25">
        <f t="shared" si="27"/>
        <v>527.41</v>
      </c>
      <c r="BG11" s="25">
        <f t="shared" si="11"/>
        <v>125.80645161290323</v>
      </c>
      <c r="BH11" s="25">
        <f t="shared" si="28"/>
        <v>629.0322580645161</v>
      </c>
      <c r="BI11" s="26">
        <f t="shared" si="12"/>
        <v>1</v>
      </c>
      <c r="BJ11" s="37">
        <f t="shared" si="29"/>
        <v>629.0322580645161</v>
      </c>
      <c r="BK11" s="38">
        <v>153.499</v>
      </c>
      <c r="BL11" s="31">
        <v>79.103999999999999</v>
      </c>
      <c r="BM11" s="31"/>
      <c r="BN11" s="31"/>
      <c r="BO11" s="40"/>
      <c r="BP11" s="40"/>
      <c r="BQ11" s="32">
        <v>49.97</v>
      </c>
      <c r="BR11" s="33">
        <v>1.27</v>
      </c>
      <c r="BS11" s="34">
        <v>1.29</v>
      </c>
      <c r="BT11" s="35"/>
      <c r="BU11" s="28"/>
      <c r="BV11" s="287"/>
      <c r="BW11" s="287"/>
      <c r="BX11" s="36"/>
      <c r="BY11" s="33">
        <v>37.049999999999997</v>
      </c>
      <c r="BZ11" s="34">
        <v>36.049999999999997</v>
      </c>
      <c r="CA11" s="35"/>
      <c r="CB11" s="35"/>
      <c r="CC11" s="235"/>
      <c r="CD11" s="235"/>
      <c r="CE11" s="36">
        <v>43.17</v>
      </c>
      <c r="CF11" s="30">
        <v>117.45399999999999</v>
      </c>
      <c r="CG11" s="30"/>
      <c r="CH11" s="31"/>
      <c r="CI11" s="32">
        <v>56.53</v>
      </c>
      <c r="CJ11" s="33">
        <v>2.48</v>
      </c>
      <c r="CK11" s="33"/>
      <c r="CL11" s="35"/>
      <c r="CM11" s="36">
        <v>2.48</v>
      </c>
      <c r="CN11" s="286"/>
      <c r="CO11" s="249">
        <f t="shared" si="13"/>
        <v>151.5495627</v>
      </c>
      <c r="CP11" s="12">
        <f t="shared" si="13"/>
        <v>78.083558400000001</v>
      </c>
      <c r="CQ11" s="15">
        <f t="shared" si="13"/>
        <v>0</v>
      </c>
      <c r="CR11" s="16">
        <f t="shared" si="13"/>
        <v>0</v>
      </c>
      <c r="CS11" s="11">
        <f t="shared" si="13"/>
        <v>0</v>
      </c>
      <c r="CT11" s="11">
        <f t="shared" si="13"/>
        <v>0</v>
      </c>
      <c r="CU11" s="272">
        <f t="shared" si="13"/>
        <v>49.97</v>
      </c>
      <c r="CV11" s="249">
        <f t="shared" si="14"/>
        <v>114.54114079999999</v>
      </c>
      <c r="CW11" s="12">
        <f t="shared" si="14"/>
        <v>0</v>
      </c>
      <c r="CX11" s="249">
        <f t="shared" si="14"/>
        <v>0</v>
      </c>
      <c r="CY11" s="272">
        <f t="shared" si="14"/>
        <v>55.128056000000001</v>
      </c>
      <c r="CZ11" s="13"/>
      <c r="DA11" s="240">
        <f>(D11+'[2]октябрь 20 '!D11)/(AY11+'[2]октябрь 20 '!BA11)</f>
        <v>2.2299810352924876</v>
      </c>
      <c r="DB11" s="241">
        <f>(T11+'[2]октябрь 20 '!T11)/(AY11+'[2]октябрь 20 '!BA11)</f>
        <v>1.3482747114605342</v>
      </c>
      <c r="DD11" s="292">
        <f t="shared" si="15"/>
        <v>11.162000000000001</v>
      </c>
      <c r="DE11" s="291">
        <v>0.17</v>
      </c>
      <c r="DF11" s="407">
        <v>11.21</v>
      </c>
      <c r="DG11" s="145">
        <f t="shared" si="16"/>
        <v>11.1430246</v>
      </c>
      <c r="DH11" s="293">
        <f t="shared" si="30"/>
        <v>1.6492382593873782</v>
      </c>
      <c r="DJ11" s="322"/>
    </row>
    <row r="12" spans="1:114" s="76" customFormat="1" ht="16.5" customHeight="1" thickBot="1">
      <c r="A12" s="144">
        <v>6</v>
      </c>
      <c r="B12" s="122">
        <f>'[1]октябрь 20'!K11</f>
        <v>260.03800000000001</v>
      </c>
      <c r="C12" s="123">
        <f t="shared" si="17"/>
        <v>1.0265400826033115</v>
      </c>
      <c r="D12" s="145">
        <f t="shared" si="18"/>
        <v>257.36860570000005</v>
      </c>
      <c r="E12" s="125">
        <f t="shared" si="19"/>
        <v>38.104938355163469</v>
      </c>
      <c r="F12" s="146">
        <f t="shared" si="0"/>
        <v>2.1474226591572805</v>
      </c>
      <c r="G12" s="127">
        <v>19.579999999999998</v>
      </c>
      <c r="H12" s="126">
        <f t="shared" si="20"/>
        <v>1.8436679657905712</v>
      </c>
      <c r="I12" s="230">
        <f>'[1]июль 20'!AI11</f>
        <v>0</v>
      </c>
      <c r="J12" s="439">
        <f>'[1]октябрь 20'!AA11</f>
        <v>10.382999999999999</v>
      </c>
      <c r="K12" s="464">
        <f>'[1]сентябрь 20'!AM11</f>
        <v>0</v>
      </c>
      <c r="L12" s="441">
        <f>'[1]октябрь 20'!AE11</f>
        <v>36.405000000000001</v>
      </c>
      <c r="M12" s="469">
        <f t="shared" si="21"/>
        <v>0.30375469336670841</v>
      </c>
      <c r="N12" s="403">
        <f>'[1]октябрь 20'!W11</f>
        <v>0</v>
      </c>
      <c r="O12" s="403">
        <f>'[1]октябрь 20'!AU11</f>
        <v>6.2560000000000002</v>
      </c>
      <c r="P12" s="401">
        <f t="shared" si="1"/>
        <v>160.05099999999999</v>
      </c>
      <c r="Q12" s="122">
        <f>'[1]октябрь 20'!S11</f>
        <v>160.05099999999999</v>
      </c>
      <c r="R12" s="123">
        <f t="shared" si="22"/>
        <v>2.72</v>
      </c>
      <c r="S12" s="129">
        <v>10.72</v>
      </c>
      <c r="T12" s="125">
        <f t="shared" si="2"/>
        <v>155.6976128</v>
      </c>
      <c r="U12" s="147">
        <f t="shared" si="3"/>
        <v>1.2991039866499792</v>
      </c>
      <c r="V12" s="130">
        <v>119.85</v>
      </c>
      <c r="W12" s="130">
        <v>49.22</v>
      </c>
      <c r="X12" s="129">
        <v>0.98</v>
      </c>
      <c r="Y12" s="131">
        <v>556</v>
      </c>
      <c r="Z12" s="150">
        <v>1171</v>
      </c>
      <c r="AA12" s="148" t="s">
        <v>415</v>
      </c>
      <c r="AB12" s="149">
        <v>76.27</v>
      </c>
      <c r="AC12" s="150">
        <v>104</v>
      </c>
      <c r="AD12" s="151">
        <v>5</v>
      </c>
      <c r="AE12" s="149">
        <v>3.35</v>
      </c>
      <c r="AF12" s="134">
        <f t="shared" si="4"/>
        <v>27.951606174384651</v>
      </c>
      <c r="AG12" s="152"/>
      <c r="AH12" s="129">
        <v>64.599999999999994</v>
      </c>
      <c r="AI12" s="134">
        <f t="shared" si="5"/>
        <v>539.00709219858152</v>
      </c>
      <c r="AJ12" s="153">
        <v>17.649999999999999</v>
      </c>
      <c r="AK12" s="154"/>
      <c r="AL12" s="155">
        <v>11.36</v>
      </c>
      <c r="AM12" s="478">
        <f t="shared" si="23"/>
        <v>32.260000000000005</v>
      </c>
      <c r="AN12" s="126">
        <f t="shared" si="24"/>
        <v>0.2</v>
      </c>
      <c r="AO12" s="157" t="s">
        <v>356</v>
      </c>
      <c r="AP12" s="156">
        <v>8.41</v>
      </c>
      <c r="AQ12" s="156">
        <v>8.24</v>
      </c>
      <c r="AR12" s="149"/>
      <c r="AS12" s="149">
        <v>5.82</v>
      </c>
      <c r="AT12" s="149">
        <v>161.30000000000001</v>
      </c>
      <c r="AU12" s="149">
        <v>2.17</v>
      </c>
      <c r="AV12" s="164"/>
      <c r="AW12" s="164"/>
      <c r="AX12" s="158">
        <f t="shared" si="6"/>
        <v>0</v>
      </c>
      <c r="AY12" s="125">
        <f t="shared" si="7"/>
        <v>119.85</v>
      </c>
      <c r="AZ12" s="125">
        <f t="shared" si="25"/>
        <v>113.84609871004669</v>
      </c>
      <c r="BA12" s="159">
        <f t="shared" si="8"/>
        <v>2.9124591549295773</v>
      </c>
      <c r="BB12" s="160">
        <f t="shared" si="9"/>
        <v>4.7939999999999996</v>
      </c>
      <c r="BC12" s="161">
        <f t="shared" si="10"/>
        <v>0.93208378241314904</v>
      </c>
      <c r="BD12" s="160">
        <f t="shared" si="26"/>
        <v>7.7064591549295773</v>
      </c>
      <c r="BE12" s="162">
        <v>0.89200000000000002</v>
      </c>
      <c r="BF12" s="25">
        <f t="shared" si="27"/>
        <v>647.26</v>
      </c>
      <c r="BG12" s="25">
        <f t="shared" si="11"/>
        <v>125.80645161290323</v>
      </c>
      <c r="BH12" s="25">
        <f t="shared" si="28"/>
        <v>754.83870967741927</v>
      </c>
      <c r="BI12" s="26">
        <f t="shared" si="12"/>
        <v>1</v>
      </c>
      <c r="BJ12" s="37">
        <f t="shared" si="29"/>
        <v>754.83870967741927</v>
      </c>
      <c r="BK12" s="38">
        <v>150.78899999999999</v>
      </c>
      <c r="BL12" s="31">
        <v>72.843999999999994</v>
      </c>
      <c r="BM12" s="31"/>
      <c r="BN12" s="31"/>
      <c r="BO12" s="40"/>
      <c r="BP12" s="40"/>
      <c r="BQ12" s="32">
        <v>36.405000000000001</v>
      </c>
      <c r="BR12" s="33">
        <v>1.35</v>
      </c>
      <c r="BS12" s="34">
        <v>0.87</v>
      </c>
      <c r="BT12" s="33"/>
      <c r="BU12" s="28"/>
      <c r="BV12" s="287"/>
      <c r="BW12" s="287"/>
      <c r="BX12" s="36"/>
      <c r="BY12" s="33">
        <v>37.94</v>
      </c>
      <c r="BZ12" s="34">
        <v>35.950000000000003</v>
      </c>
      <c r="CA12" s="33"/>
      <c r="CB12" s="35"/>
      <c r="CC12" s="235"/>
      <c r="CD12" s="235"/>
      <c r="CE12" s="36">
        <v>43.1</v>
      </c>
      <c r="CF12" s="30">
        <v>103.062</v>
      </c>
      <c r="CG12" s="30"/>
      <c r="CH12" s="31"/>
      <c r="CI12" s="32">
        <v>56.988999999999997</v>
      </c>
      <c r="CJ12" s="33">
        <v>2.72</v>
      </c>
      <c r="CK12" s="33"/>
      <c r="CL12" s="35"/>
      <c r="CM12" s="36">
        <v>2.72</v>
      </c>
      <c r="CN12" s="286"/>
      <c r="CO12" s="249">
        <f t="shared" si="13"/>
        <v>148.75334849999999</v>
      </c>
      <c r="CP12" s="12">
        <f t="shared" si="13"/>
        <v>72.210257199999987</v>
      </c>
      <c r="CQ12" s="12">
        <f t="shared" si="13"/>
        <v>0</v>
      </c>
      <c r="CR12" s="12">
        <f t="shared" si="13"/>
        <v>0</v>
      </c>
      <c r="CS12" s="11">
        <f t="shared" si="13"/>
        <v>0</v>
      </c>
      <c r="CT12" s="11">
        <f t="shared" si="13"/>
        <v>0</v>
      </c>
      <c r="CU12" s="272">
        <f t="shared" si="13"/>
        <v>36.405000000000001</v>
      </c>
      <c r="CV12" s="249">
        <f t="shared" si="14"/>
        <v>100.25871359999999</v>
      </c>
      <c r="CW12" s="12">
        <f t="shared" si="14"/>
        <v>0</v>
      </c>
      <c r="CX12" s="252">
        <f t="shared" si="14"/>
        <v>0</v>
      </c>
      <c r="CY12" s="272">
        <f t="shared" si="14"/>
        <v>55.438899199999994</v>
      </c>
      <c r="CZ12" s="13"/>
      <c r="DA12" s="240">
        <f>(D12+'[2]октябрь 20 '!D12)/(AY12+'[2]октябрь 20 '!BA12)</f>
        <v>2.1740686387947661</v>
      </c>
      <c r="DB12" s="241">
        <f>(T12+'[2]октябрь 20 '!T12)/(AY12+'[2]октябрь 20 '!BA12)</f>
        <v>1.3131740939045664</v>
      </c>
      <c r="DD12" s="292">
        <f t="shared" si="15"/>
        <v>10.382999999999999</v>
      </c>
      <c r="DE12" s="291">
        <v>0.48</v>
      </c>
      <c r="DF12" s="291">
        <v>11.76</v>
      </c>
      <c r="DG12" s="145">
        <f t="shared" si="16"/>
        <v>10.333161599999999</v>
      </c>
      <c r="DH12" s="293">
        <f t="shared" si="30"/>
        <v>1.5932605272846465</v>
      </c>
      <c r="DJ12" s="322"/>
    </row>
    <row r="13" spans="1:114" s="76" customFormat="1" ht="16.5" customHeight="1" thickBot="1">
      <c r="A13" s="144">
        <v>7</v>
      </c>
      <c r="B13" s="122">
        <f>'[1]октябрь 20'!K12</f>
        <v>207.51</v>
      </c>
      <c r="C13" s="123">
        <f t="shared" si="17"/>
        <v>1.9145582381571971</v>
      </c>
      <c r="D13" s="145">
        <f t="shared" si="18"/>
        <v>203.5371002</v>
      </c>
      <c r="E13" s="125">
        <f t="shared" si="19"/>
        <v>39.050472410968148</v>
      </c>
      <c r="F13" s="146">
        <f t="shared" si="0"/>
        <v>1.8891507351030254</v>
      </c>
      <c r="G13" s="127">
        <v>13.75</v>
      </c>
      <c r="H13" s="126">
        <f t="shared" si="20"/>
        <v>1.6196779302023385</v>
      </c>
      <c r="I13" s="230">
        <f>'[1]июль 20'!AI12</f>
        <v>0</v>
      </c>
      <c r="J13" s="439">
        <f>'[1]октябрь 20'!AA12</f>
        <v>8.3490000000000002</v>
      </c>
      <c r="K13" s="464">
        <f>'[1]сентябрь 20'!AM12</f>
        <v>0</v>
      </c>
      <c r="L13" s="441">
        <f>'[1]октябрь 20'!AE12</f>
        <v>29.033000000000001</v>
      </c>
      <c r="M13" s="468">
        <f t="shared" si="21"/>
        <v>0.26947280490068681</v>
      </c>
      <c r="N13" s="399">
        <f>'[1]октябрь 20'!W12</f>
        <v>0</v>
      </c>
      <c r="O13" s="403">
        <f>'[1]октябрь 20'!AU12</f>
        <v>5.0970000000000004</v>
      </c>
      <c r="P13" s="401">
        <f t="shared" si="1"/>
        <v>140.03800000000001</v>
      </c>
      <c r="Q13" s="122">
        <f>'[1]октябрь 20'!S12</f>
        <v>140.03800000000001</v>
      </c>
      <c r="R13" s="123">
        <f t="shared" si="22"/>
        <v>2.6699999999999995</v>
      </c>
      <c r="S13" s="129">
        <v>3.02</v>
      </c>
      <c r="T13" s="125">
        <f t="shared" si="2"/>
        <v>136.29898539999999</v>
      </c>
      <c r="U13" s="147">
        <f t="shared" si="3"/>
        <v>1.2650731891590863</v>
      </c>
      <c r="V13" s="130">
        <v>107.74</v>
      </c>
      <c r="W13" s="130">
        <v>107.74</v>
      </c>
      <c r="X13" s="129">
        <v>0.61</v>
      </c>
      <c r="Y13" s="165">
        <v>565</v>
      </c>
      <c r="Z13" s="166">
        <v>1156</v>
      </c>
      <c r="AA13" s="148" t="s">
        <v>220</v>
      </c>
      <c r="AB13" s="149">
        <v>76.52</v>
      </c>
      <c r="AC13" s="150">
        <v>87</v>
      </c>
      <c r="AD13" s="151">
        <v>5</v>
      </c>
      <c r="AE13" s="149"/>
      <c r="AF13" s="134">
        <f t="shared" si="4"/>
        <v>0</v>
      </c>
      <c r="AG13" s="152"/>
      <c r="AH13" s="129">
        <v>77.599999999999994</v>
      </c>
      <c r="AI13" s="134">
        <f t="shared" si="5"/>
        <v>720.25245962502299</v>
      </c>
      <c r="AJ13" s="136">
        <v>16.97</v>
      </c>
      <c r="AK13" s="154"/>
      <c r="AL13" s="155">
        <v>6.67</v>
      </c>
      <c r="AM13" s="478">
        <f t="shared" si="23"/>
        <v>27.660000000000004</v>
      </c>
      <c r="AN13" s="126">
        <f t="shared" si="24"/>
        <v>0.2</v>
      </c>
      <c r="AO13" s="157" t="s">
        <v>353</v>
      </c>
      <c r="AP13" s="156">
        <v>6.28</v>
      </c>
      <c r="AQ13" s="156">
        <v>8.5500000000000007</v>
      </c>
      <c r="AR13" s="149"/>
      <c r="AS13" s="149">
        <v>8.2200000000000006</v>
      </c>
      <c r="AT13" s="149">
        <v>138.30000000000001</v>
      </c>
      <c r="AU13" s="149">
        <v>3.77</v>
      </c>
      <c r="AV13" s="149"/>
      <c r="AW13" s="149"/>
      <c r="AX13" s="158">
        <f t="shared" si="6"/>
        <v>0</v>
      </c>
      <c r="AY13" s="125">
        <f t="shared" si="7"/>
        <v>107.74000000000002</v>
      </c>
      <c r="AZ13" s="125">
        <f t="shared" si="25"/>
        <v>91.875743830901101</v>
      </c>
      <c r="BA13" s="159">
        <f t="shared" si="8"/>
        <v>4.9412619718309854</v>
      </c>
      <c r="BB13" s="160">
        <f t="shared" si="9"/>
        <v>4.3096000000000014</v>
      </c>
      <c r="BC13" s="161">
        <f t="shared" si="10"/>
        <v>1.0372466900968185</v>
      </c>
      <c r="BD13" s="160">
        <f t="shared" si="26"/>
        <v>9.2508619718309859</v>
      </c>
      <c r="BE13" s="162">
        <v>0.91</v>
      </c>
      <c r="BF13" s="25">
        <f t="shared" si="27"/>
        <v>755</v>
      </c>
      <c r="BG13" s="25">
        <f t="shared" si="11"/>
        <v>125.80645161290323</v>
      </c>
      <c r="BH13" s="25">
        <f t="shared" si="28"/>
        <v>880.64516129032245</v>
      </c>
      <c r="BI13" s="26">
        <f t="shared" si="12"/>
        <v>1</v>
      </c>
      <c r="BJ13" s="37">
        <f t="shared" si="29"/>
        <v>880.64516129032245</v>
      </c>
      <c r="BK13" s="39">
        <v>120.345</v>
      </c>
      <c r="BL13" s="40">
        <v>58.131999999999998</v>
      </c>
      <c r="BM13" s="325"/>
      <c r="BN13" s="31"/>
      <c r="BO13" s="40"/>
      <c r="BP13" s="40"/>
      <c r="BQ13" s="32">
        <v>29.033000000000001</v>
      </c>
      <c r="BR13" s="33">
        <v>2.34</v>
      </c>
      <c r="BS13" s="34">
        <v>1.99</v>
      </c>
      <c r="BT13" s="33"/>
      <c r="BU13" s="28"/>
      <c r="BV13" s="287"/>
      <c r="BW13" s="287"/>
      <c r="BX13" s="36"/>
      <c r="BY13" s="33">
        <v>38.68</v>
      </c>
      <c r="BZ13" s="34">
        <v>37.76</v>
      </c>
      <c r="CA13" s="33"/>
      <c r="CB13" s="35"/>
      <c r="CC13" s="235"/>
      <c r="CD13" s="235"/>
      <c r="CE13" s="36">
        <v>43.17</v>
      </c>
      <c r="CF13" s="30">
        <v>90.225999999999999</v>
      </c>
      <c r="CG13" s="30"/>
      <c r="CH13" s="30"/>
      <c r="CI13" s="32">
        <v>49.811999999999998</v>
      </c>
      <c r="CJ13" s="33">
        <v>2.67</v>
      </c>
      <c r="CK13" s="33"/>
      <c r="CL13" s="33"/>
      <c r="CM13" s="36">
        <v>2.67</v>
      </c>
      <c r="CN13" s="286"/>
      <c r="CO13" s="249">
        <f t="shared" si="13"/>
        <v>117.52892699999998</v>
      </c>
      <c r="CP13" s="12">
        <f t="shared" si="13"/>
        <v>56.9751732</v>
      </c>
      <c r="CQ13" s="12">
        <f t="shared" si="13"/>
        <v>0</v>
      </c>
      <c r="CR13" s="12">
        <f t="shared" si="13"/>
        <v>0</v>
      </c>
      <c r="CS13" s="11">
        <f t="shared" si="13"/>
        <v>0</v>
      </c>
      <c r="CT13" s="11">
        <f t="shared" si="13"/>
        <v>0</v>
      </c>
      <c r="CU13" s="272">
        <f t="shared" si="13"/>
        <v>29.033000000000001</v>
      </c>
      <c r="CV13" s="249">
        <f t="shared" si="14"/>
        <v>87.816965799999991</v>
      </c>
      <c r="CW13" s="251">
        <f t="shared" si="14"/>
        <v>0</v>
      </c>
      <c r="CX13" s="249">
        <f t="shared" si="14"/>
        <v>0</v>
      </c>
      <c r="CY13" s="272">
        <f t="shared" si="14"/>
        <v>48.482019599999994</v>
      </c>
      <c r="CZ13" s="13"/>
      <c r="DA13" s="240">
        <f>(D13+'[2]октябрь 20 '!D13)/(AY13+'[2]октябрь 20 '!BA13)</f>
        <v>2.0630650684909195</v>
      </c>
      <c r="DB13" s="241">
        <f>(T13+'[2]октябрь 20 '!T13)/(AY13+'[2]октябрь 20 '!BA13)</f>
        <v>1.2953464790292368</v>
      </c>
      <c r="DD13" s="292">
        <f t="shared" si="15"/>
        <v>8.3490000000000002</v>
      </c>
      <c r="DE13" s="291">
        <v>0.33</v>
      </c>
      <c r="DF13" s="291">
        <v>11</v>
      </c>
      <c r="DG13" s="145">
        <f t="shared" si="16"/>
        <v>8.3214483000000001</v>
      </c>
      <c r="DH13" s="293">
        <f t="shared" si="30"/>
        <v>1.1962353802927341</v>
      </c>
      <c r="DJ13" s="322"/>
    </row>
    <row r="14" spans="1:114" s="76" customFormat="1" ht="16.5" customHeight="1" thickBot="1">
      <c r="A14" s="144">
        <v>8</v>
      </c>
      <c r="B14" s="122">
        <f>'[1]октябрь 20'!K13</f>
        <v>43.593000000000004</v>
      </c>
      <c r="C14" s="123">
        <f t="shared" si="17"/>
        <v>0.95093340673961402</v>
      </c>
      <c r="D14" s="145">
        <f t="shared" si="18"/>
        <v>43.178459600000004</v>
      </c>
      <c r="E14" s="125">
        <f t="shared" si="19"/>
        <v>38.891203863005522</v>
      </c>
      <c r="F14" s="146">
        <f t="shared" si="0"/>
        <v>1.5582266185492604</v>
      </c>
      <c r="G14" s="127">
        <v>3.42</v>
      </c>
      <c r="H14" s="126">
        <f t="shared" si="20"/>
        <v>1.3302944640923855</v>
      </c>
      <c r="I14" s="230">
        <f>'[1]июль 20'!AI13</f>
        <v>0</v>
      </c>
      <c r="J14" s="439">
        <f>'[1]октябрь 20'!AA13</f>
        <v>2.0190000000000001</v>
      </c>
      <c r="K14" s="464">
        <f>'[1]сентябрь 20'!AM13</f>
        <v>0</v>
      </c>
      <c r="L14" s="441">
        <f>'[1]октябрь 20'!AE13</f>
        <v>6.3159999999999998</v>
      </c>
      <c r="M14" s="471">
        <f t="shared" si="21"/>
        <v>0.22793215445687479</v>
      </c>
      <c r="N14" s="403">
        <f>'[1]октябрь 20'!W13</f>
        <v>0</v>
      </c>
      <c r="O14" s="403">
        <f>'[1]октябрь 20'!AU13</f>
        <v>1.1830000000000001</v>
      </c>
      <c r="P14" s="401">
        <f t="shared" si="1"/>
        <v>30.611000000000001</v>
      </c>
      <c r="Q14" s="122">
        <f>'[1]октябрь 20'!S13</f>
        <v>30.611000000000001</v>
      </c>
      <c r="R14" s="123">
        <f t="shared" si="22"/>
        <v>2.83</v>
      </c>
      <c r="S14" s="129"/>
      <c r="T14" s="125">
        <f t="shared" si="2"/>
        <v>29.7447087</v>
      </c>
      <c r="U14" s="147">
        <f t="shared" si="3"/>
        <v>1.0734286791771925</v>
      </c>
      <c r="V14" s="130">
        <v>27.71</v>
      </c>
      <c r="W14" s="130"/>
      <c r="X14" s="129">
        <v>1.49</v>
      </c>
      <c r="Y14" s="131">
        <v>570</v>
      </c>
      <c r="Z14" s="150">
        <v>1029</v>
      </c>
      <c r="AA14" s="148" t="s">
        <v>416</v>
      </c>
      <c r="AB14" s="149">
        <v>76.319999999999993</v>
      </c>
      <c r="AC14" s="150">
        <v>19</v>
      </c>
      <c r="AD14" s="151">
        <v>2</v>
      </c>
      <c r="AE14" s="149"/>
      <c r="AF14" s="134">
        <f t="shared" si="4"/>
        <v>0</v>
      </c>
      <c r="AG14" s="152"/>
      <c r="AH14" s="129">
        <v>15.4</v>
      </c>
      <c r="AI14" s="134">
        <f t="shared" si="5"/>
        <v>555.75604474918805</v>
      </c>
      <c r="AJ14" s="153">
        <v>6.8</v>
      </c>
      <c r="AK14" s="154"/>
      <c r="AL14" s="155">
        <v>2.6</v>
      </c>
      <c r="AM14" s="478">
        <f t="shared" si="23"/>
        <v>7.43</v>
      </c>
      <c r="AN14" s="126">
        <f t="shared" si="24"/>
        <v>0.2</v>
      </c>
      <c r="AO14" s="157" t="s">
        <v>323</v>
      </c>
      <c r="AP14" s="156">
        <v>6.06</v>
      </c>
      <c r="AQ14" s="156">
        <v>7.5</v>
      </c>
      <c r="AR14" s="149"/>
      <c r="AS14" s="149">
        <v>9.14</v>
      </c>
      <c r="AT14" s="149">
        <v>37.15</v>
      </c>
      <c r="AU14" s="149">
        <v>0.59</v>
      </c>
      <c r="AV14" s="149"/>
      <c r="AW14" s="149"/>
      <c r="AX14" s="158">
        <f t="shared" si="6"/>
        <v>0</v>
      </c>
      <c r="AY14" s="125">
        <f t="shared" si="7"/>
        <v>27.709999999999997</v>
      </c>
      <c r="AZ14" s="125">
        <f t="shared" si="25"/>
        <v>19.48085610743307</v>
      </c>
      <c r="BA14" s="159">
        <f t="shared" si="8"/>
        <v>1.0903633802816901</v>
      </c>
      <c r="BB14" s="160">
        <f t="shared" si="9"/>
        <v>1.1083999999999998</v>
      </c>
      <c r="BC14" s="161">
        <f t="shared" si="10"/>
        <v>1.2593787353790493</v>
      </c>
      <c r="BD14" s="159">
        <f t="shared" si="26"/>
        <v>2.1987633802816902</v>
      </c>
      <c r="BE14" s="167">
        <v>0.91900000000000004</v>
      </c>
      <c r="BF14" s="25">
        <f t="shared" si="27"/>
        <v>782.71</v>
      </c>
      <c r="BG14" s="25">
        <f t="shared" si="11"/>
        <v>125.80645161290323</v>
      </c>
      <c r="BH14" s="25">
        <f t="shared" si="28"/>
        <v>1006.4516129032256</v>
      </c>
      <c r="BI14" s="26">
        <f t="shared" si="12"/>
        <v>1</v>
      </c>
      <c r="BJ14" s="37">
        <f t="shared" si="29"/>
        <v>1006.4516129032256</v>
      </c>
      <c r="BK14" s="39">
        <v>24.655000000000001</v>
      </c>
      <c r="BL14" s="40">
        <v>12.622</v>
      </c>
      <c r="BM14" s="325"/>
      <c r="BN14" s="31"/>
      <c r="BO14" s="40"/>
      <c r="BP14" s="40"/>
      <c r="BQ14" s="32">
        <v>6.3159999999999998</v>
      </c>
      <c r="BR14" s="33">
        <v>0.98</v>
      </c>
      <c r="BS14" s="34">
        <v>1.37</v>
      </c>
      <c r="BT14" s="33"/>
      <c r="BU14" s="28"/>
      <c r="BV14" s="287"/>
      <c r="BW14" s="287"/>
      <c r="BX14" s="36"/>
      <c r="BY14" s="33">
        <v>38.409999999999997</v>
      </c>
      <c r="BZ14" s="34">
        <v>37.61</v>
      </c>
      <c r="CA14" s="33"/>
      <c r="CB14" s="35"/>
      <c r="CC14" s="235"/>
      <c r="CD14" s="235"/>
      <c r="CE14" s="36">
        <v>43.33</v>
      </c>
      <c r="CF14" s="30">
        <v>20.411000000000001</v>
      </c>
      <c r="CG14" s="30"/>
      <c r="CH14" s="30"/>
      <c r="CI14" s="32">
        <v>10.199999999999999</v>
      </c>
      <c r="CJ14" s="33">
        <v>2.83</v>
      </c>
      <c r="CK14" s="33"/>
      <c r="CL14" s="33"/>
      <c r="CM14" s="36">
        <v>2.83</v>
      </c>
      <c r="CN14" s="286"/>
      <c r="CO14" s="249">
        <f t="shared" si="13"/>
        <v>24.413381000000001</v>
      </c>
      <c r="CP14" s="12">
        <f t="shared" si="13"/>
        <v>12.4490786</v>
      </c>
      <c r="CQ14" s="12">
        <f t="shared" si="13"/>
        <v>0</v>
      </c>
      <c r="CR14" s="12">
        <f t="shared" si="13"/>
        <v>0</v>
      </c>
      <c r="CS14" s="11">
        <f t="shared" si="13"/>
        <v>0</v>
      </c>
      <c r="CT14" s="11">
        <f t="shared" si="13"/>
        <v>0</v>
      </c>
      <c r="CU14" s="272">
        <f t="shared" si="13"/>
        <v>6.3159999999999998</v>
      </c>
      <c r="CV14" s="249">
        <f t="shared" si="14"/>
        <v>19.833368700000001</v>
      </c>
      <c r="CW14" s="12">
        <f t="shared" si="14"/>
        <v>0</v>
      </c>
      <c r="CX14" s="252">
        <f t="shared" si="14"/>
        <v>0</v>
      </c>
      <c r="CY14" s="272">
        <f t="shared" si="14"/>
        <v>9.9113399999999992</v>
      </c>
      <c r="CZ14" s="13"/>
      <c r="DA14" s="240">
        <f>(D14+'[2]октябрь 20 '!D14)/(AY14+'[2]октябрь 20 '!BA14)</f>
        <v>2.1475490516792068</v>
      </c>
      <c r="DB14" s="241">
        <f>(T14+'[2]октябрь 20 '!T14)/(AY14+'[2]октябрь 20 '!BA14)</f>
        <v>1.3234504342740283</v>
      </c>
      <c r="DD14" s="292">
        <f t="shared" si="15"/>
        <v>2.0190000000000001</v>
      </c>
      <c r="DE14" s="291">
        <v>0.64</v>
      </c>
      <c r="DF14" s="291">
        <v>10.36</v>
      </c>
      <c r="DG14" s="145">
        <f t="shared" si="16"/>
        <v>2.0060784000000003</v>
      </c>
      <c r="DH14" s="293">
        <f t="shared" si="30"/>
        <v>0.27231357735849065</v>
      </c>
      <c r="DJ14" s="322"/>
    </row>
    <row r="15" spans="1:114" s="76" customFormat="1" ht="16.5" customHeight="1" thickBot="1">
      <c r="A15" s="144">
        <v>9</v>
      </c>
      <c r="B15" s="122">
        <f>'[1]октябрь 20'!K14</f>
        <v>232.63</v>
      </c>
      <c r="C15" s="123">
        <f t="shared" si="17"/>
        <v>0.73868258608090098</v>
      </c>
      <c r="D15" s="145">
        <f t="shared" si="18"/>
        <v>230.9116027</v>
      </c>
      <c r="E15" s="125">
        <f t="shared" si="19"/>
        <v>39.052723896316031</v>
      </c>
      <c r="F15" s="146">
        <f t="shared" si="0"/>
        <v>2.6722787026964476</v>
      </c>
      <c r="G15" s="127">
        <v>11.07</v>
      </c>
      <c r="H15" s="126">
        <f t="shared" si="20"/>
        <v>2.2955051811132976</v>
      </c>
      <c r="I15" s="230">
        <f>'[1]июль 20'!AI14</f>
        <v>0</v>
      </c>
      <c r="J15" s="277">
        <f>'[1]октябрь 20'!AA14</f>
        <v>9.1739999999999995</v>
      </c>
      <c r="K15" s="518">
        <f>'[1]сентябрь 20'!AM14</f>
        <v>0</v>
      </c>
      <c r="L15" s="441">
        <f>'[1]октябрь 20'!AE14</f>
        <v>32.557000000000002</v>
      </c>
      <c r="M15" s="469">
        <f t="shared" si="21"/>
        <v>0.37677352158315019</v>
      </c>
      <c r="N15" s="403">
        <f>'[1]октябрь 20'!W14</f>
        <v>0</v>
      </c>
      <c r="O15" s="403">
        <f>'[1]октябрь 20'!AU14</f>
        <v>5.8390000000000004</v>
      </c>
      <c r="P15" s="401">
        <f t="shared" si="1"/>
        <v>146.29499999999999</v>
      </c>
      <c r="Q15" s="122">
        <f>'[1]октябрь 20'!S14</f>
        <v>146.29499999999999</v>
      </c>
      <c r="R15" s="123">
        <f t="shared" si="22"/>
        <v>2.88</v>
      </c>
      <c r="S15" s="129">
        <v>10.65</v>
      </c>
      <c r="T15" s="125">
        <f t="shared" si="2"/>
        <v>142.081704</v>
      </c>
      <c r="U15" s="147">
        <f t="shared" si="3"/>
        <v>1.6442738571924549</v>
      </c>
      <c r="V15" s="130">
        <v>86.41</v>
      </c>
      <c r="W15" s="130">
        <v>60.86</v>
      </c>
      <c r="X15" s="129">
        <v>0.82</v>
      </c>
      <c r="Y15" s="131">
        <v>560</v>
      </c>
      <c r="Z15" s="150">
        <v>1093</v>
      </c>
      <c r="AA15" s="148" t="s">
        <v>413</v>
      </c>
      <c r="AB15" s="149">
        <v>76.45</v>
      </c>
      <c r="AC15" s="150">
        <v>93</v>
      </c>
      <c r="AD15" s="151">
        <v>4</v>
      </c>
      <c r="AE15" s="149">
        <v>6.6</v>
      </c>
      <c r="AF15" s="134">
        <f t="shared" si="4"/>
        <v>76.380048605485484</v>
      </c>
      <c r="AG15" s="152"/>
      <c r="AH15" s="129">
        <v>51.25</v>
      </c>
      <c r="AI15" s="134">
        <f t="shared" si="5"/>
        <v>593.10265015623213</v>
      </c>
      <c r="AJ15" s="136">
        <v>13.17</v>
      </c>
      <c r="AK15" s="154"/>
      <c r="AL15" s="155">
        <v>6.37</v>
      </c>
      <c r="AM15" s="478">
        <f t="shared" si="23"/>
        <v>22.76</v>
      </c>
      <c r="AN15" s="126">
        <f t="shared" si="24"/>
        <v>0.2</v>
      </c>
      <c r="AO15" s="157" t="s">
        <v>166</v>
      </c>
      <c r="AP15" s="156">
        <v>8.1</v>
      </c>
      <c r="AQ15" s="156">
        <v>7.65</v>
      </c>
      <c r="AR15" s="149"/>
      <c r="AS15" s="149">
        <v>7.12</v>
      </c>
      <c r="AT15" s="149">
        <v>113.8</v>
      </c>
      <c r="AU15" s="149">
        <v>1.74</v>
      </c>
      <c r="AV15" s="149"/>
      <c r="AW15" s="149"/>
      <c r="AX15" s="158">
        <f t="shared" si="6"/>
        <v>0</v>
      </c>
      <c r="AY15" s="125">
        <f t="shared" si="7"/>
        <v>86.409999999999982</v>
      </c>
      <c r="AZ15" s="125">
        <f t="shared" si="25"/>
        <v>104.06268404191184</v>
      </c>
      <c r="BA15" s="159">
        <f t="shared" si="8"/>
        <v>2.82669014084507</v>
      </c>
      <c r="BB15" s="160">
        <f t="shared" si="9"/>
        <v>3.4563999999999995</v>
      </c>
      <c r="BC15" s="161">
        <f t="shared" si="10"/>
        <v>0.73256203615434623</v>
      </c>
      <c r="BD15" s="159">
        <f t="shared" si="26"/>
        <v>6.2830901408450694</v>
      </c>
      <c r="BE15" s="167">
        <v>0.89600000000000002</v>
      </c>
      <c r="BF15" s="25">
        <f t="shared" si="27"/>
        <v>869.12</v>
      </c>
      <c r="BG15" s="25">
        <f t="shared" si="11"/>
        <v>125.80645161290323</v>
      </c>
      <c r="BH15" s="25">
        <f t="shared" si="28"/>
        <v>1132.2580645161288</v>
      </c>
      <c r="BI15" s="26">
        <f t="shared" si="12"/>
        <v>1</v>
      </c>
      <c r="BJ15" s="37">
        <f t="shared" si="29"/>
        <v>1132.2580645161288</v>
      </c>
      <c r="BK15" s="38">
        <v>134.869</v>
      </c>
      <c r="BL15" s="42">
        <v>65.203999999999994</v>
      </c>
      <c r="BM15" s="31"/>
      <c r="BN15" s="31"/>
      <c r="BO15" s="40"/>
      <c r="BP15" s="40"/>
      <c r="BQ15" s="32">
        <v>32.557000000000002</v>
      </c>
      <c r="BR15" s="33">
        <v>0.81</v>
      </c>
      <c r="BS15" s="35">
        <v>0.96</v>
      </c>
      <c r="BT15" s="35"/>
      <c r="BU15" s="28"/>
      <c r="BV15" s="287"/>
      <c r="BW15" s="287"/>
      <c r="BX15" s="36"/>
      <c r="BY15" s="33">
        <v>38.58</v>
      </c>
      <c r="BZ15" s="34">
        <v>37.770000000000003</v>
      </c>
      <c r="CA15" s="35"/>
      <c r="CB15" s="35"/>
      <c r="CC15" s="35"/>
      <c r="CD15" s="35"/>
      <c r="CE15" s="35">
        <v>43.58</v>
      </c>
      <c r="CF15" s="38">
        <v>87.698999999999998</v>
      </c>
      <c r="CG15" s="30"/>
      <c r="CH15" s="30"/>
      <c r="CI15" s="32">
        <v>58.595999999999997</v>
      </c>
      <c r="CJ15" s="33">
        <v>2.88</v>
      </c>
      <c r="CK15" s="33"/>
      <c r="CL15" s="33"/>
      <c r="CM15" s="36">
        <v>2.88</v>
      </c>
      <c r="CN15" s="286"/>
      <c r="CO15" s="249">
        <f t="shared" si="13"/>
        <v>133.77656110000001</v>
      </c>
      <c r="CP15" s="12">
        <f t="shared" si="13"/>
        <v>64.578041599999992</v>
      </c>
      <c r="CQ15" s="12">
        <f t="shared" si="13"/>
        <v>0</v>
      </c>
      <c r="CR15" s="17">
        <f t="shared" si="13"/>
        <v>0</v>
      </c>
      <c r="CS15" s="11">
        <f t="shared" si="13"/>
        <v>0</v>
      </c>
      <c r="CT15" s="11">
        <f t="shared" si="13"/>
        <v>0</v>
      </c>
      <c r="CU15" s="272">
        <f t="shared" si="13"/>
        <v>32.557000000000002</v>
      </c>
      <c r="CV15" s="249">
        <f t="shared" si="14"/>
        <v>85.173268800000002</v>
      </c>
      <c r="CW15" s="12">
        <f t="shared" si="14"/>
        <v>0</v>
      </c>
      <c r="CX15" s="249">
        <f t="shared" si="14"/>
        <v>0</v>
      </c>
      <c r="CY15" s="274">
        <f t="shared" si="14"/>
        <v>56.9084352</v>
      </c>
      <c r="CZ15" s="13"/>
      <c r="DA15" s="240">
        <f>(D15+'[2]октябрь 20 '!D15)/(AY15+'[2]октябрь 20 '!BA15)</f>
        <v>2.287217361098103</v>
      </c>
      <c r="DB15" s="241">
        <f>(T15+'[2]октябрь 20 '!T15)/(AY15+'[2]октябрь 20 '!BA15)</f>
        <v>1.4153756434466773</v>
      </c>
      <c r="DD15" s="292">
        <f t="shared" si="15"/>
        <v>9.1739999999999995</v>
      </c>
      <c r="DE15" s="291">
        <v>0.33</v>
      </c>
      <c r="DF15" s="291">
        <v>9.09</v>
      </c>
      <c r="DG15" s="145">
        <f t="shared" si="16"/>
        <v>9.1437258000000003</v>
      </c>
      <c r="DH15" s="293">
        <f t="shared" si="30"/>
        <v>1.08720036</v>
      </c>
      <c r="DJ15" s="322"/>
    </row>
    <row r="16" spans="1:114" s="76" customFormat="1" ht="16.5" customHeight="1" thickBot="1">
      <c r="A16" s="144">
        <v>10</v>
      </c>
      <c r="B16" s="122">
        <f>'[1]октябрь 20'!K15</f>
        <v>247.505</v>
      </c>
      <c r="C16" s="123">
        <f t="shared" si="17"/>
        <v>0.64161645219288499</v>
      </c>
      <c r="D16" s="145">
        <f t="shared" si="18"/>
        <v>245.91696719999996</v>
      </c>
      <c r="E16" s="125">
        <f t="shared" si="19"/>
        <v>38.675671602593887</v>
      </c>
      <c r="F16" s="146">
        <f t="shared" si="0"/>
        <v>2.3684577405374161</v>
      </c>
      <c r="G16" s="127">
        <v>23.62</v>
      </c>
      <c r="H16" s="126">
        <f t="shared" si="20"/>
        <v>2.0347487932196855</v>
      </c>
      <c r="I16" s="230">
        <f>'[1]июль 20'!AI15</f>
        <v>0</v>
      </c>
      <c r="J16" s="439">
        <f>'[1]октябрь 20'!AA15</f>
        <v>10.016</v>
      </c>
      <c r="K16" s="467">
        <f>'[1]сентябрь 20'!AM15</f>
        <v>0</v>
      </c>
      <c r="L16" s="441">
        <f>'[1]октябрь 20'!AE15</f>
        <v>34.649000000000001</v>
      </c>
      <c r="M16" s="468">
        <f t="shared" si="21"/>
        <v>0.33370894731773088</v>
      </c>
      <c r="N16" s="403">
        <f>'[1]октябрь 20'!W15</f>
        <v>0</v>
      </c>
      <c r="O16" s="403">
        <f>'[1]октябрь 20'!AU15</f>
        <v>6.0220000000000002</v>
      </c>
      <c r="P16" s="401">
        <f t="shared" si="1"/>
        <v>154.34300000000002</v>
      </c>
      <c r="Q16" s="122">
        <f>'[1]октябрь 20'!S15</f>
        <v>154.34299999999999</v>
      </c>
      <c r="R16" s="123">
        <f t="shared" si="22"/>
        <v>2.8000000000000003</v>
      </c>
      <c r="S16" s="501">
        <v>12.66</v>
      </c>
      <c r="T16" s="125">
        <f t="shared" si="2"/>
        <v>150.02139599999998</v>
      </c>
      <c r="U16" s="147">
        <f t="shared" si="3"/>
        <v>1.4448752383704129</v>
      </c>
      <c r="V16" s="130">
        <v>103.83</v>
      </c>
      <c r="W16" s="130">
        <v>63.58</v>
      </c>
      <c r="X16" s="129">
        <v>1.01</v>
      </c>
      <c r="Y16" s="131">
        <v>588</v>
      </c>
      <c r="Z16" s="150">
        <v>1159</v>
      </c>
      <c r="AA16" s="148" t="s">
        <v>110</v>
      </c>
      <c r="AB16" s="149">
        <v>76.56</v>
      </c>
      <c r="AC16" s="150">
        <v>99</v>
      </c>
      <c r="AD16" s="151">
        <v>5</v>
      </c>
      <c r="AE16" s="149">
        <v>7.65</v>
      </c>
      <c r="AF16" s="134">
        <f t="shared" si="4"/>
        <v>73.678127708754687</v>
      </c>
      <c r="AG16" s="152"/>
      <c r="AH16" s="129">
        <v>71.25</v>
      </c>
      <c r="AI16" s="134">
        <f t="shared" si="5"/>
        <v>686.21785611095049</v>
      </c>
      <c r="AJ16" s="153">
        <v>16.46</v>
      </c>
      <c r="AK16" s="154"/>
      <c r="AL16" s="155">
        <v>6.54</v>
      </c>
      <c r="AM16" s="478">
        <v>48.54</v>
      </c>
      <c r="AN16" s="126">
        <f t="shared" si="24"/>
        <v>0.31145332050048125</v>
      </c>
      <c r="AO16" s="157" t="s">
        <v>168</v>
      </c>
      <c r="AP16" s="156">
        <v>8.18</v>
      </c>
      <c r="AQ16" s="156">
        <v>7.97</v>
      </c>
      <c r="AR16" s="149"/>
      <c r="AS16" s="149">
        <v>6.29</v>
      </c>
      <c r="AT16" s="149">
        <v>155.85</v>
      </c>
      <c r="AU16" s="149">
        <v>3.06</v>
      </c>
      <c r="AV16" s="149"/>
      <c r="AW16" s="149"/>
      <c r="AX16" s="158">
        <f t="shared" si="6"/>
        <v>0</v>
      </c>
      <c r="AY16" s="125">
        <f t="shared" si="7"/>
        <v>103.83000000000001</v>
      </c>
      <c r="AZ16" s="125">
        <f t="shared" si="25"/>
        <v>110.77472897897796</v>
      </c>
      <c r="BA16" s="159">
        <f t="shared" si="8"/>
        <v>3.4716813380281688</v>
      </c>
      <c r="BB16" s="160">
        <f t="shared" si="9"/>
        <v>4.1532000000000009</v>
      </c>
      <c r="BC16" s="161">
        <f t="shared" si="10"/>
        <v>0.83579240560596246</v>
      </c>
      <c r="BD16" s="160">
        <f t="shared" si="26"/>
        <v>7.6248813380281693</v>
      </c>
      <c r="BE16" s="162">
        <v>0.88900000000000001</v>
      </c>
      <c r="BF16" s="25">
        <f t="shared" si="27"/>
        <v>972.95</v>
      </c>
      <c r="BG16" s="25">
        <f t="shared" si="11"/>
        <v>125.80645161290323</v>
      </c>
      <c r="BH16" s="25">
        <f t="shared" si="28"/>
        <v>1258.064516129032</v>
      </c>
      <c r="BI16" s="26">
        <f t="shared" si="12"/>
        <v>1</v>
      </c>
      <c r="BJ16" s="37">
        <f t="shared" si="29"/>
        <v>1258.064516129032</v>
      </c>
      <c r="BK16" s="328">
        <v>143.51900000000001</v>
      </c>
      <c r="BL16" s="31">
        <v>69.337000000000003</v>
      </c>
      <c r="BM16" s="31"/>
      <c r="BN16" s="234"/>
      <c r="BO16" s="42"/>
      <c r="BP16" s="40"/>
      <c r="BQ16" s="32">
        <v>34.649000000000001</v>
      </c>
      <c r="BR16" s="33">
        <v>0.72</v>
      </c>
      <c r="BS16" s="34">
        <v>0.8</v>
      </c>
      <c r="BT16" s="35"/>
      <c r="BU16" s="28"/>
      <c r="BV16" s="287"/>
      <c r="BW16" s="287"/>
      <c r="BX16" s="36"/>
      <c r="BY16" s="33">
        <v>38.049999999999997</v>
      </c>
      <c r="BZ16" s="34">
        <v>37.43</v>
      </c>
      <c r="CA16" s="35"/>
      <c r="CB16" s="405"/>
      <c r="CC16" s="404"/>
      <c r="CD16" s="235"/>
      <c r="CE16" s="36">
        <v>43.76</v>
      </c>
      <c r="CF16" s="38">
        <v>96.17</v>
      </c>
      <c r="CG16" s="30"/>
      <c r="CH16" s="30"/>
      <c r="CI16" s="32">
        <v>58.173000000000002</v>
      </c>
      <c r="CJ16" s="33">
        <v>2.8</v>
      </c>
      <c r="CK16" s="33"/>
      <c r="CL16" s="33"/>
      <c r="CM16" s="36">
        <v>2.8</v>
      </c>
      <c r="CN16" s="286"/>
      <c r="CO16" s="249">
        <f t="shared" si="13"/>
        <v>142.4856632</v>
      </c>
      <c r="CP16" s="12">
        <f t="shared" si="13"/>
        <v>68.782303999999996</v>
      </c>
      <c r="CQ16" s="12">
        <f t="shared" si="13"/>
        <v>0</v>
      </c>
      <c r="CR16" s="11">
        <f t="shared" si="13"/>
        <v>0</v>
      </c>
      <c r="CS16" s="11">
        <f t="shared" si="13"/>
        <v>0</v>
      </c>
      <c r="CT16" s="11">
        <f t="shared" si="13"/>
        <v>0</v>
      </c>
      <c r="CU16" s="272">
        <f t="shared" si="13"/>
        <v>34.649000000000001</v>
      </c>
      <c r="CV16" s="249">
        <f t="shared" si="14"/>
        <v>93.477239999999995</v>
      </c>
      <c r="CW16" s="12">
        <f t="shared" si="14"/>
        <v>0</v>
      </c>
      <c r="CX16" s="249">
        <f t="shared" si="14"/>
        <v>0</v>
      </c>
      <c r="CY16" s="272">
        <f t="shared" si="14"/>
        <v>56.544156000000001</v>
      </c>
      <c r="CZ16" s="13"/>
      <c r="DA16" s="240">
        <f>(D16+'[2]октябрь 20 '!D16)/(AY16+'[2]октябрь 20 '!BA16)</f>
        <v>2.7882751725999921</v>
      </c>
      <c r="DB16" s="241">
        <f>(T16+'[2]октябрь 20 '!T16)/(AY16+'[2]октябрь 20 '!BA16)</f>
        <v>1.7096516990010415</v>
      </c>
      <c r="DD16" s="292">
        <f t="shared" si="15"/>
        <v>10.016</v>
      </c>
      <c r="DE16" s="291">
        <v>0.38</v>
      </c>
      <c r="DF16" s="291">
        <v>17.82</v>
      </c>
      <c r="DG16" s="145">
        <f t="shared" si="16"/>
        <v>9.9779392000000016</v>
      </c>
      <c r="DH16" s="293">
        <f t="shared" si="30"/>
        <v>2.3224513655172414</v>
      </c>
      <c r="DJ16" s="322"/>
    </row>
    <row r="17" spans="1:114" s="76" customFormat="1" ht="16.5" customHeight="1" thickBot="1">
      <c r="A17" s="144">
        <v>11</v>
      </c>
      <c r="B17" s="122">
        <f>'[1]октябрь 20'!K16</f>
        <v>255.04</v>
      </c>
      <c r="C17" s="123">
        <f t="shared" si="17"/>
        <v>0.73395451693851954</v>
      </c>
      <c r="D17" s="145">
        <f t="shared" si="18"/>
        <v>253.16812239999996</v>
      </c>
      <c r="E17" s="125">
        <f t="shared" si="19"/>
        <v>39.110646094730242</v>
      </c>
      <c r="F17" s="146">
        <f t="shared" si="0"/>
        <v>2.1727439272227942</v>
      </c>
      <c r="G17" s="127">
        <v>16.63</v>
      </c>
      <c r="H17" s="126">
        <f t="shared" si="20"/>
        <v>1.8661956951596297</v>
      </c>
      <c r="I17" s="230">
        <f>'[1]июль 20'!AI16</f>
        <v>0</v>
      </c>
      <c r="J17" s="277">
        <f>'[1]октябрь 20'!AA16</f>
        <v>10.188000000000001</v>
      </c>
      <c r="K17" s="465">
        <f>'[1]сентябрь 20'!AM16</f>
        <v>0</v>
      </c>
      <c r="L17" s="438">
        <f>'[1]октябрь 20'!AE16</f>
        <v>35.719000000000001</v>
      </c>
      <c r="M17" s="469">
        <f t="shared" si="21"/>
        <v>0.30654823206316517</v>
      </c>
      <c r="N17" s="403">
        <f>'[1]октябрь 20'!W16</f>
        <v>0</v>
      </c>
      <c r="O17" s="403">
        <f>'[1]октябрь 20'!AU16</f>
        <v>6.1459999999999999</v>
      </c>
      <c r="P17" s="401">
        <f t="shared" si="1"/>
        <v>159.47699999999998</v>
      </c>
      <c r="Q17" s="122">
        <f>'[1]октябрь 20'!S16</f>
        <v>159.477</v>
      </c>
      <c r="R17" s="123">
        <f t="shared" si="22"/>
        <v>3.17</v>
      </c>
      <c r="S17" s="129"/>
      <c r="T17" s="125">
        <f t="shared" si="2"/>
        <v>154.4215791</v>
      </c>
      <c r="U17" s="147">
        <f t="shared" si="3"/>
        <v>1.3252796009268797</v>
      </c>
      <c r="V17" s="130">
        <v>116.52</v>
      </c>
      <c r="W17" s="130">
        <v>116.52</v>
      </c>
      <c r="X17" s="129">
        <v>0.38</v>
      </c>
      <c r="Y17" s="131">
        <v>569</v>
      </c>
      <c r="Z17" s="150">
        <v>1178</v>
      </c>
      <c r="AA17" s="148" t="s">
        <v>110</v>
      </c>
      <c r="AB17" s="149">
        <v>76.83</v>
      </c>
      <c r="AC17" s="150">
        <v>102</v>
      </c>
      <c r="AD17" s="151">
        <v>5</v>
      </c>
      <c r="AE17" s="149">
        <v>7.6</v>
      </c>
      <c r="AF17" s="134">
        <f t="shared" si="4"/>
        <v>65.224854102300043</v>
      </c>
      <c r="AG17" s="152"/>
      <c r="AH17" s="129">
        <v>78.849999999999994</v>
      </c>
      <c r="AI17" s="134">
        <f t="shared" si="5"/>
        <v>676.70786131136299</v>
      </c>
      <c r="AJ17" s="136">
        <v>20.71</v>
      </c>
      <c r="AK17" s="154"/>
      <c r="AL17" s="155">
        <v>7.81</v>
      </c>
      <c r="AM17" s="478">
        <f>AT17*0.2</f>
        <v>30.64</v>
      </c>
      <c r="AN17" s="126">
        <f t="shared" si="24"/>
        <v>0.2</v>
      </c>
      <c r="AO17" s="157" t="s">
        <v>349</v>
      </c>
      <c r="AP17" s="156">
        <v>6.93</v>
      </c>
      <c r="AQ17" s="156">
        <v>7.97</v>
      </c>
      <c r="AR17" s="149"/>
      <c r="AS17" s="149">
        <v>7.46</v>
      </c>
      <c r="AT17" s="149">
        <v>153.19999999999999</v>
      </c>
      <c r="AU17" s="149">
        <v>1.77</v>
      </c>
      <c r="AV17" s="149"/>
      <c r="AW17" s="149"/>
      <c r="AX17" s="158">
        <f t="shared" si="6"/>
        <v>0</v>
      </c>
      <c r="AY17" s="125">
        <f t="shared" si="7"/>
        <v>116.51999999999998</v>
      </c>
      <c r="AZ17" s="125">
        <f t="shared" si="25"/>
        <v>114.37355155694027</v>
      </c>
      <c r="BA17" s="159">
        <f t="shared" si="8"/>
        <v>4.5566415492957741</v>
      </c>
      <c r="BB17" s="160">
        <f t="shared" si="9"/>
        <v>4.6607999999999992</v>
      </c>
      <c r="BC17" s="161">
        <f t="shared" si="10"/>
        <v>0.90412254328388841</v>
      </c>
      <c r="BD17" s="160">
        <f t="shared" si="26"/>
        <v>9.2174415492957742</v>
      </c>
      <c r="BE17" s="162">
        <v>0.89100000000000001</v>
      </c>
      <c r="BF17" s="25">
        <f t="shared" si="27"/>
        <v>1089.47</v>
      </c>
      <c r="BG17" s="25">
        <f t="shared" si="11"/>
        <v>125.80645161290323</v>
      </c>
      <c r="BH17" s="25">
        <f t="shared" si="28"/>
        <v>1383.8709677419351</v>
      </c>
      <c r="BI17" s="26">
        <f t="shared" si="12"/>
        <v>1</v>
      </c>
      <c r="BJ17" s="37">
        <f t="shared" si="29"/>
        <v>1383.8709677419351</v>
      </c>
      <c r="BK17" s="39">
        <v>147.90600000000001</v>
      </c>
      <c r="BL17" s="31">
        <v>71.415000000000006</v>
      </c>
      <c r="BM17" s="31"/>
      <c r="BN17" s="234"/>
      <c r="BO17" s="42"/>
      <c r="BP17" s="40"/>
      <c r="BQ17" s="32">
        <v>35.719000000000001</v>
      </c>
      <c r="BR17" s="33">
        <v>0.86</v>
      </c>
      <c r="BS17" s="34">
        <v>0.84</v>
      </c>
      <c r="BT17" s="35"/>
      <c r="BU17" s="28"/>
      <c r="BV17" s="287"/>
      <c r="BW17" s="287"/>
      <c r="BX17" s="36"/>
      <c r="BY17" s="33">
        <v>38.57</v>
      </c>
      <c r="BZ17" s="34">
        <v>38.090000000000003</v>
      </c>
      <c r="CA17" s="35"/>
      <c r="CB17" s="405"/>
      <c r="CC17" s="404"/>
      <c r="CD17" s="235"/>
      <c r="CE17" s="36">
        <v>43.39</v>
      </c>
      <c r="CF17" s="38">
        <v>82.992999999999995</v>
      </c>
      <c r="CG17" s="42">
        <v>76.483999999999995</v>
      </c>
      <c r="CH17" s="234"/>
      <c r="CI17" s="233"/>
      <c r="CJ17" s="33">
        <v>3.17</v>
      </c>
      <c r="CK17" s="33">
        <v>3.17</v>
      </c>
      <c r="CL17" s="33"/>
      <c r="CM17" s="36"/>
      <c r="CN17" s="286"/>
      <c r="CO17" s="249">
        <f t="shared" si="13"/>
        <v>146.63400840000003</v>
      </c>
      <c r="CP17" s="12">
        <f t="shared" si="13"/>
        <v>70.815113999999994</v>
      </c>
      <c r="CQ17" s="12">
        <f t="shared" si="13"/>
        <v>0</v>
      </c>
      <c r="CR17" s="12">
        <f t="shared" si="13"/>
        <v>0</v>
      </c>
      <c r="CS17" s="11">
        <f t="shared" si="13"/>
        <v>0</v>
      </c>
      <c r="CT17" s="11">
        <f t="shared" si="13"/>
        <v>0</v>
      </c>
      <c r="CU17" s="272">
        <f t="shared" si="13"/>
        <v>35.719000000000001</v>
      </c>
      <c r="CV17" s="249">
        <f t="shared" si="14"/>
        <v>80.362121899999991</v>
      </c>
      <c r="CW17" s="12">
        <f t="shared" si="14"/>
        <v>74.059457199999997</v>
      </c>
      <c r="CX17" s="254">
        <f t="shared" si="14"/>
        <v>0</v>
      </c>
      <c r="CY17" s="272">
        <f t="shared" si="14"/>
        <v>0</v>
      </c>
      <c r="CZ17" s="13"/>
      <c r="DA17" s="240">
        <f>(D17+'[2]октябрь 20 '!D17)/(AY17+'[2]октябрь 20 '!BA17)</f>
        <v>2.188800197774583</v>
      </c>
      <c r="DB17" s="241">
        <f>(T17+'[2]октябрь 20 '!T17)/(AY17+'[2]октябрь 20 '!BA17)</f>
        <v>1.34239219274252</v>
      </c>
      <c r="DD17" s="292">
        <f t="shared" si="15"/>
        <v>10.188000000000001</v>
      </c>
      <c r="DE17" s="291">
        <v>0.42</v>
      </c>
      <c r="DF17" s="291">
        <v>14.12</v>
      </c>
      <c r="DG17" s="145">
        <f t="shared" si="16"/>
        <v>10.145210400000002</v>
      </c>
      <c r="DH17" s="293">
        <f t="shared" si="30"/>
        <v>1.8645108791878173</v>
      </c>
      <c r="DJ17" s="322"/>
    </row>
    <row r="18" spans="1:114" s="76" customFormat="1" ht="16.5" customHeight="1" thickBot="1">
      <c r="A18" s="144">
        <v>12</v>
      </c>
      <c r="B18" s="122">
        <f>'[1]октябрь 20'!K17</f>
        <v>254.66800000000001</v>
      </c>
      <c r="C18" s="123">
        <f t="shared" si="17"/>
        <v>0.88498099486390136</v>
      </c>
      <c r="D18" s="145">
        <f t="shared" si="18"/>
        <v>252.41423660000004</v>
      </c>
      <c r="E18" s="125">
        <f t="shared" si="19"/>
        <v>39.314774176574993</v>
      </c>
      <c r="F18" s="146">
        <f t="shared" si="0"/>
        <v>2.1778622657463336</v>
      </c>
      <c r="G18" s="127"/>
      <c r="H18" s="126">
        <f t="shared" si="20"/>
        <v>1.844134914581536</v>
      </c>
      <c r="I18" s="230">
        <f>'[1]июль 20'!AI17</f>
        <v>0</v>
      </c>
      <c r="J18" s="439">
        <f>'[1]октябрь 20'!AA17</f>
        <v>10.260999999999999</v>
      </c>
      <c r="K18" s="464">
        <f>'[1]сентябрь 20'!AM17</f>
        <v>0</v>
      </c>
      <c r="L18" s="441">
        <f>'[1]октябрь 20'!AE17</f>
        <v>38.679000000000002</v>
      </c>
      <c r="M18" s="468">
        <f t="shared" si="21"/>
        <v>0.33372735116479729</v>
      </c>
      <c r="N18" s="403">
        <f>'[1]октябрь 20'!W17</f>
        <v>0</v>
      </c>
      <c r="O18" s="403">
        <f>'[1]октябрь 20'!AU17</f>
        <v>6.1180000000000003</v>
      </c>
      <c r="P18" s="401">
        <f t="shared" si="1"/>
        <v>161.018</v>
      </c>
      <c r="Q18" s="122">
        <f>'[1]октябрь 20'!S17</f>
        <v>161.018</v>
      </c>
      <c r="R18" s="123">
        <f t="shared" si="22"/>
        <v>3.57</v>
      </c>
      <c r="S18" s="501">
        <v>14.78</v>
      </c>
      <c r="T18" s="125">
        <f t="shared" si="2"/>
        <v>155.2696574</v>
      </c>
      <c r="U18" s="147">
        <f t="shared" si="3"/>
        <v>1.339686431406385</v>
      </c>
      <c r="V18" s="130">
        <v>95.37</v>
      </c>
      <c r="W18" s="130">
        <v>115.9</v>
      </c>
      <c r="X18" s="129">
        <v>0.45</v>
      </c>
      <c r="Y18" s="131">
        <v>580</v>
      </c>
      <c r="Z18" s="150">
        <v>1175</v>
      </c>
      <c r="AA18" s="148" t="s">
        <v>128</v>
      </c>
      <c r="AB18" s="149">
        <v>76.14</v>
      </c>
      <c r="AC18" s="150">
        <v>102</v>
      </c>
      <c r="AD18" s="151">
        <v>5</v>
      </c>
      <c r="AE18" s="149">
        <v>3.4</v>
      </c>
      <c r="AF18" s="134">
        <f t="shared" si="4"/>
        <v>29.335634167385678</v>
      </c>
      <c r="AG18" s="152"/>
      <c r="AH18" s="129">
        <v>83.75</v>
      </c>
      <c r="AI18" s="134">
        <f t="shared" si="5"/>
        <v>722.60569456427959</v>
      </c>
      <c r="AJ18" s="153">
        <v>14.73</v>
      </c>
      <c r="AK18" s="154"/>
      <c r="AL18" s="155">
        <v>10.72</v>
      </c>
      <c r="AM18" s="478">
        <f>AT18*0.2</f>
        <v>31.189999999999998</v>
      </c>
      <c r="AN18" s="126">
        <f t="shared" si="24"/>
        <v>0.2</v>
      </c>
      <c r="AO18" s="157" t="s">
        <v>417</v>
      </c>
      <c r="AP18" s="156">
        <v>6.7</v>
      </c>
      <c r="AQ18" s="156">
        <v>8.36</v>
      </c>
      <c r="AR18" s="151"/>
      <c r="AS18" s="149">
        <v>8.2100000000000009</v>
      </c>
      <c r="AT18" s="149">
        <v>155.94999999999999</v>
      </c>
      <c r="AU18" s="149">
        <v>1.86</v>
      </c>
      <c r="AV18" s="149"/>
      <c r="AW18" s="149"/>
      <c r="AX18" s="158">
        <f t="shared" si="6"/>
        <v>0</v>
      </c>
      <c r="AY18" s="125">
        <f t="shared" si="7"/>
        <v>115.89999999999999</v>
      </c>
      <c r="AZ18" s="125">
        <f t="shared" si="25"/>
        <v>115.20004680157096</v>
      </c>
      <c r="BA18" s="159">
        <f t="shared" si="8"/>
        <v>5.3263820422535213</v>
      </c>
      <c r="BB18" s="160">
        <f t="shared" si="9"/>
        <v>4.6360000000000001</v>
      </c>
      <c r="BC18" s="161">
        <f t="shared" si="10"/>
        <v>0.88925573922755541</v>
      </c>
      <c r="BD18" s="160">
        <f t="shared" si="26"/>
        <v>9.9623820422535214</v>
      </c>
      <c r="BE18" s="162">
        <v>0.89100000000000001</v>
      </c>
      <c r="BF18" s="25">
        <f t="shared" si="27"/>
        <v>1205.3700000000001</v>
      </c>
      <c r="BG18" s="25">
        <f t="shared" si="11"/>
        <v>125.80645161290323</v>
      </c>
      <c r="BH18" s="25">
        <f t="shared" si="28"/>
        <v>1509.6774193548383</v>
      </c>
      <c r="BI18" s="26">
        <f t="shared" si="12"/>
        <v>1</v>
      </c>
      <c r="BJ18" s="37">
        <f t="shared" si="29"/>
        <v>1509.6774193548383</v>
      </c>
      <c r="BK18" s="38">
        <v>144.54900000000001</v>
      </c>
      <c r="BL18" s="31">
        <v>71.44</v>
      </c>
      <c r="BM18" s="31"/>
      <c r="BN18" s="234"/>
      <c r="BO18" s="42"/>
      <c r="BP18" s="40"/>
      <c r="BQ18" s="411">
        <v>38.679000000000002</v>
      </c>
      <c r="BR18" s="41">
        <v>1.06</v>
      </c>
      <c r="BS18" s="34">
        <v>1.01</v>
      </c>
      <c r="BT18" s="35"/>
      <c r="BU18" s="28"/>
      <c r="BV18" s="287"/>
      <c r="BW18" s="287"/>
      <c r="BX18" s="36"/>
      <c r="BY18" s="34">
        <v>38.89</v>
      </c>
      <c r="BZ18" s="34">
        <v>37.799999999999997</v>
      </c>
      <c r="CA18" s="35"/>
      <c r="CB18" s="405"/>
      <c r="CC18" s="404"/>
      <c r="CD18" s="235"/>
      <c r="CE18" s="405">
        <v>43.7</v>
      </c>
      <c r="CF18" s="38">
        <v>84.54</v>
      </c>
      <c r="CG18" s="42">
        <v>76.477999999999994</v>
      </c>
      <c r="CH18" s="234"/>
      <c r="CI18" s="233"/>
      <c r="CJ18" s="33">
        <v>3.57</v>
      </c>
      <c r="CK18" s="33">
        <v>3.57</v>
      </c>
      <c r="CL18" s="33"/>
      <c r="CM18" s="36"/>
      <c r="CN18" s="286"/>
      <c r="CO18" s="249">
        <f t="shared" si="13"/>
        <v>143.0167806</v>
      </c>
      <c r="CP18" s="12">
        <f t="shared" si="13"/>
        <v>70.718456000000003</v>
      </c>
      <c r="CQ18" s="12">
        <f t="shared" si="13"/>
        <v>0</v>
      </c>
      <c r="CR18" s="12">
        <f t="shared" si="13"/>
        <v>0</v>
      </c>
      <c r="CS18" s="11">
        <f t="shared" si="13"/>
        <v>0</v>
      </c>
      <c r="CT18" s="11">
        <f t="shared" si="13"/>
        <v>0</v>
      </c>
      <c r="CU18" s="272">
        <f t="shared" si="13"/>
        <v>38.679000000000002</v>
      </c>
      <c r="CV18" s="249">
        <f t="shared" si="14"/>
        <v>81.521922000000004</v>
      </c>
      <c r="CW18" s="11">
        <f t="shared" si="14"/>
        <v>73.747735399999996</v>
      </c>
      <c r="CX18" s="249">
        <f t="shared" si="14"/>
        <v>0</v>
      </c>
      <c r="CY18" s="272">
        <f t="shared" si="14"/>
        <v>0</v>
      </c>
      <c r="CZ18" s="13"/>
      <c r="DA18" s="240">
        <f>(D18+'[2]октябрь 20 '!D18)/(AY18+'[2]октябрь 20 '!BA18)</f>
        <v>2.1953433637878161</v>
      </c>
      <c r="DB18" s="241">
        <f>(T18+'[2]октябрь 20 '!T18)/(AY18+'[2]октябрь 20 '!BA18)</f>
        <v>1.3511713517904764</v>
      </c>
      <c r="DD18" s="292">
        <f t="shared" si="15"/>
        <v>10.260999999999999</v>
      </c>
      <c r="DE18" s="291">
        <v>0.12</v>
      </c>
      <c r="DF18" s="291">
        <v>10.54</v>
      </c>
      <c r="DG18" s="145">
        <f t="shared" si="16"/>
        <v>10.248686799999998</v>
      </c>
      <c r="DH18" s="293">
        <f t="shared" si="30"/>
        <v>1.4187176106120301</v>
      </c>
      <c r="DJ18" s="322"/>
    </row>
    <row r="19" spans="1:114" s="76" customFormat="1" ht="16.5" customHeight="1" thickBot="1">
      <c r="A19" s="144">
        <v>13</v>
      </c>
      <c r="B19" s="122">
        <f>'[1]октябрь 20'!K18</f>
        <v>290.01100000000002</v>
      </c>
      <c r="C19" s="123">
        <f t="shared" si="17"/>
        <v>0.77849836730330901</v>
      </c>
      <c r="D19" s="145">
        <f t="shared" si="18"/>
        <v>287.75326910000001</v>
      </c>
      <c r="E19" s="125">
        <f t="shared" si="19"/>
        <v>38.49632641520494</v>
      </c>
      <c r="F19" s="146">
        <f t="shared" si="0"/>
        <v>2.3596004026240265</v>
      </c>
      <c r="G19" s="127">
        <v>22.82</v>
      </c>
      <c r="H19" s="126">
        <f t="shared" si="20"/>
        <v>1.9793051996719966</v>
      </c>
      <c r="I19" s="230">
        <f>'[1]июль 20'!AI18</f>
        <v>0</v>
      </c>
      <c r="J19" s="439">
        <f>'[1]октябрь 20'!AA18</f>
        <v>11.61</v>
      </c>
      <c r="K19" s="464">
        <f>'[1]сентябрь 20'!AM18</f>
        <v>0</v>
      </c>
      <c r="L19" s="441">
        <f>'[1]октябрь 20'!AE18</f>
        <v>46.377000000000002</v>
      </c>
      <c r="M19" s="469">
        <f t="shared" si="21"/>
        <v>0.38029520295202951</v>
      </c>
      <c r="N19" s="403">
        <f>'[1]октябрь 20'!W18</f>
        <v>0</v>
      </c>
      <c r="O19" s="403">
        <f>'[1]октябрь 20'!AU18</f>
        <v>7.0970000000000004</v>
      </c>
      <c r="P19" s="401">
        <f t="shared" si="1"/>
        <v>181.37700000000001</v>
      </c>
      <c r="Q19" s="122">
        <f>'[1]октябрь 20'!S18</f>
        <v>181.37700000000001</v>
      </c>
      <c r="R19" s="123">
        <f t="shared" si="22"/>
        <v>3.2599999999999993</v>
      </c>
      <c r="S19" s="501">
        <v>2.83</v>
      </c>
      <c r="T19" s="125">
        <f t="shared" si="2"/>
        <v>175.46410979999999</v>
      </c>
      <c r="U19" s="147">
        <f t="shared" si="3"/>
        <v>1.4388200885608855</v>
      </c>
      <c r="V19" s="130">
        <v>121.95</v>
      </c>
      <c r="W19" s="130">
        <v>95.22</v>
      </c>
      <c r="X19" s="129">
        <v>0.89</v>
      </c>
      <c r="Y19" s="131">
        <v>537</v>
      </c>
      <c r="Z19" s="150">
        <v>1169</v>
      </c>
      <c r="AA19" s="148" t="s">
        <v>116</v>
      </c>
      <c r="AB19" s="149">
        <v>76.150000000000006</v>
      </c>
      <c r="AC19" s="150">
        <v>116</v>
      </c>
      <c r="AD19" s="151">
        <v>5</v>
      </c>
      <c r="AE19" s="149"/>
      <c r="AF19" s="134">
        <f t="shared" si="4"/>
        <v>0</v>
      </c>
      <c r="AG19" s="152"/>
      <c r="AH19" s="129">
        <v>66.849999999999994</v>
      </c>
      <c r="AI19" s="134">
        <f t="shared" si="5"/>
        <v>548.1754817548175</v>
      </c>
      <c r="AJ19" s="136">
        <v>17.079999999999998</v>
      </c>
      <c r="AK19" s="154"/>
      <c r="AL19" s="155">
        <v>8.49</v>
      </c>
      <c r="AM19" s="478">
        <f>AT19*0.2</f>
        <v>31.860000000000003</v>
      </c>
      <c r="AN19" s="126">
        <f t="shared" si="24"/>
        <v>0.2</v>
      </c>
      <c r="AO19" s="157" t="s">
        <v>418</v>
      </c>
      <c r="AP19" s="156">
        <v>7.22</v>
      </c>
      <c r="AQ19" s="156">
        <v>8.31</v>
      </c>
      <c r="AR19" s="151"/>
      <c r="AS19" s="149">
        <v>5.93</v>
      </c>
      <c r="AT19" s="149">
        <v>159.30000000000001</v>
      </c>
      <c r="AU19" s="149">
        <v>3</v>
      </c>
      <c r="AV19" s="164"/>
      <c r="AW19" s="149"/>
      <c r="AX19" s="158">
        <f t="shared" si="6"/>
        <v>0</v>
      </c>
      <c r="AY19" s="125">
        <f t="shared" si="7"/>
        <v>121.95</v>
      </c>
      <c r="AZ19" s="125">
        <f t="shared" si="25"/>
        <v>128.82069500627426</v>
      </c>
      <c r="BA19" s="159">
        <f t="shared" si="8"/>
        <v>3.0708630281690135</v>
      </c>
      <c r="BB19" s="160">
        <f t="shared" si="9"/>
        <v>4.8780000000000001</v>
      </c>
      <c r="BC19" s="161">
        <f t="shared" si="10"/>
        <v>0.83832449879200532</v>
      </c>
      <c r="BD19" s="160">
        <f t="shared" si="26"/>
        <v>7.9488630281690131</v>
      </c>
      <c r="BE19" s="162">
        <v>0.88600000000000001</v>
      </c>
      <c r="BF19" s="25">
        <f t="shared" si="27"/>
        <v>1327.3200000000002</v>
      </c>
      <c r="BG19" s="25">
        <f t="shared" si="11"/>
        <v>125.80645161290323</v>
      </c>
      <c r="BH19" s="25">
        <f t="shared" si="28"/>
        <v>1635.4838709677415</v>
      </c>
      <c r="BI19" s="26">
        <f t="shared" si="12"/>
        <v>1</v>
      </c>
      <c r="BJ19" s="37">
        <f t="shared" si="29"/>
        <v>1635.4838709677415</v>
      </c>
      <c r="BK19" s="38">
        <v>162.44499999999999</v>
      </c>
      <c r="BL19" s="31">
        <v>81.188999999999993</v>
      </c>
      <c r="BM19" s="31"/>
      <c r="BN19" s="234"/>
      <c r="BO19" s="42"/>
      <c r="BP19" s="40"/>
      <c r="BQ19" s="411">
        <v>46.377000000000002</v>
      </c>
      <c r="BR19" s="33">
        <v>1.01</v>
      </c>
      <c r="BS19" s="34">
        <v>0.76</v>
      </c>
      <c r="BT19" s="35"/>
      <c r="BU19" s="28"/>
      <c r="BV19" s="287"/>
      <c r="BW19" s="512"/>
      <c r="BX19" s="36"/>
      <c r="BY19" s="33">
        <v>37.700000000000003</v>
      </c>
      <c r="BZ19" s="34">
        <v>37.22</v>
      </c>
      <c r="CA19" s="35"/>
      <c r="CB19" s="405"/>
      <c r="CC19" s="404"/>
      <c r="CD19" s="235"/>
      <c r="CE19" s="413">
        <v>43.52</v>
      </c>
      <c r="CF19" s="41">
        <v>94.391000000000005</v>
      </c>
      <c r="CG19" s="41">
        <v>86.986000000000004</v>
      </c>
      <c r="CH19" s="30"/>
      <c r="CI19" s="32"/>
      <c r="CJ19" s="33">
        <v>3.26</v>
      </c>
      <c r="CK19" s="33">
        <v>3.26</v>
      </c>
      <c r="CL19" s="33"/>
      <c r="CM19" s="36"/>
      <c r="CN19" s="286"/>
      <c r="CO19" s="249">
        <f t="shared" si="13"/>
        <v>160.8043055</v>
      </c>
      <c r="CP19" s="12">
        <f t="shared" si="13"/>
        <v>80.571963599999989</v>
      </c>
      <c r="CQ19" s="12">
        <f t="shared" si="13"/>
        <v>0</v>
      </c>
      <c r="CR19" s="12">
        <f t="shared" si="13"/>
        <v>0</v>
      </c>
      <c r="CS19" s="11">
        <f t="shared" si="13"/>
        <v>0</v>
      </c>
      <c r="CT19" s="11">
        <f t="shared" si="13"/>
        <v>0</v>
      </c>
      <c r="CU19" s="272">
        <f t="shared" si="13"/>
        <v>46.377000000000002</v>
      </c>
      <c r="CV19" s="249">
        <f t="shared" si="14"/>
        <v>91.313853399999999</v>
      </c>
      <c r="CW19" s="251">
        <f t="shared" si="14"/>
        <v>84.150256400000004</v>
      </c>
      <c r="CX19" s="249">
        <f t="shared" si="14"/>
        <v>0</v>
      </c>
      <c r="CY19" s="272">
        <f t="shared" si="14"/>
        <v>0</v>
      </c>
      <c r="CZ19" s="13"/>
      <c r="DA19" s="240">
        <f>(D19+'[2]октябрь 20 '!D19)/(AY19+'[2]октябрь 20 '!BA19)</f>
        <v>2.2290757502345073</v>
      </c>
      <c r="DB19" s="241">
        <f>(T19+'[2]октябрь 20 '!T19)/(AY19+'[2]октябрь 20 '!BA19)</f>
        <v>1.3620657396798055</v>
      </c>
      <c r="DD19" s="292">
        <f t="shared" si="15"/>
        <v>11.61</v>
      </c>
      <c r="DE19" s="291">
        <v>0.25</v>
      </c>
      <c r="DF19" s="291">
        <v>12.01</v>
      </c>
      <c r="DG19" s="145">
        <f t="shared" si="16"/>
        <v>11.580975</v>
      </c>
      <c r="DH19" s="293">
        <f t="shared" si="30"/>
        <v>1.826493890347997</v>
      </c>
      <c r="DJ19" s="322"/>
    </row>
    <row r="20" spans="1:114" s="76" customFormat="1" ht="16.5" customHeight="1" thickBot="1">
      <c r="A20" s="144">
        <v>14</v>
      </c>
      <c r="B20" s="122">
        <f>'[1]октябрь 20'!K19</f>
        <v>262.48899999999998</v>
      </c>
      <c r="C20" s="123">
        <f t="shared" si="17"/>
        <v>0.64399879614002875</v>
      </c>
      <c r="D20" s="145">
        <f t="shared" si="18"/>
        <v>260.79857399999997</v>
      </c>
      <c r="E20" s="125">
        <f t="shared" si="19"/>
        <v>39.205962230798249</v>
      </c>
      <c r="F20" s="146">
        <f t="shared" si="0"/>
        <v>2.1787683709273176</v>
      </c>
      <c r="G20" s="127">
        <v>17.52</v>
      </c>
      <c r="H20" s="126">
        <f t="shared" si="20"/>
        <v>1.8279078863826228</v>
      </c>
      <c r="I20" s="230">
        <f>'[1]июль 20'!AI19</f>
        <v>0</v>
      </c>
      <c r="J20" s="439">
        <f>'[1]октябрь 20'!AA19</f>
        <v>10.417999999999999</v>
      </c>
      <c r="K20" s="464">
        <f>'[1]сентябрь 20'!AM19</f>
        <v>0</v>
      </c>
      <c r="L20" s="441">
        <f>'[1]октябрь 20'!AE19</f>
        <v>41.997999999999998</v>
      </c>
      <c r="M20" s="468">
        <f t="shared" si="21"/>
        <v>0.35086048454469498</v>
      </c>
      <c r="N20" s="403">
        <f>'[1]октябрь 20'!W19</f>
        <v>0</v>
      </c>
      <c r="O20" s="403">
        <f>'[1]октябрь 20'!AU19</f>
        <v>7.3129999999999997</v>
      </c>
      <c r="P20" s="401">
        <f t="shared" si="1"/>
        <v>163.68299999999999</v>
      </c>
      <c r="Q20" s="122">
        <f>'[1]октябрь 20'!S19</f>
        <v>163.68299999999999</v>
      </c>
      <c r="R20" s="123">
        <f t="shared" si="22"/>
        <v>3.28</v>
      </c>
      <c r="S20" s="501">
        <v>1.6</v>
      </c>
      <c r="T20" s="125">
        <f t="shared" si="2"/>
        <v>158.31419759999997</v>
      </c>
      <c r="U20" s="147">
        <f t="shared" si="3"/>
        <v>1.3225914586466161</v>
      </c>
      <c r="V20" s="130">
        <v>119.7</v>
      </c>
      <c r="W20" s="130">
        <v>119.7</v>
      </c>
      <c r="X20" s="129">
        <v>0.68</v>
      </c>
      <c r="Y20" s="131">
        <v>538</v>
      </c>
      <c r="Z20" s="150">
        <v>1169</v>
      </c>
      <c r="AA20" s="168" t="s">
        <v>188</v>
      </c>
      <c r="AB20" s="149">
        <v>76.48</v>
      </c>
      <c r="AC20" s="150">
        <v>105</v>
      </c>
      <c r="AD20" s="151">
        <v>5</v>
      </c>
      <c r="AE20" s="149">
        <v>5.55</v>
      </c>
      <c r="AF20" s="134">
        <f t="shared" si="4"/>
        <v>46.365914786967409</v>
      </c>
      <c r="AG20" s="152"/>
      <c r="AH20" s="129">
        <v>75.95</v>
      </c>
      <c r="AI20" s="134">
        <f t="shared" si="5"/>
        <v>634.50292397660814</v>
      </c>
      <c r="AJ20" s="153">
        <v>16.510000000000002</v>
      </c>
      <c r="AK20" s="154"/>
      <c r="AL20" s="155">
        <v>11.82</v>
      </c>
      <c r="AM20" s="478">
        <f t="shared" ref="AM20:AM36" si="31">AT20*0.2</f>
        <v>32.06</v>
      </c>
      <c r="AN20" s="126">
        <f t="shared" si="24"/>
        <v>0.2</v>
      </c>
      <c r="AO20" s="157" t="s">
        <v>419</v>
      </c>
      <c r="AP20" s="156">
        <v>7.14</v>
      </c>
      <c r="AQ20" s="156">
        <v>8.4499999999999993</v>
      </c>
      <c r="AR20" s="149"/>
      <c r="AS20" s="149">
        <v>6.67</v>
      </c>
      <c r="AT20" s="149">
        <v>160.30000000000001</v>
      </c>
      <c r="AU20" s="149">
        <v>3.28</v>
      </c>
      <c r="AV20" s="149"/>
      <c r="AW20" s="149"/>
      <c r="AX20" s="158">
        <f t="shared" si="6"/>
        <v>0</v>
      </c>
      <c r="AY20" s="125">
        <f t="shared" si="7"/>
        <v>119.70000000000002</v>
      </c>
      <c r="AZ20" s="125">
        <f t="shared" si="25"/>
        <v>118.07619917307277</v>
      </c>
      <c r="BA20" s="159">
        <f t="shared" si="8"/>
        <v>3.9242616197183096</v>
      </c>
      <c r="BB20" s="160">
        <f t="shared" si="9"/>
        <v>4.7880000000000011</v>
      </c>
      <c r="BC20" s="161">
        <f t="shared" si="10"/>
        <v>0.89533322291440787</v>
      </c>
      <c r="BD20" s="160">
        <f t="shared" si="26"/>
        <v>8.7122616197183103</v>
      </c>
      <c r="BE20" s="162">
        <v>0.88700000000000001</v>
      </c>
      <c r="BF20" s="25">
        <f t="shared" si="27"/>
        <v>1447.0200000000002</v>
      </c>
      <c r="BG20" s="25">
        <f t="shared" si="11"/>
        <v>125.80645161290323</v>
      </c>
      <c r="BH20" s="25">
        <f t="shared" si="28"/>
        <v>1761.2903225806447</v>
      </c>
      <c r="BI20" s="26">
        <f t="shared" si="12"/>
        <v>1</v>
      </c>
      <c r="BJ20" s="37">
        <f t="shared" si="29"/>
        <v>1761.2903225806447</v>
      </c>
      <c r="BK20" s="38">
        <v>146.989</v>
      </c>
      <c r="BL20" s="31">
        <v>73.501999999999995</v>
      </c>
      <c r="BM20" s="31"/>
      <c r="BN20" s="234"/>
      <c r="BO20" s="42"/>
      <c r="BP20" s="40"/>
      <c r="BQ20" s="411">
        <v>41.997999999999998</v>
      </c>
      <c r="BR20" s="33">
        <v>0.8</v>
      </c>
      <c r="BS20" s="34">
        <v>0.7</v>
      </c>
      <c r="BT20" s="35"/>
      <c r="BU20" s="28"/>
      <c r="BV20" s="287"/>
      <c r="BW20" s="287"/>
      <c r="BX20" s="36"/>
      <c r="BY20" s="33">
        <v>38.94</v>
      </c>
      <c r="BZ20" s="34">
        <v>37.21</v>
      </c>
      <c r="CA20" s="35"/>
      <c r="CB20" s="405"/>
      <c r="CC20" s="404"/>
      <c r="CD20" s="235"/>
      <c r="CE20" s="413">
        <v>43.63</v>
      </c>
      <c r="CF20" s="30">
        <v>84.956999999999994</v>
      </c>
      <c r="CG20" s="30">
        <v>78.725999999999999</v>
      </c>
      <c r="CH20" s="31"/>
      <c r="CI20" s="32"/>
      <c r="CJ20" s="33">
        <v>3.28</v>
      </c>
      <c r="CK20" s="33">
        <v>3.28</v>
      </c>
      <c r="CL20" s="35"/>
      <c r="CM20" s="36"/>
      <c r="CN20" s="286"/>
      <c r="CO20" s="249">
        <f t="shared" si="13"/>
        <v>145.81308799999999</v>
      </c>
      <c r="CP20" s="12">
        <f t="shared" si="13"/>
        <v>72.98748599999999</v>
      </c>
      <c r="CQ20" s="12">
        <f t="shared" si="13"/>
        <v>0</v>
      </c>
      <c r="CR20" s="12">
        <f t="shared" si="13"/>
        <v>0</v>
      </c>
      <c r="CS20" s="11">
        <f t="shared" si="13"/>
        <v>0</v>
      </c>
      <c r="CT20" s="11">
        <f t="shared" si="13"/>
        <v>0</v>
      </c>
      <c r="CU20" s="272">
        <f t="shared" si="13"/>
        <v>41.997999999999998</v>
      </c>
      <c r="CV20" s="249">
        <f t="shared" si="14"/>
        <v>82.170410399999994</v>
      </c>
      <c r="CW20" s="12">
        <f t="shared" si="14"/>
        <v>76.143787199999991</v>
      </c>
      <c r="CX20" s="249">
        <f t="shared" si="14"/>
        <v>0</v>
      </c>
      <c r="CY20" s="272">
        <f t="shared" si="14"/>
        <v>0</v>
      </c>
      <c r="CZ20" s="13"/>
      <c r="DA20" s="240">
        <f>(D20+'[2]октябрь 20 '!D20)/(AY20+'[2]октябрь 20 '!BA20)</f>
        <v>2.2955826234984671</v>
      </c>
      <c r="DB20" s="241">
        <f>(T20+'[2]октябрь 20 '!T20)/(AY20+'[2]октябрь 20 '!BA20)</f>
        <v>1.4135012515705958</v>
      </c>
      <c r="DD20" s="292">
        <f t="shared" si="15"/>
        <v>10.417999999999999</v>
      </c>
      <c r="DE20" s="291">
        <v>0.61</v>
      </c>
      <c r="DF20" s="407">
        <v>10.06</v>
      </c>
      <c r="DG20" s="145">
        <f t="shared" si="16"/>
        <v>10.354450199999999</v>
      </c>
      <c r="DH20" s="293">
        <f t="shared" si="30"/>
        <v>1.3620001178347279</v>
      </c>
      <c r="DJ20" s="322"/>
    </row>
    <row r="21" spans="1:114" s="76" customFormat="1" ht="16.5" customHeight="1" thickBot="1">
      <c r="A21" s="144">
        <v>15</v>
      </c>
      <c r="B21" s="122">
        <f>'[1]октябрь 20'!K20</f>
        <v>262.64400000000001</v>
      </c>
      <c r="C21" s="123">
        <f t="shared" si="17"/>
        <v>0.63454881893361348</v>
      </c>
      <c r="D21" s="145">
        <f t="shared" si="18"/>
        <v>260.97739560000002</v>
      </c>
      <c r="E21" s="125">
        <f t="shared" si="19"/>
        <v>39.129027276465479</v>
      </c>
      <c r="F21" s="146">
        <f t="shared" si="0"/>
        <v>2.238228092624357</v>
      </c>
      <c r="G21" s="127">
        <v>11.45</v>
      </c>
      <c r="H21" s="126">
        <f t="shared" si="20"/>
        <v>1.8047975608919384</v>
      </c>
      <c r="I21" s="230">
        <f>'[1]июль 20'!AI20</f>
        <v>0</v>
      </c>
      <c r="J21" s="439">
        <f>'[1]октябрь 20'!AA20</f>
        <v>10.599</v>
      </c>
      <c r="K21" s="464">
        <f>'[1]сентябрь 20'!AM20</f>
        <v>0</v>
      </c>
      <c r="L21" s="441">
        <f>'[1]октябрь 20'!AE20</f>
        <v>50.537999999999997</v>
      </c>
      <c r="M21" s="469">
        <f t="shared" si="21"/>
        <v>0.43343053173241852</v>
      </c>
      <c r="N21" s="403">
        <f>'[1]октябрь 20'!W20</f>
        <v>0</v>
      </c>
      <c r="O21" s="403">
        <f>'[1]октябрь 20'!AU20</f>
        <v>6.36</v>
      </c>
      <c r="P21" s="401">
        <f t="shared" si="1"/>
        <v>163.625</v>
      </c>
      <c r="Q21" s="122">
        <f>'[1]октябрь 20'!S20</f>
        <v>163.625</v>
      </c>
      <c r="R21" s="123">
        <f t="shared" si="22"/>
        <v>3.33</v>
      </c>
      <c r="S21" s="501">
        <v>68.91</v>
      </c>
      <c r="T21" s="125">
        <f t="shared" si="2"/>
        <v>158.1762875</v>
      </c>
      <c r="U21" s="147">
        <f t="shared" si="3"/>
        <v>1.3565719339622642</v>
      </c>
      <c r="V21" s="130">
        <v>116.6</v>
      </c>
      <c r="W21" s="130">
        <v>49.79</v>
      </c>
      <c r="X21" s="129">
        <v>1.0900000000000001</v>
      </c>
      <c r="Y21" s="131">
        <v>530</v>
      </c>
      <c r="Z21" s="150">
        <v>1167</v>
      </c>
      <c r="AA21" s="168" t="s">
        <v>251</v>
      </c>
      <c r="AB21" s="149">
        <v>76.08</v>
      </c>
      <c r="AC21" s="150">
        <v>105</v>
      </c>
      <c r="AD21" s="151">
        <v>5</v>
      </c>
      <c r="AE21" s="149"/>
      <c r="AF21" s="134">
        <f t="shared" si="4"/>
        <v>0</v>
      </c>
      <c r="AG21" s="152"/>
      <c r="AH21" s="129">
        <v>59.3</v>
      </c>
      <c r="AI21" s="134">
        <f t="shared" si="5"/>
        <v>508.57632933104634</v>
      </c>
      <c r="AJ21" s="136">
        <v>17.5</v>
      </c>
      <c r="AK21" s="154"/>
      <c r="AL21" s="155">
        <v>6.51</v>
      </c>
      <c r="AM21" s="478">
        <f t="shared" si="31"/>
        <v>30.34</v>
      </c>
      <c r="AN21" s="126">
        <f t="shared" si="24"/>
        <v>0.2</v>
      </c>
      <c r="AO21" s="157" t="s">
        <v>203</v>
      </c>
      <c r="AP21" s="156">
        <v>7.22</v>
      </c>
      <c r="AQ21" s="156">
        <v>8.66</v>
      </c>
      <c r="AR21" s="149"/>
      <c r="AS21" s="149">
        <v>5.72</v>
      </c>
      <c r="AT21" s="149">
        <v>151.69999999999999</v>
      </c>
      <c r="AU21" s="149">
        <v>1.75</v>
      </c>
      <c r="AV21" s="149"/>
      <c r="AW21" s="149"/>
      <c r="AX21" s="158">
        <f t="shared" si="6"/>
        <v>0</v>
      </c>
      <c r="AY21" s="125">
        <f t="shared" si="7"/>
        <v>116.6</v>
      </c>
      <c r="AZ21" s="125">
        <f t="shared" si="25"/>
        <v>118.69077312213079</v>
      </c>
      <c r="BA21" s="159">
        <f t="shared" si="8"/>
        <v>2.6275746478873234</v>
      </c>
      <c r="BB21" s="160">
        <f t="shared" si="9"/>
        <v>4.6639999999999997</v>
      </c>
      <c r="BC21" s="161">
        <f t="shared" si="10"/>
        <v>0.8686945758953446</v>
      </c>
      <c r="BD21" s="160">
        <f t="shared" si="26"/>
        <v>7.2915746478873231</v>
      </c>
      <c r="BE21" s="162">
        <v>0.88500000000000001</v>
      </c>
      <c r="BF21" s="25">
        <f t="shared" si="27"/>
        <v>1563.6200000000001</v>
      </c>
      <c r="BG21" s="25">
        <f t="shared" si="11"/>
        <v>125.80645161290323</v>
      </c>
      <c r="BH21" s="25">
        <f t="shared" si="28"/>
        <v>1887.0967741935478</v>
      </c>
      <c r="BI21" s="26">
        <f t="shared" si="12"/>
        <v>1</v>
      </c>
      <c r="BJ21" s="37">
        <f t="shared" si="29"/>
        <v>1887.0967741935478</v>
      </c>
      <c r="BK21" s="38">
        <v>138.6</v>
      </c>
      <c r="BL21" s="31">
        <v>73.506</v>
      </c>
      <c r="BM21" s="31"/>
      <c r="BN21" s="234">
        <v>42</v>
      </c>
      <c r="BO21" s="42"/>
      <c r="BP21" s="40"/>
      <c r="BQ21" s="411">
        <v>8.5380000000000003</v>
      </c>
      <c r="BR21" s="33">
        <v>0.81</v>
      </c>
      <c r="BS21" s="34">
        <v>0.74</v>
      </c>
      <c r="BT21" s="35"/>
      <c r="BU21" s="35"/>
      <c r="BV21" s="235"/>
      <c r="BW21" s="235"/>
      <c r="BX21" s="36"/>
      <c r="BY21" s="33">
        <v>38.39</v>
      </c>
      <c r="BZ21" s="34">
        <v>37.6</v>
      </c>
      <c r="CA21" s="35"/>
      <c r="CB21" s="405">
        <v>43.4</v>
      </c>
      <c r="CC21" s="404"/>
      <c r="CD21" s="235"/>
      <c r="CE21" s="413">
        <v>43.28</v>
      </c>
      <c r="CF21" s="30">
        <v>84.864000000000004</v>
      </c>
      <c r="CG21" s="30">
        <v>78.760999999999996</v>
      </c>
      <c r="CH21" s="31"/>
      <c r="CI21" s="32"/>
      <c r="CJ21" s="33">
        <v>3.33</v>
      </c>
      <c r="CK21" s="33">
        <v>3.33</v>
      </c>
      <c r="CL21" s="35"/>
      <c r="CM21" s="36"/>
      <c r="CN21" s="286"/>
      <c r="CO21" s="249">
        <f t="shared" si="13"/>
        <v>137.47734</v>
      </c>
      <c r="CP21" s="12">
        <f t="shared" si="13"/>
        <v>72.962055599999999</v>
      </c>
      <c r="CQ21" s="12">
        <f t="shared" si="13"/>
        <v>0</v>
      </c>
      <c r="CR21" s="12">
        <f t="shared" si="13"/>
        <v>42</v>
      </c>
      <c r="CS21" s="11">
        <f t="shared" si="13"/>
        <v>0</v>
      </c>
      <c r="CT21" s="11">
        <f t="shared" si="13"/>
        <v>0</v>
      </c>
      <c r="CU21" s="272">
        <f t="shared" si="13"/>
        <v>8.5380000000000003</v>
      </c>
      <c r="CV21" s="249">
        <f t="shared" si="14"/>
        <v>82.038028800000006</v>
      </c>
      <c r="CW21" s="12">
        <f t="shared" si="14"/>
        <v>76.138258699999994</v>
      </c>
      <c r="CX21" s="249">
        <f t="shared" si="14"/>
        <v>0</v>
      </c>
      <c r="CY21" s="272">
        <f t="shared" si="14"/>
        <v>0</v>
      </c>
      <c r="CZ21" s="13"/>
      <c r="DA21" s="240">
        <f>(D21+'[2]октябрь 20 '!D21)/(AY21+'[2]октябрь 20 '!BA21)</f>
        <v>2.1415076638834609</v>
      </c>
      <c r="DB21" s="241">
        <f>(T21+'[2]октябрь 20 '!T21)/(AY21+'[2]октябрь 20 '!BA21)</f>
        <v>1.3035657236335643</v>
      </c>
      <c r="DD21" s="292">
        <f t="shared" si="15"/>
        <v>10.599</v>
      </c>
      <c r="DE21" s="291">
        <v>0.28000000000000003</v>
      </c>
      <c r="DF21" s="291">
        <v>10.89</v>
      </c>
      <c r="DG21" s="145">
        <f t="shared" si="16"/>
        <v>10.5693228</v>
      </c>
      <c r="DH21" s="293">
        <f t="shared" si="30"/>
        <v>1.5128801957413252</v>
      </c>
      <c r="DJ21" s="322"/>
    </row>
    <row r="22" spans="1:114" s="76" customFormat="1" ht="16.5" customHeight="1" thickBot="1">
      <c r="A22" s="144">
        <v>16</v>
      </c>
      <c r="B22" s="122">
        <f>'[1]октябрь 20'!K21</f>
        <v>260.32400000000001</v>
      </c>
      <c r="C22" s="123">
        <f t="shared" si="17"/>
        <v>1.6472333707226376</v>
      </c>
      <c r="D22" s="145">
        <f t="shared" si="18"/>
        <v>256.03585620000001</v>
      </c>
      <c r="E22" s="125">
        <f t="shared" si="19"/>
        <v>39.27904050337272</v>
      </c>
      <c r="F22" s="146">
        <f t="shared" si="0"/>
        <v>2.2858303383626457</v>
      </c>
      <c r="G22" s="127">
        <v>16.79</v>
      </c>
      <c r="H22" s="126">
        <f t="shared" si="20"/>
        <v>1.7714119828586732</v>
      </c>
      <c r="I22" s="230">
        <f>'[1]июль 20'!AI21</f>
        <v>0</v>
      </c>
      <c r="J22" s="439">
        <f>'[1]октябрь 20'!AA21</f>
        <v>10.432</v>
      </c>
      <c r="K22" s="464">
        <f>'[1]сентябрь 20'!AM21</f>
        <v>0</v>
      </c>
      <c r="L22" s="441">
        <f>'[1]октябрь 20'!AE21</f>
        <v>57.62</v>
      </c>
      <c r="M22" s="468">
        <f t="shared" si="21"/>
        <v>0.51441835550397275</v>
      </c>
      <c r="N22" s="403">
        <f>'[1]октябрь 20'!W21</f>
        <v>0</v>
      </c>
      <c r="O22" s="403">
        <f>'[1]октябрь 20'!AU21</f>
        <v>5.21</v>
      </c>
      <c r="P22" s="401">
        <f t="shared" si="1"/>
        <v>161.55000000000001</v>
      </c>
      <c r="Q22" s="122">
        <f>'[1]октябрь 20'!S21</f>
        <v>161.55000000000001</v>
      </c>
      <c r="R22" s="123">
        <f t="shared" si="22"/>
        <v>3.3099999999999996</v>
      </c>
      <c r="S22" s="501">
        <v>2.48</v>
      </c>
      <c r="T22" s="125">
        <f t="shared" si="2"/>
        <v>156.20269500000001</v>
      </c>
      <c r="U22" s="147">
        <f t="shared" si="3"/>
        <v>1.3945424069279526</v>
      </c>
      <c r="V22" s="130">
        <v>112.01</v>
      </c>
      <c r="W22" s="130">
        <v>86.33</v>
      </c>
      <c r="X22" s="129">
        <v>0.73</v>
      </c>
      <c r="Y22" s="131">
        <v>520</v>
      </c>
      <c r="Z22" s="150">
        <v>1157</v>
      </c>
      <c r="AA22" s="148" t="s">
        <v>249</v>
      </c>
      <c r="AB22" s="149">
        <v>76.67</v>
      </c>
      <c r="AC22" s="150">
        <v>104</v>
      </c>
      <c r="AD22" s="151">
        <v>5</v>
      </c>
      <c r="AE22" s="149"/>
      <c r="AF22" s="134">
        <f t="shared" si="4"/>
        <v>0</v>
      </c>
      <c r="AG22" s="152"/>
      <c r="AH22" s="129">
        <v>68.95</v>
      </c>
      <c r="AI22" s="134">
        <f t="shared" si="5"/>
        <v>615.57003838942944</v>
      </c>
      <c r="AJ22" s="153">
        <v>16.46</v>
      </c>
      <c r="AK22" s="154"/>
      <c r="AL22" s="155">
        <v>8.3800000000000008</v>
      </c>
      <c r="AM22" s="478">
        <f t="shared" si="31"/>
        <v>29.630000000000003</v>
      </c>
      <c r="AN22" s="126">
        <f t="shared" si="24"/>
        <v>0.2</v>
      </c>
      <c r="AO22" s="157" t="s">
        <v>361</v>
      </c>
      <c r="AP22" s="156">
        <v>7.08</v>
      </c>
      <c r="AQ22" s="156">
        <v>8.89</v>
      </c>
      <c r="AR22" s="151"/>
      <c r="AS22" s="149">
        <v>7.37</v>
      </c>
      <c r="AT22" s="149">
        <v>148.15</v>
      </c>
      <c r="AU22" s="149">
        <v>1.87</v>
      </c>
      <c r="AV22" s="149"/>
      <c r="AW22" s="149"/>
      <c r="AX22" s="158">
        <f t="shared" si="6"/>
        <v>0</v>
      </c>
      <c r="AY22" s="125">
        <f t="shared" si="7"/>
        <v>112.01000000000002</v>
      </c>
      <c r="AZ22" s="125">
        <f t="shared" si="25"/>
        <v>115.96084061033106</v>
      </c>
      <c r="BA22" s="159">
        <f t="shared" si="8"/>
        <v>3.9364623239436618</v>
      </c>
      <c r="BB22" s="160">
        <f t="shared" si="9"/>
        <v>4.4804000000000013</v>
      </c>
      <c r="BC22" s="161">
        <f t="shared" si="10"/>
        <v>0.85392671435983269</v>
      </c>
      <c r="BD22" s="160">
        <f t="shared" si="26"/>
        <v>8.4168623239436631</v>
      </c>
      <c r="BE22" s="162">
        <v>0.88300000000000001</v>
      </c>
      <c r="BF22" s="25">
        <f t="shared" si="27"/>
        <v>1675.63</v>
      </c>
      <c r="BG22" s="25">
        <f t="shared" si="11"/>
        <v>125.80645161290323</v>
      </c>
      <c r="BH22" s="25">
        <f t="shared" si="28"/>
        <v>2012.903225806451</v>
      </c>
      <c r="BI22" s="26">
        <f t="shared" si="12"/>
        <v>1</v>
      </c>
      <c r="BJ22" s="37">
        <f t="shared" si="29"/>
        <v>2012.903225806451</v>
      </c>
      <c r="BK22" s="38">
        <v>129.92599999999999</v>
      </c>
      <c r="BL22" s="31">
        <v>72.778000000000006</v>
      </c>
      <c r="BM22" s="31"/>
      <c r="BN22" s="234">
        <v>52.305999999999997</v>
      </c>
      <c r="BO22" s="42"/>
      <c r="BP22" s="40"/>
      <c r="BQ22" s="411">
        <v>5.3140000000000001</v>
      </c>
      <c r="BR22" s="33">
        <v>3.11</v>
      </c>
      <c r="BS22" s="34">
        <v>0.34</v>
      </c>
      <c r="BT22" s="35"/>
      <c r="BU22" s="35"/>
      <c r="BV22" s="235"/>
      <c r="BW22" s="235"/>
      <c r="BX22" s="36"/>
      <c r="BY22" s="33">
        <v>38.380000000000003</v>
      </c>
      <c r="BZ22" s="34">
        <v>37.78</v>
      </c>
      <c r="CA22" s="35"/>
      <c r="CB22" s="405">
        <v>43.16</v>
      </c>
      <c r="CC22" s="404"/>
      <c r="CD22" s="235"/>
      <c r="CE22" s="413">
        <v>43.59</v>
      </c>
      <c r="CF22" s="30">
        <v>83.572999999999993</v>
      </c>
      <c r="CG22" s="30">
        <v>77.977000000000004</v>
      </c>
      <c r="CH22" s="31"/>
      <c r="CI22" s="32"/>
      <c r="CJ22" s="33">
        <v>3.31</v>
      </c>
      <c r="CK22" s="33">
        <v>3.31</v>
      </c>
      <c r="CL22" s="35"/>
      <c r="CM22" s="36"/>
      <c r="CN22" s="286"/>
      <c r="CO22" s="249">
        <f t="shared" si="13"/>
        <v>125.88530139999999</v>
      </c>
      <c r="CP22" s="12">
        <f t="shared" si="13"/>
        <v>72.530554800000004</v>
      </c>
      <c r="CQ22" s="12">
        <f t="shared" si="13"/>
        <v>0</v>
      </c>
      <c r="CR22" s="12">
        <f t="shared" si="13"/>
        <v>52.305999999999997</v>
      </c>
      <c r="CS22" s="11">
        <f t="shared" si="13"/>
        <v>0</v>
      </c>
      <c r="CT22" s="11">
        <f t="shared" si="13"/>
        <v>0</v>
      </c>
      <c r="CU22" s="272">
        <f t="shared" si="13"/>
        <v>5.3140000000000001</v>
      </c>
      <c r="CV22" s="249">
        <f t="shared" si="14"/>
        <v>80.806733699999995</v>
      </c>
      <c r="CW22" s="12">
        <f t="shared" si="14"/>
        <v>75.395961299999996</v>
      </c>
      <c r="CX22" s="249">
        <f t="shared" si="14"/>
        <v>0</v>
      </c>
      <c r="CY22" s="272">
        <f t="shared" si="14"/>
        <v>0</v>
      </c>
      <c r="CZ22" s="13"/>
      <c r="DA22" s="240">
        <f>(D22+'[2]октябрь 20 '!D22)/(AY22+'[2]октябрь 20 '!BA22)</f>
        <v>2.0606307391243619</v>
      </c>
      <c r="DB22" s="241">
        <f>(T22+'[2]октябрь 20 '!T22)/(AY22+'[2]октябрь 20 '!BA22)</f>
        <v>1.2584774391617042</v>
      </c>
      <c r="DD22" s="292">
        <f t="shared" si="15"/>
        <v>10.432</v>
      </c>
      <c r="DE22" s="291">
        <v>0.1</v>
      </c>
      <c r="DF22" s="291">
        <v>10.66</v>
      </c>
      <c r="DG22" s="145">
        <f t="shared" si="16"/>
        <v>10.421568000000002</v>
      </c>
      <c r="DH22" s="293">
        <f t="shared" si="30"/>
        <v>1.4489880641711232</v>
      </c>
      <c r="DJ22" s="322"/>
    </row>
    <row r="23" spans="1:114" s="76" customFormat="1" ht="16.5" customHeight="1" thickBot="1">
      <c r="A23" s="144">
        <v>17</v>
      </c>
      <c r="B23" s="122">
        <f>'[1]октябрь 20'!K22</f>
        <v>262.65100000000001</v>
      </c>
      <c r="C23" s="123">
        <f t="shared" si="17"/>
        <v>0.74601551107743735</v>
      </c>
      <c r="D23" s="145">
        <f t="shared" si="18"/>
        <v>260.69158279999999</v>
      </c>
      <c r="E23" s="125">
        <f t="shared" si="19"/>
        <v>39.645097106045661</v>
      </c>
      <c r="F23" s="146">
        <f t="shared" si="0"/>
        <v>2.0118195925297111</v>
      </c>
      <c r="G23" s="127"/>
      <c r="H23" s="126">
        <f t="shared" si="20"/>
        <v>1.5664576539589443</v>
      </c>
      <c r="I23" s="230">
        <f>'[1]июль 20'!AI22</f>
        <v>0</v>
      </c>
      <c r="J23" s="439">
        <f>'[1]октябрь 20'!AA22</f>
        <v>10.48</v>
      </c>
      <c r="K23" s="464">
        <f>'[1]сентябрь 20'!AM22</f>
        <v>0</v>
      </c>
      <c r="L23" s="441">
        <f>'[1]октябрь 20'!AE22</f>
        <v>57.71</v>
      </c>
      <c r="M23" s="469">
        <f t="shared" si="21"/>
        <v>0.44536193857076706</v>
      </c>
      <c r="N23" s="403">
        <f>'[1]октябрь 20'!W22</f>
        <v>0</v>
      </c>
      <c r="O23" s="403">
        <f>'[1]октябрь 20'!AU22</f>
        <v>5.68</v>
      </c>
      <c r="P23" s="401">
        <f t="shared" si="1"/>
        <v>163.86</v>
      </c>
      <c r="Q23" s="122">
        <f>'[1]октябрь 20'!S22</f>
        <v>163.86</v>
      </c>
      <c r="R23" s="123">
        <f t="shared" si="22"/>
        <v>3.6199999999999992</v>
      </c>
      <c r="S23" s="501">
        <v>9.9499999999999993</v>
      </c>
      <c r="T23" s="125">
        <f t="shared" si="2"/>
        <v>157.928268</v>
      </c>
      <c r="U23" s="147">
        <f t="shared" si="3"/>
        <v>1.2187703966661521</v>
      </c>
      <c r="V23" s="130">
        <v>129.58000000000001</v>
      </c>
      <c r="W23" s="130">
        <v>129.58000000000001</v>
      </c>
      <c r="X23" s="129">
        <v>0.51</v>
      </c>
      <c r="Y23" s="131">
        <v>524</v>
      </c>
      <c r="Z23" s="150">
        <v>1168</v>
      </c>
      <c r="AA23" s="148" t="s">
        <v>116</v>
      </c>
      <c r="AB23" s="149">
        <v>76.45</v>
      </c>
      <c r="AC23" s="150">
        <v>105</v>
      </c>
      <c r="AD23" s="151">
        <v>5</v>
      </c>
      <c r="AE23" s="149"/>
      <c r="AF23" s="134">
        <f t="shared" si="4"/>
        <v>0</v>
      </c>
      <c r="AG23" s="152"/>
      <c r="AH23" s="129">
        <v>87.45</v>
      </c>
      <c r="AI23" s="134">
        <f t="shared" si="5"/>
        <v>674.8726655348047</v>
      </c>
      <c r="AJ23" s="136">
        <v>16.5</v>
      </c>
      <c r="AK23" s="154"/>
      <c r="AL23" s="155">
        <v>8.51</v>
      </c>
      <c r="AM23" s="478">
        <f t="shared" si="31"/>
        <v>33.830000000000005</v>
      </c>
      <c r="AN23" s="126">
        <f t="shared" si="24"/>
        <v>0.20000000000000004</v>
      </c>
      <c r="AO23" s="157" t="s">
        <v>424</v>
      </c>
      <c r="AP23" s="156">
        <v>7.1</v>
      </c>
      <c r="AQ23" s="156">
        <v>7.15</v>
      </c>
      <c r="AR23" s="151"/>
      <c r="AS23" s="149">
        <v>8</v>
      </c>
      <c r="AT23" s="149">
        <v>169.15</v>
      </c>
      <c r="AU23" s="149">
        <v>2.77</v>
      </c>
      <c r="AV23" s="149"/>
      <c r="AW23" s="149"/>
      <c r="AX23" s="158">
        <f t="shared" si="6"/>
        <v>0</v>
      </c>
      <c r="AY23" s="125">
        <f t="shared" si="7"/>
        <v>129.58000000000001</v>
      </c>
      <c r="AZ23" s="125">
        <f t="shared" si="25"/>
        <v>119.6851082722136</v>
      </c>
      <c r="BA23" s="159">
        <f t="shared" si="8"/>
        <v>5.4194366197183097</v>
      </c>
      <c r="BB23" s="160">
        <f t="shared" si="9"/>
        <v>5.1832000000000003</v>
      </c>
      <c r="BC23" s="161">
        <f t="shared" si="10"/>
        <v>0.95851512552164631</v>
      </c>
      <c r="BD23" s="160">
        <f t="shared" si="26"/>
        <v>10.602636619718311</v>
      </c>
      <c r="BE23" s="162">
        <v>0.88800000000000001</v>
      </c>
      <c r="BF23" s="25">
        <f t="shared" si="27"/>
        <v>1805.21</v>
      </c>
      <c r="BG23" s="25">
        <f t="shared" si="11"/>
        <v>125.80645161290323</v>
      </c>
      <c r="BH23" s="25">
        <f t="shared" si="28"/>
        <v>2138.7096774193542</v>
      </c>
      <c r="BI23" s="26">
        <f t="shared" si="12"/>
        <v>1</v>
      </c>
      <c r="BJ23" s="37">
        <f t="shared" si="29"/>
        <v>2138.7096774193542</v>
      </c>
      <c r="BK23" s="38">
        <v>131.43</v>
      </c>
      <c r="BL23" s="31">
        <v>73.510999999999996</v>
      </c>
      <c r="BM23" s="31"/>
      <c r="BN23" s="234">
        <v>52.493000000000002</v>
      </c>
      <c r="BO23" s="42"/>
      <c r="BP23" s="40"/>
      <c r="BQ23" s="411">
        <v>5.2169999999999996</v>
      </c>
      <c r="BR23" s="33">
        <v>1.2</v>
      </c>
      <c r="BS23" s="34">
        <v>0.52</v>
      </c>
      <c r="BT23" s="35"/>
      <c r="BU23" s="35"/>
      <c r="BV23" s="235"/>
      <c r="BW23" s="235"/>
      <c r="BX23" s="36"/>
      <c r="BY23" s="33">
        <v>38.99</v>
      </c>
      <c r="BZ23" s="34">
        <v>38.090000000000003</v>
      </c>
      <c r="CA23" s="35"/>
      <c r="CB23" s="405">
        <v>43.07</v>
      </c>
      <c r="CC23" s="404"/>
      <c r="CD23" s="235"/>
      <c r="CE23" s="413">
        <v>43.6</v>
      </c>
      <c r="CF23" s="30">
        <v>85.218000000000004</v>
      </c>
      <c r="CG23" s="30">
        <v>78.641999999999996</v>
      </c>
      <c r="CH23" s="31"/>
      <c r="CI23" s="32"/>
      <c r="CJ23" s="33">
        <v>3.62</v>
      </c>
      <c r="CK23" s="33">
        <v>3.62</v>
      </c>
      <c r="CL23" s="35"/>
      <c r="CM23" s="36"/>
      <c r="CN23" s="286"/>
      <c r="CO23" s="249">
        <f t="shared" ref="CO23:CU37" si="32">BK23*((100-BR23)/100)</f>
        <v>129.85284000000001</v>
      </c>
      <c r="CP23" s="12">
        <f t="shared" si="32"/>
        <v>73.128742799999998</v>
      </c>
      <c r="CQ23" s="12">
        <f t="shared" si="32"/>
        <v>0</v>
      </c>
      <c r="CR23" s="12">
        <f t="shared" si="32"/>
        <v>52.493000000000002</v>
      </c>
      <c r="CS23" s="11">
        <f t="shared" si="32"/>
        <v>0</v>
      </c>
      <c r="CT23" s="11">
        <f t="shared" si="32"/>
        <v>0</v>
      </c>
      <c r="CU23" s="272">
        <f t="shared" si="32"/>
        <v>5.2169999999999996</v>
      </c>
      <c r="CV23" s="249">
        <f t="shared" si="14"/>
        <v>82.133108399999998</v>
      </c>
      <c r="CW23" s="11">
        <f t="shared" si="14"/>
        <v>75.795159599999991</v>
      </c>
      <c r="CX23" s="249">
        <f t="shared" si="14"/>
        <v>0</v>
      </c>
      <c r="CY23" s="272">
        <f t="shared" si="14"/>
        <v>0</v>
      </c>
      <c r="CZ23" s="13"/>
      <c r="DA23" s="240">
        <f>(D23+'[2]октябрь 20 '!D23)/(AY23+'[2]октябрь 20 '!BA23)</f>
        <v>2.0723178789407632</v>
      </c>
      <c r="DB23" s="241">
        <f>(T23+'[2]октябрь 20 '!T23)/(AY23+'[2]октябрь 20 '!BA23)</f>
        <v>1.2533662034180804</v>
      </c>
      <c r="DD23" s="292">
        <f t="shared" si="15"/>
        <v>10.48</v>
      </c>
      <c r="DE23" s="291">
        <v>0.48</v>
      </c>
      <c r="DF23" s="291">
        <v>12.21</v>
      </c>
      <c r="DG23" s="145">
        <f t="shared" si="16"/>
        <v>10.429696</v>
      </c>
      <c r="DH23" s="293">
        <f t="shared" si="30"/>
        <v>1.6657500086330936</v>
      </c>
      <c r="DJ23" s="322"/>
    </row>
    <row r="24" spans="1:114" s="76" customFormat="1" ht="16.5" customHeight="1" thickBot="1">
      <c r="A24" s="144">
        <v>18</v>
      </c>
      <c r="B24" s="122">
        <f>'[1]октябрь 20'!K23</f>
        <v>277.44299999999998</v>
      </c>
      <c r="C24" s="123">
        <f t="shared" si="17"/>
        <v>0.48617218671943435</v>
      </c>
      <c r="D24" s="145">
        <f t="shared" si="18"/>
        <v>276.09414930000003</v>
      </c>
      <c r="E24" s="125">
        <f t="shared" si="19"/>
        <v>39.42668187699816</v>
      </c>
      <c r="F24" s="146">
        <f t="shared" si="0"/>
        <v>2.160361105633803</v>
      </c>
      <c r="G24" s="127">
        <v>17.89</v>
      </c>
      <c r="H24" s="126">
        <f t="shared" si="20"/>
        <v>1.6834753466353678</v>
      </c>
      <c r="I24" s="230">
        <f>'[1]июль 20'!AI23</f>
        <v>0</v>
      </c>
      <c r="J24" s="439">
        <f>'[1]октябрь 20'!AA23</f>
        <v>11.198</v>
      </c>
      <c r="K24" s="464">
        <f>'[1]сентябрь 20'!AM23</f>
        <v>0</v>
      </c>
      <c r="L24" s="441">
        <f>'[1]октябрь 20'!AE23</f>
        <v>60.945999999999998</v>
      </c>
      <c r="M24" s="468">
        <f t="shared" si="21"/>
        <v>0.47688575899843505</v>
      </c>
      <c r="N24" s="403">
        <f>'[1]октябрь 20'!W23</f>
        <v>0</v>
      </c>
      <c r="O24" s="403">
        <f>'[1]октябрь 20'!AU23</f>
        <v>6.6820000000000004</v>
      </c>
      <c r="P24" s="401">
        <f t="shared" si="1"/>
        <v>174.03800000000001</v>
      </c>
      <c r="Q24" s="122">
        <f>'[1]октябрь 20'!S23</f>
        <v>174.03800000000001</v>
      </c>
      <c r="R24" s="123">
        <f t="shared" si="22"/>
        <v>3.33</v>
      </c>
      <c r="S24" s="129">
        <v>14.05</v>
      </c>
      <c r="T24" s="125">
        <f t="shared" si="2"/>
        <v>168.2425346</v>
      </c>
      <c r="U24" s="147">
        <f t="shared" si="3"/>
        <v>1.3164517574334897</v>
      </c>
      <c r="V24" s="130">
        <v>127.8</v>
      </c>
      <c r="W24" s="130">
        <v>74.92</v>
      </c>
      <c r="X24" s="129">
        <v>0.92</v>
      </c>
      <c r="Y24" s="150">
        <v>535</v>
      </c>
      <c r="Z24" s="150">
        <v>1171</v>
      </c>
      <c r="AA24" s="148" t="s">
        <v>150</v>
      </c>
      <c r="AB24" s="149">
        <v>76.33</v>
      </c>
      <c r="AC24" s="150">
        <v>111</v>
      </c>
      <c r="AD24" s="151">
        <v>5</v>
      </c>
      <c r="AE24" s="149"/>
      <c r="AF24" s="134">
        <f t="shared" si="4"/>
        <v>0</v>
      </c>
      <c r="AG24" s="152"/>
      <c r="AH24" s="129">
        <v>75.900000000000006</v>
      </c>
      <c r="AI24" s="134">
        <f t="shared" si="5"/>
        <v>593.89671361502349</v>
      </c>
      <c r="AJ24" s="153">
        <v>16.059999999999999</v>
      </c>
      <c r="AK24" s="154"/>
      <c r="AL24" s="155">
        <v>8.07</v>
      </c>
      <c r="AM24" s="478">
        <f t="shared" si="31"/>
        <v>33.330000000000005</v>
      </c>
      <c r="AN24" s="126">
        <f t="shared" si="24"/>
        <v>0.20000000000000004</v>
      </c>
      <c r="AO24" s="157" t="s">
        <v>425</v>
      </c>
      <c r="AP24" s="156">
        <v>6.91</v>
      </c>
      <c r="AQ24" s="156">
        <v>8.1300000000000008</v>
      </c>
      <c r="AR24" s="151"/>
      <c r="AS24" s="149">
        <v>7.01</v>
      </c>
      <c r="AT24" s="149">
        <v>166.65</v>
      </c>
      <c r="AU24" s="149">
        <v>2.5499999999999998</v>
      </c>
      <c r="AV24" s="164"/>
      <c r="AW24" s="149"/>
      <c r="AX24" s="158">
        <f t="shared" si="6"/>
        <v>0</v>
      </c>
      <c r="AY24" s="125">
        <f t="shared" si="7"/>
        <v>127.8</v>
      </c>
      <c r="AZ24" s="125">
        <f t="shared" si="25"/>
        <v>126.11976911098508</v>
      </c>
      <c r="BA24" s="159">
        <f t="shared" si="8"/>
        <v>4.1215838028169003</v>
      </c>
      <c r="BB24" s="160">
        <f t="shared" si="9"/>
        <v>5.1120000000000001</v>
      </c>
      <c r="BC24" s="161">
        <f t="shared" si="10"/>
        <v>0.89614582104133489</v>
      </c>
      <c r="BD24" s="160">
        <f t="shared" si="26"/>
        <v>9.2335838028169004</v>
      </c>
      <c r="BE24" s="162">
        <v>0.88900000000000001</v>
      </c>
      <c r="BF24" s="25">
        <f t="shared" si="27"/>
        <v>1933.01</v>
      </c>
      <c r="BG24" s="25">
        <f t="shared" si="11"/>
        <v>125.80645161290323</v>
      </c>
      <c r="BH24" s="25">
        <f t="shared" si="28"/>
        <v>2264.5161290322576</v>
      </c>
      <c r="BI24" s="26">
        <f t="shared" si="12"/>
        <v>1</v>
      </c>
      <c r="BJ24" s="37">
        <f t="shared" si="29"/>
        <v>2264.5161290322576</v>
      </c>
      <c r="BK24" s="38">
        <v>138.74600000000001</v>
      </c>
      <c r="BL24" s="31">
        <v>77.751000000000005</v>
      </c>
      <c r="BM24" s="31"/>
      <c r="BN24" s="234">
        <v>55.418999999999997</v>
      </c>
      <c r="BO24" s="42"/>
      <c r="BP24" s="40"/>
      <c r="BQ24" s="411">
        <v>5.5270000000000001</v>
      </c>
      <c r="BR24" s="33">
        <v>0.72</v>
      </c>
      <c r="BS24" s="34">
        <v>0.45</v>
      </c>
      <c r="BT24" s="35"/>
      <c r="BU24" s="35"/>
      <c r="BV24" s="235"/>
      <c r="BW24" s="235"/>
      <c r="BX24" s="36"/>
      <c r="BY24" s="33">
        <v>38.92</v>
      </c>
      <c r="BZ24" s="34">
        <v>37.49</v>
      </c>
      <c r="CA24" s="35"/>
      <c r="CB24" s="405">
        <v>43.03</v>
      </c>
      <c r="CC24" s="404"/>
      <c r="CD24" s="235"/>
      <c r="CE24" s="413">
        <v>43.26</v>
      </c>
      <c r="CF24" s="30">
        <v>90.775999999999996</v>
      </c>
      <c r="CG24" s="30">
        <v>83.262</v>
      </c>
      <c r="CH24" s="31"/>
      <c r="CI24" s="32"/>
      <c r="CJ24" s="33">
        <v>3.33</v>
      </c>
      <c r="CK24" s="33">
        <v>3.33</v>
      </c>
      <c r="CL24" s="35"/>
      <c r="CM24" s="36"/>
      <c r="CN24" s="286"/>
      <c r="CO24" s="249">
        <f t="shared" si="32"/>
        <v>137.74702880000001</v>
      </c>
      <c r="CP24" s="12">
        <f t="shared" si="32"/>
        <v>77.401120500000005</v>
      </c>
      <c r="CQ24" s="12">
        <f t="shared" si="32"/>
        <v>0</v>
      </c>
      <c r="CR24" s="12">
        <f t="shared" si="32"/>
        <v>55.418999999999997</v>
      </c>
      <c r="CS24" s="11">
        <f t="shared" si="32"/>
        <v>0</v>
      </c>
      <c r="CT24" s="11">
        <f t="shared" si="32"/>
        <v>0</v>
      </c>
      <c r="CU24" s="272">
        <f t="shared" si="32"/>
        <v>5.5270000000000001</v>
      </c>
      <c r="CV24" s="249">
        <f t="shared" si="14"/>
        <v>87.753159199999999</v>
      </c>
      <c r="CW24" s="12">
        <f t="shared" si="14"/>
        <v>80.4893754</v>
      </c>
      <c r="CX24" s="249">
        <f t="shared" si="14"/>
        <v>0</v>
      </c>
      <c r="CY24" s="272">
        <f t="shared" si="14"/>
        <v>0</v>
      </c>
      <c r="CZ24" s="13"/>
      <c r="DA24" s="240">
        <f>(D24+'[2]октябрь 20 '!D24)/(AY24+'[2]октябрь 20 '!BA24)</f>
        <v>2.0799075855304023</v>
      </c>
      <c r="DB24" s="241">
        <f>(T24+'[2]октябрь 20 '!T24)/(AY24+'[2]октябрь 20 '!BA24)</f>
        <v>1.2585982718082147</v>
      </c>
      <c r="DD24" s="292">
        <f t="shared" si="15"/>
        <v>11.198</v>
      </c>
      <c r="DE24" s="291">
        <v>0.12</v>
      </c>
      <c r="DF24" s="291">
        <v>11.06</v>
      </c>
      <c r="DG24" s="145">
        <f t="shared" si="16"/>
        <v>11.184562399999999</v>
      </c>
      <c r="DH24" s="293">
        <f t="shared" si="30"/>
        <v>1.6206112949561118</v>
      </c>
      <c r="DJ24" s="322"/>
    </row>
    <row r="25" spans="1:114" s="76" customFormat="1" ht="16.5" customHeight="1" thickBot="1">
      <c r="A25" s="144">
        <v>19</v>
      </c>
      <c r="B25" s="122">
        <f>'[1]октябрь 20'!K24</f>
        <v>267.63799999999998</v>
      </c>
      <c r="C25" s="123">
        <f t="shared" si="17"/>
        <v>0.58117505735358954</v>
      </c>
      <c r="D25" s="145">
        <f t="shared" si="18"/>
        <v>266.0825547</v>
      </c>
      <c r="E25" s="125">
        <f t="shared" si="19"/>
        <v>39.547252333375681</v>
      </c>
      <c r="F25" s="146">
        <f t="shared" si="0"/>
        <v>2.1290010777724437</v>
      </c>
      <c r="G25" s="127">
        <v>11.47</v>
      </c>
      <c r="H25" s="126">
        <f t="shared" si="20"/>
        <v>1.6577896839494322</v>
      </c>
      <c r="I25" s="230">
        <f>'[1]июль 20'!AI24</f>
        <v>0</v>
      </c>
      <c r="J25" s="439">
        <f>'[1]октябрь 20'!AA24</f>
        <v>10.523</v>
      </c>
      <c r="K25" s="465">
        <f>'[1]сентябрь 20'!AM24</f>
        <v>0</v>
      </c>
      <c r="L25" s="441">
        <f>'[1]октябрь 20'!AE24</f>
        <v>58.892000000000003</v>
      </c>
      <c r="M25" s="469">
        <f t="shared" si="21"/>
        <v>0.47121139382301175</v>
      </c>
      <c r="N25" s="403">
        <f>'[1]октябрь 20'!W24</f>
        <v>0</v>
      </c>
      <c r="O25" s="403">
        <f>'[1]октябрь 20'!AU24</f>
        <v>7.4669999999999996</v>
      </c>
      <c r="P25" s="401">
        <f t="shared" si="1"/>
        <v>167.43599999999998</v>
      </c>
      <c r="Q25" s="122">
        <f>'[1]октябрь 20'!S24</f>
        <v>167.43600000000001</v>
      </c>
      <c r="R25" s="123">
        <f>IF(Q25=0,0,(CI25*CM25+CG25*CK25+CH25*CL25+CF25*CJ25)/Q25)</f>
        <v>3.3699999999999997</v>
      </c>
      <c r="S25" s="501">
        <v>7.44</v>
      </c>
      <c r="T25" s="125">
        <f t="shared" si="2"/>
        <v>161.79340679999999</v>
      </c>
      <c r="U25" s="147">
        <f t="shared" si="3"/>
        <v>1.2945543831012962</v>
      </c>
      <c r="V25" s="130">
        <v>124.98</v>
      </c>
      <c r="W25" s="130">
        <v>101.29</v>
      </c>
      <c r="X25" s="129">
        <v>0.88</v>
      </c>
      <c r="Y25" s="150">
        <v>567</v>
      </c>
      <c r="Z25" s="150">
        <v>1180</v>
      </c>
      <c r="AA25" s="148" t="s">
        <v>427</v>
      </c>
      <c r="AB25" s="149">
        <v>76.27</v>
      </c>
      <c r="AC25" s="150">
        <v>107</v>
      </c>
      <c r="AD25" s="151">
        <v>5</v>
      </c>
      <c r="AE25" s="149">
        <v>5.4</v>
      </c>
      <c r="AF25" s="134">
        <f t="shared" si="4"/>
        <v>43.206913106096984</v>
      </c>
      <c r="AG25" s="152"/>
      <c r="AH25" s="129">
        <v>83.65</v>
      </c>
      <c r="AI25" s="134">
        <f t="shared" si="5"/>
        <v>669.30708913426167</v>
      </c>
      <c r="AJ25" s="136">
        <v>17.739999999999998</v>
      </c>
      <c r="AK25" s="154"/>
      <c r="AL25" s="155">
        <v>7.61</v>
      </c>
      <c r="AM25" s="478">
        <f t="shared" si="31"/>
        <v>32.68</v>
      </c>
      <c r="AN25" s="126">
        <f t="shared" si="24"/>
        <v>0.19999999999999998</v>
      </c>
      <c r="AO25" s="157" t="s">
        <v>426</v>
      </c>
      <c r="AP25" s="156">
        <v>6.73</v>
      </c>
      <c r="AQ25" s="156">
        <v>8.0500000000000007</v>
      </c>
      <c r="AR25" s="152"/>
      <c r="AS25" s="149">
        <v>8.59</v>
      </c>
      <c r="AT25" s="149">
        <v>163.4</v>
      </c>
      <c r="AU25" s="149">
        <v>1.87</v>
      </c>
      <c r="AV25" s="164"/>
      <c r="AW25" s="149"/>
      <c r="AX25" s="158">
        <f t="shared" si="6"/>
        <v>0</v>
      </c>
      <c r="AY25" s="125">
        <f t="shared" si="7"/>
        <v>124.97999999999999</v>
      </c>
      <c r="AZ25" s="125">
        <f t="shared" si="25"/>
        <v>122.19524694025057</v>
      </c>
      <c r="BA25" s="159">
        <f t="shared" si="8"/>
        <v>5.5662595070422531</v>
      </c>
      <c r="BB25" s="160">
        <f t="shared" si="9"/>
        <v>4.9992000000000001</v>
      </c>
      <c r="BC25" s="161">
        <f t="shared" si="10"/>
        <v>0.9058609744665812</v>
      </c>
      <c r="BD25" s="160">
        <f t="shared" si="26"/>
        <v>10.565459507042252</v>
      </c>
      <c r="BE25" s="162">
        <v>0.89</v>
      </c>
      <c r="BF25" s="25">
        <f t="shared" si="27"/>
        <v>2057.9899999999998</v>
      </c>
      <c r="BG25" s="25">
        <f t="shared" si="11"/>
        <v>125.80645161290323</v>
      </c>
      <c r="BH25" s="25">
        <f t="shared" si="28"/>
        <v>2390.322580645161</v>
      </c>
      <c r="BI25" s="26">
        <f t="shared" si="12"/>
        <v>1</v>
      </c>
      <c r="BJ25" s="37">
        <f t="shared" si="29"/>
        <v>2390.322580645161</v>
      </c>
      <c r="BK25" s="38">
        <v>133.78299999999999</v>
      </c>
      <c r="BL25" s="31">
        <v>74.962999999999994</v>
      </c>
      <c r="BM25" s="31"/>
      <c r="BN25" s="234">
        <v>53.581000000000003</v>
      </c>
      <c r="BO25" s="42"/>
      <c r="BP25" s="40"/>
      <c r="BQ25" s="411">
        <v>5.3109999999999999</v>
      </c>
      <c r="BR25" s="33">
        <v>0.72</v>
      </c>
      <c r="BS25" s="34">
        <v>0.79</v>
      </c>
      <c r="BT25" s="35"/>
      <c r="BU25" s="35"/>
      <c r="BV25" s="235"/>
      <c r="BW25" s="235"/>
      <c r="BX25" s="36"/>
      <c r="BY25" s="33">
        <v>38.729999999999997</v>
      </c>
      <c r="BZ25" s="34">
        <v>38.090000000000003</v>
      </c>
      <c r="CA25" s="35"/>
      <c r="CB25" s="405">
        <v>43.21</v>
      </c>
      <c r="CC25" s="404"/>
      <c r="CD25" s="235"/>
      <c r="CE25" s="413">
        <v>43.75</v>
      </c>
      <c r="CF25" s="30">
        <v>87.213999999999999</v>
      </c>
      <c r="CG25" s="30">
        <v>80.221999999999994</v>
      </c>
      <c r="CH25" s="31"/>
      <c r="CI25" s="32"/>
      <c r="CJ25" s="33">
        <v>3.37</v>
      </c>
      <c r="CK25" s="33">
        <v>3.37</v>
      </c>
      <c r="CL25" s="35"/>
      <c r="CM25" s="36"/>
      <c r="CN25" s="286"/>
      <c r="CO25" s="249">
        <f t="shared" si="32"/>
        <v>132.8197624</v>
      </c>
      <c r="CP25" s="12">
        <f t="shared" si="32"/>
        <v>74.370792299999991</v>
      </c>
      <c r="CQ25" s="12">
        <f t="shared" si="32"/>
        <v>0</v>
      </c>
      <c r="CR25" s="12">
        <f t="shared" si="32"/>
        <v>53.581000000000003</v>
      </c>
      <c r="CS25" s="11">
        <f t="shared" si="32"/>
        <v>0</v>
      </c>
      <c r="CT25" s="11">
        <f t="shared" si="32"/>
        <v>0</v>
      </c>
      <c r="CU25" s="272">
        <f t="shared" si="32"/>
        <v>5.3109999999999999</v>
      </c>
      <c r="CV25" s="249">
        <f t="shared" si="14"/>
        <v>84.274888199999992</v>
      </c>
      <c r="CW25" s="251">
        <f t="shared" si="14"/>
        <v>77.518518599999993</v>
      </c>
      <c r="CX25" s="249">
        <f t="shared" si="14"/>
        <v>0</v>
      </c>
      <c r="CY25" s="272">
        <f t="shared" si="14"/>
        <v>0</v>
      </c>
      <c r="CZ25" s="13"/>
      <c r="DA25" s="240">
        <f>(D25+'[2]октябрь 20 '!D25)/(AY25+'[2]октябрь 20 '!BA25)</f>
        <v>2.1226793834241717</v>
      </c>
      <c r="DB25" s="241">
        <f>(T25+'[2]октябрь 20 '!T25)/(AY25+'[2]октябрь 20 '!BA25)</f>
        <v>1.2821254301841218</v>
      </c>
      <c r="DD25" s="292">
        <f t="shared" si="15"/>
        <v>10.523</v>
      </c>
      <c r="DE25" s="291">
        <v>0.34</v>
      </c>
      <c r="DF25" s="291">
        <v>12.72</v>
      </c>
      <c r="DG25" s="145">
        <f t="shared" si="16"/>
        <v>10.487221799999999</v>
      </c>
      <c r="DH25" s="293">
        <f t="shared" si="30"/>
        <v>1.7490161439097942</v>
      </c>
      <c r="DJ25" s="322"/>
    </row>
    <row r="26" spans="1:114" s="76" customFormat="1" ht="16.5" customHeight="1" thickBot="1">
      <c r="A26" s="144">
        <v>20</v>
      </c>
      <c r="B26" s="122">
        <f>'[1]октябрь 20'!K25</f>
        <v>272.75400000000002</v>
      </c>
      <c r="C26" s="123">
        <f t="shared" si="17"/>
        <v>1.6061193603026902</v>
      </c>
      <c r="D26" s="145">
        <f t="shared" si="18"/>
        <v>268.37324520000004</v>
      </c>
      <c r="E26" s="125">
        <f t="shared" si="19"/>
        <v>39.330857439304282</v>
      </c>
      <c r="F26" s="146">
        <f t="shared" si="0"/>
        <v>2.6180201463271877</v>
      </c>
      <c r="G26" s="127">
        <v>11.55</v>
      </c>
      <c r="H26" s="126">
        <f t="shared" si="20"/>
        <v>2.0317749019607843</v>
      </c>
      <c r="I26" s="230">
        <f>'[1]июль 20'!AI25</f>
        <v>0</v>
      </c>
      <c r="J26" s="439">
        <f>'[1]октябрь 20'!AA25</f>
        <v>10.984</v>
      </c>
      <c r="K26" s="464">
        <f>'[1]сентябрь 20'!AM25</f>
        <v>0</v>
      </c>
      <c r="L26" s="441">
        <f>'[1]октябрь 20'!AE25</f>
        <v>60.095999999999997</v>
      </c>
      <c r="M26" s="468">
        <f t="shared" si="21"/>
        <v>0.58624524436640324</v>
      </c>
      <c r="N26" s="403">
        <f>'[1]октябрь 20'!W25</f>
        <v>0</v>
      </c>
      <c r="O26" s="403">
        <f>'[1]октябрь 20'!AU25</f>
        <v>6.9880000000000004</v>
      </c>
      <c r="P26" s="401">
        <f t="shared" si="1"/>
        <v>170.256</v>
      </c>
      <c r="Q26" s="122">
        <f>'[1]октябрь 20'!S25</f>
        <v>170.256</v>
      </c>
      <c r="R26" s="123">
        <f t="shared" si="22"/>
        <v>3.4700000000000006</v>
      </c>
      <c r="S26" s="501">
        <v>1.08</v>
      </c>
      <c r="T26" s="125">
        <f t="shared" si="2"/>
        <v>164.34811680000001</v>
      </c>
      <c r="U26" s="147">
        <f t="shared" si="3"/>
        <v>1.603239847819725</v>
      </c>
      <c r="V26" s="169">
        <v>102.51</v>
      </c>
      <c r="W26" s="169">
        <v>102.51</v>
      </c>
      <c r="X26" s="170">
        <v>0.75</v>
      </c>
      <c r="Y26" s="166">
        <v>553</v>
      </c>
      <c r="Z26" s="166">
        <v>1177</v>
      </c>
      <c r="AA26" s="148" t="s">
        <v>171</v>
      </c>
      <c r="AB26" s="164">
        <v>76.55</v>
      </c>
      <c r="AC26" s="166">
        <v>109</v>
      </c>
      <c r="AD26" s="171">
        <v>5</v>
      </c>
      <c r="AE26" s="164"/>
      <c r="AF26" s="172">
        <f t="shared" si="4"/>
        <v>0</v>
      </c>
      <c r="AG26" s="173"/>
      <c r="AH26" s="170">
        <v>75.25</v>
      </c>
      <c r="AI26" s="134">
        <f t="shared" si="5"/>
        <v>734.07472441712991</v>
      </c>
      <c r="AJ26" s="174">
        <v>16.71</v>
      </c>
      <c r="AK26" s="175"/>
      <c r="AL26" s="176">
        <v>6.62</v>
      </c>
      <c r="AM26" s="478">
        <v>50.42</v>
      </c>
      <c r="AN26" s="126">
        <f t="shared" si="24"/>
        <v>0.32033036848792884</v>
      </c>
      <c r="AO26" s="178" t="s">
        <v>370</v>
      </c>
      <c r="AP26" s="177">
        <v>7.19</v>
      </c>
      <c r="AQ26" s="177">
        <v>8.43</v>
      </c>
      <c r="AR26" s="171"/>
      <c r="AS26" s="164">
        <v>6.59</v>
      </c>
      <c r="AT26" s="149">
        <v>157.4</v>
      </c>
      <c r="AU26" s="164">
        <v>2.15</v>
      </c>
      <c r="AV26" s="164"/>
      <c r="AW26" s="164"/>
      <c r="AX26" s="179">
        <f t="shared" si="6"/>
        <v>0</v>
      </c>
      <c r="AY26" s="125">
        <f t="shared" si="7"/>
        <v>102.51</v>
      </c>
      <c r="AZ26" s="125">
        <f t="shared" si="25"/>
        <v>121.83619168007975</v>
      </c>
      <c r="BA26" s="159">
        <f t="shared" si="8"/>
        <v>3.841459507042253</v>
      </c>
      <c r="BB26" s="159">
        <f t="shared" si="9"/>
        <v>4.1004000000000005</v>
      </c>
      <c r="BC26" s="180">
        <f t="shared" si="10"/>
        <v>0.74342779854615415</v>
      </c>
      <c r="BD26" s="159">
        <f t="shared" si="26"/>
        <v>7.9418595070422535</v>
      </c>
      <c r="BE26" s="167">
        <v>0.88100000000000001</v>
      </c>
      <c r="BF26" s="25">
        <f t="shared" si="27"/>
        <v>2160.5</v>
      </c>
      <c r="BG26" s="25">
        <f t="shared" si="11"/>
        <v>125.80645161290323</v>
      </c>
      <c r="BH26" s="25">
        <f t="shared" si="28"/>
        <v>2516.1290322580644</v>
      </c>
      <c r="BI26" s="26">
        <f t="shared" si="12"/>
        <v>1</v>
      </c>
      <c r="BJ26" s="37">
        <f t="shared" si="29"/>
        <v>2516.1290322580644</v>
      </c>
      <c r="BK26" s="38">
        <v>212.65799999999999</v>
      </c>
      <c r="BL26" s="43"/>
      <c r="BM26" s="31"/>
      <c r="BN26" s="406">
        <v>54.606999999999999</v>
      </c>
      <c r="BO26" s="42"/>
      <c r="BP26" s="40"/>
      <c r="BQ26" s="412">
        <v>5.4889999999999999</v>
      </c>
      <c r="BR26" s="33">
        <v>2.06</v>
      </c>
      <c r="BS26" s="34"/>
      <c r="BT26" s="35"/>
      <c r="BU26" s="35"/>
      <c r="BV26" s="235"/>
      <c r="BW26" s="235"/>
      <c r="BX26" s="36"/>
      <c r="BY26" s="33">
        <v>38.229999999999997</v>
      </c>
      <c r="BZ26" s="34"/>
      <c r="CA26" s="35"/>
      <c r="CB26" s="405">
        <v>43.22</v>
      </c>
      <c r="CC26" s="404"/>
      <c r="CD26" s="235"/>
      <c r="CE26" s="413">
        <v>43.29</v>
      </c>
      <c r="CF26" s="30">
        <v>83.131</v>
      </c>
      <c r="CG26" s="30">
        <v>87.125</v>
      </c>
      <c r="CH26" s="43"/>
      <c r="CI26" s="32"/>
      <c r="CJ26" s="33">
        <v>3.47</v>
      </c>
      <c r="CK26" s="33">
        <v>3.47</v>
      </c>
      <c r="CL26" s="35"/>
      <c r="CM26" s="36"/>
      <c r="CN26" s="286"/>
      <c r="CO26" s="249">
        <f t="shared" si="32"/>
        <v>208.27724519999998</v>
      </c>
      <c r="CP26" s="12">
        <f t="shared" si="32"/>
        <v>0</v>
      </c>
      <c r="CQ26" s="12">
        <f t="shared" si="32"/>
        <v>0</v>
      </c>
      <c r="CR26" s="12">
        <f t="shared" si="32"/>
        <v>54.606999999999999</v>
      </c>
      <c r="CS26" s="11">
        <f t="shared" si="32"/>
        <v>0</v>
      </c>
      <c r="CT26" s="11">
        <f t="shared" si="32"/>
        <v>0</v>
      </c>
      <c r="CU26" s="272">
        <f t="shared" si="32"/>
        <v>5.4889999999999999</v>
      </c>
      <c r="CV26" s="249">
        <f t="shared" si="14"/>
        <v>80.246354300000007</v>
      </c>
      <c r="CW26" s="12">
        <f t="shared" si="14"/>
        <v>84.101762500000007</v>
      </c>
      <c r="CX26" s="249">
        <f t="shared" si="14"/>
        <v>0</v>
      </c>
      <c r="CY26" s="274">
        <f t="shared" si="14"/>
        <v>0</v>
      </c>
      <c r="CZ26" s="13"/>
      <c r="DA26" s="240">
        <f>(D26+'[2]октябрь 20 '!D26)/(AY26+'[2]октябрь 20 '!BA26)</f>
        <v>2.6431201193333793</v>
      </c>
      <c r="DB26" s="241">
        <f>(T26+'[2]октябрь 20 '!T26)/(AY26+'[2]октябрь 20 '!BA26)</f>
        <v>1.6110970331253001</v>
      </c>
      <c r="DD26" s="292">
        <f t="shared" si="15"/>
        <v>10.984</v>
      </c>
      <c r="DE26" s="291">
        <v>1.52</v>
      </c>
      <c r="DF26" s="291">
        <v>10.33</v>
      </c>
      <c r="DG26" s="145">
        <f t="shared" si="16"/>
        <v>10.817043200000001</v>
      </c>
      <c r="DH26" s="293">
        <f t="shared" si="30"/>
        <v>1.4597002776747225</v>
      </c>
      <c r="DJ26" s="322"/>
    </row>
    <row r="27" spans="1:114" s="76" customFormat="1" ht="16.5" customHeight="1" thickBot="1">
      <c r="A27" s="144">
        <v>21</v>
      </c>
      <c r="B27" s="122">
        <f>'[1]октябрь 20'!K26</f>
        <v>262.59100000000001</v>
      </c>
      <c r="C27" s="123">
        <f t="shared" si="17"/>
        <v>0.89283086625208008</v>
      </c>
      <c r="D27" s="145">
        <f t="shared" si="18"/>
        <v>260.24650650000001</v>
      </c>
      <c r="E27" s="125">
        <f t="shared" si="19"/>
        <v>39.664157301659237</v>
      </c>
      <c r="F27" s="146">
        <f t="shared" si="0"/>
        <v>1.9756054543384194</v>
      </c>
      <c r="G27" s="127">
        <v>15.74</v>
      </c>
      <c r="H27" s="126">
        <f t="shared" si="20"/>
        <v>1.5298300045547708</v>
      </c>
      <c r="I27" s="230">
        <f>'[1]июль 20'!AI26</f>
        <v>0</v>
      </c>
      <c r="J27" s="439">
        <f>'[1]октябрь 20'!AA26</f>
        <v>10.436</v>
      </c>
      <c r="K27" s="464">
        <f>'[1]сентябрь 20'!AM26</f>
        <v>0</v>
      </c>
      <c r="L27" s="441">
        <f>'[1]октябрь 20'!AE26</f>
        <v>58.722000000000001</v>
      </c>
      <c r="M27" s="469">
        <f t="shared" si="21"/>
        <v>0.4457754497836483</v>
      </c>
      <c r="N27" s="403">
        <f>'[1]октябрь 20'!W26</f>
        <v>0</v>
      </c>
      <c r="O27" s="403">
        <f>'[1]октябрь 20'!AU26</f>
        <v>5.851</v>
      </c>
      <c r="P27" s="401">
        <f t="shared" si="1"/>
        <v>163.24799999999999</v>
      </c>
      <c r="Q27" s="122">
        <f>'[1]октябрь 20'!S26</f>
        <v>163.24799999999999</v>
      </c>
      <c r="R27" s="123">
        <f t="shared" si="22"/>
        <v>3.1</v>
      </c>
      <c r="S27" s="501">
        <v>10</v>
      </c>
      <c r="T27" s="125">
        <f t="shared" si="2"/>
        <v>158.18731199999999</v>
      </c>
      <c r="U27" s="147">
        <f t="shared" si="3"/>
        <v>1.2008450011386926</v>
      </c>
      <c r="V27" s="130">
        <v>110.91</v>
      </c>
      <c r="W27" s="130">
        <v>102.66</v>
      </c>
      <c r="X27" s="129">
        <v>0.77</v>
      </c>
      <c r="Y27" s="150">
        <v>535</v>
      </c>
      <c r="Z27" s="150">
        <v>1173</v>
      </c>
      <c r="AA27" s="148" t="s">
        <v>145</v>
      </c>
      <c r="AB27" s="149">
        <v>75.900000000000006</v>
      </c>
      <c r="AC27" s="150">
        <v>105</v>
      </c>
      <c r="AD27" s="151">
        <v>5</v>
      </c>
      <c r="AE27" s="149"/>
      <c r="AF27" s="134">
        <f t="shared" si="4"/>
        <v>0</v>
      </c>
      <c r="AG27" s="152"/>
      <c r="AH27" s="129">
        <v>77.349999999999994</v>
      </c>
      <c r="AI27" s="134">
        <f t="shared" si="5"/>
        <v>587.18591057466017</v>
      </c>
      <c r="AJ27" s="136">
        <v>20.76</v>
      </c>
      <c r="AK27" s="154"/>
      <c r="AL27" s="155">
        <v>6.48</v>
      </c>
      <c r="AM27" s="478">
        <f t="shared" si="31"/>
        <v>34.07</v>
      </c>
      <c r="AN27" s="126">
        <f t="shared" si="24"/>
        <v>0.2</v>
      </c>
      <c r="AO27" s="157" t="s">
        <v>428</v>
      </c>
      <c r="AP27" s="156">
        <v>7.09</v>
      </c>
      <c r="AQ27" s="156">
        <v>8.91</v>
      </c>
      <c r="AR27" s="151"/>
      <c r="AS27" s="149">
        <v>7.3</v>
      </c>
      <c r="AT27" s="149">
        <v>170.35</v>
      </c>
      <c r="AU27" s="149">
        <v>1.93</v>
      </c>
      <c r="AV27" s="164"/>
      <c r="AW27" s="149"/>
      <c r="AX27" s="158">
        <f t="shared" si="6"/>
        <v>0</v>
      </c>
      <c r="AY27" s="125">
        <f t="shared" si="7"/>
        <v>131.73000000000002</v>
      </c>
      <c r="AZ27" s="125">
        <f t="shared" si="25"/>
        <v>120.23144919477373</v>
      </c>
      <c r="BA27" s="159">
        <f t="shared" si="8"/>
        <v>4.3740880281690133</v>
      </c>
      <c r="BB27" s="160">
        <f t="shared" si="9"/>
        <v>5.2692000000000005</v>
      </c>
      <c r="BC27" s="161">
        <f t="shared" si="10"/>
        <v>0.96859746395943591</v>
      </c>
      <c r="BD27" s="160">
        <f t="shared" si="26"/>
        <v>9.6432880281690139</v>
      </c>
      <c r="BE27" s="162">
        <v>0.88600000000000001</v>
      </c>
      <c r="BF27" s="25">
        <f t="shared" si="27"/>
        <v>2292.23</v>
      </c>
      <c r="BG27" s="25">
        <f t="shared" si="11"/>
        <v>125.80645161290323</v>
      </c>
      <c r="BH27" s="25">
        <f t="shared" si="28"/>
        <v>2641.9354838709678</v>
      </c>
      <c r="BI27" s="26">
        <f t="shared" si="12"/>
        <v>1</v>
      </c>
      <c r="BJ27" s="37">
        <f t="shared" si="29"/>
        <v>2641.9354838709678</v>
      </c>
      <c r="BK27" s="38">
        <v>203.869</v>
      </c>
      <c r="BL27" s="31"/>
      <c r="BM27" s="31"/>
      <c r="BN27" s="234">
        <v>52.527999999999999</v>
      </c>
      <c r="BO27" s="42"/>
      <c r="BP27" s="40"/>
      <c r="BQ27" s="411">
        <v>6.194</v>
      </c>
      <c r="BR27" s="33">
        <v>1.1499999999999999</v>
      </c>
      <c r="BS27" s="34"/>
      <c r="BT27" s="35"/>
      <c r="BU27" s="35"/>
      <c r="BV27" s="235"/>
      <c r="BW27" s="235"/>
      <c r="BX27" s="36"/>
      <c r="BY27" s="33">
        <v>38.53</v>
      </c>
      <c r="BZ27" s="34"/>
      <c r="CA27" s="35"/>
      <c r="CB27" s="405">
        <v>43.55</v>
      </c>
      <c r="CC27" s="404"/>
      <c r="CD27" s="235"/>
      <c r="CE27" s="413">
        <v>44.04</v>
      </c>
      <c r="CF27" s="30">
        <v>64.075000000000003</v>
      </c>
      <c r="CG27" s="30">
        <v>99.173000000000002</v>
      </c>
      <c r="CH27" s="31"/>
      <c r="CI27" s="32"/>
      <c r="CJ27" s="33">
        <v>3.1</v>
      </c>
      <c r="CK27" s="33">
        <v>3.1</v>
      </c>
      <c r="CL27" s="35"/>
      <c r="CM27" s="36"/>
      <c r="CN27" s="286"/>
      <c r="CO27" s="249">
        <f t="shared" si="32"/>
        <v>201.52450649999997</v>
      </c>
      <c r="CP27" s="12">
        <f t="shared" si="32"/>
        <v>0</v>
      </c>
      <c r="CQ27" s="12">
        <f t="shared" si="32"/>
        <v>0</v>
      </c>
      <c r="CR27" s="12">
        <f t="shared" si="32"/>
        <v>52.527999999999999</v>
      </c>
      <c r="CS27" s="11">
        <f t="shared" si="32"/>
        <v>0</v>
      </c>
      <c r="CT27" s="11">
        <f t="shared" si="32"/>
        <v>0</v>
      </c>
      <c r="CU27" s="272">
        <f t="shared" si="32"/>
        <v>6.194</v>
      </c>
      <c r="CV27" s="249">
        <f t="shared" si="14"/>
        <v>62.088675000000009</v>
      </c>
      <c r="CW27" s="11">
        <f t="shared" si="14"/>
        <v>96.098637000000011</v>
      </c>
      <c r="CX27" s="249">
        <f t="shared" si="14"/>
        <v>0</v>
      </c>
      <c r="CY27" s="272">
        <f t="shared" si="14"/>
        <v>0</v>
      </c>
      <c r="CZ27" s="13"/>
      <c r="DA27" s="240">
        <f>(D27+'[2]октябрь 20 '!D27)/(AY27+'[2]октябрь 20 '!BA27)</f>
        <v>1.9819259071759976</v>
      </c>
      <c r="DB27" s="241">
        <f>(T27+'[2]октябрь 20 '!T27)/(AY27+'[2]октябрь 20 '!BA27)</f>
        <v>1.2013329702941846</v>
      </c>
      <c r="DD27" s="292">
        <f t="shared" si="15"/>
        <v>10.436</v>
      </c>
      <c r="DE27" s="291">
        <v>0.55000000000000004</v>
      </c>
      <c r="DF27" s="291">
        <v>10.99</v>
      </c>
      <c r="DG27" s="145">
        <f t="shared" si="16"/>
        <v>10.378602000000001</v>
      </c>
      <c r="DH27" s="293">
        <f t="shared" si="30"/>
        <v>1.5027778126482214</v>
      </c>
      <c r="DJ27" s="322"/>
    </row>
    <row r="28" spans="1:114" s="76" customFormat="1" ht="16.5" customHeight="1" thickBot="1">
      <c r="A28" s="144">
        <v>22</v>
      </c>
      <c r="B28" s="122">
        <f>'[1]октябрь 20'!K27</f>
        <v>250.04400000000001</v>
      </c>
      <c r="C28" s="123">
        <f t="shared" si="17"/>
        <v>1.1170974708451311</v>
      </c>
      <c r="D28" s="145">
        <f t="shared" si="18"/>
        <v>247.25076480000004</v>
      </c>
      <c r="E28" s="125">
        <f t="shared" si="19"/>
        <v>39.633891075170766</v>
      </c>
      <c r="F28" s="146">
        <f t="shared" si="0"/>
        <v>2.0127870791273206</v>
      </c>
      <c r="G28" s="127">
        <v>11.59</v>
      </c>
      <c r="H28" s="126">
        <f t="shared" si="20"/>
        <v>1.5241188928687723</v>
      </c>
      <c r="I28" s="230">
        <f>'[1]июль 20'!AI27</f>
        <v>0</v>
      </c>
      <c r="J28" s="439">
        <f>'[1]октябрь 20'!AA27</f>
        <v>9.952</v>
      </c>
      <c r="K28" s="464">
        <f>'[1]сентябрь 20'!AM27</f>
        <v>0</v>
      </c>
      <c r="L28" s="441">
        <f>'[1]октябрь 20'!AE27</f>
        <v>60.027999999999999</v>
      </c>
      <c r="M28" s="468">
        <f t="shared" si="21"/>
        <v>0.48866818625854769</v>
      </c>
      <c r="N28" s="403">
        <f>'[1]октябрь 20'!W27</f>
        <v>0</v>
      </c>
      <c r="O28" s="403">
        <f>'[1]октябрь 20'!AU27</f>
        <v>4.202</v>
      </c>
      <c r="P28" s="401">
        <f t="shared" si="1"/>
        <v>154.125</v>
      </c>
      <c r="Q28" s="122">
        <f>'[1]октябрь 20'!S27</f>
        <v>154.125</v>
      </c>
      <c r="R28" s="123">
        <f t="shared" si="22"/>
        <v>3.11</v>
      </c>
      <c r="S28" s="501">
        <v>3.02</v>
      </c>
      <c r="T28" s="125">
        <f t="shared" si="2"/>
        <v>149.33171250000001</v>
      </c>
      <c r="U28" s="147">
        <f t="shared" si="3"/>
        <v>1.2156603101595571</v>
      </c>
      <c r="V28" s="130">
        <v>99.43</v>
      </c>
      <c r="W28" s="130">
        <v>99.43</v>
      </c>
      <c r="X28" s="129">
        <v>0.91</v>
      </c>
      <c r="Y28" s="150">
        <v>540</v>
      </c>
      <c r="Z28" s="150">
        <v>1172</v>
      </c>
      <c r="AA28" s="148" t="s">
        <v>256</v>
      </c>
      <c r="AB28" s="149">
        <v>75.95</v>
      </c>
      <c r="AC28" s="150">
        <v>100</v>
      </c>
      <c r="AD28" s="151">
        <v>5</v>
      </c>
      <c r="AE28" s="149">
        <v>7.4</v>
      </c>
      <c r="AF28" s="134">
        <f t="shared" si="4"/>
        <v>60.24096385542169</v>
      </c>
      <c r="AG28" s="152"/>
      <c r="AH28" s="129">
        <v>67.55</v>
      </c>
      <c r="AI28" s="134">
        <f t="shared" si="5"/>
        <v>549.90231195050467</v>
      </c>
      <c r="AJ28" s="153">
        <v>19.77</v>
      </c>
      <c r="AK28" s="154"/>
      <c r="AL28" s="155">
        <v>6.13</v>
      </c>
      <c r="AM28" s="478">
        <f t="shared" si="31"/>
        <v>31.8</v>
      </c>
      <c r="AN28" s="126">
        <f t="shared" si="24"/>
        <v>0.2</v>
      </c>
      <c r="AO28" s="157" t="s">
        <v>429</v>
      </c>
      <c r="AP28" s="156">
        <v>6.74</v>
      </c>
      <c r="AQ28" s="156">
        <v>8.48</v>
      </c>
      <c r="AR28" s="151"/>
      <c r="AS28" s="149">
        <v>6.92</v>
      </c>
      <c r="AT28" s="149">
        <v>159</v>
      </c>
      <c r="AU28" s="149">
        <v>1.77</v>
      </c>
      <c r="AV28" s="164"/>
      <c r="AW28" s="149"/>
      <c r="AX28" s="158">
        <f t="shared" si="6"/>
        <v>0</v>
      </c>
      <c r="AY28" s="125">
        <f t="shared" si="7"/>
        <v>122.84</v>
      </c>
      <c r="AZ28" s="125">
        <f t="shared" si="25"/>
        <v>115.11236916873222</v>
      </c>
      <c r="BA28" s="159">
        <f t="shared" si="8"/>
        <v>3.6210605633802815</v>
      </c>
      <c r="BB28" s="160">
        <f t="shared" si="9"/>
        <v>4.9136000000000006</v>
      </c>
      <c r="BC28" s="161">
        <f t="shared" si="10"/>
        <v>0.95205761450594462</v>
      </c>
      <c r="BD28" s="160">
        <f t="shared" si="26"/>
        <v>8.5346605633802817</v>
      </c>
      <c r="BE28" s="162">
        <v>0.88900000000000001</v>
      </c>
      <c r="BF28" s="25">
        <f t="shared" si="27"/>
        <v>2415.0700000000002</v>
      </c>
      <c r="BG28" s="25">
        <f t="shared" si="11"/>
        <v>125.80645161290323</v>
      </c>
      <c r="BH28" s="25">
        <f t="shared" si="28"/>
        <v>2767.7419354838712</v>
      </c>
      <c r="BI28" s="26">
        <f t="shared" si="12"/>
        <v>1</v>
      </c>
      <c r="BJ28" s="37">
        <f t="shared" si="29"/>
        <v>2767.7419354838712</v>
      </c>
      <c r="BK28" s="38">
        <v>190.01599999999999</v>
      </c>
      <c r="BL28" s="31"/>
      <c r="BM28" s="31"/>
      <c r="BN28" s="234">
        <v>50.042999999999999</v>
      </c>
      <c r="BO28" s="42"/>
      <c r="BP28" s="40"/>
      <c r="BQ28" s="411">
        <v>9.9849999999999994</v>
      </c>
      <c r="BR28" s="33">
        <v>1.47</v>
      </c>
      <c r="BS28" s="34"/>
      <c r="BT28" s="35"/>
      <c r="BU28" s="35"/>
      <c r="BV28" s="235"/>
      <c r="BW28" s="235"/>
      <c r="BX28" s="36"/>
      <c r="BY28" s="33">
        <v>38.54</v>
      </c>
      <c r="BZ28" s="34"/>
      <c r="CA28" s="35"/>
      <c r="CB28" s="405">
        <v>43.04</v>
      </c>
      <c r="CC28" s="404"/>
      <c r="CD28" s="235"/>
      <c r="CE28" s="36">
        <v>43.38</v>
      </c>
      <c r="CF28" s="30">
        <v>61.072000000000003</v>
      </c>
      <c r="CG28" s="30">
        <v>93.052999999999997</v>
      </c>
      <c r="CH28" s="31"/>
      <c r="CI28" s="32"/>
      <c r="CJ28" s="33">
        <v>3.11</v>
      </c>
      <c r="CK28" s="33">
        <v>3.11</v>
      </c>
      <c r="CL28" s="35"/>
      <c r="CM28" s="36"/>
      <c r="CN28" s="286"/>
      <c r="CO28" s="249">
        <f t="shared" si="32"/>
        <v>187.22276479999999</v>
      </c>
      <c r="CP28" s="12">
        <f t="shared" si="32"/>
        <v>0</v>
      </c>
      <c r="CQ28" s="12">
        <f t="shared" si="32"/>
        <v>0</v>
      </c>
      <c r="CR28" s="12">
        <f t="shared" si="32"/>
        <v>50.042999999999999</v>
      </c>
      <c r="CS28" s="11">
        <f t="shared" si="32"/>
        <v>0</v>
      </c>
      <c r="CT28" s="11">
        <f t="shared" si="32"/>
        <v>0</v>
      </c>
      <c r="CU28" s="272">
        <f t="shared" si="32"/>
        <v>9.9849999999999994</v>
      </c>
      <c r="CV28" s="249">
        <f t="shared" si="14"/>
        <v>59.172660800000003</v>
      </c>
      <c r="CW28" s="12">
        <f t="shared" si="14"/>
        <v>90.159051699999992</v>
      </c>
      <c r="CX28" s="249">
        <f t="shared" si="14"/>
        <v>0</v>
      </c>
      <c r="CY28" s="272">
        <f t="shared" si="14"/>
        <v>0</v>
      </c>
      <c r="CZ28" s="13"/>
      <c r="DA28" s="240">
        <f>(D28+'[2]октябрь 20 '!D28)/(AY28+'[2]октябрь 20 '!BA28)</f>
        <v>1.9948975817713472</v>
      </c>
      <c r="DB28" s="241">
        <f>(T28+'[2]октябрь 20 '!T28)/(AY28+'[2]октябрь 20 '!BA28)</f>
        <v>1.1967377801985088</v>
      </c>
      <c r="DD28" s="292">
        <f t="shared" si="15"/>
        <v>9.952</v>
      </c>
      <c r="DE28" s="305">
        <v>0.36</v>
      </c>
      <c r="DF28" s="291">
        <v>18.940000000000001</v>
      </c>
      <c r="DG28" s="145">
        <f t="shared" si="16"/>
        <v>9.9161728</v>
      </c>
      <c r="DH28" s="293">
        <f t="shared" si="30"/>
        <v>2.4728415119420672</v>
      </c>
      <c r="DJ28" s="322"/>
    </row>
    <row r="29" spans="1:114" s="76" customFormat="1" ht="16.5" customHeight="1" thickBot="1">
      <c r="A29" s="144">
        <v>23</v>
      </c>
      <c r="B29" s="122">
        <f>'[1]октябрь 20'!K28</f>
        <v>275.03800000000001</v>
      </c>
      <c r="C29" s="123">
        <f t="shared" si="17"/>
        <v>1.2152793432180282</v>
      </c>
      <c r="D29" s="145">
        <f t="shared" si="18"/>
        <v>271.69551999999999</v>
      </c>
      <c r="E29" s="125">
        <f t="shared" si="19"/>
        <v>39.46068935928853</v>
      </c>
      <c r="F29" s="146">
        <f t="shared" si="0"/>
        <v>2.1466028284743617</v>
      </c>
      <c r="G29" s="127">
        <v>9.75</v>
      </c>
      <c r="H29" s="126">
        <f t="shared" si="20"/>
        <v>1.6241014458402467</v>
      </c>
      <c r="I29" s="230">
        <f>'[1]июль 20'!AI28</f>
        <v>0</v>
      </c>
      <c r="J29" s="439">
        <f>'[1]октябрь 20'!AA28</f>
        <v>10.836</v>
      </c>
      <c r="K29" s="464">
        <f>'[1]сентябрь 20'!AM28</f>
        <v>0</v>
      </c>
      <c r="L29" s="441">
        <f>'[1]октябрь 20'!AE28</f>
        <v>66.132999999999996</v>
      </c>
      <c r="M29" s="469">
        <f t="shared" si="21"/>
        <v>0.5225013826341155</v>
      </c>
      <c r="N29" s="403">
        <f>'[1]октябрь 20'!W28</f>
        <v>0</v>
      </c>
      <c r="O29" s="403">
        <f>'[1]октябрь 20'!AU28</f>
        <v>5.3369999999999997</v>
      </c>
      <c r="P29" s="401">
        <f t="shared" si="1"/>
        <v>168.786</v>
      </c>
      <c r="Q29" s="122">
        <f>'[1]октябрь 20'!S28</f>
        <v>168.786</v>
      </c>
      <c r="R29" s="123">
        <f t="shared" si="22"/>
        <v>3.1599999999999997</v>
      </c>
      <c r="S29" s="501">
        <v>0.35</v>
      </c>
      <c r="T29" s="125">
        <f t="shared" si="2"/>
        <v>163.4523624</v>
      </c>
      <c r="U29" s="147">
        <f t="shared" si="3"/>
        <v>1.2913989286560796</v>
      </c>
      <c r="V29" s="130">
        <v>126.57</v>
      </c>
      <c r="W29" s="130">
        <v>102.6</v>
      </c>
      <c r="X29" s="129">
        <v>0.78</v>
      </c>
      <c r="Y29" s="150">
        <v>573</v>
      </c>
      <c r="Z29" s="150">
        <v>1176</v>
      </c>
      <c r="AA29" s="148" t="s">
        <v>431</v>
      </c>
      <c r="AB29" s="149">
        <v>75.989999999999995</v>
      </c>
      <c r="AC29" s="150">
        <v>110</v>
      </c>
      <c r="AD29" s="151">
        <v>5</v>
      </c>
      <c r="AE29" s="149">
        <v>4.25</v>
      </c>
      <c r="AF29" s="134">
        <f t="shared" si="4"/>
        <v>33.578257090937818</v>
      </c>
      <c r="AG29" s="152"/>
      <c r="AH29" s="129">
        <v>77.349999999999994</v>
      </c>
      <c r="AI29" s="134">
        <f t="shared" si="5"/>
        <v>611.12427905506831</v>
      </c>
      <c r="AJ29" s="136">
        <v>20.71</v>
      </c>
      <c r="AK29" s="154"/>
      <c r="AL29" s="155">
        <v>7.42</v>
      </c>
      <c r="AM29" s="478">
        <f t="shared" si="31"/>
        <v>33.080000000000005</v>
      </c>
      <c r="AN29" s="126">
        <f t="shared" si="24"/>
        <v>0.20000000000000004</v>
      </c>
      <c r="AO29" s="157" t="s">
        <v>432</v>
      </c>
      <c r="AP29" s="156">
        <v>6.72</v>
      </c>
      <c r="AQ29" s="156">
        <v>8.9499999999999993</v>
      </c>
      <c r="AR29" s="149"/>
      <c r="AS29" s="149">
        <v>8.23</v>
      </c>
      <c r="AT29" s="149">
        <v>165.4</v>
      </c>
      <c r="AU29" s="149">
        <v>1.67</v>
      </c>
      <c r="AV29" s="164"/>
      <c r="AW29" s="149"/>
      <c r="AX29" s="158">
        <f t="shared" si="6"/>
        <v>0</v>
      </c>
      <c r="AY29" s="125">
        <f t="shared" si="7"/>
        <v>126.57000000000001</v>
      </c>
      <c r="AZ29" s="125">
        <f t="shared" si="25"/>
        <v>126.05819313895918</v>
      </c>
      <c r="BA29" s="159">
        <f t="shared" si="8"/>
        <v>4.93133485915493</v>
      </c>
      <c r="BB29" s="160">
        <f t="shared" si="9"/>
        <v>5.0628000000000002</v>
      </c>
      <c r="BC29" s="161">
        <f t="shared" si="10"/>
        <v>0.89709839429493088</v>
      </c>
      <c r="BD29" s="160">
        <f t="shared" si="26"/>
        <v>9.9941348591549293</v>
      </c>
      <c r="BE29" s="162">
        <v>0.88900000000000001</v>
      </c>
      <c r="BF29" s="25">
        <f t="shared" si="27"/>
        <v>2541.6400000000003</v>
      </c>
      <c r="BG29" s="25">
        <f t="shared" si="11"/>
        <v>125.80645161290323</v>
      </c>
      <c r="BH29" s="25">
        <f t="shared" si="28"/>
        <v>2893.5483870967746</v>
      </c>
      <c r="BI29" s="26">
        <f t="shared" si="12"/>
        <v>1</v>
      </c>
      <c r="BJ29" s="37">
        <f t="shared" si="29"/>
        <v>2893.5483870967746</v>
      </c>
      <c r="BK29" s="328">
        <v>208.905</v>
      </c>
      <c r="BL29" s="31"/>
      <c r="BM29" s="31"/>
      <c r="BN29" s="31">
        <v>55.125999999999998</v>
      </c>
      <c r="BO29" s="40"/>
      <c r="BP29" s="40"/>
      <c r="BQ29" s="32">
        <v>11.007</v>
      </c>
      <c r="BR29" s="33">
        <v>1.6</v>
      </c>
      <c r="BS29" s="34"/>
      <c r="BT29" s="35"/>
      <c r="BU29" s="35"/>
      <c r="BV29" s="235"/>
      <c r="BW29" s="235"/>
      <c r="BX29" s="36"/>
      <c r="BY29" s="33">
        <v>38.229999999999997</v>
      </c>
      <c r="BZ29" s="34"/>
      <c r="CA29" s="35"/>
      <c r="CB29" s="35">
        <v>43.3</v>
      </c>
      <c r="CC29" s="235"/>
      <c r="CD29" s="235"/>
      <c r="CE29" s="36">
        <v>43.59</v>
      </c>
      <c r="CF29" s="30">
        <v>67.090999999999994</v>
      </c>
      <c r="CG29" s="30">
        <v>101.69499999999999</v>
      </c>
      <c r="CH29" s="31"/>
      <c r="CI29" s="32"/>
      <c r="CJ29" s="33">
        <v>3.16</v>
      </c>
      <c r="CK29" s="33">
        <v>3.16</v>
      </c>
      <c r="CL29" s="35"/>
      <c r="CM29" s="36"/>
      <c r="CN29" s="286"/>
      <c r="CO29" s="249">
        <f t="shared" si="32"/>
        <v>205.56252000000003</v>
      </c>
      <c r="CP29" s="12">
        <f t="shared" si="32"/>
        <v>0</v>
      </c>
      <c r="CQ29" s="12">
        <f t="shared" si="32"/>
        <v>0</v>
      </c>
      <c r="CR29" s="12">
        <f t="shared" si="32"/>
        <v>55.125999999999998</v>
      </c>
      <c r="CS29" s="11">
        <f t="shared" si="32"/>
        <v>0</v>
      </c>
      <c r="CT29" s="11">
        <f t="shared" si="32"/>
        <v>0</v>
      </c>
      <c r="CU29" s="272">
        <f t="shared" si="32"/>
        <v>11.007</v>
      </c>
      <c r="CV29" s="249">
        <f t="shared" si="14"/>
        <v>64.970924400000001</v>
      </c>
      <c r="CW29" s="12">
        <f t="shared" si="14"/>
        <v>98.481437999999997</v>
      </c>
      <c r="CX29" s="249">
        <f t="shared" si="14"/>
        <v>0</v>
      </c>
      <c r="CY29" s="272">
        <f t="shared" si="14"/>
        <v>0</v>
      </c>
      <c r="CZ29" s="13"/>
      <c r="DA29" s="240">
        <f>(D29+'[2]октябрь 20 '!D29)/(AY29+'[2]октябрь 20 '!BA29)</f>
        <v>2.1171749300049858</v>
      </c>
      <c r="DB29" s="241">
        <f>(T29+'[2]октябрь 20 '!T29)/(AY29+'[2]октябрь 20 '!BA29)</f>
        <v>1.2663546224104585</v>
      </c>
      <c r="DD29" s="292">
        <f t="shared" si="15"/>
        <v>10.836</v>
      </c>
      <c r="DE29" s="291">
        <v>0.52</v>
      </c>
      <c r="DF29" s="291">
        <v>20.36</v>
      </c>
      <c r="DG29" s="145">
        <f t="shared" si="16"/>
        <v>10.779652800000001</v>
      </c>
      <c r="DH29" s="293">
        <f t="shared" si="30"/>
        <v>2.8881922754046592</v>
      </c>
      <c r="DJ29" s="322"/>
    </row>
    <row r="30" spans="1:114" s="76" customFormat="1" ht="16.5" customHeight="1" thickBot="1">
      <c r="A30" s="144">
        <v>24</v>
      </c>
      <c r="B30" s="122">
        <f>'[1]октябрь 20'!K29</f>
        <v>272.67500000000001</v>
      </c>
      <c r="C30" s="123">
        <f t="shared" si="17"/>
        <v>2.7245029063903914</v>
      </c>
      <c r="D30" s="145">
        <f t="shared" si="18"/>
        <v>265.24596170000001</v>
      </c>
      <c r="E30" s="125">
        <f t="shared" si="19"/>
        <v>39.442133418905293</v>
      </c>
      <c r="F30" s="146">
        <f t="shared" si="0"/>
        <v>2.2689988169375539</v>
      </c>
      <c r="G30" s="127">
        <v>12.45</v>
      </c>
      <c r="H30" s="126">
        <f t="shared" si="20"/>
        <v>1.7066549332763048</v>
      </c>
      <c r="I30" s="230">
        <f>'[1]июль 20'!AI29</f>
        <v>0</v>
      </c>
      <c r="J30" s="439">
        <f>'[1]октябрь 20'!AA29</f>
        <v>10.855</v>
      </c>
      <c r="K30" s="464">
        <f>'[1]сентябрь 20'!AM29</f>
        <v>0</v>
      </c>
      <c r="L30" s="441">
        <f>'[1]октябрь 20'!AE29</f>
        <v>65.738</v>
      </c>
      <c r="M30" s="468">
        <f t="shared" si="21"/>
        <v>0.56234388366124899</v>
      </c>
      <c r="N30" s="403">
        <f>'[1]октябрь 20'!W29</f>
        <v>0</v>
      </c>
      <c r="O30" s="403">
        <f>'[1]октябрь 20'!AU29</f>
        <v>5.0049999999999999</v>
      </c>
      <c r="P30" s="401">
        <f t="shared" si="1"/>
        <v>168.334</v>
      </c>
      <c r="Q30" s="122">
        <f>'[1]октябрь 20'!S29</f>
        <v>168.334</v>
      </c>
      <c r="R30" s="123">
        <f t="shared" si="22"/>
        <v>3.12</v>
      </c>
      <c r="S30" s="501">
        <v>10.29</v>
      </c>
      <c r="T30" s="125">
        <f t="shared" si="2"/>
        <v>163.08197920000001</v>
      </c>
      <c r="U30" s="147">
        <f t="shared" si="3"/>
        <v>1.3950554251497007</v>
      </c>
      <c r="V30" s="169">
        <v>116.9</v>
      </c>
      <c r="W30" s="169">
        <v>66.260000000000005</v>
      </c>
      <c r="X30" s="170">
        <v>0.66</v>
      </c>
      <c r="Y30" s="166">
        <v>549</v>
      </c>
      <c r="Z30" s="166">
        <v>1172</v>
      </c>
      <c r="AA30" s="148" t="s">
        <v>433</v>
      </c>
      <c r="AB30" s="164">
        <v>75.900000000000006</v>
      </c>
      <c r="AC30" s="166">
        <v>109</v>
      </c>
      <c r="AD30" s="171">
        <v>5</v>
      </c>
      <c r="AE30" s="164"/>
      <c r="AF30" s="172">
        <f t="shared" si="4"/>
        <v>0</v>
      </c>
      <c r="AG30" s="173"/>
      <c r="AH30" s="170">
        <v>73</v>
      </c>
      <c r="AI30" s="134">
        <f t="shared" si="5"/>
        <v>624.46535500427728</v>
      </c>
      <c r="AJ30" s="174">
        <v>15.05</v>
      </c>
      <c r="AK30" s="175"/>
      <c r="AL30" s="176">
        <v>7.9</v>
      </c>
      <c r="AM30" s="478">
        <f t="shared" si="31"/>
        <v>30.689999999999998</v>
      </c>
      <c r="AN30" s="126">
        <f t="shared" si="24"/>
        <v>0.2</v>
      </c>
      <c r="AO30" s="178" t="s">
        <v>353</v>
      </c>
      <c r="AP30" s="177">
        <v>6.55</v>
      </c>
      <c r="AQ30" s="177">
        <v>8.6300000000000008</v>
      </c>
      <c r="AR30" s="171"/>
      <c r="AS30" s="164">
        <v>9.24</v>
      </c>
      <c r="AT30" s="149">
        <v>153.44999999999999</v>
      </c>
      <c r="AU30" s="164">
        <v>2.04</v>
      </c>
      <c r="AV30" s="164"/>
      <c r="AW30" s="164"/>
      <c r="AX30" s="179">
        <f t="shared" si="6"/>
        <v>0</v>
      </c>
      <c r="AY30" s="125">
        <f t="shared" si="7"/>
        <v>116.89999999999999</v>
      </c>
      <c r="AZ30" s="125">
        <f t="shared" si="25"/>
        <v>121.74605473388925</v>
      </c>
      <c r="BA30" s="159">
        <f t="shared" si="8"/>
        <v>5.2251549295774646</v>
      </c>
      <c r="BB30" s="159">
        <f t="shared" si="9"/>
        <v>4.6760000000000002</v>
      </c>
      <c r="BC30" s="180">
        <f t="shared" si="10"/>
        <v>0.84810008869274978</v>
      </c>
      <c r="BD30" s="159">
        <f t="shared" si="26"/>
        <v>9.9011549295774657</v>
      </c>
      <c r="BE30" s="167">
        <v>0.88800000000000001</v>
      </c>
      <c r="BF30" s="25">
        <f t="shared" si="27"/>
        <v>2658.5400000000004</v>
      </c>
      <c r="BG30" s="25">
        <f t="shared" si="11"/>
        <v>125.80645161290323</v>
      </c>
      <c r="BH30" s="25">
        <f t="shared" si="28"/>
        <v>3019.354838709678</v>
      </c>
      <c r="BI30" s="26">
        <f t="shared" si="12"/>
        <v>1</v>
      </c>
      <c r="BJ30" s="37">
        <f t="shared" si="29"/>
        <v>3019.354838709678</v>
      </c>
      <c r="BK30" s="38">
        <v>206.93700000000001</v>
      </c>
      <c r="BL30" s="31"/>
      <c r="BM30" s="31"/>
      <c r="BN30" s="31">
        <v>54.895000000000003</v>
      </c>
      <c r="BO30" s="40"/>
      <c r="BP30" s="40"/>
      <c r="BQ30" s="44">
        <v>10.843</v>
      </c>
      <c r="BR30" s="45">
        <v>3.59</v>
      </c>
      <c r="BS30" s="46"/>
      <c r="BT30" s="47"/>
      <c r="BU30" s="47"/>
      <c r="BV30" s="283"/>
      <c r="BW30" s="283"/>
      <c r="BX30" s="48"/>
      <c r="BY30" s="45">
        <v>38.11</v>
      </c>
      <c r="BZ30" s="46"/>
      <c r="CA30" s="47"/>
      <c r="CB30" s="47">
        <v>43.53</v>
      </c>
      <c r="CC30" s="283"/>
      <c r="CD30" s="283"/>
      <c r="CE30" s="48">
        <v>44.17</v>
      </c>
      <c r="CF30" s="49">
        <v>114.746</v>
      </c>
      <c r="CG30" s="49">
        <v>53.588000000000001</v>
      </c>
      <c r="CH30" s="43"/>
      <c r="CI30" s="32"/>
      <c r="CJ30" s="33">
        <v>3.12</v>
      </c>
      <c r="CK30" s="33">
        <v>3.12</v>
      </c>
      <c r="CL30" s="35"/>
      <c r="CM30" s="36"/>
      <c r="CN30" s="286"/>
      <c r="CO30" s="249">
        <f t="shared" si="32"/>
        <v>199.50796170000001</v>
      </c>
      <c r="CP30" s="12">
        <f t="shared" si="32"/>
        <v>0</v>
      </c>
      <c r="CQ30" s="12">
        <f t="shared" si="32"/>
        <v>0</v>
      </c>
      <c r="CR30" s="12">
        <f t="shared" si="32"/>
        <v>54.895000000000003</v>
      </c>
      <c r="CS30" s="11">
        <f t="shared" si="32"/>
        <v>0</v>
      </c>
      <c r="CT30" s="11">
        <f t="shared" si="32"/>
        <v>0</v>
      </c>
      <c r="CU30" s="272">
        <f t="shared" si="32"/>
        <v>10.843</v>
      </c>
      <c r="CV30" s="249">
        <f t="shared" si="14"/>
        <v>111.1659248</v>
      </c>
      <c r="CW30" s="11">
        <f t="shared" si="14"/>
        <v>51.9160544</v>
      </c>
      <c r="CX30" s="252">
        <f t="shared" si="14"/>
        <v>0</v>
      </c>
      <c r="CY30" s="272">
        <f t="shared" si="14"/>
        <v>0</v>
      </c>
      <c r="CZ30" s="13"/>
      <c r="DA30" s="240">
        <f>(D30+'[2]октябрь 20 '!D30)/(AY30+'[2]октябрь 20 '!BA30)</f>
        <v>2.1682943099581058</v>
      </c>
      <c r="DB30" s="241">
        <f>(T30+'[2]октябрь 20 '!T30)/(AY30+'[2]октябрь 20 '!BA30)</f>
        <v>1.3215390202067638</v>
      </c>
      <c r="DD30" s="292">
        <f t="shared" si="15"/>
        <v>10.855</v>
      </c>
      <c r="DE30" s="291">
        <v>0.64</v>
      </c>
      <c r="DF30" s="291">
        <v>9.9499999999999993</v>
      </c>
      <c r="DG30" s="145">
        <f t="shared" si="16"/>
        <v>10.785528000000001</v>
      </c>
      <c r="DH30" s="293">
        <f t="shared" si="30"/>
        <v>1.4139130909090909</v>
      </c>
      <c r="DJ30" s="322"/>
    </row>
    <row r="31" spans="1:114" s="76" customFormat="1" ht="16.5" customHeight="1" thickBot="1">
      <c r="A31" s="144">
        <v>25</v>
      </c>
      <c r="B31" s="122">
        <f>'[1]октябрь 20'!K30</f>
        <v>240.21700000000001</v>
      </c>
      <c r="C31" s="123">
        <f t="shared" si="17"/>
        <v>2.2323815550106776</v>
      </c>
      <c r="D31" s="145">
        <f t="shared" si="18"/>
        <v>234.85444000000001</v>
      </c>
      <c r="E31" s="125">
        <f t="shared" si="19"/>
        <v>39.255431214277081</v>
      </c>
      <c r="F31" s="146">
        <f t="shared" si="0"/>
        <v>2.0905682748798293</v>
      </c>
      <c r="G31" s="127">
        <v>8.8699999999999992</v>
      </c>
      <c r="H31" s="126">
        <f t="shared" si="20"/>
        <v>1.5759074238917572</v>
      </c>
      <c r="I31" s="230">
        <f>'[1]июль 20'!AI30</f>
        <v>0</v>
      </c>
      <c r="J31" s="439">
        <f>'[1]октябрь 20'!AA30</f>
        <v>9.8070000000000004</v>
      </c>
      <c r="K31" s="464">
        <f>'[1]сентябрь 20'!AM30</f>
        <v>0</v>
      </c>
      <c r="L31" s="441">
        <f>'[1]октябрь 20'!AE30</f>
        <v>57.817</v>
      </c>
      <c r="M31" s="469">
        <f t="shared" si="21"/>
        <v>0.51466085098807191</v>
      </c>
      <c r="N31" s="403">
        <f>'[1]октябрь 20'!W30</f>
        <v>0</v>
      </c>
      <c r="O31" s="403">
        <f>'[1]октябрь 20'!AU30</f>
        <v>3.9609999999999999</v>
      </c>
      <c r="P31" s="401">
        <f t="shared" si="1"/>
        <v>152.55799999999999</v>
      </c>
      <c r="Q31" s="122">
        <f>'[1]октябрь 20'!S30</f>
        <v>152.55799999999999</v>
      </c>
      <c r="R31" s="123">
        <f>IF(Q31=0,0,(CI31*CM31+CG31*CK31+CH31*CL31+CF31*CJ31)/Q31)</f>
        <v>2.62</v>
      </c>
      <c r="S31" s="501"/>
      <c r="T31" s="125">
        <f t="shared" si="2"/>
        <v>148.56098040000001</v>
      </c>
      <c r="U31" s="147">
        <f t="shared" si="3"/>
        <v>1.3224228271319209</v>
      </c>
      <c r="V31" s="130">
        <v>112.34</v>
      </c>
      <c r="W31" s="130">
        <v>112.34</v>
      </c>
      <c r="X31" s="129">
        <v>0.34</v>
      </c>
      <c r="Y31" s="150">
        <v>574</v>
      </c>
      <c r="Z31" s="150">
        <v>1174</v>
      </c>
      <c r="AA31" s="148" t="s">
        <v>434</v>
      </c>
      <c r="AB31" s="149">
        <v>76.239999999999995</v>
      </c>
      <c r="AC31" s="150">
        <v>97</v>
      </c>
      <c r="AD31" s="151">
        <v>5</v>
      </c>
      <c r="AE31" s="149"/>
      <c r="AF31" s="134">
        <f t="shared" si="4"/>
        <v>0</v>
      </c>
      <c r="AG31" s="152"/>
      <c r="AH31" s="129">
        <v>75.7</v>
      </c>
      <c r="AI31" s="134">
        <f t="shared" si="5"/>
        <v>673.84724942139928</v>
      </c>
      <c r="AJ31" s="136">
        <v>17.53</v>
      </c>
      <c r="AK31" s="154"/>
      <c r="AL31" s="155">
        <v>7.2</v>
      </c>
      <c r="AM31" s="478">
        <f t="shared" si="31"/>
        <v>29.39</v>
      </c>
      <c r="AN31" s="126">
        <f t="shared" si="24"/>
        <v>0.2</v>
      </c>
      <c r="AO31" s="157" t="s">
        <v>435</v>
      </c>
      <c r="AP31" s="156">
        <v>6.29</v>
      </c>
      <c r="AQ31" s="156">
        <v>8.52</v>
      </c>
      <c r="AR31" s="151"/>
      <c r="AS31" s="149">
        <v>9.93</v>
      </c>
      <c r="AT31" s="149">
        <v>146.94999999999999</v>
      </c>
      <c r="AU31" s="149">
        <v>1.98</v>
      </c>
      <c r="AV31" s="164"/>
      <c r="AW31" s="149"/>
      <c r="AX31" s="158">
        <f t="shared" si="6"/>
        <v>0</v>
      </c>
      <c r="AY31" s="125">
        <f t="shared" si="7"/>
        <v>112.34</v>
      </c>
      <c r="AZ31" s="125">
        <f t="shared" si="25"/>
        <v>107.12559769765929</v>
      </c>
      <c r="BA31" s="159">
        <f t="shared" si="8"/>
        <v>5.8230359154929578</v>
      </c>
      <c r="BB31" s="160">
        <f t="shared" si="9"/>
        <v>4.4935999999999998</v>
      </c>
      <c r="BC31" s="161">
        <f t="shared" si="10"/>
        <v>0.92900655792539477</v>
      </c>
      <c r="BD31" s="160">
        <f t="shared" si="26"/>
        <v>10.316635915492958</v>
      </c>
      <c r="BE31" s="162">
        <v>0.88900000000000001</v>
      </c>
      <c r="BF31" s="25">
        <f t="shared" si="27"/>
        <v>2770.8800000000006</v>
      </c>
      <c r="BG31" s="25">
        <f t="shared" si="11"/>
        <v>125.80645161290323</v>
      </c>
      <c r="BH31" s="25">
        <f t="shared" si="28"/>
        <v>3145.1612903225814</v>
      </c>
      <c r="BI31" s="26">
        <f t="shared" si="12"/>
        <v>1</v>
      </c>
      <c r="BJ31" s="37">
        <f t="shared" si="29"/>
        <v>3145.1612903225814</v>
      </c>
      <c r="BK31" s="38">
        <v>182.4</v>
      </c>
      <c r="BL31" s="31"/>
      <c r="BM31" s="31"/>
      <c r="BN31" s="31">
        <v>48.002000000000002</v>
      </c>
      <c r="BO31" s="40"/>
      <c r="BP31" s="40"/>
      <c r="BQ31" s="32">
        <v>9.8149999999999995</v>
      </c>
      <c r="BR31" s="33">
        <v>2.94</v>
      </c>
      <c r="BS31" s="34"/>
      <c r="BT31" s="35"/>
      <c r="BU31" s="35"/>
      <c r="BV31" s="235"/>
      <c r="BW31" s="235"/>
      <c r="BX31" s="36"/>
      <c r="BY31" s="33">
        <v>37.909999999999997</v>
      </c>
      <c r="BZ31" s="34"/>
      <c r="CA31" s="35"/>
      <c r="CB31" s="35">
        <v>43.41</v>
      </c>
      <c r="CC31" s="235"/>
      <c r="CD31" s="235"/>
      <c r="CE31" s="36">
        <v>43.94</v>
      </c>
      <c r="CF31" s="30">
        <v>76.558999999999997</v>
      </c>
      <c r="CG31" s="30"/>
      <c r="CH31" s="31">
        <v>75.998999999999995</v>
      </c>
      <c r="CI31" s="32"/>
      <c r="CJ31" s="33">
        <v>2.62</v>
      </c>
      <c r="CK31" s="33"/>
      <c r="CL31" s="35">
        <v>2.62</v>
      </c>
      <c r="CM31" s="36"/>
      <c r="CN31" s="286"/>
      <c r="CO31" s="249">
        <f t="shared" si="32"/>
        <v>177.03744</v>
      </c>
      <c r="CP31" s="12">
        <f t="shared" si="32"/>
        <v>0</v>
      </c>
      <c r="CQ31" s="12">
        <f t="shared" si="32"/>
        <v>0</v>
      </c>
      <c r="CR31" s="12">
        <f t="shared" si="32"/>
        <v>48.002000000000002</v>
      </c>
      <c r="CS31" s="11">
        <f t="shared" si="32"/>
        <v>0</v>
      </c>
      <c r="CT31" s="11">
        <f t="shared" si="32"/>
        <v>0</v>
      </c>
      <c r="CU31" s="272">
        <f t="shared" si="32"/>
        <v>9.8149999999999995</v>
      </c>
      <c r="CV31" s="249">
        <f t="shared" si="14"/>
        <v>74.553154199999994</v>
      </c>
      <c r="CW31" s="12">
        <f t="shared" si="14"/>
        <v>0</v>
      </c>
      <c r="CX31" s="249">
        <f t="shared" si="14"/>
        <v>74.007826199999997</v>
      </c>
      <c r="CY31" s="272">
        <f t="shared" si="14"/>
        <v>0</v>
      </c>
      <c r="CZ31" s="13"/>
      <c r="DA31" s="240">
        <f>(D31+'[2]октябрь 20 '!D31)/(AY31+'[2]октябрь 20 '!BA31)</f>
        <v>2.1789370245453177</v>
      </c>
      <c r="DB31" s="241">
        <f>(T31+'[2]октябрь 20 '!T31)/(AY31+'[2]октябрь 20 '!BA31)</f>
        <v>1.3359335176455334</v>
      </c>
      <c r="DD31" s="292">
        <f t="shared" si="15"/>
        <v>9.8070000000000004</v>
      </c>
      <c r="DE31" s="291">
        <v>0.71</v>
      </c>
      <c r="DF31" s="291">
        <v>12.2</v>
      </c>
      <c r="DG31" s="145">
        <f t="shared" si="16"/>
        <v>9.737370300000002</v>
      </c>
      <c r="DH31" s="293">
        <f t="shared" si="30"/>
        <v>1.5581835999475344</v>
      </c>
      <c r="DJ31" s="322"/>
    </row>
    <row r="32" spans="1:114" s="76" customFormat="1" ht="16.5" customHeight="1" thickBot="1">
      <c r="A32" s="144">
        <v>26</v>
      </c>
      <c r="B32" s="122">
        <f>'[1]октябрь 20'!K31</f>
        <v>67.507999999999996</v>
      </c>
      <c r="C32" s="123">
        <f t="shared" si="17"/>
        <v>1.6071606328138888</v>
      </c>
      <c r="D32" s="145">
        <f t="shared" si="18"/>
        <v>66.423037999999991</v>
      </c>
      <c r="E32" s="125">
        <f t="shared" si="19"/>
        <v>39.800346033062745</v>
      </c>
      <c r="F32" s="146">
        <f t="shared" si="0"/>
        <v>2.0158736874051595</v>
      </c>
      <c r="G32" s="127">
        <v>4.18</v>
      </c>
      <c r="H32" s="126">
        <f t="shared" si="20"/>
        <v>1.5276187556904404</v>
      </c>
      <c r="I32" s="230">
        <f>'[1]июль 20'!AI31</f>
        <v>0</v>
      </c>
      <c r="J32" s="439">
        <f>'[1]октябрь 20'!AA31</f>
        <v>2.6110000000000002</v>
      </c>
      <c r="K32" s="464">
        <f>'[1]сентябрь 20'!AM31</f>
        <v>0</v>
      </c>
      <c r="L32" s="441">
        <f>'[1]октябрь 20'!AE31</f>
        <v>16.088000000000001</v>
      </c>
      <c r="M32" s="468">
        <f t="shared" si="21"/>
        <v>0.48825493171471934</v>
      </c>
      <c r="N32" s="403">
        <f>'[1]октябрь 20'!W31</f>
        <v>0</v>
      </c>
      <c r="O32" s="403">
        <f>'[1]октябрь 20'!AU31</f>
        <v>1.093</v>
      </c>
      <c r="P32" s="401">
        <f t="shared" si="1"/>
        <v>45.698999999999998</v>
      </c>
      <c r="Q32" s="122">
        <f>'[1]октябрь 20'!S31</f>
        <v>45.698999999999998</v>
      </c>
      <c r="R32" s="123">
        <f t="shared" si="22"/>
        <v>2.73</v>
      </c>
      <c r="S32" s="501">
        <v>15.16</v>
      </c>
      <c r="T32" s="125">
        <f t="shared" si="2"/>
        <v>44.451417299999996</v>
      </c>
      <c r="U32" s="147">
        <f t="shared" si="3"/>
        <v>1.3490566707132019</v>
      </c>
      <c r="V32" s="130">
        <v>20.76</v>
      </c>
      <c r="W32" s="130">
        <v>32.950000000000003</v>
      </c>
      <c r="X32" s="129">
        <v>0.31</v>
      </c>
      <c r="Y32" s="150">
        <v>598</v>
      </c>
      <c r="Z32" s="150">
        <v>1067</v>
      </c>
      <c r="AA32" s="148" t="s">
        <v>436</v>
      </c>
      <c r="AB32" s="149">
        <v>75.58</v>
      </c>
      <c r="AC32" s="150">
        <v>28</v>
      </c>
      <c r="AD32" s="151">
        <v>2</v>
      </c>
      <c r="AE32" s="149"/>
      <c r="AF32" s="134">
        <f t="shared" si="4"/>
        <v>0</v>
      </c>
      <c r="AG32" s="152"/>
      <c r="AH32" s="129">
        <v>25.9</v>
      </c>
      <c r="AI32" s="134">
        <f t="shared" si="5"/>
        <v>786.03945371775421</v>
      </c>
      <c r="AJ32" s="153">
        <v>5.95</v>
      </c>
      <c r="AK32" s="154"/>
      <c r="AL32" s="155">
        <v>1.92</v>
      </c>
      <c r="AM32" s="478">
        <f t="shared" si="31"/>
        <v>8.49</v>
      </c>
      <c r="AN32" s="126">
        <f t="shared" si="24"/>
        <v>0.19999999999999998</v>
      </c>
      <c r="AO32" s="157" t="s">
        <v>332</v>
      </c>
      <c r="AP32" s="156">
        <v>6.06</v>
      </c>
      <c r="AQ32" s="156">
        <v>8.41</v>
      </c>
      <c r="AR32" s="151"/>
      <c r="AS32" s="149">
        <v>13.92</v>
      </c>
      <c r="AT32" s="149">
        <v>42.45</v>
      </c>
      <c r="AU32" s="149">
        <v>0.91</v>
      </c>
      <c r="AV32" s="149"/>
      <c r="AW32" s="149"/>
      <c r="AX32" s="158">
        <f t="shared" si="6"/>
        <v>0</v>
      </c>
      <c r="AY32" s="125">
        <f t="shared" si="7"/>
        <v>32.949999999999996</v>
      </c>
      <c r="AZ32" s="125">
        <f t="shared" si="25"/>
        <v>31.24627147102979</v>
      </c>
      <c r="BA32" s="159">
        <f t="shared" si="8"/>
        <v>2.792822535211267</v>
      </c>
      <c r="BB32" s="160">
        <f t="shared" si="9"/>
        <v>1.3179999999999998</v>
      </c>
      <c r="BC32" s="161">
        <f t="shared" si="10"/>
        <v>0.942012625321761</v>
      </c>
      <c r="BD32" s="160">
        <f t="shared" si="26"/>
        <v>4.1108225352112671</v>
      </c>
      <c r="BE32" s="162">
        <v>0.89</v>
      </c>
      <c r="BF32" s="25">
        <f t="shared" si="27"/>
        <v>2803.8300000000004</v>
      </c>
      <c r="BG32" s="25">
        <f t="shared" si="11"/>
        <v>125.80645161290323</v>
      </c>
      <c r="BH32" s="25">
        <f t="shared" si="28"/>
        <v>3270.9677419354848</v>
      </c>
      <c r="BI32" s="26">
        <f t="shared" si="12"/>
        <v>1</v>
      </c>
      <c r="BJ32" s="37">
        <f t="shared" si="29"/>
        <v>3270.9677419354848</v>
      </c>
      <c r="BK32" s="38">
        <v>51.42</v>
      </c>
      <c r="BL32" s="31"/>
      <c r="BM32" s="31"/>
      <c r="BN32" s="31">
        <v>13.489000000000001</v>
      </c>
      <c r="BO32" s="40"/>
      <c r="BP32" s="40"/>
      <c r="BQ32" s="32">
        <v>2.5990000000000002</v>
      </c>
      <c r="BR32" s="33">
        <v>2.11</v>
      </c>
      <c r="BS32" s="34"/>
      <c r="BT32" s="35"/>
      <c r="BU32" s="35"/>
      <c r="BV32" s="235"/>
      <c r="BW32" s="235"/>
      <c r="BX32" s="36"/>
      <c r="BY32" s="33">
        <v>38.659999999999997</v>
      </c>
      <c r="BZ32" s="34"/>
      <c r="CA32" s="35"/>
      <c r="CB32" s="35">
        <v>43.29</v>
      </c>
      <c r="CC32" s="235"/>
      <c r="CD32" s="235"/>
      <c r="CE32" s="36">
        <v>44.25</v>
      </c>
      <c r="CF32" s="30">
        <v>16.515999999999998</v>
      </c>
      <c r="CG32" s="30"/>
      <c r="CH32" s="31">
        <v>29.183</v>
      </c>
      <c r="CI32" s="50"/>
      <c r="CJ32" s="33">
        <v>2.73</v>
      </c>
      <c r="CK32" s="33"/>
      <c r="CL32" s="35">
        <v>2.73</v>
      </c>
      <c r="CM32" s="36"/>
      <c r="CN32" s="286"/>
      <c r="CO32" s="249">
        <f t="shared" si="32"/>
        <v>50.335038000000004</v>
      </c>
      <c r="CP32" s="12">
        <f t="shared" si="32"/>
        <v>0</v>
      </c>
      <c r="CQ32" s="12">
        <f t="shared" si="32"/>
        <v>0</v>
      </c>
      <c r="CR32" s="12">
        <f t="shared" si="32"/>
        <v>13.489000000000001</v>
      </c>
      <c r="CS32" s="11">
        <f t="shared" si="32"/>
        <v>0</v>
      </c>
      <c r="CT32" s="11">
        <f t="shared" si="32"/>
        <v>0</v>
      </c>
      <c r="CU32" s="272">
        <f t="shared" si="32"/>
        <v>2.5990000000000002</v>
      </c>
      <c r="CV32" s="249">
        <f t="shared" si="14"/>
        <v>16.065113199999999</v>
      </c>
      <c r="CW32" s="11">
        <f t="shared" si="14"/>
        <v>0</v>
      </c>
      <c r="CX32" s="249">
        <f t="shared" si="14"/>
        <v>28.3863041</v>
      </c>
      <c r="CY32" s="272">
        <f t="shared" si="14"/>
        <v>0</v>
      </c>
      <c r="CZ32" s="13"/>
      <c r="DA32" s="240">
        <f>(D32+'[2]октябрь 20 '!D32)/(AY32+'[2]октябрь 20 '!BA32)</f>
        <v>2.119063897517881</v>
      </c>
      <c r="DB32" s="241">
        <f>(T32+'[2]октябрь 20 '!T32)/(AY32+'[2]октябрь 20 '!BA32)</f>
        <v>1.2992158795763122</v>
      </c>
      <c r="DD32" s="292">
        <f t="shared" si="15"/>
        <v>2.6110000000000002</v>
      </c>
      <c r="DE32" s="291">
        <v>1.54</v>
      </c>
      <c r="DF32" s="291">
        <v>20.88</v>
      </c>
      <c r="DG32" s="145">
        <f t="shared" si="16"/>
        <v>2.5707906</v>
      </c>
      <c r="DH32" s="293">
        <f t="shared" si="30"/>
        <v>0.71021576776925111</v>
      </c>
      <c r="DJ32" s="322"/>
    </row>
    <row r="33" spans="1:114" s="76" customFormat="1" ht="16.5" customHeight="1" thickBot="1">
      <c r="A33" s="144">
        <v>27</v>
      </c>
      <c r="B33" s="122">
        <f>'[1]октябрь 20'!K32</f>
        <v>235.137</v>
      </c>
      <c r="C33" s="123">
        <f t="shared" si="17"/>
        <v>1.4133459217392415</v>
      </c>
      <c r="D33" s="145">
        <f t="shared" si="18"/>
        <v>231.81370079999999</v>
      </c>
      <c r="E33" s="125">
        <f t="shared" si="19"/>
        <v>39.521057170925886</v>
      </c>
      <c r="F33" s="146">
        <f t="shared" si="0"/>
        <v>2.239096887858592</v>
      </c>
      <c r="G33" s="127">
        <v>4.8</v>
      </c>
      <c r="H33" s="126">
        <f t="shared" si="20"/>
        <v>1.6936994185260315</v>
      </c>
      <c r="I33" s="230">
        <f>'[1]июль 20'!AI32</f>
        <v>0</v>
      </c>
      <c r="J33" s="439">
        <f>'[1]октябрь 20'!AA32</f>
        <v>9.3759999999999994</v>
      </c>
      <c r="K33" s="464">
        <f>'[1]сентябрь 20'!AM32</f>
        <v>0</v>
      </c>
      <c r="L33" s="441">
        <f>'[1]октябрь 20'!AE32</f>
        <v>56.465000000000003</v>
      </c>
      <c r="M33" s="469">
        <f t="shared" si="21"/>
        <v>0.54539746933256061</v>
      </c>
      <c r="N33" s="403">
        <f>'[1]октябрь 20'!W32</f>
        <v>0</v>
      </c>
      <c r="O33" s="403">
        <f>'[1]октябрь 20'!AU32</f>
        <v>3.8540000000000001</v>
      </c>
      <c r="P33" s="401">
        <f t="shared" si="1"/>
        <v>149.27500000000001</v>
      </c>
      <c r="Q33" s="122">
        <f>'[1]октябрь 20'!S32</f>
        <v>149.27500000000001</v>
      </c>
      <c r="R33" s="123">
        <f t="shared" si="22"/>
        <v>2.66</v>
      </c>
      <c r="S33" s="501">
        <v>11.76</v>
      </c>
      <c r="T33" s="125">
        <f t="shared" si="2"/>
        <v>145.30428500000002</v>
      </c>
      <c r="U33" s="147">
        <f t="shared" si="3"/>
        <v>1.4034993238674784</v>
      </c>
      <c r="V33" s="130">
        <v>103.53</v>
      </c>
      <c r="W33" s="130">
        <v>103.53</v>
      </c>
      <c r="X33" s="129">
        <v>0.67</v>
      </c>
      <c r="Y33" s="150">
        <v>580</v>
      </c>
      <c r="Z33" s="150">
        <v>1139</v>
      </c>
      <c r="AA33" s="148" t="s">
        <v>253</v>
      </c>
      <c r="AB33" s="149">
        <v>76.2</v>
      </c>
      <c r="AC33" s="150">
        <v>94</v>
      </c>
      <c r="AD33" s="151">
        <v>4</v>
      </c>
      <c r="AE33" s="149">
        <v>7.15</v>
      </c>
      <c r="AF33" s="134">
        <f t="shared" si="4"/>
        <v>69.062107601661367</v>
      </c>
      <c r="AG33" s="152"/>
      <c r="AH33" s="129">
        <v>55.3</v>
      </c>
      <c r="AI33" s="134">
        <f t="shared" si="5"/>
        <v>534.1446923597025</v>
      </c>
      <c r="AJ33" s="136">
        <v>13.41</v>
      </c>
      <c r="AK33" s="154"/>
      <c r="AL33" s="155">
        <v>5.87</v>
      </c>
      <c r="AM33" s="478">
        <f t="shared" si="31"/>
        <v>27.09</v>
      </c>
      <c r="AN33" s="126">
        <f t="shared" si="24"/>
        <v>0.2</v>
      </c>
      <c r="AO33" s="157" t="s">
        <v>437</v>
      </c>
      <c r="AP33" s="156">
        <v>8.09</v>
      </c>
      <c r="AQ33" s="156">
        <v>7.68</v>
      </c>
      <c r="AR33" s="151"/>
      <c r="AS33" s="149">
        <v>7.34</v>
      </c>
      <c r="AT33" s="149">
        <v>135.44999999999999</v>
      </c>
      <c r="AU33" s="149">
        <v>1.04</v>
      </c>
      <c r="AV33" s="149"/>
      <c r="AW33" s="149"/>
      <c r="AX33" s="158">
        <f t="shared" si="6"/>
        <v>0</v>
      </c>
      <c r="AY33" s="125">
        <f t="shared" si="7"/>
        <v>103.52999999999999</v>
      </c>
      <c r="AZ33" s="125">
        <f t="shared" si="25"/>
        <v>107.16359533860866</v>
      </c>
      <c r="BA33" s="159">
        <f t="shared" si="8"/>
        <v>3.1443112676056337</v>
      </c>
      <c r="BB33" s="160">
        <f t="shared" si="9"/>
        <v>4.1411999999999995</v>
      </c>
      <c r="BC33" s="161">
        <f t="shared" si="10"/>
        <v>0.86109988604837684</v>
      </c>
      <c r="BD33" s="160">
        <f t="shared" si="26"/>
        <v>7.2855112676056333</v>
      </c>
      <c r="BE33" s="162">
        <v>0.88900000000000001</v>
      </c>
      <c r="BF33" s="25">
        <f t="shared" si="27"/>
        <v>2907.3600000000006</v>
      </c>
      <c r="BG33" s="25">
        <f t="shared" si="11"/>
        <v>125.80645161290323</v>
      </c>
      <c r="BH33" s="25">
        <f t="shared" si="28"/>
        <v>3396.7741935483882</v>
      </c>
      <c r="BI33" s="26">
        <f t="shared" si="12"/>
        <v>1</v>
      </c>
      <c r="BJ33" s="37">
        <f t="shared" si="29"/>
        <v>3396.7741935483882</v>
      </c>
      <c r="BK33" s="38">
        <v>178.672</v>
      </c>
      <c r="BL33" s="31"/>
      <c r="BM33" s="31"/>
      <c r="BN33" s="31">
        <v>47.067999999999998</v>
      </c>
      <c r="BO33" s="40"/>
      <c r="BP33" s="40"/>
      <c r="BQ33" s="32">
        <v>9.3970000000000002</v>
      </c>
      <c r="BR33" s="33">
        <v>1.86</v>
      </c>
      <c r="BS33" s="34"/>
      <c r="BT33" s="35"/>
      <c r="BU33" s="35"/>
      <c r="BV33" s="235"/>
      <c r="BW33" s="235"/>
      <c r="BX33" s="36"/>
      <c r="BY33" s="33">
        <v>38.28</v>
      </c>
      <c r="BZ33" s="34"/>
      <c r="CA33" s="35"/>
      <c r="CB33" s="35">
        <v>43.31</v>
      </c>
      <c r="CC33" s="235"/>
      <c r="CD33" s="235"/>
      <c r="CE33" s="36">
        <v>44.14</v>
      </c>
      <c r="CF33" s="30">
        <v>57.384999999999998</v>
      </c>
      <c r="CG33" s="30"/>
      <c r="CH33" s="31">
        <v>91.89</v>
      </c>
      <c r="CI33" s="32"/>
      <c r="CJ33" s="33">
        <v>2.66</v>
      </c>
      <c r="CK33" s="33"/>
      <c r="CL33" s="35">
        <v>2.66</v>
      </c>
      <c r="CM33" s="36"/>
      <c r="CN33" s="270"/>
      <c r="CO33" s="249">
        <f t="shared" si="32"/>
        <v>175.34870080000002</v>
      </c>
      <c r="CP33" s="12">
        <f t="shared" si="32"/>
        <v>0</v>
      </c>
      <c r="CQ33" s="12">
        <f t="shared" si="32"/>
        <v>0</v>
      </c>
      <c r="CR33" s="12">
        <f t="shared" si="32"/>
        <v>47.067999999999998</v>
      </c>
      <c r="CS33" s="11">
        <f t="shared" si="32"/>
        <v>0</v>
      </c>
      <c r="CT33" s="11">
        <f t="shared" si="32"/>
        <v>0</v>
      </c>
      <c r="CU33" s="272">
        <f t="shared" si="32"/>
        <v>9.3970000000000002</v>
      </c>
      <c r="CV33" s="249">
        <f t="shared" si="14"/>
        <v>55.858559</v>
      </c>
      <c r="CW33" s="12">
        <f t="shared" si="14"/>
        <v>0</v>
      </c>
      <c r="CX33" s="254">
        <f t="shared" si="14"/>
        <v>89.445726000000008</v>
      </c>
      <c r="CY33" s="275">
        <f t="shared" si="14"/>
        <v>0</v>
      </c>
      <c r="CZ33" s="13"/>
      <c r="DA33" s="240">
        <f>(D33+'[2]октябрь 20 '!D33)/(AY33+'[2]октябрь 20 '!BA33)</f>
        <v>2.0856787196414079</v>
      </c>
      <c r="DB33" s="241">
        <f>(T33+'[2]октябрь 20 '!T33)/(AY33+'[2]октябрь 20 '!BA33)</f>
        <v>1.2856003764070369</v>
      </c>
      <c r="DD33" s="292">
        <f t="shared" si="15"/>
        <v>9.3759999999999994</v>
      </c>
      <c r="DE33" s="291">
        <v>0.98</v>
      </c>
      <c r="DF33" s="291">
        <v>18.079999999999998</v>
      </c>
      <c r="DG33" s="145">
        <f t="shared" si="16"/>
        <v>9.2841151999999987</v>
      </c>
      <c r="DH33" s="293">
        <f t="shared" si="30"/>
        <v>2.2028451813123358</v>
      </c>
      <c r="DJ33" s="322"/>
    </row>
    <row r="34" spans="1:114" s="76" customFormat="1" ht="16.5" customHeight="1" thickBot="1">
      <c r="A34" s="144">
        <v>28</v>
      </c>
      <c r="B34" s="122">
        <f>'[1]октябрь 20'!K33</f>
        <v>267.35000000000002</v>
      </c>
      <c r="C34" s="123">
        <f t="shared" si="17"/>
        <v>1.1633265008415932</v>
      </c>
      <c r="D34" s="145">
        <f t="shared" si="18"/>
        <v>264.23984660000002</v>
      </c>
      <c r="E34" s="125">
        <f t="shared" si="19"/>
        <v>39.318663774078921</v>
      </c>
      <c r="F34" s="146">
        <f t="shared" si="0"/>
        <v>2.1524914190289999</v>
      </c>
      <c r="G34" s="127"/>
      <c r="H34" s="126">
        <f t="shared" si="20"/>
        <v>1.6305624519387421</v>
      </c>
      <c r="I34" s="230">
        <f>'[1]июль 20'!AI33</f>
        <v>0</v>
      </c>
      <c r="J34" s="439">
        <f>'[1]октябрь 20'!AA33</f>
        <v>10.598000000000001</v>
      </c>
      <c r="K34" s="464">
        <f>'[1]сентябрь 20'!AM33</f>
        <v>0</v>
      </c>
      <c r="L34" s="441">
        <f>'[1]октябрь 20'!AE33</f>
        <v>64.072000000000003</v>
      </c>
      <c r="M34" s="468">
        <f t="shared" si="21"/>
        <v>0.52192896709025738</v>
      </c>
      <c r="N34" s="403">
        <f>'[1]октябрь 20'!W33</f>
        <v>0</v>
      </c>
      <c r="O34" s="403">
        <f>'[1]октябрь 20'!AU33</f>
        <v>5.5149999999999997</v>
      </c>
      <c r="P34" s="401">
        <f t="shared" si="1"/>
        <v>170.58100000000002</v>
      </c>
      <c r="Q34" s="122">
        <f>'[1]октябрь 20'!S33</f>
        <v>170.58099999999999</v>
      </c>
      <c r="R34" s="123">
        <f t="shared" si="22"/>
        <v>2.4000000000000004</v>
      </c>
      <c r="S34" s="501">
        <v>15.79</v>
      </c>
      <c r="T34" s="125">
        <f t="shared" si="2"/>
        <v>166.487056</v>
      </c>
      <c r="U34" s="147">
        <f t="shared" si="3"/>
        <v>1.3561995438253502</v>
      </c>
      <c r="V34" s="169">
        <v>122.76</v>
      </c>
      <c r="W34" s="169">
        <v>101.17</v>
      </c>
      <c r="X34" s="170">
        <v>0.61</v>
      </c>
      <c r="Y34" s="166">
        <v>594</v>
      </c>
      <c r="Z34" s="166">
        <v>1168</v>
      </c>
      <c r="AA34" s="148" t="s">
        <v>120</v>
      </c>
      <c r="AB34" s="164">
        <v>76.09</v>
      </c>
      <c r="AC34" s="166">
        <v>107</v>
      </c>
      <c r="AD34" s="171">
        <v>5</v>
      </c>
      <c r="AE34" s="164">
        <v>9.8000000000000007</v>
      </c>
      <c r="AF34" s="172">
        <f t="shared" si="4"/>
        <v>79.830563701531446</v>
      </c>
      <c r="AG34" s="173"/>
      <c r="AH34" s="170">
        <v>78.25</v>
      </c>
      <c r="AI34" s="134">
        <f t="shared" si="5"/>
        <v>637.42261322906484</v>
      </c>
      <c r="AJ34" s="174">
        <v>14.48</v>
      </c>
      <c r="AK34" s="175"/>
      <c r="AL34" s="176">
        <v>8.36</v>
      </c>
      <c r="AM34" s="478">
        <f t="shared" si="31"/>
        <v>32.17</v>
      </c>
      <c r="AN34" s="126">
        <f t="shared" si="24"/>
        <v>0.2</v>
      </c>
      <c r="AO34" s="178" t="s">
        <v>428</v>
      </c>
      <c r="AP34" s="177">
        <v>7.48</v>
      </c>
      <c r="AQ34" s="177">
        <v>8.34</v>
      </c>
      <c r="AR34" s="171"/>
      <c r="AS34" s="164">
        <v>6.44</v>
      </c>
      <c r="AT34" s="149">
        <v>160.85</v>
      </c>
      <c r="AU34" s="164">
        <v>2.44</v>
      </c>
      <c r="AV34" s="164"/>
      <c r="AW34" s="164"/>
      <c r="AX34" s="179">
        <f t="shared" si="6"/>
        <v>0</v>
      </c>
      <c r="AY34" s="125">
        <f t="shared" si="7"/>
        <v>122.76</v>
      </c>
      <c r="AZ34" s="125">
        <f t="shared" si="25"/>
        <v>121.25081041231154</v>
      </c>
      <c r="BA34" s="159">
        <f t="shared" si="8"/>
        <v>3.9036830985915492</v>
      </c>
      <c r="BB34" s="159">
        <f t="shared" si="9"/>
        <v>4.9104000000000001</v>
      </c>
      <c r="BC34" s="180">
        <f t="shared" si="10"/>
        <v>0.89905736932607405</v>
      </c>
      <c r="BD34" s="159">
        <f t="shared" si="26"/>
        <v>8.8140830985915493</v>
      </c>
      <c r="BE34" s="167">
        <v>0.88900000000000001</v>
      </c>
      <c r="BF34" s="25">
        <f t="shared" si="27"/>
        <v>3030.1200000000008</v>
      </c>
      <c r="BG34" s="25">
        <f t="shared" si="11"/>
        <v>125.80645161290323</v>
      </c>
      <c r="BH34" s="25">
        <f t="shared" si="28"/>
        <v>3522.5806451612916</v>
      </c>
      <c r="BI34" s="26">
        <f t="shared" si="12"/>
        <v>1</v>
      </c>
      <c r="BJ34" s="37">
        <f t="shared" si="29"/>
        <v>3522.5806451612916</v>
      </c>
      <c r="BK34" s="38">
        <v>203.27799999999999</v>
      </c>
      <c r="BL34" s="30"/>
      <c r="BM34" s="43"/>
      <c r="BN34" s="43">
        <v>53.494</v>
      </c>
      <c r="BO34" s="281"/>
      <c r="BP34" s="281"/>
      <c r="BQ34" s="44">
        <v>10.577999999999999</v>
      </c>
      <c r="BR34" s="45">
        <v>1.53</v>
      </c>
      <c r="BS34" s="46"/>
      <c r="BT34" s="47"/>
      <c r="BU34" s="47"/>
      <c r="BV34" s="283"/>
      <c r="BW34" s="283"/>
      <c r="BX34" s="48"/>
      <c r="BY34" s="45">
        <v>38.020000000000003</v>
      </c>
      <c r="BZ34" s="46"/>
      <c r="CA34" s="47"/>
      <c r="CB34" s="47">
        <v>43.32</v>
      </c>
      <c r="CC34" s="283"/>
      <c r="CD34" s="283"/>
      <c r="CE34" s="48">
        <v>44.04</v>
      </c>
      <c r="CF34" s="49">
        <v>65.298000000000002</v>
      </c>
      <c r="CG34" s="49"/>
      <c r="CH34" s="43">
        <v>105.283</v>
      </c>
      <c r="CI34" s="32"/>
      <c r="CJ34" s="33">
        <v>2.4</v>
      </c>
      <c r="CK34" s="33"/>
      <c r="CL34" s="35">
        <v>2.4</v>
      </c>
      <c r="CM34" s="36"/>
      <c r="CN34" s="270"/>
      <c r="CO34" s="249">
        <f t="shared" si="32"/>
        <v>200.16784659999999</v>
      </c>
      <c r="CP34" s="12">
        <f t="shared" si="32"/>
        <v>0</v>
      </c>
      <c r="CQ34" s="12">
        <f t="shared" si="32"/>
        <v>0</v>
      </c>
      <c r="CR34" s="12">
        <f t="shared" si="32"/>
        <v>53.494</v>
      </c>
      <c r="CS34" s="11">
        <f t="shared" si="32"/>
        <v>0</v>
      </c>
      <c r="CT34" s="11">
        <f t="shared" si="32"/>
        <v>0</v>
      </c>
      <c r="CU34" s="272">
        <f t="shared" si="32"/>
        <v>10.577999999999999</v>
      </c>
      <c r="CV34" s="249">
        <f t="shared" si="14"/>
        <v>63.730848000000002</v>
      </c>
      <c r="CW34" s="12">
        <f t="shared" si="14"/>
        <v>0</v>
      </c>
      <c r="CX34" s="249">
        <f t="shared" si="14"/>
        <v>102.756208</v>
      </c>
      <c r="CY34" s="272">
        <f t="shared" si="14"/>
        <v>0</v>
      </c>
      <c r="CZ34" s="13"/>
      <c r="DA34" s="240">
        <f>(D34+'[2]октябрь 20 '!D34)/(AY34+'[2]октябрь 20 '!BA34)</f>
        <v>2.1680032104887528</v>
      </c>
      <c r="DB34" s="241">
        <f>(T34+'[2]октябрь 20 '!T34)/(AY34+'[2]октябрь 20 '!BA34)</f>
        <v>1.3401169094460761</v>
      </c>
      <c r="DD34" s="292">
        <f t="shared" si="15"/>
        <v>10.598000000000001</v>
      </c>
      <c r="DE34" s="291">
        <v>0.88</v>
      </c>
      <c r="DF34" s="291">
        <v>14.84</v>
      </c>
      <c r="DG34" s="145">
        <f t="shared" si="16"/>
        <v>10.504737600000002</v>
      </c>
      <c r="DH34" s="293">
        <f t="shared" si="30"/>
        <v>2.0487620710211596</v>
      </c>
      <c r="DJ34" s="322"/>
    </row>
    <row r="35" spans="1:114" s="76" customFormat="1" ht="16.5" customHeight="1" thickBot="1">
      <c r="A35" s="144">
        <v>29</v>
      </c>
      <c r="B35" s="122">
        <f>'[1]октябрь 20'!K34</f>
        <v>269.90199999999999</v>
      </c>
      <c r="C35" s="123">
        <f t="shared" si="17"/>
        <v>0.85120199183407319</v>
      </c>
      <c r="D35" s="145">
        <f t="shared" si="18"/>
        <v>267.60458879999999</v>
      </c>
      <c r="E35" s="125">
        <f t="shared" si="19"/>
        <v>39.374368326281385</v>
      </c>
      <c r="F35" s="146">
        <f t="shared" si="0"/>
        <v>2.0528121264191466</v>
      </c>
      <c r="G35" s="127">
        <v>12.97</v>
      </c>
      <c r="H35" s="126">
        <f t="shared" si="20"/>
        <v>1.5559112365756365</v>
      </c>
      <c r="I35" s="230">
        <f>'[1]июль 20'!AI34</f>
        <v>0</v>
      </c>
      <c r="J35" s="439">
        <f>'[1]октябрь 20'!AA34</f>
        <v>10.869</v>
      </c>
      <c r="K35" s="464">
        <f>'[1]сентябрь 20'!AM34</f>
        <v>0</v>
      </c>
      <c r="L35" s="441">
        <f>'[1]октябрь 20'!AE34</f>
        <v>64.775999999999996</v>
      </c>
      <c r="M35" s="469">
        <f t="shared" si="21"/>
        <v>0.49690088984351022</v>
      </c>
      <c r="N35" s="403">
        <f>'[1]октябрь 20'!W34</f>
        <v>0</v>
      </c>
      <c r="O35" s="403">
        <f>'[1]октябрь 20'!AU34</f>
        <v>5.45</v>
      </c>
      <c r="P35" s="401">
        <f t="shared" si="1"/>
        <v>171.673</v>
      </c>
      <c r="Q35" s="122">
        <f>'[1]октябрь 20'!S34</f>
        <v>171.673</v>
      </c>
      <c r="R35" s="123">
        <f t="shared" si="22"/>
        <v>2.1099999999999994</v>
      </c>
      <c r="S35" s="501">
        <v>1.95</v>
      </c>
      <c r="T35" s="125">
        <f t="shared" si="2"/>
        <v>168.0506997</v>
      </c>
      <c r="U35" s="147">
        <f t="shared" si="3"/>
        <v>1.2891277976373119</v>
      </c>
      <c r="V35" s="130">
        <v>130.36000000000001</v>
      </c>
      <c r="W35" s="130">
        <v>102.97</v>
      </c>
      <c r="X35" s="129">
        <v>0.91</v>
      </c>
      <c r="Y35" s="150">
        <v>604</v>
      </c>
      <c r="Z35" s="150">
        <v>1166</v>
      </c>
      <c r="AA35" s="148" t="s">
        <v>250</v>
      </c>
      <c r="AB35" s="149">
        <v>76.260000000000005</v>
      </c>
      <c r="AC35" s="150">
        <v>108</v>
      </c>
      <c r="AD35" s="151">
        <v>5</v>
      </c>
      <c r="AE35" s="181"/>
      <c r="AF35" s="134">
        <f t="shared" si="4"/>
        <v>0</v>
      </c>
      <c r="AG35" s="182"/>
      <c r="AH35" s="129">
        <v>68.8</v>
      </c>
      <c r="AI35" s="134">
        <f t="shared" si="5"/>
        <v>527.76925437250691</v>
      </c>
      <c r="AJ35" s="136">
        <v>16.739999999999998</v>
      </c>
      <c r="AK35" s="154"/>
      <c r="AL35" s="155">
        <v>6.75</v>
      </c>
      <c r="AM35" s="478">
        <f t="shared" si="31"/>
        <v>33.480000000000004</v>
      </c>
      <c r="AN35" s="126">
        <f t="shared" si="24"/>
        <v>0.2</v>
      </c>
      <c r="AO35" s="184" t="s">
        <v>439</v>
      </c>
      <c r="AP35" s="183">
        <v>7.61</v>
      </c>
      <c r="AQ35" s="183">
        <v>8.7899999999999991</v>
      </c>
      <c r="AR35" s="185"/>
      <c r="AS35" s="181">
        <v>6.24</v>
      </c>
      <c r="AT35" s="149">
        <v>167.4</v>
      </c>
      <c r="AU35" s="181">
        <v>3.19</v>
      </c>
      <c r="AV35" s="149"/>
      <c r="AW35" s="149"/>
      <c r="AX35" s="158">
        <f t="shared" si="6"/>
        <v>0</v>
      </c>
      <c r="AY35" s="125">
        <f t="shared" si="7"/>
        <v>130.36000000000001</v>
      </c>
      <c r="AZ35" s="125">
        <f t="shared" si="25"/>
        <v>123.00735738317677</v>
      </c>
      <c r="BA35" s="159">
        <f t="shared" si="8"/>
        <v>3.325656338028169</v>
      </c>
      <c r="BB35" s="160">
        <f t="shared" si="9"/>
        <v>5.2144000000000004</v>
      </c>
      <c r="BC35" s="161">
        <f t="shared" si="10"/>
        <v>0.94348282088313651</v>
      </c>
      <c r="BD35" s="160">
        <f t="shared" si="26"/>
        <v>8.5400563380281689</v>
      </c>
      <c r="BE35" s="162">
        <v>0.89100000000000001</v>
      </c>
      <c r="BF35" s="25">
        <f t="shared" si="27"/>
        <v>3160.4800000000009</v>
      </c>
      <c r="BG35" s="25">
        <f t="shared" si="11"/>
        <v>125.80645161290323</v>
      </c>
      <c r="BH35" s="25">
        <f t="shared" si="28"/>
        <v>3648.387096774195</v>
      </c>
      <c r="BI35" s="26">
        <f t="shared" si="12"/>
        <v>1</v>
      </c>
      <c r="BJ35" s="37">
        <f t="shared" si="29"/>
        <v>3648.387096774195</v>
      </c>
      <c r="BK35" s="38">
        <v>205.126</v>
      </c>
      <c r="BL35" s="31"/>
      <c r="BM35" s="31"/>
      <c r="BN35" s="31">
        <v>53.99</v>
      </c>
      <c r="BO35" s="40"/>
      <c r="BP35" s="40"/>
      <c r="BQ35" s="32">
        <v>10.786</v>
      </c>
      <c r="BR35" s="33">
        <v>1.1200000000000001</v>
      </c>
      <c r="BS35" s="34"/>
      <c r="BT35" s="35"/>
      <c r="BU35" s="35"/>
      <c r="BV35" s="235"/>
      <c r="BW35" s="235"/>
      <c r="BX35" s="36"/>
      <c r="BY35" s="33">
        <v>38.049999999999997</v>
      </c>
      <c r="BZ35" s="34"/>
      <c r="CA35" s="35"/>
      <c r="CB35" s="35">
        <v>43.47</v>
      </c>
      <c r="CC35" s="235"/>
      <c r="CD35" s="235"/>
      <c r="CE35" s="36">
        <v>44.06</v>
      </c>
      <c r="CF35" s="30">
        <v>65.876000000000005</v>
      </c>
      <c r="CG35" s="30"/>
      <c r="CH35" s="31">
        <v>105.797</v>
      </c>
      <c r="CI35" s="50"/>
      <c r="CJ35" s="33">
        <v>2.11</v>
      </c>
      <c r="CK35" s="33"/>
      <c r="CL35" s="35">
        <v>2.11</v>
      </c>
      <c r="CM35" s="36"/>
      <c r="CN35" s="270"/>
      <c r="CO35" s="249">
        <f t="shared" si="32"/>
        <v>202.82858879999998</v>
      </c>
      <c r="CP35" s="12">
        <f t="shared" si="32"/>
        <v>0</v>
      </c>
      <c r="CQ35" s="12">
        <f t="shared" si="32"/>
        <v>0</v>
      </c>
      <c r="CR35" s="12">
        <f t="shared" si="32"/>
        <v>53.99</v>
      </c>
      <c r="CS35" s="11">
        <f t="shared" si="32"/>
        <v>0</v>
      </c>
      <c r="CT35" s="11">
        <f t="shared" si="32"/>
        <v>0</v>
      </c>
      <c r="CU35" s="272">
        <f t="shared" si="32"/>
        <v>10.786</v>
      </c>
      <c r="CV35" s="249">
        <f t="shared" si="14"/>
        <v>64.486016400000011</v>
      </c>
      <c r="CW35" s="12">
        <f t="shared" si="14"/>
        <v>0</v>
      </c>
      <c r="CX35" s="249">
        <f t="shared" si="14"/>
        <v>103.5646833</v>
      </c>
      <c r="CY35" s="272">
        <f t="shared" si="14"/>
        <v>0</v>
      </c>
      <c r="CZ35" s="13"/>
      <c r="DA35" s="240">
        <f>(D35+'[2]октябрь 20 '!D35)/(AY35+'[2]октябрь 20 '!BA35)</f>
        <v>2.0444581331895386</v>
      </c>
      <c r="DB35" s="241">
        <f>(T35+'[2]октябрь 20 '!T35)/(AY35+'[2]октябрь 20 '!BA35)</f>
        <v>1.2534125093016986</v>
      </c>
      <c r="DD35" s="292">
        <f t="shared" si="15"/>
        <v>10.869</v>
      </c>
      <c r="DE35" s="291">
        <v>0.77</v>
      </c>
      <c r="DF35" s="291">
        <v>16.87</v>
      </c>
      <c r="DG35" s="145">
        <f t="shared" si="16"/>
        <v>10.7853087</v>
      </c>
      <c r="DH35" s="293">
        <f t="shared" si="30"/>
        <v>2.3858924438631002</v>
      </c>
      <c r="DJ35" s="322"/>
    </row>
    <row r="36" spans="1:114" s="76" customFormat="1" ht="16.5" customHeight="1" thickBot="1">
      <c r="A36" s="144">
        <v>30</v>
      </c>
      <c r="B36" s="122">
        <f>'[1]октябрь 20'!K35</f>
        <v>247.69</v>
      </c>
      <c r="C36" s="123">
        <f t="shared" si="17"/>
        <v>0.94975574306592925</v>
      </c>
      <c r="D36" s="145">
        <f t="shared" si="18"/>
        <v>245.33754999999996</v>
      </c>
      <c r="E36" s="125">
        <f t="shared" si="19"/>
        <v>39.359641568089138</v>
      </c>
      <c r="F36" s="146">
        <f t="shared" si="0"/>
        <v>1.9796461712256914</v>
      </c>
      <c r="G36" s="127"/>
      <c r="H36" s="126">
        <f t="shared" si="20"/>
        <v>1.4995848462841925</v>
      </c>
      <c r="I36" s="230">
        <f>'[1]июль 20'!AI35</f>
        <v>0</v>
      </c>
      <c r="J36" s="439">
        <f>'[1]октябрь 20'!AA35</f>
        <v>9.9390000000000001</v>
      </c>
      <c r="K36" s="464">
        <f>'[1]сентябрь 20'!AM35</f>
        <v>0</v>
      </c>
      <c r="L36" s="441">
        <f>'[1]октябрь 20'!AE35</f>
        <v>59.494</v>
      </c>
      <c r="M36" s="468">
        <f t="shared" si="21"/>
        <v>0.48006132494149922</v>
      </c>
      <c r="N36" s="403">
        <f>'[1]октябрь 20'!W35</f>
        <v>0</v>
      </c>
      <c r="O36" s="403">
        <f>'[1]октябрь 20'!AU35</f>
        <v>5.875</v>
      </c>
      <c r="P36" s="401">
        <f t="shared" si="1"/>
        <v>156.035</v>
      </c>
      <c r="Q36" s="122">
        <f>'[1]октябрь 20'!S35</f>
        <v>156.035</v>
      </c>
      <c r="R36" s="123">
        <f t="shared" si="22"/>
        <v>2.19</v>
      </c>
      <c r="S36" s="501">
        <v>1.66</v>
      </c>
      <c r="T36" s="125">
        <f t="shared" si="2"/>
        <v>152.61783349999999</v>
      </c>
      <c r="U36" s="147">
        <f t="shared" si="3"/>
        <v>1.2314841725167431</v>
      </c>
      <c r="V36" s="130">
        <v>123.93</v>
      </c>
      <c r="W36" s="130">
        <v>64.91</v>
      </c>
      <c r="X36" s="129">
        <v>0.82</v>
      </c>
      <c r="Y36" s="150">
        <v>600</v>
      </c>
      <c r="Z36" s="150">
        <v>1169</v>
      </c>
      <c r="AA36" s="148" t="s">
        <v>252</v>
      </c>
      <c r="AB36" s="149">
        <v>75.95</v>
      </c>
      <c r="AC36" s="150">
        <v>99</v>
      </c>
      <c r="AD36" s="151">
        <v>4</v>
      </c>
      <c r="AE36" s="149"/>
      <c r="AF36" s="134">
        <f t="shared" si="4"/>
        <v>0</v>
      </c>
      <c r="AG36" s="152"/>
      <c r="AH36" s="129">
        <v>78.45</v>
      </c>
      <c r="AI36" s="134">
        <f t="shared" si="5"/>
        <v>633.01863955458725</v>
      </c>
      <c r="AJ36" s="153">
        <v>15.79</v>
      </c>
      <c r="AK36" s="154"/>
      <c r="AL36" s="155">
        <v>7.32</v>
      </c>
      <c r="AM36" s="478">
        <f t="shared" si="31"/>
        <v>32.4</v>
      </c>
      <c r="AN36" s="126">
        <f t="shared" si="24"/>
        <v>0.19999999999999998</v>
      </c>
      <c r="AO36" s="157" t="s">
        <v>144</v>
      </c>
      <c r="AP36" s="156">
        <v>7.73</v>
      </c>
      <c r="AQ36" s="156">
        <v>8.56</v>
      </c>
      <c r="AR36" s="151"/>
      <c r="AS36" s="149">
        <v>7.97</v>
      </c>
      <c r="AT36" s="149">
        <v>162</v>
      </c>
      <c r="AU36" s="149">
        <v>1.65</v>
      </c>
      <c r="AV36" s="149"/>
      <c r="AW36" s="149"/>
      <c r="AX36" s="158">
        <f t="shared" si="6"/>
        <v>0</v>
      </c>
      <c r="AY36" s="125">
        <f t="shared" si="7"/>
        <v>123.93</v>
      </c>
      <c r="AZ36" s="125">
        <f t="shared" si="25"/>
        <v>113.63739049434649</v>
      </c>
      <c r="BA36" s="159">
        <f t="shared" si="8"/>
        <v>4.843458802816901</v>
      </c>
      <c r="BB36" s="160">
        <f t="shared" si="9"/>
        <v>4.9572000000000003</v>
      </c>
      <c r="BC36" s="161">
        <f t="shared" si="10"/>
        <v>0.97474062995278088</v>
      </c>
      <c r="BD36" s="160">
        <f t="shared" si="26"/>
        <v>9.8006588028169013</v>
      </c>
      <c r="BE36" s="162">
        <v>0.89400000000000002</v>
      </c>
      <c r="BF36" s="25">
        <f t="shared" si="27"/>
        <v>3284.4100000000008</v>
      </c>
      <c r="BG36" s="25">
        <f t="shared" si="11"/>
        <v>125.80645161290323</v>
      </c>
      <c r="BH36" s="25">
        <f t="shared" si="28"/>
        <v>3774.1935483870984</v>
      </c>
      <c r="BI36" s="26">
        <f t="shared" si="12"/>
        <v>1</v>
      </c>
      <c r="BJ36" s="37">
        <f t="shared" si="29"/>
        <v>3774.1935483870984</v>
      </c>
      <c r="BK36" s="38">
        <v>188.196</v>
      </c>
      <c r="BL36" s="31"/>
      <c r="BM36" s="31"/>
      <c r="BN36" s="31">
        <v>49.485999999999997</v>
      </c>
      <c r="BO36" s="40"/>
      <c r="BP36" s="40"/>
      <c r="BQ36" s="32">
        <v>10.007999999999999</v>
      </c>
      <c r="BR36" s="33">
        <v>1.25</v>
      </c>
      <c r="BS36" s="34"/>
      <c r="BT36" s="35"/>
      <c r="BU36" s="35"/>
      <c r="BV36" s="235"/>
      <c r="BW36" s="235"/>
      <c r="BX36" s="36"/>
      <c r="BY36" s="33">
        <v>37.979999999999997</v>
      </c>
      <c r="BZ36" s="34"/>
      <c r="CA36" s="35"/>
      <c r="CB36" s="35">
        <v>43.67</v>
      </c>
      <c r="CC36" s="235"/>
      <c r="CD36" s="235"/>
      <c r="CE36" s="36">
        <v>43.99</v>
      </c>
      <c r="CF36" s="30">
        <v>60.460999999999999</v>
      </c>
      <c r="CG36" s="30"/>
      <c r="CH36" s="34">
        <v>95.573999999999998</v>
      </c>
      <c r="CI36" s="50"/>
      <c r="CJ36" s="33">
        <v>2.19</v>
      </c>
      <c r="CK36" s="33"/>
      <c r="CL36" s="35">
        <v>2.19</v>
      </c>
      <c r="CM36" s="36"/>
      <c r="CN36" s="270"/>
      <c r="CO36" s="249">
        <f t="shared" si="32"/>
        <v>185.84354999999999</v>
      </c>
      <c r="CP36" s="12">
        <f t="shared" si="32"/>
        <v>0</v>
      </c>
      <c r="CQ36" s="12">
        <f t="shared" si="32"/>
        <v>0</v>
      </c>
      <c r="CR36" s="12">
        <f t="shared" si="32"/>
        <v>49.485999999999997</v>
      </c>
      <c r="CS36" s="11">
        <f t="shared" si="32"/>
        <v>0</v>
      </c>
      <c r="CT36" s="11">
        <f t="shared" si="32"/>
        <v>0</v>
      </c>
      <c r="CU36" s="272">
        <f t="shared" si="32"/>
        <v>10.007999999999999</v>
      </c>
      <c r="CV36" s="249">
        <f t="shared" si="14"/>
        <v>59.136904099999995</v>
      </c>
      <c r="CW36" s="12">
        <f t="shared" si="14"/>
        <v>0</v>
      </c>
      <c r="CX36" s="249">
        <f t="shared" si="14"/>
        <v>93.480929399999994</v>
      </c>
      <c r="CY36" s="274">
        <f t="shared" si="14"/>
        <v>0</v>
      </c>
      <c r="CZ36" s="13"/>
      <c r="DA36" s="240">
        <f>(D36+'[2]октябрь 20 '!D36)/(AY36+'[2]октябрь 20 '!BA36)</f>
        <v>2.0824189431885154</v>
      </c>
      <c r="DB36" s="241">
        <f>(T36+'[2]октябрь 20 '!T36)/(AY36+'[2]октябрь 20 '!BA36)</f>
        <v>1.2781595892089996</v>
      </c>
      <c r="DD36" s="292">
        <f t="shared" si="15"/>
        <v>9.9390000000000001</v>
      </c>
      <c r="DE36" s="291">
        <v>1.82</v>
      </c>
      <c r="DF36" s="291">
        <v>20.57</v>
      </c>
      <c r="DG36" s="145">
        <f t="shared" si="16"/>
        <v>9.7581102000000008</v>
      </c>
      <c r="DH36" s="293">
        <f t="shared" si="30"/>
        <v>2.6428482793153392</v>
      </c>
      <c r="DJ36" s="322"/>
    </row>
    <row r="37" spans="1:114" s="76" customFormat="1" ht="16.5" customHeight="1" thickBot="1">
      <c r="A37" s="186">
        <v>31</v>
      </c>
      <c r="B37" s="122">
        <f>'[1]октябрь 20'!K36</f>
        <v>270.02199999999999</v>
      </c>
      <c r="C37" s="123">
        <f t="shared" si="17"/>
        <v>0.91919795424076567</v>
      </c>
      <c r="D37" s="187">
        <f t="shared" si="18"/>
        <v>267.53996329999995</v>
      </c>
      <c r="E37" s="285">
        <f t="shared" si="19"/>
        <v>39.560594988556488</v>
      </c>
      <c r="F37" s="189">
        <f t="shared" si="0"/>
        <v>2.9169206639773213</v>
      </c>
      <c r="G37" s="127"/>
      <c r="H37" s="126">
        <f t="shared" si="20"/>
        <v>2.2093868654600959</v>
      </c>
      <c r="I37" s="230">
        <f>'[1]июль 20'!AI36</f>
        <v>0</v>
      </c>
      <c r="J37" s="277">
        <f>'[1]октябрь 20'!AA36</f>
        <v>10.762</v>
      </c>
      <c r="K37" s="276">
        <f>'[1]сентябрь 20'!AM36</f>
        <v>0</v>
      </c>
      <c r="L37" s="438">
        <f>'[1]октябрь 20'!AE36</f>
        <v>64.894999999999996</v>
      </c>
      <c r="M37" s="128">
        <f t="shared" si="21"/>
        <v>0.7075337985172262</v>
      </c>
      <c r="N37" s="399">
        <f>'[1]октябрь 20'!W36</f>
        <v>0</v>
      </c>
      <c r="O37" s="403">
        <f>'[1]октябрь 20'!AU36</f>
        <v>6.5430000000000001</v>
      </c>
      <c r="P37" s="125">
        <f t="shared" si="1"/>
        <v>171.68700000000001</v>
      </c>
      <c r="Q37" s="122">
        <f>'[1]октябрь 20'!S36</f>
        <v>171.68700000000001</v>
      </c>
      <c r="R37" s="123">
        <f t="shared" si="22"/>
        <v>2.12</v>
      </c>
      <c r="S37" s="501"/>
      <c r="T37" s="125">
        <f t="shared" si="2"/>
        <v>168.04723560000002</v>
      </c>
      <c r="U37" s="191">
        <f t="shared" si="3"/>
        <v>1.8321765765372873</v>
      </c>
      <c r="V37" s="192">
        <v>91.72</v>
      </c>
      <c r="W37" s="192">
        <v>91.72</v>
      </c>
      <c r="X37" s="190">
        <v>0.49</v>
      </c>
      <c r="Y37" s="193">
        <v>623</v>
      </c>
      <c r="Z37" s="194">
        <v>1181</v>
      </c>
      <c r="AA37" s="195" t="s">
        <v>118</v>
      </c>
      <c r="AB37" s="196">
        <v>75.52</v>
      </c>
      <c r="AC37" s="194">
        <v>108</v>
      </c>
      <c r="AD37" s="193">
        <v>4</v>
      </c>
      <c r="AE37" s="196"/>
      <c r="AF37" s="134">
        <f t="shared" si="4"/>
        <v>0</v>
      </c>
      <c r="AG37" s="197"/>
      <c r="AH37" s="190">
        <v>70.8</v>
      </c>
      <c r="AI37" s="134">
        <f t="shared" si="5"/>
        <v>771.91452245965979</v>
      </c>
      <c r="AJ37" s="196">
        <v>12.61</v>
      </c>
      <c r="AK37" s="198"/>
      <c r="AL37" s="199">
        <v>6.89</v>
      </c>
      <c r="AM37" s="478">
        <v>51.39</v>
      </c>
      <c r="AN37" s="126">
        <f t="shared" si="24"/>
        <v>0.34260000000000002</v>
      </c>
      <c r="AO37" s="201" t="s">
        <v>323</v>
      </c>
      <c r="AP37" s="200">
        <v>7.22</v>
      </c>
      <c r="AQ37" s="156">
        <v>7.84</v>
      </c>
      <c r="AR37" s="193"/>
      <c r="AS37" s="196">
        <v>7.81</v>
      </c>
      <c r="AT37" s="242">
        <v>150</v>
      </c>
      <c r="AU37" s="196"/>
      <c r="AV37" s="196"/>
      <c r="AW37" s="196"/>
      <c r="AX37" s="202">
        <f t="shared" si="6"/>
        <v>0</v>
      </c>
      <c r="AY37" s="188">
        <f t="shared" si="7"/>
        <v>91.720000000000013</v>
      </c>
      <c r="AZ37" s="125">
        <f t="shared" si="25"/>
        <v>125.01714090584302</v>
      </c>
      <c r="BA37" s="203">
        <f t="shared" si="8"/>
        <v>4.2833999999999994</v>
      </c>
      <c r="BB37" s="204">
        <f t="shared" si="9"/>
        <v>3.6688000000000005</v>
      </c>
      <c r="BC37" s="205">
        <f t="shared" si="10"/>
        <v>0.65444710281034857</v>
      </c>
      <c r="BD37" s="206">
        <f t="shared" si="26"/>
        <v>7.9521999999999995</v>
      </c>
      <c r="BE37" s="207">
        <v>0.88500000000000001</v>
      </c>
      <c r="BF37" s="25">
        <f t="shared" si="27"/>
        <v>3376.1300000000006</v>
      </c>
      <c r="BG37" s="25">
        <f t="shared" si="11"/>
        <v>125.80645161290323</v>
      </c>
      <c r="BH37" s="25">
        <f t="shared" si="28"/>
        <v>3900.0000000000018</v>
      </c>
      <c r="BI37" s="26">
        <f t="shared" si="12"/>
        <v>1</v>
      </c>
      <c r="BJ37" s="37">
        <f t="shared" si="29"/>
        <v>3900.0000000000018</v>
      </c>
      <c r="BK37" s="51">
        <v>205.12700000000001</v>
      </c>
      <c r="BL37" s="53"/>
      <c r="BM37" s="53"/>
      <c r="BN37" s="53">
        <v>54.042999999999999</v>
      </c>
      <c r="BO37" s="282"/>
      <c r="BP37" s="282"/>
      <c r="BQ37" s="54">
        <v>10.852</v>
      </c>
      <c r="BR37" s="55">
        <v>1.21</v>
      </c>
      <c r="BS37" s="52"/>
      <c r="BT37" s="56"/>
      <c r="BU37" s="56"/>
      <c r="BV37" s="284"/>
      <c r="BW37" s="284"/>
      <c r="BX37" s="57"/>
      <c r="BY37" s="55">
        <v>38.299999999999997</v>
      </c>
      <c r="BZ37" s="52"/>
      <c r="CA37" s="56"/>
      <c r="CB37" s="56">
        <v>43.48</v>
      </c>
      <c r="CC37" s="284"/>
      <c r="CD37" s="284"/>
      <c r="CE37" s="57">
        <v>43.87</v>
      </c>
      <c r="CF37" s="58">
        <v>65.897000000000006</v>
      </c>
      <c r="CG37" s="58"/>
      <c r="CH37" s="52">
        <v>105.79</v>
      </c>
      <c r="CI37" s="54"/>
      <c r="CJ37" s="33">
        <v>2.12</v>
      </c>
      <c r="CK37" s="265"/>
      <c r="CL37" s="59">
        <v>2.12</v>
      </c>
      <c r="CM37" s="60"/>
      <c r="CN37" s="270"/>
      <c r="CO37" s="269">
        <f t="shared" si="32"/>
        <v>202.64496330000003</v>
      </c>
      <c r="CP37" s="18">
        <f t="shared" si="32"/>
        <v>0</v>
      </c>
      <c r="CQ37" s="18">
        <f t="shared" si="32"/>
        <v>0</v>
      </c>
      <c r="CR37" s="18">
        <f t="shared" si="32"/>
        <v>54.042999999999999</v>
      </c>
      <c r="CS37" s="251">
        <f t="shared" si="32"/>
        <v>0</v>
      </c>
      <c r="CT37" s="11">
        <f t="shared" si="32"/>
        <v>0</v>
      </c>
      <c r="CU37" s="273">
        <f t="shared" si="32"/>
        <v>10.852</v>
      </c>
      <c r="CV37" s="269">
        <f t="shared" si="14"/>
        <v>64.499983600000007</v>
      </c>
      <c r="CW37" s="18">
        <f t="shared" si="14"/>
        <v>0</v>
      </c>
      <c r="CX37" s="261">
        <f t="shared" si="14"/>
        <v>103.547252</v>
      </c>
      <c r="CY37" s="273">
        <f t="shared" si="14"/>
        <v>0</v>
      </c>
      <c r="CZ37" s="13"/>
      <c r="DA37" s="240">
        <f>(D37+'[2]октябрь 20 '!D37)/(AY37+'[2]октябрь 20 '!BA37)</f>
        <v>2.8957494231801788</v>
      </c>
      <c r="DB37" s="241">
        <f>(T37+'[2]октябрь 20 '!T37)/(AY37+'[2]октябрь 20 '!BA37)</f>
        <v>1.7581392789752237</v>
      </c>
      <c r="DD37" s="292">
        <f t="shared" si="15"/>
        <v>10.762</v>
      </c>
      <c r="DE37" s="294">
        <v>1.44</v>
      </c>
      <c r="DF37" s="294">
        <v>18.989999999999998</v>
      </c>
      <c r="DG37" s="323">
        <f t="shared" si="16"/>
        <v>10.607027200000001</v>
      </c>
      <c r="DH37" s="293">
        <f t="shared" si="30"/>
        <v>2.6672066542372885</v>
      </c>
      <c r="DJ37" s="322"/>
    </row>
    <row r="38" spans="1:114" s="214" customFormat="1" ht="16.5" customHeight="1" thickBot="1">
      <c r="A38" s="91" t="s">
        <v>56</v>
      </c>
      <c r="B38" s="329">
        <f>SUM(B7:B37)</f>
        <v>7510.3649999999989</v>
      </c>
      <c r="C38" s="330"/>
      <c r="D38" s="331">
        <f>SUM(D7:D37)</f>
        <v>7428.8444191609115</v>
      </c>
      <c r="E38" s="332"/>
      <c r="F38" s="331"/>
      <c r="G38" s="333">
        <f>SUM(G7:G37)</f>
        <v>358.52000000000004</v>
      </c>
      <c r="H38" s="329"/>
      <c r="I38" s="334">
        <f>SUM(I7:I37)</f>
        <v>0</v>
      </c>
      <c r="J38" s="329">
        <f>SUM(J7:J37)</f>
        <v>300.197</v>
      </c>
      <c r="K38" s="329">
        <f>SUM(K7:K37)</f>
        <v>0</v>
      </c>
      <c r="L38" s="329">
        <f>SUM(L7:L37)</f>
        <v>1496.12</v>
      </c>
      <c r="M38" s="335"/>
      <c r="N38" s="329">
        <f>SUM(N7:N37)</f>
        <v>0</v>
      </c>
      <c r="O38" s="329">
        <f>SUM(O7:O37)</f>
        <v>157.79899999999998</v>
      </c>
      <c r="P38" s="330">
        <f>SUM(P7:P37)</f>
        <v>4706.8600020000003</v>
      </c>
      <c r="Q38" s="329">
        <f>SUM(Q7:Q37)</f>
        <v>4706.8599999999997</v>
      </c>
      <c r="R38" s="336">
        <f>IF(Q38=0,0,(CA38*CH38+CE38*CI38+CF38*CJ38)/Q38)</f>
        <v>0</v>
      </c>
      <c r="S38" s="329">
        <f>SUM(S7:S37)</f>
        <v>288.42</v>
      </c>
      <c r="T38" s="331">
        <f>SUM(T7:T37)</f>
        <v>4569.7530281999998</v>
      </c>
      <c r="U38" s="337"/>
      <c r="V38" s="332">
        <f>SUM(V7:V37)</f>
        <v>3204.6500000000005</v>
      </c>
      <c r="W38" s="332">
        <f>SUM(W7:W37)</f>
        <v>2653.0799999999995</v>
      </c>
      <c r="X38" s="338"/>
      <c r="Y38" s="337"/>
      <c r="Z38" s="339"/>
      <c r="AA38" s="340"/>
      <c r="AB38" s="338"/>
      <c r="AC38" s="339"/>
      <c r="AD38" s="339">
        <f>SUM(AD7:AD37)</f>
        <v>141</v>
      </c>
      <c r="AE38" s="332">
        <f>SUM(AE7:AE37)</f>
        <v>72.149999999999991</v>
      </c>
      <c r="AF38" s="341"/>
      <c r="AG38" s="342">
        <f>SUM(AG7:AG37)</f>
        <v>0</v>
      </c>
      <c r="AH38" s="332">
        <f>SUM(AH7:AH37)</f>
        <v>2130.1000000000004</v>
      </c>
      <c r="AI38" s="341"/>
      <c r="AJ38" s="332">
        <f>SUM(AJ7:AJ37)</f>
        <v>493.74000000000007</v>
      </c>
      <c r="AK38" s="343"/>
      <c r="AL38" s="522">
        <f>SUM(AL7:AL37)</f>
        <v>235.77999999999997</v>
      </c>
      <c r="AM38" s="344">
        <f>SUM(AM7:AM37)</f>
        <v>958.30999999999983</v>
      </c>
      <c r="AN38" s="345"/>
      <c r="AO38" s="342"/>
      <c r="AP38" s="332"/>
      <c r="AQ38" s="342"/>
      <c r="AR38" s="342"/>
      <c r="AS38" s="346"/>
      <c r="AT38" s="332">
        <f>SUM(AT7:AT37)</f>
        <v>4503.0499999999993</v>
      </c>
      <c r="AU38" s="332">
        <f>SUM(AU7:AU37)</f>
        <v>67.17</v>
      </c>
      <c r="AV38" s="347">
        <f>SUM(AV7:AV37)</f>
        <v>0</v>
      </c>
      <c r="AW38" s="332">
        <f>SUM(AW7:AW37)</f>
        <v>0</v>
      </c>
      <c r="AX38" s="331"/>
      <c r="AY38" s="332">
        <f>SUM(AY7:AY37)</f>
        <v>3376.1300000000006</v>
      </c>
      <c r="AZ38" s="330">
        <f>SUM(AZ7:AZ37)</f>
        <v>3381.5687401126329</v>
      </c>
      <c r="BA38" s="342">
        <f>SUM(BA7:BA37)</f>
        <v>126.18220457746477</v>
      </c>
      <c r="BB38" s="342">
        <f>SUM(BB7:BB37)</f>
        <v>135.04519999999999</v>
      </c>
      <c r="BC38" s="332"/>
      <c r="BD38" s="342">
        <f>SUM(BD7:BD37)</f>
        <v>261.22740457746482</v>
      </c>
      <c r="BE38" s="348"/>
      <c r="BF38" s="19"/>
      <c r="BG38" s="19">
        <f t="shared" si="11"/>
        <v>0</v>
      </c>
      <c r="BH38" s="19"/>
      <c r="BI38" s="208">
        <f>SUM(BI7:BI37)</f>
        <v>31</v>
      </c>
      <c r="BJ38" s="209"/>
      <c r="BK38" s="278">
        <f t="shared" ref="BK38:BQ38" si="33">SUM(BK7:BK37)</f>
        <v>4731.4030000000002</v>
      </c>
      <c r="BL38" s="61">
        <f>SUM(BL7:BL37)</f>
        <v>1282.8419999999999</v>
      </c>
      <c r="BM38" s="61">
        <f t="shared" si="33"/>
        <v>9.9999999999999995E-7</v>
      </c>
      <c r="BN38" s="61">
        <f t="shared" si="33"/>
        <v>842.57000100000005</v>
      </c>
      <c r="BO38" s="61">
        <f t="shared" si="33"/>
        <v>9.9999999999999995E-7</v>
      </c>
      <c r="BP38" s="61">
        <f t="shared" si="33"/>
        <v>9.9999999999999995E-7</v>
      </c>
      <c r="BQ38" s="64">
        <f t="shared" si="33"/>
        <v>653.55000000000007</v>
      </c>
      <c r="BR38" s="63"/>
      <c r="BS38" s="24"/>
      <c r="BT38" s="24"/>
      <c r="BU38" s="24"/>
      <c r="BV38" s="62"/>
      <c r="BW38" s="62"/>
      <c r="BX38" s="65"/>
      <c r="BY38" s="63"/>
      <c r="BZ38" s="24"/>
      <c r="CA38" s="24"/>
      <c r="CB38" s="24"/>
      <c r="CC38" s="62"/>
      <c r="CD38" s="62"/>
      <c r="CE38" s="62"/>
      <c r="CF38" s="66">
        <f>SUM(CF7:CF37)</f>
        <v>2471.5350000000003</v>
      </c>
      <c r="CG38" s="66">
        <f>SUM(CG7:CG37)</f>
        <v>1152.1720009999999</v>
      </c>
      <c r="CH38" s="61">
        <f>SUM(CH7:CH37)</f>
        <v>609.51600100000007</v>
      </c>
      <c r="CI38" s="67">
        <f>SUM(CI7:CI37)</f>
        <v>473.637</v>
      </c>
      <c r="CJ38" s="210"/>
      <c r="CK38" s="266"/>
      <c r="CL38" s="211"/>
      <c r="CM38" s="212"/>
      <c r="CN38" s="213"/>
      <c r="CO38" s="68">
        <f t="shared" ref="CO38:CY38" si="34">SUM(CO7:CO37)</f>
        <v>4661.4717172999999</v>
      </c>
      <c r="CP38" s="69">
        <f t="shared" si="34"/>
        <v>1271.2527020999999</v>
      </c>
      <c r="CQ38" s="70">
        <f t="shared" si="34"/>
        <v>9.9999998999999992E-7</v>
      </c>
      <c r="CR38" s="69">
        <f t="shared" si="34"/>
        <v>842.57000099999993</v>
      </c>
      <c r="CS38" s="72">
        <f t="shared" si="34"/>
        <v>9.9999998999999992E-7</v>
      </c>
      <c r="CT38" s="72">
        <f t="shared" si="34"/>
        <v>9.9999998999999992E-7</v>
      </c>
      <c r="CU38" s="71">
        <f t="shared" si="34"/>
        <v>653.54999976091005</v>
      </c>
      <c r="CV38" s="72">
        <f t="shared" si="34"/>
        <v>2399.4072049000001</v>
      </c>
      <c r="CW38" s="72">
        <f t="shared" si="34"/>
        <v>1114.1954544</v>
      </c>
      <c r="CX38" s="72">
        <f t="shared" si="34"/>
        <v>595.18893000000003</v>
      </c>
      <c r="CY38" s="72">
        <f t="shared" si="34"/>
        <v>460.96144089999996</v>
      </c>
      <c r="CZ38" s="70"/>
      <c r="DA38" s="240">
        <f>(D38+'[2]октябрь 20 '!D38)/(AY38+'[2]октябрь 20 '!BA38)</f>
        <v>2.188828174352353</v>
      </c>
      <c r="DB38" s="241">
        <f>(T38+'[2]октябрь 20 '!T38)/(AY38+'[2]октябрь 20 '!BA38)</f>
        <v>1.3350183043820079</v>
      </c>
      <c r="DD38" s="295">
        <f>SUM(DD7:DD37)</f>
        <v>300.197</v>
      </c>
      <c r="DE38" s="296">
        <f>(SUMPRODUCT(DD7:DD37,DE7:DE37))/DD38</f>
        <v>0.54404124624829686</v>
      </c>
      <c r="DF38" s="296">
        <f>(SUMPRODUCT(DD7:DD37,DF7:DF37))/DD38</f>
        <v>13.352973214255968</v>
      </c>
      <c r="DG38" s="296">
        <f>(SUMPRODUCT(DE7:DE37,DG7:DG37))/DE38</f>
        <v>297.4986477388004</v>
      </c>
      <c r="DH38" s="324">
        <f>IF(J38=0,0,(DG38*DF38%)/(AB39/100))</f>
        <v>52.196288586802069</v>
      </c>
    </row>
    <row r="39" spans="1:114" s="214" customFormat="1" ht="16.5" customHeight="1" thickBot="1">
      <c r="A39" s="93" t="s">
        <v>57</v>
      </c>
      <c r="B39" s="349">
        <f>B38/AU2</f>
        <v>242.26983870967737</v>
      </c>
      <c r="C39" s="349">
        <f>(BK38*BR39+BM38*BT39+BQ38*BX39+BL38*BS39+BN38*BU39+BO38*BV39+BP38*BW39)/B38</f>
        <v>1.0854409983947524</v>
      </c>
      <c r="D39" s="350">
        <f>D38/AU2</f>
        <v>239.64014255357779</v>
      </c>
      <c r="E39" s="349">
        <f>(BK38*BY39+BM38*CA39+BQ38*CE39+BL38*BZ39+BN38*CB39+BO38*CC39+BP38*CD39)/B38</f>
        <v>39.066784107030763</v>
      </c>
      <c r="F39" s="351">
        <f>IF($AY$38=0,0,$D$38/$AY$38)</f>
        <v>2.2004023598501568</v>
      </c>
      <c r="G39" s="352">
        <f>G38/AU2</f>
        <v>11.565161290322582</v>
      </c>
      <c r="H39" s="353">
        <f>IF($AY$38=0,0,(CP38+CO38+CS38+CQ38+CT38)/AY38)</f>
        <v>1.7572559179889398</v>
      </c>
      <c r="I39" s="349">
        <f>I38/AU2</f>
        <v>0</v>
      </c>
      <c r="J39" s="349">
        <f>J38/AU2</f>
        <v>9.6837741935483876</v>
      </c>
      <c r="K39" s="349">
        <f>K38/AU2</f>
        <v>0</v>
      </c>
      <c r="L39" s="349">
        <f>L38/AU2</f>
        <v>48.261935483870964</v>
      </c>
      <c r="M39" s="354">
        <f>IF($AY$38=0,0,(CR38+CU38)/$AY$38)</f>
        <v>0.44314644304600526</v>
      </c>
      <c r="N39" s="349">
        <f>N38/AU2</f>
        <v>0</v>
      </c>
      <c r="O39" s="349">
        <f>O38/AU2</f>
        <v>5.0902903225806444</v>
      </c>
      <c r="P39" s="349">
        <f>P38/AU2</f>
        <v>151.83419361290325</v>
      </c>
      <c r="Q39" s="349">
        <f>Q38/AU2</f>
        <v>151.83419354838708</v>
      </c>
      <c r="R39" s="349">
        <f>(SUMPRODUCT(R7:R37,Q7:Q37))/Q38</f>
        <v>2.9129179920371548</v>
      </c>
      <c r="S39" s="355">
        <f>S38/AU2</f>
        <v>9.3038709677419362</v>
      </c>
      <c r="T39" s="356"/>
      <c r="U39" s="354">
        <f>IF($AY$38=0,0,$T$38/$AY$38)</f>
        <v>1.353547709418772</v>
      </c>
      <c r="V39" s="349">
        <f>V38/AU2</f>
        <v>103.37580645161292</v>
      </c>
      <c r="W39" s="349">
        <f>W38/AU2</f>
        <v>85.583225806451594</v>
      </c>
      <c r="X39" s="349">
        <f>(SUMPRODUCT(X7:X37,AY7:AY37))/AY38</f>
        <v>0.72680936456830747</v>
      </c>
      <c r="Y39" s="357">
        <f>AVERAGE(Y7:Y37)</f>
        <v>561.06451612903231</v>
      </c>
      <c r="Z39" s="357">
        <f>AVERAGE(Z7:Z37)</f>
        <v>1157.5483870967741</v>
      </c>
      <c r="AA39" s="357"/>
      <c r="AB39" s="349">
        <f>(SUMPRODUCT(AB7:AB37,AY7:AY37))/AY38</f>
        <v>76.106780426109168</v>
      </c>
      <c r="AC39" s="358">
        <f>AVERAGE(AC7:AC37)</f>
        <v>97.161290322580641</v>
      </c>
      <c r="AD39" s="358">
        <f>AVERAGE(AD7:AD37)</f>
        <v>4.5483870967741939</v>
      </c>
      <c r="AE39" s="349">
        <f>AE38/AU2</f>
        <v>2.3274193548387094</v>
      </c>
      <c r="AF39" s="355">
        <f>IF(AY38=0,0,AE38/AY38*1000)</f>
        <v>21.370622576737265</v>
      </c>
      <c r="AG39" s="356" t="e">
        <f>AG38/$AW$2</f>
        <v>#DIV/0!</v>
      </c>
      <c r="AH39" s="349">
        <f>AH38/AU2</f>
        <v>68.712903225806457</v>
      </c>
      <c r="AI39" s="355">
        <f>IF(AY38=0,0,AH38/AY38*1000)</f>
        <v>630.92949619830983</v>
      </c>
      <c r="AJ39" s="349">
        <f>AJ38/AU2</f>
        <v>15.927096774193551</v>
      </c>
      <c r="AK39" s="359"/>
      <c r="AL39" s="349">
        <f>AL38/AU2</f>
        <v>7.605806451612902</v>
      </c>
      <c r="AM39" s="349">
        <f>AM38/AU2</f>
        <v>30.913225806451607</v>
      </c>
      <c r="AN39" s="360">
        <f>IF(AM39=0,0,AM39/AT39)</f>
        <v>0.21281353749125595</v>
      </c>
      <c r="AO39" s="356"/>
      <c r="AP39" s="349">
        <f>AVERAGE(AP7:AP37)</f>
        <v>7.2154838709677422</v>
      </c>
      <c r="AQ39" s="349">
        <f>AVERAGE(AQ7:AQ37)</f>
        <v>8.2267741935483869</v>
      </c>
      <c r="AR39" s="356"/>
      <c r="AS39" s="349">
        <f>AVERAGE(AS7:AS37)</f>
        <v>7.7900000000000009</v>
      </c>
      <c r="AT39" s="349">
        <f>AT38/AU2</f>
        <v>145.2596774193548</v>
      </c>
      <c r="AU39" s="349">
        <f>AU38/AU2</f>
        <v>2.1667741935483873</v>
      </c>
      <c r="AV39" s="349" t="e">
        <f>AV38/$AW$2</f>
        <v>#DIV/0!</v>
      </c>
      <c r="AW39" s="349" t="e">
        <f>AW38/$AW$2</f>
        <v>#DIV/0!</v>
      </c>
      <c r="AX39" s="349" t="e">
        <f>IF(AY39=0,0,AW39/AY39*100)</f>
        <v>#DIV/0!</v>
      </c>
      <c r="AY39" s="349">
        <f>AY38/AU2</f>
        <v>108.90741935483872</v>
      </c>
      <c r="AZ39" s="349">
        <f>AZ38/AU2</f>
        <v>109.08286258427849</v>
      </c>
      <c r="BA39" s="356"/>
      <c r="BB39" s="356"/>
      <c r="BC39" s="351">
        <f>(AY38*AB39)/(D38*E39)</f>
        <v>0.88534713379060692</v>
      </c>
      <c r="BD39" s="349">
        <f>BD38/AU2</f>
        <v>8.4266904702408016</v>
      </c>
      <c r="BE39" s="361"/>
      <c r="BF39" s="19"/>
      <c r="BG39" s="19"/>
      <c r="BH39" s="19"/>
      <c r="BI39" s="19"/>
      <c r="BJ39" s="215"/>
      <c r="BK39" s="73"/>
      <c r="BL39" s="216"/>
      <c r="BM39" s="216"/>
      <c r="BN39" s="216"/>
      <c r="BO39" s="219"/>
      <c r="BP39" s="219"/>
      <c r="BQ39" s="217"/>
      <c r="BR39" s="73">
        <f>(SUMPRODUCT(BK7:BK37,BR7:BR37))/BK38</f>
        <v>1.4780242287541345</v>
      </c>
      <c r="BS39" s="29">
        <f>(SUMPRODUCT(BL7:BL37,BS7:BS37))/BL38</f>
        <v>0.9034080502509273</v>
      </c>
      <c r="BT39" s="29">
        <f t="shared" ref="BT39:BX39" si="35">(SUMPRODUCT(BM7:BM37,BT7:BT37))/BM38</f>
        <v>9.9999999999999995E-7</v>
      </c>
      <c r="BU39" s="29">
        <f t="shared" si="35"/>
        <v>1.1868450085015546E-15</v>
      </c>
      <c r="BV39" s="29">
        <f t="shared" si="35"/>
        <v>9.9999999999999995E-7</v>
      </c>
      <c r="BW39" s="29">
        <f t="shared" si="35"/>
        <v>9.9999999999999995E-7</v>
      </c>
      <c r="BX39" s="74">
        <f t="shared" si="35"/>
        <v>3.6583275954402866E-8</v>
      </c>
      <c r="BY39" s="73">
        <f t="shared" ref="BY39:CE39" si="36">(SUMPRODUCT(BK7:BK37,BY7:BY37))/BK38</f>
        <v>38.197115453915053</v>
      </c>
      <c r="BZ39" s="29">
        <f t="shared" si="36"/>
        <v>37.212323279094392</v>
      </c>
      <c r="CA39" s="29">
        <f t="shared" si="36"/>
        <v>9.9999999999999995E-7</v>
      </c>
      <c r="CB39" s="29">
        <f t="shared" si="36"/>
        <v>43.320530242804125</v>
      </c>
      <c r="CC39" s="29">
        <f t="shared" si="36"/>
        <v>9.9999999999999995E-7</v>
      </c>
      <c r="CD39" s="29">
        <f t="shared" si="36"/>
        <v>9.9999999999999995E-7</v>
      </c>
      <c r="CE39" s="74">
        <f t="shared" si="36"/>
        <v>43.51885998010863</v>
      </c>
      <c r="CF39" s="218"/>
      <c r="CG39" s="218"/>
      <c r="CH39" s="216"/>
      <c r="CI39" s="219"/>
      <c r="CJ39" s="75">
        <f>(SUMPRODUCT(CF7:CF37,CJ7:CJ37))/CF38</f>
        <v>2.9183400235076578</v>
      </c>
      <c r="CK39" s="75">
        <f>(SUMPRODUCT(CG7:CG37,CK7:CK37))/CG38</f>
        <v>3.2960830993149619</v>
      </c>
      <c r="CL39" s="29">
        <f>(SUMPRODUCT(CH7:CH37,CL7:CL37))/CH38</f>
        <v>2.3505651986977134</v>
      </c>
      <c r="CM39" s="74">
        <f>(SUMPRODUCT(CI7:CI37,CM7:CM37))/CI38</f>
        <v>2.676218095292386</v>
      </c>
      <c r="CN39" s="19"/>
      <c r="CO39" s="596">
        <f>CO38+CP38</f>
        <v>5932.7244193999995</v>
      </c>
      <c r="CP39" s="596"/>
      <c r="CQ39" s="597">
        <f>CQ38+CR38+CU38+CS38+CT38</f>
        <v>1496.1200037609096</v>
      </c>
      <c r="CR39" s="597"/>
      <c r="CS39" s="597"/>
      <c r="CT39" s="597"/>
      <c r="CU39" s="597"/>
      <c r="CV39" s="597">
        <f>CV38+CX38+CY38+CW38</f>
        <v>4569.7530301999996</v>
      </c>
      <c r="CW39" s="597"/>
      <c r="CX39" s="597"/>
      <c r="CY39" s="597"/>
      <c r="DA39" s="236"/>
      <c r="DB39" s="238"/>
      <c r="DD39" s="297"/>
      <c r="DE39" s="298"/>
      <c r="DF39" s="298"/>
      <c r="DG39" s="299"/>
      <c r="DH39" s="300"/>
    </row>
    <row r="40" spans="1:114" s="214" customFormat="1" ht="16.5" customHeight="1" thickBot="1">
      <c r="A40" s="94" t="s">
        <v>58</v>
      </c>
      <c r="B40" s="362"/>
      <c r="C40" s="362"/>
      <c r="D40" s="363"/>
      <c r="E40" s="364">
        <v>37.4</v>
      </c>
      <c r="F40" s="363">
        <v>2.15</v>
      </c>
      <c r="G40" s="365">
        <v>10.346</v>
      </c>
      <c r="H40" s="363">
        <v>1.8274999999999999</v>
      </c>
      <c r="I40" s="363"/>
      <c r="J40" s="363">
        <v>10.064</v>
      </c>
      <c r="K40" s="363"/>
      <c r="L40" s="363"/>
      <c r="M40" s="363">
        <v>0.32250000000000001</v>
      </c>
      <c r="N40" s="363"/>
      <c r="O40" s="363">
        <v>4.4029999999999996</v>
      </c>
      <c r="P40" s="366"/>
      <c r="Q40" s="362"/>
      <c r="R40" s="367"/>
      <c r="S40" s="368">
        <v>14.468</v>
      </c>
      <c r="T40" s="362"/>
      <c r="U40" s="369">
        <v>1.28</v>
      </c>
      <c r="V40" s="370">
        <v>3900</v>
      </c>
      <c r="W40" s="370">
        <v>3900</v>
      </c>
      <c r="X40" s="371"/>
      <c r="Y40" s="371"/>
      <c r="Z40" s="372">
        <v>1190</v>
      </c>
      <c r="AA40" s="372"/>
      <c r="AB40" s="362">
        <v>76</v>
      </c>
      <c r="AC40" s="362"/>
      <c r="AD40" s="362"/>
      <c r="AE40" s="362"/>
      <c r="AF40" s="362"/>
      <c r="AG40" s="362"/>
      <c r="AH40" s="362"/>
      <c r="AI40" s="362">
        <v>730</v>
      </c>
      <c r="AJ40" s="373"/>
      <c r="AK40" s="374"/>
      <c r="AL40" s="375"/>
      <c r="AM40" s="362"/>
      <c r="AN40" s="362"/>
      <c r="AO40" s="362"/>
      <c r="AP40" s="362"/>
      <c r="AQ40" s="362"/>
      <c r="AR40" s="362"/>
      <c r="AS40" s="362"/>
      <c r="AT40" s="376">
        <v>3900</v>
      </c>
      <c r="AU40" s="377">
        <v>46.8</v>
      </c>
      <c r="AV40" s="377"/>
      <c r="AW40" s="378"/>
      <c r="AX40" s="362"/>
      <c r="AY40" s="379">
        <v>125.806</v>
      </c>
      <c r="AZ40" s="362"/>
      <c r="BA40" s="362"/>
      <c r="BB40" s="362"/>
      <c r="BC40" s="363">
        <v>0.9</v>
      </c>
      <c r="BD40" s="362"/>
      <c r="BE40" s="380"/>
      <c r="BF40" s="19"/>
      <c r="BG40" s="19"/>
      <c r="BH40" s="19"/>
      <c r="BI40" s="19"/>
      <c r="BJ40" s="215"/>
      <c r="BK40" s="220"/>
      <c r="BL40" s="221"/>
      <c r="BM40" s="216"/>
      <c r="BN40" s="216"/>
      <c r="BO40" s="219"/>
      <c r="BP40" s="219"/>
      <c r="BQ40" s="217"/>
      <c r="BR40" s="218"/>
      <c r="BS40" s="216"/>
      <c r="BT40" s="216"/>
      <c r="BU40" s="216"/>
      <c r="BV40" s="219"/>
      <c r="BW40" s="219"/>
      <c r="BX40" s="217"/>
      <c r="BY40" s="218"/>
      <c r="BZ40" s="216"/>
      <c r="CA40" s="216"/>
      <c r="CB40" s="216"/>
      <c r="CC40" s="219"/>
      <c r="CD40" s="219"/>
      <c r="CE40" s="217"/>
      <c r="CF40" s="218"/>
      <c r="CG40" s="218"/>
      <c r="CH40" s="216"/>
      <c r="CI40" s="219"/>
      <c r="CJ40" s="220"/>
      <c r="CK40" s="218"/>
      <c r="CL40" s="216"/>
      <c r="CM40" s="217"/>
      <c r="CN40" s="213"/>
      <c r="CO40" s="604">
        <f>CO39+CQ39</f>
        <v>7428.8444231609092</v>
      </c>
      <c r="CP40" s="604"/>
      <c r="CQ40" s="604"/>
      <c r="CR40" s="604"/>
      <c r="CS40" s="604"/>
      <c r="CT40" s="604"/>
      <c r="CU40" s="604"/>
      <c r="DA40" s="237"/>
      <c r="DB40" s="239"/>
      <c r="DD40" s="301"/>
      <c r="DE40" s="302"/>
      <c r="DF40" s="302"/>
      <c r="DG40" s="303"/>
      <c r="DH40" s="304"/>
    </row>
    <row r="41" spans="1:114" s="214" customFormat="1" ht="16.5" customHeight="1" thickBot="1">
      <c r="A41" s="95" t="s">
        <v>59</v>
      </c>
      <c r="B41" s="381"/>
      <c r="C41" s="381"/>
      <c r="D41" s="382"/>
      <c r="E41" s="381"/>
      <c r="F41" s="383">
        <f>F39-F40</f>
        <v>5.0402359850156842E-2</v>
      </c>
      <c r="G41" s="384">
        <f>G39-G40</f>
        <v>1.2191612903225817</v>
      </c>
      <c r="H41" s="383"/>
      <c r="I41" s="385">
        <f>I39-I40</f>
        <v>0</v>
      </c>
      <c r="J41" s="385"/>
      <c r="K41" s="385"/>
      <c r="L41" s="385"/>
      <c r="M41" s="385"/>
      <c r="N41" s="385"/>
      <c r="O41" s="385"/>
      <c r="P41" s="383"/>
      <c r="Q41" s="386"/>
      <c r="R41" s="385">
        <f>R39-R40</f>
        <v>2.9129179920371548</v>
      </c>
      <c r="S41" s="386"/>
      <c r="T41" s="386"/>
      <c r="U41" s="383">
        <f>U39-U40</f>
        <v>7.3547709418771978E-2</v>
      </c>
      <c r="V41" s="383"/>
      <c r="W41" s="383"/>
      <c r="X41" s="383"/>
      <c r="Y41" s="383"/>
      <c r="Z41" s="387">
        <f>Z39-Z40</f>
        <v>-32.45161290322585</v>
      </c>
      <c r="AA41" s="388"/>
      <c r="AB41" s="381"/>
      <c r="AC41" s="381"/>
      <c r="AD41" s="381"/>
      <c r="AE41" s="381"/>
      <c r="AF41" s="381"/>
      <c r="AG41" s="381"/>
      <c r="AH41" s="381"/>
      <c r="AI41" s="381"/>
      <c r="AJ41" s="381"/>
      <c r="AK41" s="389"/>
      <c r="AL41" s="390"/>
      <c r="AM41" s="381"/>
      <c r="AN41" s="381"/>
      <c r="AO41" s="381"/>
      <c r="AP41" s="381"/>
      <c r="AQ41" s="381"/>
      <c r="AR41" s="381"/>
      <c r="AS41" s="381"/>
      <c r="AT41" s="391">
        <f>AT38+AV38-AT40</f>
        <v>603.04999999999927</v>
      </c>
      <c r="AU41" s="392"/>
      <c r="AV41" s="393"/>
      <c r="AW41" s="390"/>
      <c r="AX41" s="381"/>
      <c r="AY41" s="385"/>
      <c r="AZ41" s="381"/>
      <c r="BA41" s="381"/>
      <c r="BB41" s="381"/>
      <c r="BC41" s="394"/>
      <c r="BD41" s="381"/>
      <c r="BE41" s="395"/>
      <c r="BF41" s="222"/>
      <c r="BG41" s="222"/>
      <c r="BH41" s="222"/>
      <c r="BI41" s="222"/>
      <c r="BJ41" s="222"/>
      <c r="BK41" s="223"/>
      <c r="BL41" s="224"/>
      <c r="BM41" s="225"/>
      <c r="BN41" s="225"/>
      <c r="BO41" s="224"/>
      <c r="BP41" s="224"/>
      <c r="BQ41" s="226"/>
      <c r="BR41" s="227"/>
      <c r="BS41" s="225"/>
      <c r="BT41" s="225"/>
      <c r="BU41" s="225"/>
      <c r="BV41" s="224"/>
      <c r="BW41" s="224"/>
      <c r="BX41" s="224"/>
      <c r="BY41" s="228"/>
      <c r="BZ41" s="225"/>
      <c r="CA41" s="225"/>
      <c r="CB41" s="225"/>
      <c r="CC41" s="224"/>
      <c r="CD41" s="224"/>
      <c r="CE41" s="226"/>
      <c r="CF41" s="227"/>
      <c r="CG41" s="227"/>
      <c r="CH41" s="225"/>
      <c r="CI41" s="224"/>
      <c r="CJ41" s="228"/>
      <c r="CK41" s="227"/>
      <c r="CL41" s="225"/>
      <c r="CM41" s="226"/>
      <c r="CN41" s="213"/>
      <c r="CO41" s="213"/>
      <c r="CP41" s="213"/>
      <c r="CQ41" s="213"/>
      <c r="DA41" s="21"/>
      <c r="DH41" s="309"/>
    </row>
    <row r="42" spans="1:114" ht="15" hidden="1" customHeight="1">
      <c r="A42" s="96"/>
      <c r="B42" s="96"/>
      <c r="C42" s="96"/>
      <c r="D42" s="97"/>
      <c r="E42" s="96"/>
      <c r="F42" s="98"/>
      <c r="G42" s="99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1"/>
      <c r="AF42" s="101"/>
      <c r="AG42" s="100"/>
      <c r="AH42" s="100"/>
      <c r="AI42" s="100"/>
      <c r="AJ42" s="100"/>
      <c r="AK42" s="100"/>
      <c r="AL42" s="100"/>
      <c r="AM42" s="100"/>
      <c r="AN42" s="100"/>
      <c r="AO42" s="100"/>
      <c r="AP42" s="100"/>
      <c r="AQ42" s="100"/>
      <c r="AR42" s="100"/>
      <c r="AS42" s="96"/>
      <c r="AT42" s="612"/>
      <c r="AU42" s="612"/>
      <c r="AV42" s="612"/>
      <c r="AW42" s="96"/>
      <c r="AX42" s="96"/>
      <c r="AY42" s="100"/>
      <c r="AZ42" s="100"/>
      <c r="BA42" s="100"/>
      <c r="BB42" s="100"/>
      <c r="BC42" s="100"/>
      <c r="BD42" s="100"/>
      <c r="BE42" s="100"/>
      <c r="BK42" s="20"/>
      <c r="BL42" s="20"/>
      <c r="BM42" s="20"/>
    </row>
    <row r="43" spans="1:114" ht="13.5" thickBot="1">
      <c r="A43" s="100"/>
      <c r="B43" s="100"/>
      <c r="C43" s="100"/>
      <c r="D43" s="102"/>
      <c r="E43" s="100"/>
      <c r="F43" s="100"/>
      <c r="G43" s="96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1"/>
      <c r="AF43" s="101"/>
      <c r="AG43" s="100"/>
      <c r="AH43" s="100"/>
      <c r="AI43" s="100"/>
      <c r="AJ43" s="100"/>
      <c r="AK43" s="100"/>
      <c r="AL43" s="100"/>
      <c r="AM43" s="100"/>
      <c r="AN43" s="100"/>
      <c r="AO43" s="100"/>
      <c r="AP43" s="100"/>
      <c r="AQ43" s="100"/>
      <c r="AR43" s="100"/>
      <c r="AS43" s="96" t="s">
        <v>60</v>
      </c>
      <c r="AT43" s="103">
        <f>AT40/BE43</f>
        <v>125.80645161290323</v>
      </c>
      <c r="AU43" s="104"/>
      <c r="AV43" s="96"/>
      <c r="AW43" s="96" t="s">
        <v>61</v>
      </c>
      <c r="AX43" s="96"/>
      <c r="AY43" s="100"/>
      <c r="AZ43" s="100"/>
      <c r="BA43" s="100"/>
      <c r="BB43" s="100"/>
      <c r="BC43" s="100"/>
      <c r="BD43" s="105" t="s">
        <v>62</v>
      </c>
      <c r="BE43" s="100">
        <v>31</v>
      </c>
      <c r="CR43" s="1"/>
    </row>
    <row r="44" spans="1:114" ht="16.5" customHeight="1" thickBot="1">
      <c r="A44" s="100"/>
      <c r="B44" s="100"/>
      <c r="C44" s="100"/>
      <c r="D44" s="102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489" t="s">
        <v>343</v>
      </c>
      <c r="AG44" s="488"/>
      <c r="AH44" s="488"/>
      <c r="AI44" s="488"/>
      <c r="AJ44" s="488"/>
      <c r="AK44" s="488"/>
      <c r="AL44" s="488"/>
      <c r="AM44" s="490">
        <f>AM38/AT38</f>
        <v>0.21281353749125592</v>
      </c>
      <c r="AN44" s="479"/>
      <c r="AO44" s="480" t="s">
        <v>88</v>
      </c>
      <c r="AP44" s="100"/>
      <c r="AQ44" s="100"/>
      <c r="AR44" s="100"/>
      <c r="AS44" s="100"/>
      <c r="AT44" s="100"/>
      <c r="AU44" s="100"/>
      <c r="AV44" s="100"/>
      <c r="AW44" s="100"/>
      <c r="AX44" s="100"/>
      <c r="AY44" s="100"/>
      <c r="AZ44" s="100"/>
      <c r="BA44" s="100"/>
      <c r="BB44" s="100"/>
      <c r="BC44" s="100"/>
      <c r="BD44" s="96"/>
      <c r="BE44" s="96"/>
      <c r="CO44" s="511"/>
      <c r="CP44" s="511"/>
      <c r="CQ44" s="511"/>
      <c r="CR44" s="511">
        <v>7428.8440000000001</v>
      </c>
      <c r="CV44" s="511"/>
      <c r="CW44" s="511"/>
      <c r="CX44" s="511"/>
      <c r="CY44" s="511"/>
    </row>
    <row r="45" spans="1:114" ht="13.5" thickBot="1">
      <c r="A45" s="100"/>
      <c r="B45" s="100"/>
      <c r="C45" s="100"/>
      <c r="D45" s="102"/>
      <c r="E45" s="100"/>
      <c r="F45" s="100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101"/>
      <c r="AE45" s="101"/>
      <c r="AF45" s="101"/>
      <c r="AG45" s="100"/>
      <c r="AH45" s="100"/>
      <c r="AI45" s="100"/>
      <c r="AJ45" s="100"/>
      <c r="AK45" s="100"/>
      <c r="AL45" s="100"/>
      <c r="AM45" s="106" t="s">
        <v>63</v>
      </c>
      <c r="AN45" s="106"/>
      <c r="AO45" s="106"/>
      <c r="AP45" s="106"/>
      <c r="AQ45" s="106"/>
      <c r="AR45" s="106"/>
      <c r="AS45" s="107" t="s">
        <v>64</v>
      </c>
      <c r="AT45" s="108">
        <v>30</v>
      </c>
      <c r="AU45" s="108"/>
      <c r="AV45" s="100"/>
      <c r="AW45" s="100"/>
      <c r="AX45" s="100"/>
      <c r="AY45" s="100"/>
      <c r="AZ45" s="100"/>
      <c r="BA45" s="100"/>
      <c r="BB45" s="100"/>
      <c r="BC45" s="100"/>
      <c r="BD45" s="96"/>
      <c r="BE45" s="96"/>
      <c r="BM45" s="1"/>
      <c r="BS45" s="1"/>
    </row>
    <row r="46" spans="1:114" ht="12.75" customHeight="1" thickBot="1">
      <c r="A46" s="100"/>
      <c r="B46" s="100"/>
      <c r="C46" s="109" t="s">
        <v>65</v>
      </c>
      <c r="D46" s="102"/>
      <c r="E46" s="100"/>
      <c r="F46" s="100"/>
      <c r="G46" s="100"/>
      <c r="H46" s="100"/>
      <c r="I46" s="100"/>
      <c r="J46" s="100"/>
      <c r="K46" s="100"/>
      <c r="L46" s="110">
        <f>AT38/AD38</f>
        <v>31.936524822695031</v>
      </c>
      <c r="M46" s="109" t="s">
        <v>88</v>
      </c>
      <c r="N46" s="606"/>
      <c r="O46" s="606"/>
      <c r="P46" s="111"/>
      <c r="Q46" s="100"/>
      <c r="R46" s="100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101"/>
      <c r="AE46" s="101"/>
      <c r="AF46" s="101"/>
      <c r="AG46" s="100"/>
      <c r="AH46" s="100"/>
      <c r="AI46" s="100"/>
      <c r="AJ46" s="100"/>
      <c r="AK46" s="100"/>
      <c r="AL46" s="100"/>
      <c r="AM46" s="100"/>
      <c r="AN46" s="100"/>
      <c r="AO46" s="106"/>
      <c r="AP46" s="106"/>
      <c r="AQ46" s="106"/>
      <c r="AR46" s="106"/>
      <c r="AS46" s="107" t="s">
        <v>66</v>
      </c>
      <c r="AT46" s="112">
        <f>AT40/AT45</f>
        <v>130</v>
      </c>
      <c r="AU46" s="112"/>
      <c r="AV46" s="100"/>
      <c r="AW46" s="100"/>
      <c r="AX46" s="100">
        <v>0</v>
      </c>
      <c r="AY46" s="100"/>
      <c r="AZ46" s="607" t="s">
        <v>67</v>
      </c>
      <c r="BA46" s="607"/>
      <c r="BB46" s="607"/>
      <c r="BC46" s="607"/>
      <c r="BD46" s="607"/>
      <c r="BE46" s="607"/>
    </row>
    <row r="47" spans="1:114">
      <c r="A47" s="100"/>
      <c r="B47" s="100"/>
      <c r="C47" s="100"/>
      <c r="D47" s="102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100"/>
      <c r="AI47" s="100"/>
      <c r="AJ47" s="100"/>
      <c r="AK47" s="100"/>
      <c r="AL47" s="100"/>
      <c r="AM47" s="100"/>
      <c r="AN47" s="100"/>
      <c r="AO47" s="100"/>
      <c r="AP47" s="100"/>
      <c r="AQ47" s="100"/>
      <c r="AR47" s="100"/>
      <c r="AS47" s="100"/>
      <c r="AT47" s="100"/>
      <c r="AU47" s="100"/>
      <c r="AV47" s="100"/>
      <c r="AW47" s="100"/>
      <c r="AX47" s="100"/>
      <c r="AY47" s="100"/>
      <c r="AZ47" s="607"/>
      <c r="BA47" s="607"/>
      <c r="BB47" s="607"/>
      <c r="BC47" s="607"/>
      <c r="BD47" s="607"/>
      <c r="BE47" s="607"/>
    </row>
    <row r="48" spans="1:114">
      <c r="A48" s="100"/>
      <c r="B48" s="100"/>
      <c r="C48" s="100"/>
      <c r="D48" s="102"/>
      <c r="E48" s="100"/>
      <c r="F48" s="100"/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13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  <c r="AE48" s="100"/>
      <c r="AF48" s="100"/>
      <c r="AG48" s="100"/>
      <c r="AH48" s="100"/>
      <c r="AI48" s="100"/>
      <c r="AJ48" s="100"/>
      <c r="AK48" s="100"/>
      <c r="AL48" s="100"/>
      <c r="AM48" s="100"/>
      <c r="AN48" s="100"/>
      <c r="AO48" s="100"/>
      <c r="AP48" s="100"/>
      <c r="AQ48" s="100"/>
      <c r="AR48" s="100"/>
      <c r="AS48" s="100"/>
      <c r="AT48" s="100"/>
      <c r="AU48" s="100"/>
      <c r="AV48" s="100"/>
      <c r="AW48" s="100"/>
      <c r="AX48" s="100"/>
      <c r="AY48" s="100"/>
      <c r="AZ48" s="608">
        <f>BF37-BJ37</f>
        <v>-523.87000000000126</v>
      </c>
      <c r="BA48" s="608"/>
      <c r="BB48" s="608"/>
      <c r="BC48" s="608"/>
      <c r="BD48" s="609" t="s">
        <v>68</v>
      </c>
      <c r="BE48" s="114"/>
    </row>
    <row r="49" spans="1:57" ht="12" customHeight="1">
      <c r="A49" s="100"/>
      <c r="B49" s="100"/>
      <c r="C49" s="100"/>
      <c r="D49" s="102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15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100"/>
      <c r="AI49" s="100"/>
      <c r="AJ49" s="100"/>
      <c r="AK49" s="100"/>
      <c r="AL49" s="100"/>
      <c r="AM49" s="100"/>
      <c r="AN49" s="100"/>
      <c r="AO49" s="100"/>
      <c r="AP49" s="100"/>
      <c r="AQ49" s="100"/>
      <c r="AR49" s="100"/>
      <c r="AS49" s="100"/>
      <c r="AT49" s="100"/>
      <c r="AU49" s="100"/>
      <c r="AV49" s="100"/>
      <c r="AW49" s="100"/>
      <c r="AX49" s="100"/>
      <c r="AY49" s="100"/>
      <c r="AZ49" s="608"/>
      <c r="BA49" s="608"/>
      <c r="BB49" s="608"/>
      <c r="BC49" s="608"/>
      <c r="BD49" s="609"/>
      <c r="BE49" s="114"/>
    </row>
    <row r="50" spans="1:57" ht="13.5" customHeight="1">
      <c r="A50" s="100"/>
      <c r="B50" s="100"/>
      <c r="C50" s="100"/>
      <c r="D50" s="102"/>
      <c r="E50" s="100"/>
      <c r="F50" s="100"/>
      <c r="G50" s="100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100"/>
      <c r="AC50" s="100"/>
      <c r="AD50" s="100"/>
      <c r="AE50" s="100"/>
      <c r="AF50" s="100"/>
      <c r="AG50" s="100"/>
      <c r="AH50" s="100"/>
      <c r="AI50" s="100"/>
      <c r="AJ50" s="100"/>
      <c r="AK50" s="100"/>
      <c r="AL50" s="100"/>
      <c r="AM50" s="100"/>
      <c r="AN50" s="100"/>
      <c r="AO50" s="100"/>
      <c r="AP50" s="100"/>
      <c r="AQ50" s="100"/>
      <c r="AR50" s="100"/>
      <c r="AS50" s="100"/>
      <c r="AT50" s="100"/>
      <c r="AU50" s="100"/>
      <c r="AV50" s="100"/>
      <c r="AW50" s="100"/>
      <c r="AX50" s="100"/>
      <c r="AY50" s="100"/>
      <c r="AZ50" s="116"/>
      <c r="BA50" s="96"/>
      <c r="BB50" s="96"/>
      <c r="BC50" s="96"/>
      <c r="BD50" s="96"/>
      <c r="BE50" s="114"/>
    </row>
    <row r="51" spans="1:57" ht="13.5" customHeight="1" thickBot="1">
      <c r="A51" s="100"/>
      <c r="B51" s="100"/>
      <c r="C51" s="100"/>
      <c r="D51" s="102"/>
      <c r="E51" s="100"/>
      <c r="F51" s="100"/>
      <c r="G51" s="100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0"/>
      <c r="AC51" s="100"/>
      <c r="AD51" s="100"/>
      <c r="AE51" s="100"/>
      <c r="AF51" s="100"/>
      <c r="AG51" s="100"/>
      <c r="AH51" s="100"/>
      <c r="AI51" s="100"/>
      <c r="AJ51" s="100"/>
      <c r="AK51" s="100"/>
      <c r="AL51" s="100"/>
      <c r="AM51" s="100"/>
      <c r="AN51" s="100"/>
      <c r="AO51" s="100"/>
      <c r="AP51" s="100"/>
      <c r="AQ51" s="100"/>
      <c r="AR51" s="100"/>
      <c r="AS51" s="100"/>
      <c r="AT51" s="100"/>
      <c r="AU51" s="100"/>
      <c r="AV51" s="100"/>
      <c r="AW51" s="100"/>
      <c r="AX51" s="100"/>
      <c r="AY51" s="100"/>
      <c r="AZ51" s="610">
        <f>AZ48/AT40*100</f>
        <v>-13.432564102564134</v>
      </c>
      <c r="BA51" s="610"/>
      <c r="BB51" s="610"/>
      <c r="BC51" s="610"/>
      <c r="BD51" s="611" t="s">
        <v>69</v>
      </c>
      <c r="BE51" s="114"/>
    </row>
    <row r="52" spans="1:57" ht="13.5" thickBot="1">
      <c r="A52" s="100"/>
      <c r="B52" s="100"/>
      <c r="C52" s="100"/>
      <c r="D52" s="102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  <c r="AF52" s="100"/>
      <c r="AG52" s="100"/>
      <c r="AH52" s="100"/>
      <c r="AI52" s="100"/>
      <c r="AJ52" s="100"/>
      <c r="AK52" s="100"/>
      <c r="AL52" s="100"/>
      <c r="AM52" s="100"/>
      <c r="AN52" s="100"/>
      <c r="AO52" s="100"/>
      <c r="AP52" s="100"/>
      <c r="AQ52" s="100"/>
      <c r="AR52" s="100"/>
      <c r="AS52" s="100"/>
      <c r="AT52" s="100"/>
      <c r="AU52" s="100"/>
      <c r="AV52" s="100"/>
      <c r="AW52" s="100"/>
      <c r="AX52" s="100"/>
      <c r="AY52" s="100"/>
      <c r="AZ52" s="610"/>
      <c r="BA52" s="610"/>
      <c r="BB52" s="610"/>
      <c r="BC52" s="610"/>
      <c r="BD52" s="611"/>
      <c r="BE52" s="117"/>
    </row>
    <row r="53" spans="1:57">
      <c r="A53" s="100"/>
      <c r="B53" s="100"/>
      <c r="C53" s="100"/>
      <c r="D53" s="102"/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100"/>
      <c r="AI53" s="100"/>
      <c r="AJ53" s="100"/>
      <c r="AK53" s="100"/>
      <c r="AL53" s="100"/>
      <c r="AM53" s="100"/>
      <c r="AN53" s="100"/>
      <c r="AO53" s="100"/>
      <c r="AP53" s="100"/>
      <c r="AQ53" s="100"/>
      <c r="AR53" s="100"/>
      <c r="AS53" s="100"/>
      <c r="AT53" s="100"/>
      <c r="AU53" s="100"/>
      <c r="AV53" s="100"/>
      <c r="AW53" s="100"/>
      <c r="AX53" s="100"/>
      <c r="AY53" s="100"/>
      <c r="AZ53" s="100"/>
      <c r="BA53" s="100"/>
      <c r="BB53" s="100"/>
      <c r="BC53" s="100"/>
      <c r="BD53" s="100"/>
      <c r="BE53" s="100"/>
    </row>
    <row r="54" spans="1:57">
      <c r="A54" s="100"/>
      <c r="B54" s="100"/>
      <c r="C54" s="100"/>
      <c r="D54" s="102"/>
      <c r="E54" s="100"/>
      <c r="F54" s="100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100"/>
      <c r="AI54" s="100"/>
      <c r="AJ54" s="100"/>
      <c r="AK54" s="100"/>
      <c r="AL54" s="100"/>
      <c r="AM54" s="100"/>
      <c r="AN54" s="100"/>
      <c r="AO54" s="100"/>
      <c r="AP54" s="100"/>
      <c r="AQ54" s="100"/>
      <c r="AR54" s="100"/>
      <c r="AS54" s="100"/>
      <c r="AT54" s="100"/>
      <c r="AU54" s="100"/>
      <c r="AV54" s="100"/>
      <c r="AW54" s="100"/>
      <c r="AX54" s="100"/>
      <c r="AY54" s="100"/>
      <c r="AZ54" s="100"/>
      <c r="BA54" s="100"/>
      <c r="BB54" s="100"/>
      <c r="BC54" s="100"/>
      <c r="BD54" s="100"/>
      <c r="BE54" s="100"/>
    </row>
    <row r="55" spans="1:57">
      <c r="A55" s="100"/>
      <c r="B55" s="100"/>
      <c r="C55" s="100"/>
      <c r="D55" s="102"/>
      <c r="E55" s="100"/>
      <c r="F55" s="100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  <c r="AH55" s="100"/>
      <c r="AI55" s="100"/>
      <c r="AJ55" s="100"/>
      <c r="AK55" s="100"/>
      <c r="AL55" s="100"/>
      <c r="AM55" s="100"/>
      <c r="AN55" s="100"/>
      <c r="AO55" s="100"/>
      <c r="AP55" s="100"/>
      <c r="AQ55" s="100"/>
      <c r="AR55" s="100"/>
      <c r="AS55" s="100"/>
      <c r="AT55" s="100"/>
      <c r="AU55" s="100"/>
      <c r="AV55" s="100"/>
      <c r="AW55" s="100"/>
      <c r="AX55" s="100"/>
      <c r="AY55" s="100"/>
      <c r="AZ55" s="100"/>
      <c r="BA55" s="100"/>
      <c r="BB55" s="100"/>
      <c r="BC55" s="100"/>
      <c r="BD55" s="100"/>
      <c r="BE55" s="100"/>
    </row>
    <row r="56" spans="1:57" ht="13.5" thickBot="1">
      <c r="A56" s="100"/>
      <c r="B56" s="100"/>
      <c r="C56" s="100"/>
      <c r="D56" s="102"/>
      <c r="E56" s="100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/>
      <c r="AE56" s="100"/>
      <c r="AF56" s="100"/>
      <c r="AG56" s="100"/>
      <c r="AH56" s="100"/>
      <c r="AI56" s="100"/>
      <c r="AJ56" s="100"/>
      <c r="AK56" s="100"/>
      <c r="AL56" s="100"/>
      <c r="AM56" s="100"/>
      <c r="AN56" s="100"/>
      <c r="AO56" s="100"/>
      <c r="AP56" s="100"/>
      <c r="AQ56" s="100"/>
      <c r="AR56" s="100"/>
      <c r="AS56" s="100"/>
      <c r="AT56" s="100"/>
      <c r="AU56" s="100"/>
      <c r="AV56" s="100"/>
      <c r="AW56" s="100"/>
      <c r="AX56" s="100"/>
      <c r="AY56" s="100"/>
      <c r="AZ56" s="100"/>
      <c r="BA56" s="100"/>
      <c r="BB56" s="100"/>
      <c r="BC56" s="100"/>
      <c r="BD56" s="100"/>
      <c r="BE56" s="100"/>
    </row>
    <row r="57" spans="1:57" ht="15.75">
      <c r="A57" s="100"/>
      <c r="B57" s="100"/>
      <c r="C57" s="100"/>
      <c r="D57" s="102"/>
      <c r="E57" s="100"/>
      <c r="F57" s="100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100"/>
      <c r="AI57" s="100"/>
      <c r="AJ57" s="100"/>
      <c r="AK57" s="100"/>
      <c r="AL57" s="100"/>
      <c r="AM57" s="100"/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X57" s="100"/>
      <c r="AY57" s="100"/>
      <c r="AZ57" s="481" t="s">
        <v>344</v>
      </c>
      <c r="BA57" s="482"/>
      <c r="BB57" s="482"/>
      <c r="BC57" s="482"/>
      <c r="BD57" s="482"/>
      <c r="BE57" s="483"/>
    </row>
    <row r="58" spans="1:57" ht="15.75">
      <c r="A58" s="100"/>
      <c r="B58" s="100"/>
      <c r="C58" s="100"/>
      <c r="D58" s="102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  <c r="AA58" s="100"/>
      <c r="AB58" s="100"/>
      <c r="AC58" s="100"/>
      <c r="AD58" s="100"/>
      <c r="AE58" s="100"/>
      <c r="AF58" s="100"/>
      <c r="AG58" s="100"/>
      <c r="AH58" s="100"/>
      <c r="AI58" s="100"/>
      <c r="AJ58" s="100"/>
      <c r="AK58" s="100"/>
      <c r="AL58" s="100"/>
      <c r="AM58" s="100"/>
      <c r="AN58" s="100"/>
      <c r="AO58" s="100"/>
      <c r="AP58" s="100"/>
      <c r="AQ58" s="100"/>
      <c r="AR58" s="100"/>
      <c r="AS58" s="100"/>
      <c r="AT58" s="100"/>
      <c r="AU58" s="100"/>
      <c r="AV58" s="100"/>
      <c r="AW58" s="100"/>
      <c r="AX58" s="100"/>
      <c r="AY58" s="100"/>
      <c r="AZ58" s="484" t="s">
        <v>340</v>
      </c>
      <c r="BA58" s="485"/>
      <c r="BB58" s="485"/>
      <c r="BC58" s="485"/>
      <c r="BD58" s="617">
        <f>'[5]октябрь 20'!$F$38</f>
        <v>958.30999999999983</v>
      </c>
      <c r="BE58" s="618"/>
    </row>
    <row r="59" spans="1:57" ht="16.5" thickBot="1">
      <c r="A59" s="100"/>
      <c r="B59" s="100"/>
      <c r="C59" s="100"/>
      <c r="D59" s="102"/>
      <c r="E59" s="100"/>
      <c r="F59" s="100"/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  <c r="AE59" s="100"/>
      <c r="AF59" s="100"/>
      <c r="AG59" s="100"/>
      <c r="AH59" s="100"/>
      <c r="AI59" s="100"/>
      <c r="AJ59" s="100"/>
      <c r="AK59" s="100"/>
      <c r="AL59" s="100"/>
      <c r="AM59" s="100"/>
      <c r="AN59" s="100"/>
      <c r="AO59" s="100"/>
      <c r="AP59" s="100"/>
      <c r="AQ59" s="100"/>
      <c r="AR59" s="100"/>
      <c r="AS59" s="100"/>
      <c r="AT59" s="100"/>
      <c r="AU59" s="100"/>
      <c r="AV59" s="100"/>
      <c r="AW59" s="100"/>
      <c r="AX59" s="100"/>
      <c r="AY59" s="100"/>
      <c r="AZ59" s="484" t="s">
        <v>341</v>
      </c>
      <c r="BA59" s="485"/>
      <c r="BB59" s="485"/>
      <c r="BC59" s="485"/>
      <c r="BD59" s="619">
        <f>'[5]октябрь 20'!$B$38</f>
        <v>958.31000000000006</v>
      </c>
      <c r="BE59" s="620"/>
    </row>
    <row r="60" spans="1:57" ht="16.5" thickBot="1">
      <c r="A60" s="100"/>
      <c r="B60" s="100"/>
      <c r="C60" s="100"/>
      <c r="D60" s="102"/>
      <c r="E60" s="100"/>
      <c r="F60" s="100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  <c r="AE60" s="100"/>
      <c r="AF60" s="100"/>
      <c r="AG60" s="100"/>
      <c r="AH60" s="100"/>
      <c r="AI60" s="100"/>
      <c r="AJ60" s="100"/>
      <c r="AK60" s="100"/>
      <c r="AL60" s="100"/>
      <c r="AM60" s="100"/>
      <c r="AN60" s="100"/>
      <c r="AO60" s="100"/>
      <c r="AP60" s="100"/>
      <c r="AQ60" s="100"/>
      <c r="AR60" s="100"/>
      <c r="AS60" s="100"/>
      <c r="AT60" s="100"/>
      <c r="AU60" s="100"/>
      <c r="AV60" s="100"/>
      <c r="AW60" s="100"/>
      <c r="AX60" s="100"/>
      <c r="AY60" s="100"/>
      <c r="AZ60" s="486" t="s">
        <v>342</v>
      </c>
      <c r="BA60" s="487"/>
      <c r="BB60" s="487"/>
      <c r="BC60" s="487"/>
      <c r="BD60" s="621">
        <f>BD59-BD58</f>
        <v>0</v>
      </c>
      <c r="BE60" s="622"/>
    </row>
    <row r="61" spans="1:57">
      <c r="A61" s="100"/>
      <c r="B61" s="100"/>
      <c r="C61" s="100"/>
      <c r="D61" s="102"/>
      <c r="E61" s="100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/>
      <c r="AE61" s="100"/>
      <c r="AF61" s="100"/>
      <c r="AG61" s="100"/>
      <c r="AH61" s="100"/>
      <c r="AI61" s="100"/>
      <c r="AJ61" s="100"/>
      <c r="AK61" s="100"/>
      <c r="AL61" s="100"/>
      <c r="AM61" s="100"/>
      <c r="AN61" s="100"/>
      <c r="AO61" s="100"/>
      <c r="AP61" s="100"/>
      <c r="AQ61" s="100"/>
      <c r="AR61" s="100"/>
      <c r="AS61" s="100"/>
      <c r="AT61" s="100"/>
      <c r="AU61" s="100"/>
      <c r="AV61" s="100"/>
      <c r="AW61" s="100"/>
      <c r="AX61" s="100"/>
      <c r="AY61" s="100"/>
      <c r="AZ61" s="100"/>
      <c r="BA61" s="100"/>
      <c r="BB61" s="100"/>
      <c r="BC61" s="100"/>
      <c r="BD61" s="100"/>
      <c r="BE61" s="100"/>
    </row>
    <row r="62" spans="1:57">
      <c r="A62" s="100"/>
      <c r="B62" s="100"/>
      <c r="C62" s="100"/>
      <c r="D62" s="102"/>
      <c r="E62" s="100"/>
      <c r="F62" s="100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100"/>
      <c r="AC62" s="100"/>
      <c r="AD62" s="100"/>
      <c r="AE62" s="100"/>
      <c r="AF62" s="100"/>
      <c r="AG62" s="100"/>
      <c r="AH62" s="100"/>
      <c r="AI62" s="100"/>
      <c r="AJ62" s="100"/>
      <c r="AK62" s="100"/>
      <c r="AL62" s="100"/>
      <c r="AM62" s="100"/>
      <c r="AN62" s="100"/>
      <c r="AO62" s="100"/>
      <c r="AP62" s="100"/>
      <c r="AQ62" s="100"/>
      <c r="AR62" s="100"/>
      <c r="AS62" s="100"/>
      <c r="AT62" s="100"/>
      <c r="AU62" s="100"/>
      <c r="AV62" s="100"/>
      <c r="AW62" s="100"/>
      <c r="AX62" s="100"/>
      <c r="AY62" s="100"/>
      <c r="AZ62" s="100"/>
      <c r="BA62" s="100"/>
      <c r="BB62" s="100"/>
      <c r="BC62" s="100"/>
      <c r="BD62" s="100"/>
      <c r="BE62" s="100"/>
    </row>
    <row r="63" spans="1:57">
      <c r="A63" s="100"/>
      <c r="B63" s="100"/>
      <c r="C63" s="100"/>
      <c r="D63" s="102"/>
      <c r="E63" s="100"/>
      <c r="F63" s="100"/>
      <c r="G63" s="100"/>
      <c r="H63" s="100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  <c r="AA63" s="100"/>
      <c r="AB63" s="100"/>
      <c r="AC63" s="100"/>
      <c r="AD63" s="100"/>
      <c r="AE63" s="100"/>
      <c r="AF63" s="100"/>
      <c r="AG63" s="100"/>
      <c r="AH63" s="100"/>
      <c r="AI63" s="100"/>
      <c r="AJ63" s="100"/>
      <c r="AK63" s="100"/>
      <c r="AL63" s="100"/>
      <c r="AM63" s="100"/>
      <c r="AN63" s="100"/>
      <c r="AO63" s="100"/>
      <c r="AP63" s="100"/>
      <c r="AQ63" s="100"/>
      <c r="AR63" s="100"/>
      <c r="AS63" s="100"/>
      <c r="AT63" s="100"/>
      <c r="AU63" s="100"/>
      <c r="AV63" s="100"/>
      <c r="AW63" s="100"/>
      <c r="AX63" s="100"/>
      <c r="AY63" s="100"/>
      <c r="AZ63" s="100"/>
      <c r="BA63" s="100"/>
      <c r="BB63" s="100"/>
      <c r="BC63" s="100"/>
      <c r="BD63" s="100"/>
      <c r="BE63" s="100"/>
    </row>
    <row r="64" spans="1:57">
      <c r="A64" s="100"/>
      <c r="B64" s="100"/>
      <c r="C64" s="100"/>
      <c r="D64" s="102"/>
      <c r="E64" s="100"/>
      <c r="F64" s="100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  <c r="AE64" s="100"/>
      <c r="AF64" s="100"/>
      <c r="AG64" s="100"/>
      <c r="AH64" s="100"/>
      <c r="AI64" s="100"/>
      <c r="AJ64" s="100"/>
      <c r="AK64" s="100"/>
      <c r="AL64" s="100"/>
      <c r="AM64" s="100"/>
      <c r="AN64" s="100"/>
      <c r="AO64" s="100"/>
      <c r="AP64" s="100"/>
      <c r="AQ64" s="100"/>
      <c r="AR64" s="100"/>
      <c r="AS64" s="100"/>
      <c r="AT64" s="100"/>
      <c r="AU64" s="100"/>
      <c r="AV64" s="100"/>
      <c r="AW64" s="100"/>
      <c r="AX64" s="100"/>
      <c r="AY64" s="100"/>
      <c r="AZ64" s="100"/>
      <c r="BA64" s="100"/>
      <c r="BB64" s="100"/>
      <c r="BC64" s="100"/>
      <c r="BD64" s="100"/>
      <c r="BE64" s="100"/>
    </row>
    <row r="65" spans="1:57">
      <c r="A65" s="100"/>
      <c r="B65" s="100"/>
      <c r="C65" s="100"/>
      <c r="D65" s="102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/>
      <c r="AE65" s="100"/>
      <c r="AF65" s="100"/>
      <c r="AG65" s="100"/>
      <c r="AH65" s="100"/>
      <c r="AI65" s="100"/>
      <c r="AJ65" s="100"/>
      <c r="AK65" s="100"/>
      <c r="AL65" s="100"/>
      <c r="AM65" s="100"/>
      <c r="AN65" s="100"/>
      <c r="AO65" s="100"/>
      <c r="AP65" s="100"/>
      <c r="AQ65" s="100"/>
      <c r="AR65" s="100"/>
      <c r="AS65" s="100"/>
      <c r="AT65" s="100"/>
      <c r="AU65" s="100"/>
      <c r="AV65" s="100"/>
      <c r="AW65" s="100"/>
      <c r="AX65" s="100"/>
      <c r="AY65" s="100"/>
      <c r="AZ65" s="100"/>
      <c r="BA65" s="100"/>
      <c r="BB65" s="100"/>
      <c r="BC65" s="100"/>
      <c r="BD65" s="100"/>
      <c r="BE65" s="100"/>
    </row>
    <row r="66" spans="1:57">
      <c r="A66" s="100"/>
      <c r="B66" s="100"/>
      <c r="C66" s="100"/>
      <c r="D66" s="102"/>
      <c r="E66" s="100"/>
      <c r="F66" s="100"/>
      <c r="G66" s="100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/>
      <c r="AE66" s="100"/>
      <c r="AF66" s="100"/>
      <c r="AG66" s="100"/>
      <c r="AH66" s="100"/>
      <c r="AI66" s="100"/>
      <c r="AJ66" s="100"/>
      <c r="AK66" s="100"/>
      <c r="AL66" s="100"/>
      <c r="AM66" s="100"/>
      <c r="AN66" s="100"/>
      <c r="AO66" s="100"/>
      <c r="AP66" s="100"/>
      <c r="AQ66" s="100"/>
      <c r="AR66" s="100"/>
      <c r="AS66" s="100"/>
      <c r="AT66" s="100"/>
      <c r="AU66" s="100"/>
      <c r="AV66" s="100"/>
      <c r="AW66" s="100"/>
      <c r="AX66" s="100"/>
      <c r="AY66" s="100"/>
      <c r="AZ66" s="100"/>
      <c r="BA66" s="100"/>
      <c r="BB66" s="100"/>
      <c r="BC66" s="100"/>
      <c r="BD66" s="100"/>
      <c r="BE66" s="100"/>
    </row>
    <row r="67" spans="1:57">
      <c r="A67" s="100"/>
      <c r="B67" s="100"/>
      <c r="C67" s="100"/>
      <c r="D67" s="102"/>
      <c r="E67" s="100"/>
      <c r="F67" s="100"/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  <c r="AD67" s="100"/>
      <c r="AE67" s="100"/>
      <c r="AF67" s="100"/>
      <c r="AG67" s="100"/>
      <c r="AH67" s="100"/>
      <c r="AI67" s="100"/>
      <c r="AJ67" s="100"/>
      <c r="AK67" s="100"/>
      <c r="AL67" s="100"/>
      <c r="AM67" s="100"/>
      <c r="AN67" s="100"/>
      <c r="AO67" s="100"/>
      <c r="AP67" s="100"/>
      <c r="AQ67" s="100"/>
      <c r="AR67" s="100"/>
      <c r="AS67" s="100"/>
      <c r="AT67" s="100"/>
      <c r="AU67" s="100"/>
      <c r="AV67" s="100"/>
      <c r="AW67" s="100"/>
      <c r="AX67" s="100"/>
      <c r="AY67" s="100"/>
      <c r="AZ67" s="100"/>
      <c r="BA67" s="100"/>
      <c r="BB67" s="100"/>
      <c r="BC67" s="100"/>
      <c r="BD67" s="100"/>
      <c r="BE67" s="100"/>
    </row>
    <row r="68" spans="1:57">
      <c r="A68" s="100"/>
      <c r="B68" s="100"/>
      <c r="C68" s="100"/>
      <c r="D68" s="102"/>
      <c r="E68" s="100"/>
      <c r="F68" s="100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  <c r="AI68" s="100"/>
      <c r="AJ68" s="100"/>
      <c r="AK68" s="100"/>
      <c r="AL68" s="100"/>
      <c r="AM68" s="100"/>
      <c r="AN68" s="100"/>
      <c r="AO68" s="100"/>
      <c r="AP68" s="100"/>
      <c r="AQ68" s="100"/>
      <c r="AR68" s="100"/>
      <c r="AS68" s="100"/>
      <c r="AT68" s="100"/>
      <c r="AU68" s="100"/>
      <c r="AV68" s="100"/>
      <c r="AW68" s="100"/>
      <c r="AX68" s="100"/>
      <c r="AY68" s="100"/>
      <c r="AZ68" s="100"/>
      <c r="BA68" s="100"/>
      <c r="BB68" s="100"/>
      <c r="BC68" s="100"/>
      <c r="BD68" s="100"/>
      <c r="BE68" s="100"/>
    </row>
    <row r="69" spans="1:57">
      <c r="A69" s="100"/>
      <c r="B69" s="100"/>
      <c r="C69" s="100"/>
      <c r="D69" s="102"/>
      <c r="E69" s="100"/>
      <c r="F69" s="100"/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100"/>
      <c r="AC69" s="100"/>
      <c r="AD69" s="100"/>
      <c r="AE69" s="100"/>
      <c r="AF69" s="100"/>
      <c r="AG69" s="100"/>
      <c r="AH69" s="100"/>
      <c r="AI69" s="100"/>
      <c r="AJ69" s="100"/>
      <c r="AK69" s="100"/>
      <c r="AL69" s="100"/>
      <c r="AM69" s="100"/>
      <c r="AN69" s="100"/>
      <c r="AO69" s="100"/>
      <c r="AP69" s="100"/>
      <c r="AQ69" s="100"/>
      <c r="AR69" s="100"/>
      <c r="AS69" s="100"/>
      <c r="AT69" s="100"/>
      <c r="AU69" s="100"/>
      <c r="AV69" s="100"/>
      <c r="AW69" s="100"/>
      <c r="AX69" s="100"/>
      <c r="AY69" s="100"/>
      <c r="AZ69" s="100"/>
      <c r="BA69" s="100"/>
      <c r="BB69" s="100"/>
      <c r="BC69" s="100"/>
      <c r="BD69" s="100"/>
      <c r="BE69" s="100"/>
    </row>
    <row r="70" spans="1:57">
      <c r="A70" s="100"/>
      <c r="B70" s="100"/>
      <c r="C70" s="100"/>
      <c r="D70" s="102"/>
      <c r="E70" s="100"/>
      <c r="F70" s="100"/>
      <c r="G70" s="100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  <c r="AE70" s="100"/>
      <c r="AF70" s="100"/>
      <c r="AG70" s="100"/>
      <c r="AH70" s="100"/>
      <c r="AI70" s="100"/>
      <c r="AJ70" s="100"/>
      <c r="AK70" s="100"/>
      <c r="AL70" s="100"/>
      <c r="AM70" s="100"/>
      <c r="AN70" s="100"/>
      <c r="AO70" s="100"/>
      <c r="AP70" s="100"/>
      <c r="AQ70" s="100"/>
      <c r="AR70" s="100"/>
      <c r="AS70" s="100"/>
      <c r="AT70" s="100"/>
      <c r="AU70" s="100"/>
      <c r="AV70" s="100"/>
      <c r="AW70" s="100"/>
      <c r="AX70" s="100"/>
      <c r="AY70" s="100"/>
      <c r="AZ70" s="100"/>
      <c r="BA70" s="100"/>
      <c r="BB70" s="100"/>
      <c r="BC70" s="100"/>
      <c r="BD70" s="100"/>
      <c r="BE70" s="100"/>
    </row>
    <row r="71" spans="1:57" ht="18" customHeight="1">
      <c r="A71" s="318" t="s">
        <v>70</v>
      </c>
      <c r="B71" s="319"/>
      <c r="C71" s="318"/>
      <c r="D71" s="318"/>
      <c r="E71" s="318"/>
      <c r="F71" s="318"/>
      <c r="G71" s="318"/>
      <c r="H71" s="318"/>
      <c r="I71" s="318"/>
      <c r="J71" s="320"/>
      <c r="K71" s="320"/>
      <c r="L71" s="605" t="s">
        <v>371</v>
      </c>
      <c r="M71" s="605"/>
      <c r="N71" s="605"/>
      <c r="O71" s="605"/>
      <c r="P71" s="605"/>
      <c r="Q71" s="605"/>
      <c r="R71" s="109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/>
      <c r="AE71" s="100"/>
      <c r="AF71" s="100"/>
      <c r="AG71" s="100"/>
      <c r="AH71" s="100"/>
      <c r="AI71" s="100"/>
      <c r="AJ71" s="100"/>
      <c r="AK71" s="100"/>
      <c r="AL71" s="100"/>
      <c r="AM71" s="100"/>
      <c r="AN71" s="100"/>
      <c r="AO71" s="100"/>
      <c r="AP71" s="100"/>
      <c r="AQ71" s="100"/>
      <c r="AR71" s="100"/>
      <c r="AS71" s="100"/>
      <c r="AT71" s="100"/>
      <c r="AU71" s="100"/>
      <c r="AV71" s="100"/>
      <c r="AW71" s="100"/>
      <c r="AX71" s="100"/>
      <c r="AY71" s="100"/>
      <c r="AZ71" s="100"/>
      <c r="BA71" s="100"/>
      <c r="BB71" s="100"/>
      <c r="BC71" s="100"/>
      <c r="BD71" s="100"/>
      <c r="BE71" s="100"/>
    </row>
    <row r="72" spans="1:57" ht="15">
      <c r="A72" s="118"/>
      <c r="B72" s="118"/>
      <c r="C72" s="119"/>
      <c r="D72" s="120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  <c r="AE72" s="100"/>
      <c r="AF72" s="100"/>
      <c r="AG72" s="100"/>
      <c r="AH72" s="100"/>
      <c r="AI72" s="100"/>
      <c r="AJ72" s="100"/>
      <c r="AK72" s="100"/>
      <c r="AL72" s="100"/>
      <c r="AM72" s="100"/>
      <c r="AN72" s="100"/>
      <c r="AO72" s="100"/>
      <c r="AP72" s="100"/>
      <c r="AQ72" s="100"/>
      <c r="AR72" s="100"/>
      <c r="AS72" s="100"/>
      <c r="AT72" s="100"/>
      <c r="AU72" s="100"/>
      <c r="AV72" s="100"/>
      <c r="AW72" s="100"/>
      <c r="AX72" s="100"/>
      <c r="AY72" s="100"/>
      <c r="AZ72" s="100"/>
      <c r="BA72" s="100"/>
      <c r="BB72" s="100"/>
      <c r="BC72" s="100"/>
      <c r="BD72" s="100"/>
      <c r="BE72" s="100"/>
    </row>
    <row r="73" spans="1:57" ht="15.75">
      <c r="A73" s="100"/>
      <c r="B73" s="100"/>
      <c r="C73" s="100"/>
      <c r="D73" s="102"/>
      <c r="E73" s="100"/>
      <c r="F73" s="100"/>
      <c r="G73" s="100"/>
      <c r="H73" s="100"/>
      <c r="I73" s="100"/>
      <c r="J73" s="100"/>
      <c r="K73" s="100"/>
      <c r="L73" s="111"/>
      <c r="M73" s="111"/>
      <c r="N73" s="111"/>
      <c r="O73" s="111"/>
      <c r="P73" s="111"/>
      <c r="Q73" s="111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00"/>
      <c r="AK73" s="100"/>
      <c r="AL73" s="100"/>
      <c r="AM73" s="100"/>
      <c r="AN73" s="100"/>
      <c r="AO73" s="100"/>
      <c r="AP73" s="100"/>
      <c r="AQ73" s="100"/>
      <c r="AR73" s="100"/>
      <c r="AS73" s="100"/>
      <c r="AT73" s="100"/>
      <c r="AU73" s="100"/>
      <c r="AV73" s="100"/>
      <c r="AW73" s="100"/>
      <c r="AX73" s="100"/>
      <c r="AY73" s="100"/>
      <c r="AZ73" s="100"/>
      <c r="BA73" s="100"/>
      <c r="BB73" s="100"/>
      <c r="BC73" s="100"/>
      <c r="BD73" s="100"/>
      <c r="BE73" s="100"/>
    </row>
    <row r="74" spans="1:57">
      <c r="A74" s="100"/>
      <c r="B74" s="100"/>
      <c r="C74" s="100"/>
      <c r="D74" s="102"/>
      <c r="E74" s="100"/>
      <c r="F74" s="100"/>
      <c r="G74" s="100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00"/>
      <c r="AK74" s="100"/>
      <c r="AL74" s="100"/>
      <c r="AM74" s="100"/>
      <c r="AN74" s="100"/>
      <c r="AO74" s="100"/>
      <c r="AP74" s="100"/>
      <c r="AQ74" s="100"/>
      <c r="AR74" s="100"/>
      <c r="AS74" s="100"/>
      <c r="AT74" s="100"/>
      <c r="AU74" s="100"/>
      <c r="AV74" s="100"/>
      <c r="AW74" s="100"/>
      <c r="AX74" s="100"/>
      <c r="AY74" s="100"/>
      <c r="AZ74" s="100"/>
      <c r="BA74" s="100"/>
      <c r="BB74" s="100"/>
      <c r="BC74" s="100"/>
      <c r="BD74" s="100"/>
      <c r="BE74" s="100"/>
    </row>
    <row r="75" spans="1:57">
      <c r="A75" s="100"/>
      <c r="B75" s="100"/>
      <c r="C75" s="100"/>
      <c r="D75" s="102"/>
      <c r="E75" s="100"/>
      <c r="F75" s="100"/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  <c r="AD75" s="100"/>
      <c r="AE75" s="100"/>
      <c r="AF75" s="100"/>
      <c r="AG75" s="100"/>
      <c r="AH75" s="100"/>
      <c r="AI75" s="100"/>
      <c r="AJ75" s="100"/>
      <c r="AK75" s="100"/>
      <c r="AL75" s="100"/>
      <c r="AM75" s="100"/>
      <c r="AN75" s="100"/>
      <c r="AO75" s="100"/>
      <c r="AP75" s="100"/>
      <c r="AQ75" s="100"/>
      <c r="AR75" s="100"/>
      <c r="AS75" s="100"/>
      <c r="AT75" s="100"/>
      <c r="AU75" s="100"/>
      <c r="AV75" s="100"/>
      <c r="AW75" s="100"/>
      <c r="AX75" s="100"/>
      <c r="AY75" s="100"/>
      <c r="AZ75" s="100"/>
      <c r="BA75" s="100"/>
      <c r="BB75" s="100"/>
      <c r="BC75" s="100"/>
      <c r="BD75" s="100"/>
      <c r="BE75" s="100"/>
    </row>
    <row r="77" spans="1:57">
      <c r="AY77" t="s">
        <v>302</v>
      </c>
    </row>
  </sheetData>
  <sheetProtection selectLockedCells="1" selectUnlockedCells="1"/>
  <mergeCells count="81">
    <mergeCell ref="CO40:CU40"/>
    <mergeCell ref="BD58:BE58"/>
    <mergeCell ref="BD59:BE59"/>
    <mergeCell ref="BD60:BE60"/>
    <mergeCell ref="L71:Q71"/>
    <mergeCell ref="N46:O46"/>
    <mergeCell ref="AZ46:BE47"/>
    <mergeCell ref="AZ48:BC49"/>
    <mergeCell ref="BD48:BD49"/>
    <mergeCell ref="AZ51:BC52"/>
    <mergeCell ref="BD51:BD52"/>
    <mergeCell ref="AT42:AV42"/>
    <mergeCell ref="AC3:AC6"/>
    <mergeCell ref="AD3:AD6"/>
    <mergeCell ref="DA5:DB5"/>
    <mergeCell ref="CO39:CP39"/>
    <mergeCell ref="CQ39:CU39"/>
    <mergeCell ref="CV39:CY39"/>
    <mergeCell ref="AX5:AX6"/>
    <mergeCell ref="AY5:AY6"/>
    <mergeCell ref="AJ3:AK6"/>
    <mergeCell ref="AL3:AL6"/>
    <mergeCell ref="AM3:AM6"/>
    <mergeCell ref="AN3:AN6"/>
    <mergeCell ref="AO3:AO6"/>
    <mergeCell ref="AP3:AP6"/>
    <mergeCell ref="AT5:AT6"/>
    <mergeCell ref="AW5:AW6"/>
    <mergeCell ref="Q4:Q6"/>
    <mergeCell ref="R4:R6"/>
    <mergeCell ref="S4:S6"/>
    <mergeCell ref="T4:T6"/>
    <mergeCell ref="U4:U6"/>
    <mergeCell ref="AA3:AA6"/>
    <mergeCell ref="AB3:AB6"/>
    <mergeCell ref="N4:N6"/>
    <mergeCell ref="O4:O6"/>
    <mergeCell ref="DD4:DH4"/>
    <mergeCell ref="AE5:AE6"/>
    <mergeCell ref="AF5:AF6"/>
    <mergeCell ref="AG5:AG6"/>
    <mergeCell ref="AH5:AH6"/>
    <mergeCell ref="CF3:CI5"/>
    <mergeCell ref="AQ3:AQ6"/>
    <mergeCell ref="AS3:AS6"/>
    <mergeCell ref="AT3:AY4"/>
    <mergeCell ref="AZ3:AZ6"/>
    <mergeCell ref="BA3:BB4"/>
    <mergeCell ref="BC3:BC6"/>
    <mergeCell ref="CJ3:CM5"/>
    <mergeCell ref="B4:B6"/>
    <mergeCell ref="C4:C6"/>
    <mergeCell ref="D4:D6"/>
    <mergeCell ref="E4:E6"/>
    <mergeCell ref="F4:F6"/>
    <mergeCell ref="G4:G6"/>
    <mergeCell ref="H4:H6"/>
    <mergeCell ref="I4:I6"/>
    <mergeCell ref="J4:J6"/>
    <mergeCell ref="BD3:BD6"/>
    <mergeCell ref="BE3:BE6"/>
    <mergeCell ref="BK3:BQ5"/>
    <mergeCell ref="BR3:BX5"/>
    <mergeCell ref="BY3:CE5"/>
    <mergeCell ref="K4:K6"/>
    <mergeCell ref="AE3:AF4"/>
    <mergeCell ref="AG3:AI4"/>
    <mergeCell ref="AI5:AI6"/>
    <mergeCell ref="AY2:BC2"/>
    <mergeCell ref="A3:A6"/>
    <mergeCell ref="B3:G3"/>
    <mergeCell ref="H3:P3"/>
    <mergeCell ref="Q3:U3"/>
    <mergeCell ref="V3:V6"/>
    <mergeCell ref="W3:W6"/>
    <mergeCell ref="X3:X6"/>
    <mergeCell ref="Y3:Y6"/>
    <mergeCell ref="Z3:Z6"/>
    <mergeCell ref="P4:P6"/>
    <mergeCell ref="L4:L6"/>
    <mergeCell ref="M4:M6"/>
  </mergeCells>
  <printOptions horizontalCentered="1" verticalCentered="1"/>
  <pageMargins left="0" right="0" top="0" bottom="0" header="0" footer="0"/>
  <pageSetup paperSize="9" scale="46" firstPageNumber="0" orientation="landscape" r:id="rId1"/>
  <headerFooter alignWithMargins="0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M77"/>
  <sheetViews>
    <sheetView showZeros="0" zoomScale="90" zoomScaleNormal="90" workbookViewId="0">
      <pane xSplit="1" ySplit="6" topLeftCell="Y7" activePane="bottomRight" state="frozen"/>
      <selection pane="topRight" activeCell="B1" sqref="B1"/>
      <selection pane="bottomLeft" activeCell="A7" sqref="A7"/>
      <selection pane="bottomRight" activeCell="AZ14" sqref="AZ14"/>
    </sheetView>
  </sheetViews>
  <sheetFormatPr defaultColWidth="8.7109375" defaultRowHeight="12.75"/>
  <cols>
    <col min="1" max="1" width="3.5703125" customWidth="1"/>
    <col min="2" max="2" width="9.7109375" customWidth="1"/>
    <col min="3" max="3" width="6" customWidth="1"/>
    <col min="4" max="4" width="12" style="1" hidden="1" customWidth="1"/>
    <col min="5" max="5" width="7.140625" customWidth="1"/>
    <col min="6" max="6" width="7.5703125" customWidth="1"/>
    <col min="7" max="7" width="7.7109375" customWidth="1"/>
    <col min="8" max="8" width="7.28515625" customWidth="1"/>
    <col min="9" max="9" width="7.42578125" hidden="1" customWidth="1"/>
    <col min="10" max="10" width="9.140625" customWidth="1"/>
    <col min="11" max="11" width="5.5703125" hidden="1" customWidth="1"/>
    <col min="12" max="12" width="9.28515625" customWidth="1"/>
    <col min="13" max="13" width="7.42578125" customWidth="1"/>
    <col min="14" max="14" width="4.140625" customWidth="1"/>
    <col min="15" max="15" width="8.140625" customWidth="1"/>
    <col min="16" max="16" width="9.85546875" hidden="1" customWidth="1"/>
    <col min="17" max="17" width="9.28515625" customWidth="1"/>
    <col min="18" max="18" width="6" customWidth="1"/>
    <col min="19" max="19" width="8.140625" customWidth="1"/>
    <col min="20" max="20" width="9.140625" hidden="1" customWidth="1"/>
    <col min="21" max="21" width="7.140625" customWidth="1"/>
    <col min="22" max="22" width="8.140625" customWidth="1"/>
    <col min="23" max="23" width="8.28515625" customWidth="1"/>
    <col min="24" max="24" width="6" customWidth="1"/>
    <col min="25" max="25" width="5.42578125" customWidth="1"/>
    <col min="26" max="26" width="6.85546875" customWidth="1"/>
    <col min="27" max="27" width="6.5703125" customWidth="1"/>
    <col min="28" max="28" width="7.5703125" customWidth="1"/>
    <col min="29" max="29" width="6.5703125" customWidth="1"/>
    <col min="30" max="30" width="4.28515625" customWidth="1"/>
    <col min="31" max="32" width="6.85546875" customWidth="1"/>
    <col min="33" max="33" width="0" hidden="1" customWidth="1"/>
    <col min="34" max="34" width="8.42578125" customWidth="1"/>
    <col min="35" max="35" width="7" customWidth="1"/>
    <col min="36" max="36" width="7.85546875" customWidth="1"/>
    <col min="37" max="37" width="0" hidden="1" customWidth="1"/>
    <col min="38" max="38" width="7.28515625" customWidth="1"/>
    <col min="39" max="39" width="7.7109375" customWidth="1"/>
    <col min="40" max="40" width="7" hidden="1" customWidth="1"/>
    <col min="41" max="41" width="9.42578125" customWidth="1"/>
    <col min="42" max="42" width="6.28515625" customWidth="1"/>
    <col min="43" max="43" width="6.85546875" customWidth="1"/>
    <col min="44" max="44" width="0" hidden="1" customWidth="1"/>
    <col min="45" max="45" width="6.7109375" customWidth="1"/>
    <col min="46" max="46" width="9.7109375" customWidth="1"/>
    <col min="47" max="47" width="7" customWidth="1"/>
    <col min="48" max="48" width="0" hidden="1" customWidth="1"/>
    <col min="49" max="49" width="6.140625" hidden="1" customWidth="1"/>
    <col min="50" max="50" width="5.140625" hidden="1" customWidth="1"/>
    <col min="51" max="51" width="8.42578125" customWidth="1"/>
    <col min="52" max="52" width="10" customWidth="1"/>
    <col min="53" max="53" width="8.7109375" hidden="1" customWidth="1"/>
    <col min="54" max="54" width="3.85546875" hidden="1" customWidth="1"/>
    <col min="55" max="55" width="6.5703125" customWidth="1"/>
    <col min="56" max="56" width="6.140625" customWidth="1"/>
    <col min="57" max="57" width="6.7109375" customWidth="1"/>
    <col min="58" max="58" width="8.85546875" customWidth="1"/>
    <col min="59" max="59" width="7.85546875" customWidth="1"/>
    <col min="60" max="60" width="9.85546875" customWidth="1"/>
    <col min="61" max="62" width="8.7109375" customWidth="1"/>
    <col min="63" max="63" width="10.28515625" customWidth="1"/>
    <col min="64" max="64" width="10.85546875" customWidth="1"/>
    <col min="65" max="65" width="10.7109375" customWidth="1"/>
    <col min="66" max="66" width="11.28515625" customWidth="1"/>
    <col min="67" max="68" width="8.85546875" customWidth="1"/>
    <col min="69" max="69" width="11.28515625" customWidth="1"/>
    <col min="70" max="70" width="7.7109375" customWidth="1"/>
    <col min="71" max="71" width="10" customWidth="1"/>
    <col min="72" max="72" width="8.85546875" customWidth="1"/>
    <col min="73" max="73" width="10.140625" customWidth="1"/>
    <col min="74" max="75" width="8.85546875" customWidth="1"/>
    <col min="76" max="76" width="10.85546875" customWidth="1"/>
    <col min="77" max="78" width="8.7109375" customWidth="1"/>
    <col min="79" max="79" width="10" customWidth="1"/>
    <col min="80" max="80" width="10.42578125" customWidth="1"/>
    <col min="81" max="82" width="8.42578125" customWidth="1"/>
    <col min="83" max="83" width="9.85546875" customWidth="1"/>
    <col min="84" max="85" width="11.42578125" customWidth="1"/>
    <col min="86" max="86" width="11.140625" customWidth="1"/>
    <col min="87" max="87" width="11.28515625" customWidth="1"/>
    <col min="88" max="89" width="10" customWidth="1"/>
    <col min="90" max="90" width="8.7109375" customWidth="1"/>
    <col min="91" max="91" width="11.85546875" customWidth="1"/>
    <col min="92" max="92" width="8.7109375" customWidth="1"/>
    <col min="93" max="93" width="12.140625" customWidth="1"/>
    <col min="94" max="94" width="12.5703125" customWidth="1"/>
    <col min="95" max="95" width="11.7109375" customWidth="1"/>
    <col min="96" max="98" width="12.28515625" customWidth="1"/>
    <col min="99" max="99" width="13.28515625" customWidth="1"/>
    <col min="100" max="100" width="12.85546875" customWidth="1"/>
    <col min="101" max="101" width="13.42578125" customWidth="1"/>
    <col min="102" max="103" width="12.5703125" customWidth="1"/>
    <col min="104" max="104" width="9.5703125" customWidth="1"/>
    <col min="105" max="105" width="19.140625" customWidth="1"/>
    <col min="106" max="106" width="19.42578125" customWidth="1"/>
    <col min="111" max="111" width="8.7109375" hidden="1" customWidth="1"/>
    <col min="112" max="112" width="9" bestFit="1" customWidth="1"/>
    <col min="114" max="114" width="9.5703125" bestFit="1" customWidth="1"/>
  </cols>
  <sheetData>
    <row r="1" spans="1:117" ht="17.25" customHeight="1">
      <c r="A1" s="310" t="s">
        <v>0</v>
      </c>
      <c r="B1" s="310"/>
      <c r="C1" s="310"/>
      <c r="D1" s="311"/>
      <c r="E1" s="310"/>
      <c r="F1" s="310"/>
      <c r="G1" s="310"/>
      <c r="H1" s="310"/>
      <c r="I1" s="310"/>
      <c r="J1" s="310"/>
      <c r="K1" s="310"/>
      <c r="L1" s="310"/>
      <c r="M1" s="310"/>
      <c r="N1" s="310"/>
      <c r="O1" s="310"/>
      <c r="P1" s="77"/>
      <c r="Q1" s="77"/>
      <c r="R1" s="77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</row>
    <row r="2" spans="1:117" ht="19.5" customHeight="1" thickBot="1">
      <c r="A2" s="22"/>
      <c r="B2" s="78"/>
      <c r="C2" s="78"/>
      <c r="D2" s="79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80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80"/>
      <c r="AT2" s="312" t="s">
        <v>1</v>
      </c>
      <c r="AU2" s="313">
        <v>31</v>
      </c>
      <c r="AV2" s="314"/>
      <c r="AW2" s="314"/>
      <c r="AX2" s="315" t="s">
        <v>81</v>
      </c>
      <c r="AY2" s="556" t="s">
        <v>405</v>
      </c>
      <c r="AZ2" s="556"/>
      <c r="BA2" s="556"/>
      <c r="BB2" s="556"/>
      <c r="BC2" s="556"/>
      <c r="BD2" s="316" t="s">
        <v>107</v>
      </c>
      <c r="BE2" s="317"/>
    </row>
    <row r="3" spans="1:117" ht="39.75" customHeight="1" thickBot="1">
      <c r="A3" s="557" t="s">
        <v>3</v>
      </c>
      <c r="B3" s="558" t="s">
        <v>71</v>
      </c>
      <c r="C3" s="558"/>
      <c r="D3" s="558"/>
      <c r="E3" s="558"/>
      <c r="F3" s="558"/>
      <c r="G3" s="558"/>
      <c r="H3" s="554" t="s">
        <v>4</v>
      </c>
      <c r="I3" s="554"/>
      <c r="J3" s="554"/>
      <c r="K3" s="554"/>
      <c r="L3" s="554"/>
      <c r="M3" s="554"/>
      <c r="N3" s="554"/>
      <c r="O3" s="554"/>
      <c r="P3" s="559"/>
      <c r="Q3" s="560" t="s">
        <v>5</v>
      </c>
      <c r="R3" s="561"/>
      <c r="S3" s="561"/>
      <c r="T3" s="561"/>
      <c r="U3" s="562"/>
      <c r="V3" s="563" t="s">
        <v>6</v>
      </c>
      <c r="W3" s="563" t="s">
        <v>7</v>
      </c>
      <c r="X3" s="564" t="s">
        <v>8</v>
      </c>
      <c r="Y3" s="564" t="s">
        <v>9</v>
      </c>
      <c r="Z3" s="564" t="s">
        <v>10</v>
      </c>
      <c r="AA3" s="564" t="s">
        <v>11</v>
      </c>
      <c r="AB3" s="564" t="s">
        <v>12</v>
      </c>
      <c r="AC3" s="564" t="s">
        <v>13</v>
      </c>
      <c r="AD3" s="564" t="s">
        <v>14</v>
      </c>
      <c r="AE3" s="554" t="s">
        <v>15</v>
      </c>
      <c r="AF3" s="554"/>
      <c r="AG3" s="554" t="s">
        <v>16</v>
      </c>
      <c r="AH3" s="554"/>
      <c r="AI3" s="554"/>
      <c r="AJ3" s="593" t="s">
        <v>17</v>
      </c>
      <c r="AK3" s="593"/>
      <c r="AL3" s="564" t="s">
        <v>18</v>
      </c>
      <c r="AM3" s="599" t="s">
        <v>19</v>
      </c>
      <c r="AN3" s="600" t="s">
        <v>95</v>
      </c>
      <c r="AO3" s="603" t="s">
        <v>20</v>
      </c>
      <c r="AP3" s="564" t="s">
        <v>105</v>
      </c>
      <c r="AQ3" s="564" t="s">
        <v>21</v>
      </c>
      <c r="AR3" s="81"/>
      <c r="AS3" s="593" t="s">
        <v>22</v>
      </c>
      <c r="AT3" s="554" t="s">
        <v>23</v>
      </c>
      <c r="AU3" s="554"/>
      <c r="AV3" s="554"/>
      <c r="AW3" s="554"/>
      <c r="AX3" s="554"/>
      <c r="AY3" s="554"/>
      <c r="AZ3" s="564" t="s">
        <v>24</v>
      </c>
      <c r="BA3" s="594" t="s">
        <v>25</v>
      </c>
      <c r="BB3" s="594"/>
      <c r="BC3" s="564" t="s">
        <v>26</v>
      </c>
      <c r="BD3" s="564" t="s">
        <v>27</v>
      </c>
      <c r="BE3" s="572" t="s">
        <v>28</v>
      </c>
      <c r="BF3" s="3"/>
      <c r="BG3" s="3"/>
      <c r="BH3" s="3"/>
      <c r="BI3" s="3"/>
      <c r="BJ3" s="3"/>
      <c r="BK3" s="573" t="s">
        <v>29</v>
      </c>
      <c r="BL3" s="574"/>
      <c r="BM3" s="574"/>
      <c r="BN3" s="574"/>
      <c r="BO3" s="575"/>
      <c r="BP3" s="575"/>
      <c r="BQ3" s="576"/>
      <c r="BR3" s="573" t="s">
        <v>30</v>
      </c>
      <c r="BS3" s="585"/>
      <c r="BT3" s="585"/>
      <c r="BU3" s="585"/>
      <c r="BV3" s="585"/>
      <c r="BW3" s="585"/>
      <c r="BX3" s="586"/>
      <c r="BY3" s="566" t="s">
        <v>31</v>
      </c>
      <c r="BZ3" s="566"/>
      <c r="CA3" s="566"/>
      <c r="CB3" s="566"/>
      <c r="CC3" s="566"/>
      <c r="CD3" s="566"/>
      <c r="CE3" s="566"/>
      <c r="CF3" s="566" t="s">
        <v>87</v>
      </c>
      <c r="CG3" s="566"/>
      <c r="CH3" s="566"/>
      <c r="CI3" s="566"/>
      <c r="CJ3" s="566" t="s">
        <v>32</v>
      </c>
      <c r="CK3" s="566"/>
      <c r="CL3" s="566"/>
      <c r="CM3" s="566"/>
      <c r="CN3" s="4"/>
      <c r="CO3" s="5"/>
      <c r="CP3" s="6"/>
      <c r="CQ3" s="6"/>
    </row>
    <row r="4" spans="1:117" s="7" customFormat="1" ht="30.75" customHeight="1" thickBot="1">
      <c r="A4" s="557"/>
      <c r="B4" s="565" t="s">
        <v>72</v>
      </c>
      <c r="C4" s="613" t="s">
        <v>73</v>
      </c>
      <c r="D4" s="615" t="s">
        <v>33</v>
      </c>
      <c r="E4" s="613" t="s">
        <v>74</v>
      </c>
      <c r="F4" s="569" t="s">
        <v>75</v>
      </c>
      <c r="G4" s="569" t="s">
        <v>34</v>
      </c>
      <c r="H4" s="555" t="s">
        <v>76</v>
      </c>
      <c r="I4" s="570" t="s">
        <v>101</v>
      </c>
      <c r="J4" s="555" t="s">
        <v>89</v>
      </c>
      <c r="K4" s="565" t="s">
        <v>35</v>
      </c>
      <c r="L4" s="565" t="s">
        <v>77</v>
      </c>
      <c r="M4" s="565" t="s">
        <v>78</v>
      </c>
      <c r="N4" s="565" t="s">
        <v>101</v>
      </c>
      <c r="O4" s="565" t="s">
        <v>96</v>
      </c>
      <c r="P4" s="555" t="s">
        <v>79</v>
      </c>
      <c r="Q4" s="555" t="s">
        <v>36</v>
      </c>
      <c r="R4" s="555" t="s">
        <v>32</v>
      </c>
      <c r="S4" s="555" t="s">
        <v>37</v>
      </c>
      <c r="T4" s="555" t="s">
        <v>38</v>
      </c>
      <c r="U4" s="555" t="s">
        <v>39</v>
      </c>
      <c r="V4" s="563"/>
      <c r="W4" s="563"/>
      <c r="X4" s="564"/>
      <c r="Y4" s="564"/>
      <c r="Z4" s="564"/>
      <c r="AA4" s="564"/>
      <c r="AB4" s="564"/>
      <c r="AC4" s="564"/>
      <c r="AD4" s="564"/>
      <c r="AE4" s="554"/>
      <c r="AF4" s="554"/>
      <c r="AG4" s="554"/>
      <c r="AH4" s="554"/>
      <c r="AI4" s="554"/>
      <c r="AJ4" s="593"/>
      <c r="AK4" s="593"/>
      <c r="AL4" s="564"/>
      <c r="AM4" s="599"/>
      <c r="AN4" s="601"/>
      <c r="AO4" s="603"/>
      <c r="AP4" s="564"/>
      <c r="AQ4" s="564"/>
      <c r="AR4" s="82"/>
      <c r="AS4" s="593"/>
      <c r="AT4" s="554"/>
      <c r="AU4" s="554"/>
      <c r="AV4" s="554"/>
      <c r="AW4" s="554"/>
      <c r="AX4" s="554"/>
      <c r="AY4" s="554"/>
      <c r="AZ4" s="564"/>
      <c r="BA4" s="594"/>
      <c r="BB4" s="594"/>
      <c r="BC4" s="564"/>
      <c r="BD4" s="564"/>
      <c r="BE4" s="572"/>
      <c r="BF4" s="3"/>
      <c r="BG4" s="3"/>
      <c r="BH4" s="3"/>
      <c r="BI4" s="3"/>
      <c r="BJ4" s="3"/>
      <c r="BK4" s="577"/>
      <c r="BL4" s="578"/>
      <c r="BM4" s="578"/>
      <c r="BN4" s="578"/>
      <c r="BO4" s="579"/>
      <c r="BP4" s="579"/>
      <c r="BQ4" s="580"/>
      <c r="BR4" s="577"/>
      <c r="BS4" s="566"/>
      <c r="BT4" s="566"/>
      <c r="BU4" s="566"/>
      <c r="BV4" s="566"/>
      <c r="BW4" s="566"/>
      <c r="BX4" s="587"/>
      <c r="BY4" s="566"/>
      <c r="BZ4" s="566"/>
      <c r="CA4" s="566"/>
      <c r="CB4" s="566"/>
      <c r="CC4" s="566"/>
      <c r="CD4" s="566"/>
      <c r="CE4" s="566"/>
      <c r="CF4" s="566"/>
      <c r="CG4" s="566"/>
      <c r="CH4" s="566"/>
      <c r="CI4" s="566"/>
      <c r="CJ4" s="566"/>
      <c r="CK4" s="566"/>
      <c r="CL4" s="566"/>
      <c r="CM4" s="566"/>
      <c r="CN4" s="4"/>
      <c r="CO4" s="6"/>
      <c r="CP4" s="6"/>
      <c r="CQ4" s="262"/>
      <c r="CR4" s="231"/>
      <c r="CS4" s="231"/>
      <c r="CT4" s="231"/>
      <c r="CU4" s="231"/>
      <c r="CV4" s="231"/>
      <c r="CW4" s="231"/>
      <c r="CX4" s="231"/>
      <c r="CY4" s="231"/>
      <c r="DD4" s="590" t="s">
        <v>90</v>
      </c>
      <c r="DE4" s="591"/>
      <c r="DF4" s="591"/>
      <c r="DG4" s="591"/>
      <c r="DH4" s="592"/>
    </row>
    <row r="5" spans="1:117" s="7" customFormat="1" ht="8.25" hidden="1" customHeight="1">
      <c r="A5" s="557"/>
      <c r="B5" s="565"/>
      <c r="C5" s="614"/>
      <c r="D5" s="616"/>
      <c r="E5" s="614"/>
      <c r="F5" s="569"/>
      <c r="G5" s="569"/>
      <c r="H5" s="555"/>
      <c r="I5" s="570"/>
      <c r="J5" s="565"/>
      <c r="K5" s="565"/>
      <c r="L5" s="565"/>
      <c r="M5" s="565"/>
      <c r="N5" s="565"/>
      <c r="O5" s="565"/>
      <c r="P5" s="555"/>
      <c r="Q5" s="555"/>
      <c r="R5" s="555"/>
      <c r="S5" s="555"/>
      <c r="T5" s="555"/>
      <c r="U5" s="555"/>
      <c r="V5" s="563"/>
      <c r="W5" s="563"/>
      <c r="X5" s="564"/>
      <c r="Y5" s="564"/>
      <c r="Z5" s="564"/>
      <c r="AA5" s="564"/>
      <c r="AB5" s="564"/>
      <c r="AC5" s="564"/>
      <c r="AD5" s="564"/>
      <c r="AE5" s="555" t="s">
        <v>40</v>
      </c>
      <c r="AF5" s="555" t="s">
        <v>41</v>
      </c>
      <c r="AG5" s="555" t="s">
        <v>42</v>
      </c>
      <c r="AH5" s="555" t="s">
        <v>40</v>
      </c>
      <c r="AI5" s="555" t="s">
        <v>41</v>
      </c>
      <c r="AJ5" s="593"/>
      <c r="AK5" s="593"/>
      <c r="AL5" s="564"/>
      <c r="AM5" s="599"/>
      <c r="AN5" s="601"/>
      <c r="AO5" s="603"/>
      <c r="AP5" s="564"/>
      <c r="AQ5" s="564"/>
      <c r="AR5" s="83"/>
      <c r="AS5" s="593"/>
      <c r="AT5" s="555" t="s">
        <v>43</v>
      </c>
      <c r="AU5" s="84"/>
      <c r="AV5" s="85"/>
      <c r="AW5" s="598" t="s">
        <v>44</v>
      </c>
      <c r="AX5" s="598" t="s">
        <v>45</v>
      </c>
      <c r="AY5" s="555" t="s">
        <v>46</v>
      </c>
      <c r="AZ5" s="564"/>
      <c r="BA5" s="86" t="s">
        <v>47</v>
      </c>
      <c r="BB5" s="86" t="s">
        <v>48</v>
      </c>
      <c r="BC5" s="564"/>
      <c r="BD5" s="564"/>
      <c r="BE5" s="572"/>
      <c r="BF5" s="3"/>
      <c r="BG5" s="3"/>
      <c r="BH5" s="3"/>
      <c r="BI5" s="3"/>
      <c r="BJ5" s="3"/>
      <c r="BK5" s="581"/>
      <c r="BL5" s="582"/>
      <c r="BM5" s="582"/>
      <c r="BN5" s="582"/>
      <c r="BO5" s="583"/>
      <c r="BP5" s="583"/>
      <c r="BQ5" s="584"/>
      <c r="BR5" s="581"/>
      <c r="BS5" s="588"/>
      <c r="BT5" s="588"/>
      <c r="BU5" s="588"/>
      <c r="BV5" s="588"/>
      <c r="BW5" s="588"/>
      <c r="BX5" s="589"/>
      <c r="BY5" s="567"/>
      <c r="BZ5" s="566"/>
      <c r="CA5" s="566"/>
      <c r="CB5" s="566"/>
      <c r="CC5" s="566"/>
      <c r="CD5" s="566"/>
      <c r="CE5" s="566"/>
      <c r="CF5" s="567"/>
      <c r="CG5" s="567"/>
      <c r="CH5" s="567"/>
      <c r="CI5" s="567"/>
      <c r="CJ5" s="567"/>
      <c r="CK5" s="567"/>
      <c r="CL5" s="567"/>
      <c r="CM5" s="567"/>
      <c r="CN5" s="4"/>
      <c r="CO5"/>
      <c r="CP5"/>
      <c r="CQ5" s="255"/>
      <c r="CR5" s="256"/>
      <c r="CS5" s="256"/>
      <c r="CT5" s="256"/>
      <c r="CU5" s="256"/>
      <c r="CV5" s="257"/>
      <c r="CW5" s="257"/>
      <c r="CX5" s="257"/>
      <c r="CY5" s="258"/>
      <c r="DA5" s="595" t="s">
        <v>49</v>
      </c>
      <c r="DB5" s="595"/>
    </row>
    <row r="6" spans="1:117" s="7" customFormat="1" ht="106.5" customHeight="1" thickBot="1">
      <c r="A6" s="557"/>
      <c r="B6" s="565"/>
      <c r="C6" s="565"/>
      <c r="D6" s="568"/>
      <c r="E6" s="565"/>
      <c r="F6" s="569"/>
      <c r="G6" s="569"/>
      <c r="H6" s="555"/>
      <c r="I6" s="570"/>
      <c r="J6" s="571"/>
      <c r="K6" s="565"/>
      <c r="L6" s="565"/>
      <c r="M6" s="565"/>
      <c r="N6" s="565"/>
      <c r="O6" s="565"/>
      <c r="P6" s="565"/>
      <c r="Q6" s="565"/>
      <c r="R6" s="565"/>
      <c r="S6" s="565"/>
      <c r="T6" s="555"/>
      <c r="U6" s="555"/>
      <c r="V6" s="563"/>
      <c r="W6" s="563"/>
      <c r="X6" s="564"/>
      <c r="Y6" s="564"/>
      <c r="Z6" s="564"/>
      <c r="AA6" s="564"/>
      <c r="AB6" s="564"/>
      <c r="AC6" s="564"/>
      <c r="AD6" s="564"/>
      <c r="AE6" s="555"/>
      <c r="AF6" s="555"/>
      <c r="AG6" s="555"/>
      <c r="AH6" s="555"/>
      <c r="AI6" s="555"/>
      <c r="AJ6" s="593"/>
      <c r="AK6" s="593"/>
      <c r="AL6" s="564"/>
      <c r="AM6" s="599"/>
      <c r="AN6" s="602"/>
      <c r="AO6" s="603"/>
      <c r="AP6" s="564"/>
      <c r="AQ6" s="564"/>
      <c r="AR6" s="530"/>
      <c r="AS6" s="593"/>
      <c r="AT6" s="555"/>
      <c r="AU6" s="529" t="s">
        <v>50</v>
      </c>
      <c r="AV6" s="529" t="s">
        <v>51</v>
      </c>
      <c r="AW6" s="598"/>
      <c r="AX6" s="598"/>
      <c r="AY6" s="555"/>
      <c r="AZ6" s="555"/>
      <c r="BA6" s="87"/>
      <c r="BB6" s="88">
        <v>0.04</v>
      </c>
      <c r="BC6" s="564"/>
      <c r="BD6" s="564"/>
      <c r="BE6" s="572"/>
      <c r="BF6" s="8" t="s">
        <v>52</v>
      </c>
      <c r="BG6" s="8" t="s">
        <v>53</v>
      </c>
      <c r="BH6" s="8" t="s">
        <v>54</v>
      </c>
      <c r="BI6" s="3"/>
      <c r="BJ6" s="3"/>
      <c r="BK6" s="308" t="s">
        <v>100</v>
      </c>
      <c r="BL6" s="280" t="s">
        <v>82</v>
      </c>
      <c r="BM6" s="279" t="s">
        <v>262</v>
      </c>
      <c r="BN6" s="307" t="s">
        <v>421</v>
      </c>
      <c r="BO6" s="308" t="s">
        <v>97</v>
      </c>
      <c r="BP6" s="326" t="s">
        <v>99</v>
      </c>
      <c r="BQ6" s="495" t="s">
        <v>420</v>
      </c>
      <c r="BR6" s="308" t="s">
        <v>100</v>
      </c>
      <c r="BS6" s="280" t="s">
        <v>82</v>
      </c>
      <c r="BT6" s="279" t="s">
        <v>262</v>
      </c>
      <c r="BU6" s="327"/>
      <c r="BV6" s="308" t="s">
        <v>97</v>
      </c>
      <c r="BW6" s="326" t="s">
        <v>99</v>
      </c>
      <c r="BX6" s="306"/>
      <c r="BY6" s="308" t="s">
        <v>100</v>
      </c>
      <c r="BZ6" s="280" t="s">
        <v>82</v>
      </c>
      <c r="CA6" s="279" t="s">
        <v>262</v>
      </c>
      <c r="CB6" s="307" t="s">
        <v>421</v>
      </c>
      <c r="CC6" s="308" t="s">
        <v>97</v>
      </c>
      <c r="CD6" s="326" t="s">
        <v>99</v>
      </c>
      <c r="CE6" s="495" t="s">
        <v>420</v>
      </c>
      <c r="CF6" s="267" t="s">
        <v>106</v>
      </c>
      <c r="CG6" s="268" t="s">
        <v>85</v>
      </c>
      <c r="CH6" s="244" t="s">
        <v>430</v>
      </c>
      <c r="CI6" s="245" t="s">
        <v>408</v>
      </c>
      <c r="CJ6" s="267" t="s">
        <v>106</v>
      </c>
      <c r="CK6" s="268" t="s">
        <v>85</v>
      </c>
      <c r="CL6" s="244" t="s">
        <v>430</v>
      </c>
      <c r="CM6" s="245" t="s">
        <v>408</v>
      </c>
      <c r="CN6" s="243"/>
      <c r="CO6" s="248" t="s">
        <v>100</v>
      </c>
      <c r="CP6" s="10" t="s">
        <v>82</v>
      </c>
      <c r="CQ6" s="264" t="s">
        <v>263</v>
      </c>
      <c r="CR6" s="23" t="s">
        <v>422</v>
      </c>
      <c r="CS6" s="248" t="s">
        <v>98</v>
      </c>
      <c r="CT6" s="248" t="s">
        <v>99</v>
      </c>
      <c r="CU6" s="496" t="s">
        <v>423</v>
      </c>
      <c r="CV6" s="259" t="s">
        <v>106</v>
      </c>
      <c r="CW6" s="248" t="s">
        <v>84</v>
      </c>
      <c r="CX6" s="232" t="s">
        <v>430</v>
      </c>
      <c r="CY6" s="263" t="s">
        <v>408</v>
      </c>
      <c r="CZ6" s="253"/>
      <c r="DA6" s="321" t="s">
        <v>80</v>
      </c>
      <c r="DB6" s="321" t="s">
        <v>55</v>
      </c>
      <c r="DD6" s="288" t="s">
        <v>91</v>
      </c>
      <c r="DE6" s="289" t="s">
        <v>92</v>
      </c>
      <c r="DF6" s="290" t="s">
        <v>93</v>
      </c>
      <c r="DG6" s="290"/>
      <c r="DH6" s="289" t="s">
        <v>94</v>
      </c>
    </row>
    <row r="7" spans="1:117" s="76" customFormat="1" ht="16.5" customHeight="1" thickBot="1">
      <c r="A7" s="121">
        <v>1</v>
      </c>
      <c r="B7" s="122">
        <f>BK7+BL7+BM7+BN7+BO7+BP7+BQ7</f>
        <v>140.47500399999998</v>
      </c>
      <c r="C7" s="123">
        <f>IF(B7=0,0,(BK7*BR7+BL7*BS7+BM7*BT7+BN7*BU7+BQ7*BX7+BO7*BV7+BP7*BW7)/B7)</f>
        <v>0.70175932444895328</v>
      </c>
      <c r="D7" s="124">
        <f>B7*((100-C7)/100)</f>
        <v>139.48920756090993</v>
      </c>
      <c r="E7" s="125">
        <f>IF(B7=0,0,(BK7*BY7+BL7*BZ7+BM7*CA7+BQ7*CE7+BN7*CB7+BO7*CC7+BP7*CD7)/B7)</f>
        <v>38.226904624256171</v>
      </c>
      <c r="F7" s="126">
        <f t="shared" ref="F7:F37" si="0">IF(AY7=0,0,D7/AY7)</f>
        <v>2.0458962681271622</v>
      </c>
      <c r="G7" s="127"/>
      <c r="H7" s="126">
        <f>IF(AY7=0,0,(CP7+CO7+CS7+CQ7+CT7)/AY7)</f>
        <v>1.6952215723085939</v>
      </c>
      <c r="I7" s="230">
        <f>'[1]июль 20'!AI6</f>
        <v>0</v>
      </c>
      <c r="J7" s="517">
        <f>'[1]октябрь 20'!AA6</f>
        <v>5.29</v>
      </c>
      <c r="K7" s="445">
        <f>'[1]сентябрь 20'!AM6</f>
        <v>0</v>
      </c>
      <c r="L7" s="446">
        <f>'[1]октябрь 20'!AE6</f>
        <v>23.908999999999999</v>
      </c>
      <c r="M7" s="399">
        <f>IF(AY7=0,0,(CR7+CU7)/AY7)</f>
        <v>0.3506746958185683</v>
      </c>
      <c r="N7" s="399">
        <f>'[1]октябрь 20'!W6</f>
        <v>0</v>
      </c>
      <c r="O7" s="402">
        <f>'[1]октябрь 20'!AU6</f>
        <v>1.611</v>
      </c>
      <c r="P7" s="125">
        <f t="shared" ref="P7:P37" si="1">CF7+CH7+CI7+CG7</f>
        <v>94.995001999999985</v>
      </c>
      <c r="Q7" s="122">
        <f>CF7+CG7+CH7+CI7</f>
        <v>94.995001999999985</v>
      </c>
      <c r="R7" s="123">
        <f>IF(Q7=0,0,(CI7*CM7+CG7*CK7+CH7*CL7+CF7*CJ7)/Q7)</f>
        <v>2.4399999486288975</v>
      </c>
      <c r="S7" s="129">
        <v>16.760000000000002</v>
      </c>
      <c r="T7" s="125">
        <f t="shared" ref="T7:T37" si="2">Q7*((100-R7)/100)</f>
        <v>92.677123999999978</v>
      </c>
      <c r="U7" s="128">
        <f t="shared" ref="U7:U37" si="3">IF(AY7=0,0,T7/AY7)</f>
        <v>1.359300733352889</v>
      </c>
      <c r="V7" s="130">
        <v>68.180000000000007</v>
      </c>
      <c r="W7" s="130">
        <v>68.180000000000007</v>
      </c>
      <c r="X7" s="129">
        <v>0.6</v>
      </c>
      <c r="Y7" s="131">
        <v>530</v>
      </c>
      <c r="Z7" s="131">
        <v>1177</v>
      </c>
      <c r="AA7" s="132" t="s">
        <v>413</v>
      </c>
      <c r="AB7" s="129">
        <v>76.12</v>
      </c>
      <c r="AC7" s="131">
        <v>53</v>
      </c>
      <c r="AD7" s="133">
        <v>3</v>
      </c>
      <c r="AE7" s="129"/>
      <c r="AF7" s="134">
        <f t="shared" ref="AF7:AF37" si="4">IF(AY7=0,0,AE7/AY7*1000)</f>
        <v>0</v>
      </c>
      <c r="AG7" s="135"/>
      <c r="AH7" s="129">
        <v>42.9</v>
      </c>
      <c r="AI7" s="134">
        <f t="shared" ref="AI7:AI37" si="5">IF(AY7=0,0,AH7/AY7*1000)</f>
        <v>629.21677911410961</v>
      </c>
      <c r="AJ7" s="136">
        <v>10.18</v>
      </c>
      <c r="AK7" s="127"/>
      <c r="AL7" s="137">
        <v>9.18</v>
      </c>
      <c r="AM7" s="478">
        <f>AT7*0.2</f>
        <v>17.990000000000002</v>
      </c>
      <c r="AN7" s="126">
        <f>IF(AM7=0,0,AM7/AT7)</f>
        <v>0.2</v>
      </c>
      <c r="AO7" s="139" t="s">
        <v>412</v>
      </c>
      <c r="AP7" s="138">
        <v>7.4</v>
      </c>
      <c r="AQ7" s="138">
        <v>8.23</v>
      </c>
      <c r="AR7" s="129"/>
      <c r="AS7" s="129">
        <v>8.9700000000000006</v>
      </c>
      <c r="AT7" s="129">
        <v>89.95</v>
      </c>
      <c r="AU7" s="129">
        <v>5.4</v>
      </c>
      <c r="AV7" s="129"/>
      <c r="AW7" s="129"/>
      <c r="AX7" s="140">
        <f t="shared" ref="AX7:AX37" si="6">IF(AY7=0,0,AW7/AY7*100)</f>
        <v>0</v>
      </c>
      <c r="AY7" s="125">
        <f t="shared" ref="AY7:AY37" si="7">AT7-AL7-AM7+AV7+AW7+AU7</f>
        <v>68.180000000000007</v>
      </c>
      <c r="AZ7" s="125">
        <f>IF(AB7=0,0,((D7*0.97)*(E7/100)*0.9)/(AB7/100))+DH7</f>
        <v>61.836456160455747</v>
      </c>
      <c r="BA7" s="141">
        <f t="shared" ref="BA7:BA37" si="8">(AH7*AS7)/100*(55/71)</f>
        <v>2.9809457746478869</v>
      </c>
      <c r="BB7" s="142">
        <f t="shared" ref="BB7:BB37" si="9">AY7*$BB$6</f>
        <v>2.7272000000000003</v>
      </c>
      <c r="BC7" s="122">
        <f t="shared" ref="BC7:BC37" si="10">IF((D7*E7)=0,0,(AY7*AB7)/(D7*E7))</f>
        <v>0.97329846056678326</v>
      </c>
      <c r="BD7" s="142">
        <f>BA7+BB7</f>
        <v>5.7081457746478872</v>
      </c>
      <c r="BE7" s="143">
        <v>0.97299999999999998</v>
      </c>
      <c r="BF7" s="25">
        <f>AY7</f>
        <v>68.180000000000007</v>
      </c>
      <c r="BG7" s="25">
        <f t="shared" ref="BG7:BG38" si="11">IF(A7&lt;=$BE$43,$AT$43,0)</f>
        <v>125.80645161290323</v>
      </c>
      <c r="BH7" s="25">
        <f>BG7</f>
        <v>125.80645161290323</v>
      </c>
      <c r="BI7" s="26">
        <f t="shared" ref="BI7:BI37" si="12">IF(AY7&lt;&gt;0,1,0)</f>
        <v>1</v>
      </c>
      <c r="BJ7" s="27">
        <f>BG7*BI7</f>
        <v>125.80645161290323</v>
      </c>
      <c r="BK7" s="28">
        <f>DK7</f>
        <v>79.567999999999998</v>
      </c>
      <c r="BL7" s="28">
        <v>36.997999999999998</v>
      </c>
      <c r="BM7" s="28">
        <v>9.9999999999999995E-7</v>
      </c>
      <c r="BN7" s="28">
        <v>9.9999999999999995E-7</v>
      </c>
      <c r="BO7" s="28">
        <v>9.9999999999999995E-7</v>
      </c>
      <c r="BP7" s="28">
        <v>9.9999999999999995E-7</v>
      </c>
      <c r="BQ7" s="28">
        <v>23.908999999999999</v>
      </c>
      <c r="BR7" s="28">
        <v>0.76</v>
      </c>
      <c r="BS7" s="28">
        <v>1.03</v>
      </c>
      <c r="BT7" s="28">
        <v>9.9999999999999995E-7</v>
      </c>
      <c r="BU7" s="28">
        <v>9.9999999999999995E-7</v>
      </c>
      <c r="BV7" s="28">
        <v>9.9999999999999995E-7</v>
      </c>
      <c r="BW7" s="28">
        <v>9.9999999999999995E-7</v>
      </c>
      <c r="BX7" s="28">
        <v>9.9999999999999995E-7</v>
      </c>
      <c r="BY7" s="28">
        <v>37.65</v>
      </c>
      <c r="BZ7" s="28">
        <v>36.06</v>
      </c>
      <c r="CA7" s="28">
        <v>9.9999999999999995E-7</v>
      </c>
      <c r="CB7" s="28">
        <v>9.9999999999999995E-7</v>
      </c>
      <c r="CC7" s="28">
        <v>9.9999999999999995E-7</v>
      </c>
      <c r="CD7" s="28">
        <v>9.9999999999999995E-7</v>
      </c>
      <c r="CE7" s="28">
        <v>43.5</v>
      </c>
      <c r="CF7" s="28">
        <f>DM7</f>
        <v>68.49199999999999</v>
      </c>
      <c r="CG7" s="28">
        <v>9.9999999999999995E-7</v>
      </c>
      <c r="CH7" s="28">
        <v>9.9999999999999995E-7</v>
      </c>
      <c r="CI7" s="28">
        <v>26.503</v>
      </c>
      <c r="CJ7" s="28">
        <v>2.44</v>
      </c>
      <c r="CK7" s="28">
        <v>9.9999999999999995E-7</v>
      </c>
      <c r="CL7" s="28">
        <v>9.9999999999999995E-7</v>
      </c>
      <c r="CM7" s="28">
        <v>2.44</v>
      </c>
      <c r="CN7" s="286"/>
      <c r="CO7" s="252">
        <f t="shared" ref="CO7:CU22" si="13">BK7*((100-BR7)/100)</f>
        <v>78.963283199999992</v>
      </c>
      <c r="CP7" s="11">
        <f t="shared" si="13"/>
        <v>36.6169206</v>
      </c>
      <c r="CQ7" s="11">
        <f t="shared" si="13"/>
        <v>9.9999998999999992E-7</v>
      </c>
      <c r="CR7" s="11">
        <f t="shared" si="13"/>
        <v>9.9999998999999992E-7</v>
      </c>
      <c r="CS7" s="11">
        <f t="shared" si="13"/>
        <v>9.9999998999999992E-7</v>
      </c>
      <c r="CT7" s="11">
        <f t="shared" si="13"/>
        <v>9.9999998999999992E-7</v>
      </c>
      <c r="CU7" s="271">
        <f t="shared" si="13"/>
        <v>23.90899976091</v>
      </c>
      <c r="CV7" s="260">
        <f t="shared" ref="CV7:CY37" si="14">CF7*((100-CJ7)/100)</f>
        <v>66.820795199999992</v>
      </c>
      <c r="CW7" s="250">
        <f t="shared" si="14"/>
        <v>9.9999998999999992E-7</v>
      </c>
      <c r="CX7" s="260">
        <f t="shared" si="14"/>
        <v>9.9999998999999992E-7</v>
      </c>
      <c r="CY7" s="271">
        <f t="shared" si="14"/>
        <v>25.856326800000001</v>
      </c>
      <c r="CZ7" s="13"/>
      <c r="DA7" s="240">
        <f>(D7+'[2]октябрь 20 '!D7)/(AY7+'[2]октябрь 20 '!BA7)</f>
        <v>2.1319113795118079</v>
      </c>
      <c r="DB7" s="241">
        <f>(T7+'[2]октябрь 20 '!T7)/(AY7+'[2]октябрь 20 '!BA7)</f>
        <v>1.3735202786961358</v>
      </c>
      <c r="DD7" s="292">
        <f t="shared" ref="DD7:DD37" si="15">J7</f>
        <v>5.29</v>
      </c>
      <c r="DE7" s="291">
        <v>0.31</v>
      </c>
      <c r="DF7" s="291">
        <v>9.85</v>
      </c>
      <c r="DG7" s="145">
        <f t="shared" ref="DG7:DG37" si="16">DD7*((100-DE7)/100)</f>
        <v>5.2736010000000002</v>
      </c>
      <c r="DH7" s="293">
        <f>IF(AB7=0,0,(DG7*DF7%)/(AB7/100))</f>
        <v>0.68240895756699937</v>
      </c>
      <c r="DJ7" s="28">
        <v>71.567999999999998</v>
      </c>
      <c r="DK7" s="460">
        <f>DJ7+8</f>
        <v>79.567999999999998</v>
      </c>
      <c r="DL7" s="28">
        <v>54.491999999999997</v>
      </c>
      <c r="DM7" s="460">
        <f>DL7+14</f>
        <v>68.49199999999999</v>
      </c>
    </row>
    <row r="8" spans="1:117" s="76" customFormat="1" ht="16.5" customHeight="1" thickBot="1">
      <c r="A8" s="144">
        <v>2</v>
      </c>
      <c r="B8" s="122">
        <f t="shared" ref="B8:B37" si="17">BK8+BL8+BM8+BN8+BO8+BP8+BQ8</f>
        <v>238.01599999999999</v>
      </c>
      <c r="C8" s="123">
        <f t="shared" ref="C8:C37" si="18">IF(B8=0,0,(BK8*BR8+BL8*BS8+BM8*BT8+BN8*BU8+BQ8*BX8+BO8*BV8+BP8*BW8)/B8)</f>
        <v>0.79359286770637272</v>
      </c>
      <c r="D8" s="145">
        <f t="shared" ref="D8:D37" si="19">B8*((100-C8)/100)</f>
        <v>236.12712200000001</v>
      </c>
      <c r="E8" s="125">
        <f t="shared" ref="E8:E37" si="20">IF(B8=0,0,(BK8*BY8+BL8*BZ8+BM8*CA8+BQ8*CE8+BN8*CB8+BO8*CC8+BP8*CD8)/B8)</f>
        <v>38.000017099690773</v>
      </c>
      <c r="F8" s="146">
        <f t="shared" si="0"/>
        <v>3.0114414232878457</v>
      </c>
      <c r="G8" s="127">
        <v>17.36</v>
      </c>
      <c r="H8" s="126">
        <f t="shared" ref="H8:H37" si="21">IF(AY8=0,0,(CP8+CO8+CS8+CQ8+CT8)/AY8)</f>
        <v>2.4835368192832545</v>
      </c>
      <c r="I8" s="230">
        <f>'[1]июль 20'!AI7</f>
        <v>0</v>
      </c>
      <c r="J8" s="439">
        <f>'[1]октябрь 20'!AA7</f>
        <v>9.5519999999999996</v>
      </c>
      <c r="K8" s="464">
        <f>'[1]сентябрь 20'!AM7</f>
        <v>0</v>
      </c>
      <c r="L8" s="441">
        <f>'[1]октябрь 20'!AE7</f>
        <v>41.393000000000001</v>
      </c>
      <c r="M8" s="468">
        <f t="shared" ref="M8:M37" si="22">IF(AY8=0,0,(CR8+CU8)/AY8)</f>
        <v>0.52790460400459116</v>
      </c>
      <c r="N8" s="403">
        <f>'[1]октябрь 20'!W7</f>
        <v>0</v>
      </c>
      <c r="O8" s="403">
        <f>'[1]октябрь 20'!AU7</f>
        <v>3.7610000000000001</v>
      </c>
      <c r="P8" s="401">
        <f t="shared" si="1"/>
        <v>158.113</v>
      </c>
      <c r="Q8" s="122">
        <f t="shared" ref="Q8:Q37" si="23">CF8+CG8+CH8+CI8</f>
        <v>158.113</v>
      </c>
      <c r="R8" s="123">
        <f t="shared" ref="R8:R37" si="24">IF(Q8=0,0,(CI8*CM8+CG8*CK8+CH8*CL8+CF8*CJ8)/Q8)</f>
        <v>2.82</v>
      </c>
      <c r="S8" s="129">
        <v>2.2200000000000002</v>
      </c>
      <c r="T8" s="125">
        <f t="shared" si="2"/>
        <v>153.6542134</v>
      </c>
      <c r="U8" s="147">
        <f t="shared" si="3"/>
        <v>1.9596252187221015</v>
      </c>
      <c r="V8" s="130">
        <v>78.41</v>
      </c>
      <c r="W8" s="130">
        <v>48.09</v>
      </c>
      <c r="X8" s="129">
        <v>0.54</v>
      </c>
      <c r="Y8" s="131">
        <v>522</v>
      </c>
      <c r="Z8" s="131">
        <v>1105</v>
      </c>
      <c r="AA8" s="148" t="s">
        <v>414</v>
      </c>
      <c r="AB8" s="149">
        <v>75.599999999999994</v>
      </c>
      <c r="AC8" s="150">
        <v>93</v>
      </c>
      <c r="AD8" s="151">
        <v>3</v>
      </c>
      <c r="AE8" s="149">
        <v>4</v>
      </c>
      <c r="AF8" s="134">
        <f t="shared" si="4"/>
        <v>51.013901288101003</v>
      </c>
      <c r="AG8" s="152"/>
      <c r="AH8" s="129">
        <v>70.400000000000006</v>
      </c>
      <c r="AI8" s="134">
        <f t="shared" si="5"/>
        <v>897.84466267057769</v>
      </c>
      <c r="AJ8" s="153">
        <v>12.3</v>
      </c>
      <c r="AK8" s="154"/>
      <c r="AL8" s="155">
        <v>6.25</v>
      </c>
      <c r="AM8" s="478">
        <f t="shared" ref="AM8:AM15" si="25">AT8*0.2</f>
        <v>20.78</v>
      </c>
      <c r="AN8" s="126">
        <f t="shared" ref="AN8:AN37" si="26">IF(AM8=0,0,AM8/AT8)</f>
        <v>0.2</v>
      </c>
      <c r="AO8" s="157" t="s">
        <v>322</v>
      </c>
      <c r="AP8" s="156">
        <v>7.57</v>
      </c>
      <c r="AQ8" s="156">
        <v>8.0299999999999994</v>
      </c>
      <c r="AR8" s="149"/>
      <c r="AS8" s="149">
        <v>9.44</v>
      </c>
      <c r="AT8" s="149">
        <v>103.9</v>
      </c>
      <c r="AU8" s="149">
        <v>1.54</v>
      </c>
      <c r="AV8" s="149"/>
      <c r="AW8" s="149"/>
      <c r="AX8" s="158">
        <f t="shared" si="6"/>
        <v>0</v>
      </c>
      <c r="AY8" s="125">
        <f t="shared" si="7"/>
        <v>78.410000000000011</v>
      </c>
      <c r="AZ8" s="125">
        <f t="shared" ref="AZ8:AZ37" si="27">IF(AB8=0,0,((D8*0.97)*(E8/100)*0.9)/(AB8/100))+DH8</f>
        <v>105.34922476376683</v>
      </c>
      <c r="BA8" s="159">
        <f t="shared" si="8"/>
        <v>5.1481239436619717</v>
      </c>
      <c r="BB8" s="160">
        <f t="shared" si="9"/>
        <v>3.1364000000000005</v>
      </c>
      <c r="BC8" s="161">
        <f t="shared" si="10"/>
        <v>0.66063804979871876</v>
      </c>
      <c r="BD8" s="160">
        <f t="shared" ref="BD8:BD37" si="28">BA8+BB8</f>
        <v>8.2845239436619718</v>
      </c>
      <c r="BE8" s="162">
        <v>0.77700000000000002</v>
      </c>
      <c r="BF8" s="25">
        <f t="shared" ref="BF8:BF37" si="29">BF7+AY8</f>
        <v>146.59000000000003</v>
      </c>
      <c r="BG8" s="25">
        <f t="shared" si="11"/>
        <v>125.80645161290323</v>
      </c>
      <c r="BH8" s="25">
        <f t="shared" ref="BH8:BH37" si="30">BG8+BH7</f>
        <v>251.61290322580646</v>
      </c>
      <c r="BI8" s="26">
        <f t="shared" si="12"/>
        <v>1</v>
      </c>
      <c r="BJ8" s="27">
        <f t="shared" ref="BJ8:BJ37" si="31">BG8*BI8+BJ7</f>
        <v>251.61290322580646</v>
      </c>
      <c r="BK8" s="28">
        <f t="shared" ref="BK8:BK36" si="32">DK8</f>
        <v>132.16300000000001</v>
      </c>
      <c r="BL8" s="31">
        <v>64.459999999999994</v>
      </c>
      <c r="BM8" s="31"/>
      <c r="BN8" s="31"/>
      <c r="BO8" s="40"/>
      <c r="BP8" s="40"/>
      <c r="BQ8" s="32">
        <v>41.393000000000001</v>
      </c>
      <c r="BR8" s="33">
        <v>1</v>
      </c>
      <c r="BS8" s="34">
        <v>0.88</v>
      </c>
      <c r="BT8" s="35"/>
      <c r="BU8" s="28"/>
      <c r="BV8" s="287"/>
      <c r="BW8" s="28"/>
      <c r="BX8" s="36"/>
      <c r="BY8" s="33">
        <v>36.9</v>
      </c>
      <c r="BZ8" s="34">
        <v>36.729999999999997</v>
      </c>
      <c r="CA8" s="35"/>
      <c r="CB8" s="35"/>
      <c r="CC8" s="235"/>
      <c r="CD8" s="235"/>
      <c r="CE8" s="36">
        <v>43.49</v>
      </c>
      <c r="CF8" s="28">
        <f t="shared" ref="CF8:CF37" si="33">DM8</f>
        <v>111.27200000000001</v>
      </c>
      <c r="CG8" s="30"/>
      <c r="CH8" s="31"/>
      <c r="CI8" s="32">
        <v>46.841000000000001</v>
      </c>
      <c r="CJ8" s="33">
        <v>2.82</v>
      </c>
      <c r="CK8" s="33"/>
      <c r="CL8" s="35"/>
      <c r="CM8" s="28">
        <v>2.82</v>
      </c>
      <c r="CN8" s="286"/>
      <c r="CO8" s="249">
        <f t="shared" si="13"/>
        <v>130.84137000000001</v>
      </c>
      <c r="CP8" s="12">
        <f t="shared" si="13"/>
        <v>63.892752000000002</v>
      </c>
      <c r="CQ8" s="12">
        <f t="shared" si="13"/>
        <v>0</v>
      </c>
      <c r="CR8" s="12">
        <f t="shared" si="13"/>
        <v>0</v>
      </c>
      <c r="CS8" s="11">
        <f t="shared" si="13"/>
        <v>0</v>
      </c>
      <c r="CT8" s="11">
        <f t="shared" si="13"/>
        <v>0</v>
      </c>
      <c r="CU8" s="272">
        <f t="shared" si="13"/>
        <v>41.393000000000001</v>
      </c>
      <c r="CV8" s="249">
        <f t="shared" si="14"/>
        <v>108.13412960000002</v>
      </c>
      <c r="CW8" s="12">
        <f t="shared" si="14"/>
        <v>0</v>
      </c>
      <c r="CX8" s="254">
        <f t="shared" si="14"/>
        <v>0</v>
      </c>
      <c r="CY8" s="272">
        <f t="shared" si="14"/>
        <v>45.520083800000009</v>
      </c>
      <c r="CZ8" s="13"/>
      <c r="DA8" s="240">
        <f>(D8+'[2]октябрь 20 '!D8)/(AY8+'[2]октябрь 20 '!BA8)</f>
        <v>2.3580281058351704</v>
      </c>
      <c r="DB8" s="241">
        <f>(T8+'[2]октябрь 20 '!T8)/(AY8+'[2]октябрь 20 '!BA8)</f>
        <v>1.4560548533051245</v>
      </c>
      <c r="DD8" s="292">
        <f t="shared" si="15"/>
        <v>9.5519999999999996</v>
      </c>
      <c r="DE8" s="291">
        <v>0.17</v>
      </c>
      <c r="DF8" s="291">
        <v>13.75</v>
      </c>
      <c r="DG8" s="145">
        <f t="shared" si="16"/>
        <v>9.5357615999999989</v>
      </c>
      <c r="DH8" s="293">
        <f t="shared" ref="DH8:DH37" si="34">IF(AB8=0,0,(DG8*DF8%)/(AB8/100))</f>
        <v>1.7343481746031748</v>
      </c>
      <c r="DJ8" s="30">
        <v>124.163</v>
      </c>
      <c r="DK8" s="460">
        <f t="shared" ref="DK8:DK37" si="35">DJ8+8</f>
        <v>132.16300000000001</v>
      </c>
      <c r="DL8" s="30">
        <v>97.272000000000006</v>
      </c>
      <c r="DM8" s="460">
        <f t="shared" ref="DM8:DM36" si="36">DL8+14</f>
        <v>111.27200000000001</v>
      </c>
    </row>
    <row r="9" spans="1:117" s="76" customFormat="1" ht="16.5" customHeight="1" thickBot="1">
      <c r="A9" s="144">
        <v>3</v>
      </c>
      <c r="B9" s="122">
        <f t="shared" si="17"/>
        <v>275.55099999999999</v>
      </c>
      <c r="C9" s="123">
        <f t="shared" si="18"/>
        <v>0.90820124042373285</v>
      </c>
      <c r="D9" s="145">
        <f>B9*((100-C9)/100)</f>
        <v>273.0484424</v>
      </c>
      <c r="E9" s="125">
        <f t="shared" si="20"/>
        <v>38.439076323439217</v>
      </c>
      <c r="F9" s="146">
        <f t="shared" si="0"/>
        <v>2.2114557576739284</v>
      </c>
      <c r="G9" s="127">
        <v>20.58</v>
      </c>
      <c r="H9" s="126">
        <f t="shared" si="21"/>
        <v>1.8206158775411028</v>
      </c>
      <c r="I9" s="230">
        <f>'[1]июль 20'!AI8</f>
        <v>0</v>
      </c>
      <c r="J9" s="439">
        <f>'[1]октябрь 20'!AA8</f>
        <v>10.295999999999999</v>
      </c>
      <c r="K9" s="465">
        <f>'[1]сентябрь 20'!AM8</f>
        <v>0</v>
      </c>
      <c r="L9" s="441">
        <f>'[1]октябрь 20'!AE8</f>
        <v>48.256999999999998</v>
      </c>
      <c r="M9" s="469">
        <f t="shared" si="22"/>
        <v>0.39083988013282572</v>
      </c>
      <c r="N9" s="399">
        <f>'[1]октябрь 20'!W8</f>
        <v>0</v>
      </c>
      <c r="O9" s="403">
        <f>'[1]октябрь 20'!AU8</f>
        <v>3.2410000000000001</v>
      </c>
      <c r="P9" s="401">
        <f t="shared" si="1"/>
        <v>178.19200000000001</v>
      </c>
      <c r="Q9" s="122">
        <f t="shared" si="23"/>
        <v>178.19200000000001</v>
      </c>
      <c r="R9" s="123">
        <f t="shared" si="24"/>
        <v>2.58</v>
      </c>
      <c r="S9" s="129">
        <v>12.57</v>
      </c>
      <c r="T9" s="125">
        <f t="shared" si="2"/>
        <v>173.59464640000002</v>
      </c>
      <c r="U9" s="147">
        <f>IF(AY9=0,0,T9/AY9)</f>
        <v>1.405966197456872</v>
      </c>
      <c r="V9" s="130">
        <v>51.2</v>
      </c>
      <c r="W9" s="130">
        <v>76.959999999999994</v>
      </c>
      <c r="X9" s="129">
        <v>0.75</v>
      </c>
      <c r="Y9" s="131">
        <v>557</v>
      </c>
      <c r="Z9" s="131">
        <v>1178</v>
      </c>
      <c r="AA9" s="148" t="s">
        <v>159</v>
      </c>
      <c r="AB9" s="149">
        <v>74.53</v>
      </c>
      <c r="AC9" s="150">
        <v>107</v>
      </c>
      <c r="AD9" s="151">
        <v>5</v>
      </c>
      <c r="AE9" s="149"/>
      <c r="AF9" s="134">
        <f t="shared" si="4"/>
        <v>0</v>
      </c>
      <c r="AG9" s="152"/>
      <c r="AH9" s="129">
        <v>78.45</v>
      </c>
      <c r="AI9" s="134">
        <f t="shared" si="5"/>
        <v>635.37701465943144</v>
      </c>
      <c r="AJ9" s="153">
        <v>19.690000000000001</v>
      </c>
      <c r="AK9" s="154"/>
      <c r="AL9" s="155">
        <v>8.65</v>
      </c>
      <c r="AM9" s="478">
        <f t="shared" si="25"/>
        <v>32.410000000000004</v>
      </c>
      <c r="AN9" s="126">
        <f t="shared" si="26"/>
        <v>0.2</v>
      </c>
      <c r="AO9" s="157" t="s">
        <v>339</v>
      </c>
      <c r="AP9" s="156">
        <v>7.94</v>
      </c>
      <c r="AQ9" s="156">
        <v>7.4</v>
      </c>
      <c r="AR9" s="149"/>
      <c r="AS9" s="149">
        <v>7.67</v>
      </c>
      <c r="AT9" s="149">
        <v>162.05000000000001</v>
      </c>
      <c r="AU9" s="149">
        <v>2.48</v>
      </c>
      <c r="AV9" s="149"/>
      <c r="AW9" s="149"/>
      <c r="AX9" s="158">
        <f t="shared" si="6"/>
        <v>0</v>
      </c>
      <c r="AY9" s="125">
        <f t="shared" si="7"/>
        <v>123.47000000000001</v>
      </c>
      <c r="AZ9" s="125">
        <f t="shared" si="27"/>
        <v>124.70114088376161</v>
      </c>
      <c r="BA9" s="159">
        <f t="shared" si="8"/>
        <v>4.6611454225352116</v>
      </c>
      <c r="BB9" s="160">
        <f t="shared" si="9"/>
        <v>4.9388000000000005</v>
      </c>
      <c r="BC9" s="161">
        <f t="shared" si="10"/>
        <v>0.87675837434953574</v>
      </c>
      <c r="BD9" s="160">
        <f t="shared" si="28"/>
        <v>9.5999454225352121</v>
      </c>
      <c r="BE9" s="162">
        <v>0.81899999999999995</v>
      </c>
      <c r="BF9" s="25">
        <f t="shared" si="29"/>
        <v>270.06000000000006</v>
      </c>
      <c r="BG9" s="25">
        <f t="shared" si="11"/>
        <v>125.80645161290323</v>
      </c>
      <c r="BH9" s="25">
        <f t="shared" si="30"/>
        <v>377.41935483870969</v>
      </c>
      <c r="BI9" s="26">
        <f t="shared" si="12"/>
        <v>1</v>
      </c>
      <c r="BJ9" s="37">
        <f t="shared" si="31"/>
        <v>377.41935483870969</v>
      </c>
      <c r="BK9" s="28">
        <f t="shared" si="32"/>
        <v>152.435</v>
      </c>
      <c r="BL9" s="31">
        <v>74.858999999999995</v>
      </c>
      <c r="BM9" s="31"/>
      <c r="BN9" s="31"/>
      <c r="BO9" s="40"/>
      <c r="BP9" s="40"/>
      <c r="BQ9" s="32">
        <v>48.256999999999998</v>
      </c>
      <c r="BR9" s="33">
        <v>0.91</v>
      </c>
      <c r="BS9" s="34">
        <v>1.49</v>
      </c>
      <c r="BT9" s="35"/>
      <c r="BU9" s="28"/>
      <c r="BV9" s="287"/>
      <c r="BW9" s="287"/>
      <c r="BX9" s="36"/>
      <c r="BY9" s="33">
        <v>37.909999999999997</v>
      </c>
      <c r="BZ9" s="34">
        <v>36.369999999999997</v>
      </c>
      <c r="CA9" s="35"/>
      <c r="CB9" s="35"/>
      <c r="CC9" s="235"/>
      <c r="CD9" s="235"/>
      <c r="CE9" s="36">
        <v>43.32</v>
      </c>
      <c r="CF9" s="28">
        <f t="shared" si="33"/>
        <v>124.678</v>
      </c>
      <c r="CG9" s="30"/>
      <c r="CH9" s="31"/>
      <c r="CI9" s="32">
        <v>53.514000000000003</v>
      </c>
      <c r="CJ9" s="33">
        <v>2.58</v>
      </c>
      <c r="CK9" s="33"/>
      <c r="CL9" s="35"/>
      <c r="CM9" s="36">
        <v>2.58</v>
      </c>
      <c r="CN9" s="286"/>
      <c r="CO9" s="249">
        <f t="shared" si="13"/>
        <v>151.0478415</v>
      </c>
      <c r="CP9" s="12">
        <f t="shared" si="13"/>
        <v>73.743600900000004</v>
      </c>
      <c r="CQ9" s="12">
        <f t="shared" si="13"/>
        <v>0</v>
      </c>
      <c r="CR9" s="12">
        <f t="shared" si="13"/>
        <v>0</v>
      </c>
      <c r="CS9" s="11">
        <f t="shared" si="13"/>
        <v>0</v>
      </c>
      <c r="CT9" s="11">
        <f t="shared" si="13"/>
        <v>0</v>
      </c>
      <c r="CU9" s="272">
        <f t="shared" si="13"/>
        <v>48.256999999999998</v>
      </c>
      <c r="CV9" s="249">
        <f t="shared" si="14"/>
        <v>121.46130760000001</v>
      </c>
      <c r="CW9" s="251">
        <f t="shared" si="14"/>
        <v>0</v>
      </c>
      <c r="CX9" s="249">
        <f t="shared" si="14"/>
        <v>0</v>
      </c>
      <c r="CY9" s="272">
        <f t="shared" si="14"/>
        <v>52.133338800000004</v>
      </c>
      <c r="CZ9" s="13"/>
      <c r="DA9" s="240">
        <f>(D9+'[2]октябрь 20 '!D9)/(AY9+'[2]октябрь 20 '!BA9)</f>
        <v>2.1729159694532867</v>
      </c>
      <c r="DB9" s="241">
        <f>(T9+'[2]октябрь 20 '!T9)/(AY9+'[2]октябрь 20 '!BA9)</f>
        <v>1.3329274764058745</v>
      </c>
      <c r="DD9" s="292">
        <f t="shared" si="15"/>
        <v>10.295999999999999</v>
      </c>
      <c r="DE9" s="291">
        <v>0.21</v>
      </c>
      <c r="DF9" s="291">
        <v>12.77</v>
      </c>
      <c r="DG9" s="145">
        <f t="shared" si="16"/>
        <v>10.2743784</v>
      </c>
      <c r="DH9" s="293">
        <f t="shared" si="34"/>
        <v>1.7604161031530929</v>
      </c>
      <c r="DJ9" s="38">
        <v>144.435</v>
      </c>
      <c r="DK9" s="460">
        <f t="shared" si="35"/>
        <v>152.435</v>
      </c>
      <c r="DL9" s="30">
        <v>110.678</v>
      </c>
      <c r="DM9" s="460">
        <f t="shared" si="36"/>
        <v>124.678</v>
      </c>
    </row>
    <row r="10" spans="1:117" s="76" customFormat="1" ht="16.5" customHeight="1" thickBot="1">
      <c r="A10" s="144">
        <v>4</v>
      </c>
      <c r="B10" s="122">
        <f t="shared" si="17"/>
        <v>290.63800000000003</v>
      </c>
      <c r="C10" s="123">
        <f t="shared" si="18"/>
        <v>1.3721095314446146</v>
      </c>
      <c r="D10" s="145">
        <f t="shared" si="19"/>
        <v>286.65012830000006</v>
      </c>
      <c r="E10" s="125">
        <f>IF(B10=0,0,(BK10*BY10+BL10*BZ10+BM10*CA10+BQ10*CE10+BN10*CB10+BO10*CC10+BP10*CD10)/B10)</f>
        <v>37.891703287250806</v>
      </c>
      <c r="F10" s="146">
        <f t="shared" si="0"/>
        <v>2.2019521301275167</v>
      </c>
      <c r="G10" s="127">
        <v>20.63</v>
      </c>
      <c r="H10" s="126">
        <f t="shared" si="21"/>
        <v>1.8115081295129825</v>
      </c>
      <c r="I10" s="230">
        <f>'[1]июль 20'!AI9</f>
        <v>0</v>
      </c>
      <c r="J10" s="439">
        <f>'[1]октябрь 20'!AA9</f>
        <v>11.222</v>
      </c>
      <c r="K10" s="464">
        <f>'[1]сентябрь 20'!AM9</f>
        <v>0</v>
      </c>
      <c r="L10" s="441">
        <f>'[1]октябрь 20'!AE9</f>
        <v>50.828000000000003</v>
      </c>
      <c r="M10" s="470">
        <f t="shared" si="22"/>
        <v>0.39044400061453383</v>
      </c>
      <c r="N10" s="403">
        <f>'[1]октябрь 20'!W9</f>
        <v>0</v>
      </c>
      <c r="O10" s="403">
        <f>'[1]октябрь 20'!AU9</f>
        <v>3.37</v>
      </c>
      <c r="P10" s="401">
        <f t="shared" si="1"/>
        <v>187.91699999999997</v>
      </c>
      <c r="Q10" s="122">
        <f t="shared" si="23"/>
        <v>187.91699999999997</v>
      </c>
      <c r="R10" s="123">
        <f t="shared" si="24"/>
        <v>2.5499999999999998</v>
      </c>
      <c r="S10" s="129">
        <v>18.63</v>
      </c>
      <c r="T10" s="125">
        <f t="shared" si="2"/>
        <v>183.12511649999999</v>
      </c>
      <c r="U10" s="147">
        <f t="shared" si="3"/>
        <v>1.4067069941619299</v>
      </c>
      <c r="V10" s="130">
        <v>107.92</v>
      </c>
      <c r="W10" s="130">
        <v>78.98</v>
      </c>
      <c r="X10" s="129">
        <v>0.76</v>
      </c>
      <c r="Y10" s="131">
        <v>560</v>
      </c>
      <c r="Z10" s="131">
        <v>1174</v>
      </c>
      <c r="AA10" s="148" t="s">
        <v>165</v>
      </c>
      <c r="AB10" s="149">
        <v>75.569999999999993</v>
      </c>
      <c r="AC10" s="150">
        <v>113</v>
      </c>
      <c r="AD10" s="151">
        <v>5</v>
      </c>
      <c r="AE10" s="149"/>
      <c r="AF10" s="134">
        <f t="shared" si="4"/>
        <v>0</v>
      </c>
      <c r="AG10" s="152"/>
      <c r="AH10" s="129">
        <v>75.25</v>
      </c>
      <c r="AI10" s="134">
        <f t="shared" si="5"/>
        <v>578.04578276232917</v>
      </c>
      <c r="AJ10" s="153">
        <v>18.12</v>
      </c>
      <c r="AK10" s="154"/>
      <c r="AL10" s="155">
        <v>10.89</v>
      </c>
      <c r="AM10" s="478">
        <f t="shared" si="25"/>
        <v>34.57</v>
      </c>
      <c r="AN10" s="126">
        <f t="shared" si="26"/>
        <v>0.2</v>
      </c>
      <c r="AO10" s="157" t="s">
        <v>347</v>
      </c>
      <c r="AP10" s="156">
        <v>8.23</v>
      </c>
      <c r="AQ10" s="156">
        <v>7.76</v>
      </c>
      <c r="AR10" s="149"/>
      <c r="AS10" s="149">
        <v>8.16</v>
      </c>
      <c r="AT10" s="149">
        <v>172.85</v>
      </c>
      <c r="AU10" s="149">
        <v>2.79</v>
      </c>
      <c r="AV10" s="149"/>
      <c r="AW10" s="149"/>
      <c r="AX10" s="158">
        <f t="shared" si="6"/>
        <v>0</v>
      </c>
      <c r="AY10" s="125">
        <f>AT10-AL10-AM10+AV10+AW10+AU10</f>
        <v>130.17999999999998</v>
      </c>
      <c r="AZ10" s="125">
        <f t="shared" si="27"/>
        <v>127.12543969976032</v>
      </c>
      <c r="BA10" s="159">
        <f t="shared" si="8"/>
        <v>4.7566478873239433</v>
      </c>
      <c r="BB10" s="160">
        <f t="shared" si="9"/>
        <v>5.2071999999999994</v>
      </c>
      <c r="BC10" s="161">
        <f t="shared" si="10"/>
        <v>0.90572722243834591</v>
      </c>
      <c r="BD10" s="160">
        <f t="shared" si="28"/>
        <v>9.9638478873239436</v>
      </c>
      <c r="BE10" s="162">
        <v>0.84599999999999997</v>
      </c>
      <c r="BF10" s="25">
        <f t="shared" si="29"/>
        <v>400.24</v>
      </c>
      <c r="BG10" s="25">
        <f t="shared" si="11"/>
        <v>125.80645161290323</v>
      </c>
      <c r="BH10" s="25">
        <f t="shared" si="30"/>
        <v>503.22580645161293</v>
      </c>
      <c r="BI10" s="26">
        <f t="shared" si="12"/>
        <v>1</v>
      </c>
      <c r="BJ10" s="37">
        <f t="shared" si="31"/>
        <v>503.22580645161293</v>
      </c>
      <c r="BK10" s="28">
        <f t="shared" si="32"/>
        <v>160.583</v>
      </c>
      <c r="BL10" s="31">
        <v>79.227000000000004</v>
      </c>
      <c r="BM10" s="31"/>
      <c r="BN10" s="31"/>
      <c r="BO10" s="40"/>
      <c r="BP10" s="40"/>
      <c r="BQ10" s="32">
        <v>50.828000000000003</v>
      </c>
      <c r="BR10" s="33">
        <v>1.99</v>
      </c>
      <c r="BS10" s="34">
        <v>1</v>
      </c>
      <c r="BT10" s="35"/>
      <c r="BU10" s="28"/>
      <c r="BV10" s="287"/>
      <c r="BW10" s="287"/>
      <c r="BX10" s="36"/>
      <c r="BY10" s="33">
        <v>37.04</v>
      </c>
      <c r="BZ10" s="34">
        <v>36.020000000000003</v>
      </c>
      <c r="CA10" s="35"/>
      <c r="CB10" s="35"/>
      <c r="CC10" s="235"/>
      <c r="CD10" s="235"/>
      <c r="CE10" s="36">
        <v>43.5</v>
      </c>
      <c r="CF10" s="28">
        <f t="shared" si="33"/>
        <v>131.43799999999999</v>
      </c>
      <c r="CG10" s="30"/>
      <c r="CH10" s="31"/>
      <c r="CI10" s="32">
        <v>56.478999999999999</v>
      </c>
      <c r="CJ10" s="33">
        <v>2.5499999999999998</v>
      </c>
      <c r="CK10" s="33"/>
      <c r="CL10" s="35"/>
      <c r="CM10" s="36">
        <v>2.5499999999999998</v>
      </c>
      <c r="CN10" s="286"/>
      <c r="CO10" s="249">
        <f t="shared" si="13"/>
        <v>157.3873983</v>
      </c>
      <c r="CP10" s="12">
        <f t="shared" si="13"/>
        <v>78.434730000000002</v>
      </c>
      <c r="CQ10" s="12">
        <f t="shared" si="13"/>
        <v>0</v>
      </c>
      <c r="CR10" s="14">
        <f t="shared" si="13"/>
        <v>0</v>
      </c>
      <c r="CS10" s="11">
        <f t="shared" si="13"/>
        <v>0</v>
      </c>
      <c r="CT10" s="11">
        <f t="shared" si="13"/>
        <v>0</v>
      </c>
      <c r="CU10" s="272">
        <f t="shared" si="13"/>
        <v>50.828000000000003</v>
      </c>
      <c r="CV10" s="249">
        <f t="shared" si="14"/>
        <v>128.086331</v>
      </c>
      <c r="CW10" s="12">
        <f t="shared" si="14"/>
        <v>0</v>
      </c>
      <c r="CX10" s="249">
        <f t="shared" si="14"/>
        <v>0</v>
      </c>
      <c r="CY10" s="272">
        <f t="shared" si="14"/>
        <v>55.038785500000003</v>
      </c>
      <c r="CZ10" s="13"/>
      <c r="DA10" s="240">
        <f>(D10+'[2]октябрь 20 '!D10)/(AY10+'[2]октябрь 20 '!BA10)</f>
        <v>2.1547897631287229</v>
      </c>
      <c r="DB10" s="241">
        <f>(T10+'[2]октябрь 20 '!T10)/(AY10+'[2]октябрь 20 '!BA10)</f>
        <v>1.3275321785288461</v>
      </c>
      <c r="DD10" s="292">
        <f t="shared" si="15"/>
        <v>11.222</v>
      </c>
      <c r="DE10" s="291">
        <v>0.12</v>
      </c>
      <c r="DF10" s="291">
        <v>11.12</v>
      </c>
      <c r="DG10" s="145">
        <f t="shared" si="16"/>
        <v>11.208533599999999</v>
      </c>
      <c r="DH10" s="293">
        <f t="shared" si="34"/>
        <v>1.6493171050946143</v>
      </c>
      <c r="DJ10" s="38">
        <v>152.583</v>
      </c>
      <c r="DK10" s="460">
        <f t="shared" si="35"/>
        <v>160.583</v>
      </c>
      <c r="DL10" s="30">
        <v>117.438</v>
      </c>
      <c r="DM10" s="460">
        <f t="shared" si="36"/>
        <v>131.43799999999999</v>
      </c>
    </row>
    <row r="11" spans="1:117" s="76" customFormat="1" ht="16.5" customHeight="1" thickBot="1">
      <c r="A11" s="144">
        <v>5</v>
      </c>
      <c r="B11" s="122">
        <f t="shared" si="17"/>
        <v>290.57299999999998</v>
      </c>
      <c r="C11" s="123">
        <f t="shared" si="18"/>
        <v>1.057042085809762</v>
      </c>
      <c r="D11" s="145">
        <f t="shared" si="19"/>
        <v>287.50152109999999</v>
      </c>
      <c r="E11" s="125">
        <f t="shared" si="20"/>
        <v>37.830225279017668</v>
      </c>
      <c r="F11" s="146">
        <f t="shared" si="0"/>
        <v>2.2607652834788077</v>
      </c>
      <c r="G11" s="127">
        <v>22.04</v>
      </c>
      <c r="H11" s="126">
        <f t="shared" si="21"/>
        <v>1.8678266973342772</v>
      </c>
      <c r="I11" s="230">
        <f>'[1]июль 20'!AI10</f>
        <v>0</v>
      </c>
      <c r="J11" s="439">
        <f>'[1]октябрь 20'!AA10</f>
        <v>11.162000000000001</v>
      </c>
      <c r="K11" s="464">
        <f>'[1]сентябрь 20'!AM10</f>
        <v>0</v>
      </c>
      <c r="L11" s="441">
        <f>'[1]октябрь 20'!AE10</f>
        <v>49.97</v>
      </c>
      <c r="M11" s="468">
        <f t="shared" si="22"/>
        <v>0.39293858614453092</v>
      </c>
      <c r="N11" s="399">
        <f>'[1]октябрь 20'!W10</f>
        <v>0</v>
      </c>
      <c r="O11" s="403">
        <f>'[1]октябрь 20'!AU10</f>
        <v>3.6720000000000002</v>
      </c>
      <c r="P11" s="401">
        <f t="shared" si="1"/>
        <v>187.98400000000001</v>
      </c>
      <c r="Q11" s="122">
        <f t="shared" si="23"/>
        <v>187.98400000000001</v>
      </c>
      <c r="R11" s="123">
        <f t="shared" si="24"/>
        <v>2.48</v>
      </c>
      <c r="S11" s="129">
        <v>8.09</v>
      </c>
      <c r="T11" s="125">
        <f t="shared" si="2"/>
        <v>183.32199679999999</v>
      </c>
      <c r="U11" s="147">
        <f t="shared" si="3"/>
        <v>1.4415506550287016</v>
      </c>
      <c r="V11" s="130">
        <v>127.17</v>
      </c>
      <c r="W11" s="130">
        <v>127.17</v>
      </c>
      <c r="X11" s="129">
        <v>0.52</v>
      </c>
      <c r="Y11" s="131">
        <v>562</v>
      </c>
      <c r="Z11" s="131">
        <v>1174</v>
      </c>
      <c r="AA11" s="148" t="s">
        <v>145</v>
      </c>
      <c r="AB11" s="149">
        <v>75.739999999999995</v>
      </c>
      <c r="AC11" s="150">
        <v>113</v>
      </c>
      <c r="AD11" s="151">
        <v>5</v>
      </c>
      <c r="AE11" s="149"/>
      <c r="AF11" s="134">
        <f t="shared" si="4"/>
        <v>0</v>
      </c>
      <c r="AG11" s="152"/>
      <c r="AH11" s="129">
        <v>78.650000000000006</v>
      </c>
      <c r="AI11" s="134">
        <f t="shared" si="5"/>
        <v>618.46347408980103</v>
      </c>
      <c r="AJ11" s="163">
        <v>19.600000000000001</v>
      </c>
      <c r="AK11" s="154"/>
      <c r="AL11" s="155">
        <v>10.49</v>
      </c>
      <c r="AM11" s="478">
        <f t="shared" si="25"/>
        <v>33.880000000000003</v>
      </c>
      <c r="AN11" s="126">
        <f t="shared" si="26"/>
        <v>0.2</v>
      </c>
      <c r="AO11" s="157" t="s">
        <v>351</v>
      </c>
      <c r="AP11" s="156">
        <v>7.71</v>
      </c>
      <c r="AQ11" s="156">
        <v>8.19</v>
      </c>
      <c r="AR11" s="149"/>
      <c r="AS11" s="149">
        <v>7.77</v>
      </c>
      <c r="AT11" s="149">
        <v>169.4</v>
      </c>
      <c r="AU11" s="149">
        <v>2.14</v>
      </c>
      <c r="AV11" s="149"/>
      <c r="AW11" s="149"/>
      <c r="AX11" s="158">
        <f t="shared" si="6"/>
        <v>0</v>
      </c>
      <c r="AY11" s="125">
        <f t="shared" si="7"/>
        <v>127.17</v>
      </c>
      <c r="AZ11" s="125">
        <f t="shared" si="27"/>
        <v>127.01184590054856</v>
      </c>
      <c r="BA11" s="159">
        <f t="shared" si="8"/>
        <v>4.7339545774647886</v>
      </c>
      <c r="BB11" s="160">
        <f t="shared" si="9"/>
        <v>5.0868000000000002</v>
      </c>
      <c r="BC11" s="161">
        <f t="shared" si="10"/>
        <v>0.88558631707616309</v>
      </c>
      <c r="BD11" s="160">
        <f t="shared" si="28"/>
        <v>9.8207545774647897</v>
      </c>
      <c r="BE11" s="162">
        <v>0.85499999999999998</v>
      </c>
      <c r="BF11" s="25">
        <f t="shared" si="29"/>
        <v>527.41</v>
      </c>
      <c r="BG11" s="25">
        <f t="shared" si="11"/>
        <v>125.80645161290323</v>
      </c>
      <c r="BH11" s="25">
        <f t="shared" si="30"/>
        <v>629.0322580645161</v>
      </c>
      <c r="BI11" s="26">
        <f t="shared" si="12"/>
        <v>1</v>
      </c>
      <c r="BJ11" s="37">
        <f t="shared" si="31"/>
        <v>629.0322580645161</v>
      </c>
      <c r="BK11" s="28">
        <f t="shared" si="32"/>
        <v>161.499</v>
      </c>
      <c r="BL11" s="31">
        <v>79.103999999999999</v>
      </c>
      <c r="BM11" s="31"/>
      <c r="BN11" s="31"/>
      <c r="BO11" s="40"/>
      <c r="BP11" s="40"/>
      <c r="BQ11" s="32">
        <v>49.97</v>
      </c>
      <c r="BR11" s="33">
        <v>1.27</v>
      </c>
      <c r="BS11" s="34">
        <v>1.29</v>
      </c>
      <c r="BT11" s="35"/>
      <c r="BU11" s="28"/>
      <c r="BV11" s="287"/>
      <c r="BW11" s="287"/>
      <c r="BX11" s="36"/>
      <c r="BY11" s="33">
        <v>37.049999999999997</v>
      </c>
      <c r="BZ11" s="34">
        <v>36.049999999999997</v>
      </c>
      <c r="CA11" s="35"/>
      <c r="CB11" s="35"/>
      <c r="CC11" s="235"/>
      <c r="CD11" s="235"/>
      <c r="CE11" s="36">
        <v>43.17</v>
      </c>
      <c r="CF11" s="28">
        <f t="shared" si="33"/>
        <v>131.45400000000001</v>
      </c>
      <c r="CG11" s="30"/>
      <c r="CH11" s="31"/>
      <c r="CI11" s="32">
        <v>56.53</v>
      </c>
      <c r="CJ11" s="33">
        <v>2.48</v>
      </c>
      <c r="CK11" s="33"/>
      <c r="CL11" s="35"/>
      <c r="CM11" s="36">
        <v>2.48</v>
      </c>
      <c r="CN11" s="286"/>
      <c r="CO11" s="249">
        <f t="shared" si="13"/>
        <v>159.44796270000001</v>
      </c>
      <c r="CP11" s="12">
        <f t="shared" si="13"/>
        <v>78.083558400000001</v>
      </c>
      <c r="CQ11" s="15">
        <f t="shared" si="13"/>
        <v>0</v>
      </c>
      <c r="CR11" s="16">
        <f t="shared" si="13"/>
        <v>0</v>
      </c>
      <c r="CS11" s="11">
        <f t="shared" si="13"/>
        <v>0</v>
      </c>
      <c r="CT11" s="11">
        <f t="shared" si="13"/>
        <v>0</v>
      </c>
      <c r="CU11" s="272">
        <f t="shared" si="13"/>
        <v>49.97</v>
      </c>
      <c r="CV11" s="249">
        <f t="shared" si="14"/>
        <v>128.19394080000001</v>
      </c>
      <c r="CW11" s="12">
        <f t="shared" si="14"/>
        <v>0</v>
      </c>
      <c r="CX11" s="249">
        <f t="shared" si="14"/>
        <v>0</v>
      </c>
      <c r="CY11" s="272">
        <f t="shared" si="14"/>
        <v>55.128056000000001</v>
      </c>
      <c r="CZ11" s="13"/>
      <c r="DA11" s="240">
        <f>(D11+'[2]октябрь 20 '!D11)/(AY11+'[2]октябрь 20 '!BA11)</f>
        <v>2.2518655640910192</v>
      </c>
      <c r="DB11" s="241">
        <f>(T11+'[2]октябрь 20 '!T11)/(AY11+'[2]октябрь 20 '!BA11)</f>
        <v>1.3861032710144428</v>
      </c>
      <c r="DD11" s="292">
        <f t="shared" si="15"/>
        <v>11.162000000000001</v>
      </c>
      <c r="DE11" s="291">
        <v>0.17</v>
      </c>
      <c r="DF11" s="407">
        <v>11.21</v>
      </c>
      <c r="DG11" s="145">
        <f t="shared" si="16"/>
        <v>11.1430246</v>
      </c>
      <c r="DH11" s="293">
        <f t="shared" si="34"/>
        <v>1.6492382593873782</v>
      </c>
      <c r="DJ11" s="38">
        <v>153.499</v>
      </c>
      <c r="DK11" s="460">
        <f t="shared" si="35"/>
        <v>161.499</v>
      </c>
      <c r="DL11" s="30">
        <v>117.45399999999999</v>
      </c>
      <c r="DM11" s="460">
        <f t="shared" si="36"/>
        <v>131.45400000000001</v>
      </c>
    </row>
    <row r="12" spans="1:117" s="76" customFormat="1" ht="16.5" customHeight="1" thickBot="1">
      <c r="A12" s="144">
        <v>6</v>
      </c>
      <c r="B12" s="122">
        <f t="shared" si="17"/>
        <v>268.03800000000001</v>
      </c>
      <c r="C12" s="123">
        <f t="shared" si="18"/>
        <v>1.0361942336534371</v>
      </c>
      <c r="D12" s="145">
        <f t="shared" si="19"/>
        <v>265.26060570000004</v>
      </c>
      <c r="E12" s="125">
        <f t="shared" si="20"/>
        <v>38.100015520187434</v>
      </c>
      <c r="F12" s="146">
        <f t="shared" si="0"/>
        <v>2.2132716370463084</v>
      </c>
      <c r="G12" s="127">
        <v>19.579999999999998</v>
      </c>
      <c r="H12" s="126">
        <f t="shared" si="21"/>
        <v>1.9095169436795991</v>
      </c>
      <c r="I12" s="230">
        <f>'[1]июль 20'!AI11</f>
        <v>0</v>
      </c>
      <c r="J12" s="439">
        <f>'[1]октябрь 20'!AA11</f>
        <v>10.382999999999999</v>
      </c>
      <c r="K12" s="464">
        <f>'[1]сентябрь 20'!AM11</f>
        <v>0</v>
      </c>
      <c r="L12" s="441">
        <f>'[1]октябрь 20'!AE11</f>
        <v>36.405000000000001</v>
      </c>
      <c r="M12" s="469">
        <f t="shared" si="22"/>
        <v>0.30375469336670841</v>
      </c>
      <c r="N12" s="403">
        <f>'[1]октябрь 20'!W11</f>
        <v>0</v>
      </c>
      <c r="O12" s="403">
        <f>'[1]октябрь 20'!AU11</f>
        <v>6.2560000000000002</v>
      </c>
      <c r="P12" s="401">
        <f t="shared" si="1"/>
        <v>174.05099999999999</v>
      </c>
      <c r="Q12" s="122">
        <f t="shared" si="23"/>
        <v>174.05099999999999</v>
      </c>
      <c r="R12" s="123">
        <f t="shared" si="24"/>
        <v>2.72</v>
      </c>
      <c r="S12" s="129">
        <v>10.72</v>
      </c>
      <c r="T12" s="125">
        <f t="shared" si="2"/>
        <v>169.31681279999998</v>
      </c>
      <c r="U12" s="147">
        <f t="shared" si="3"/>
        <v>1.4127393642052564</v>
      </c>
      <c r="V12" s="130">
        <v>119.85</v>
      </c>
      <c r="W12" s="130">
        <v>49.22</v>
      </c>
      <c r="X12" s="129">
        <v>0.98</v>
      </c>
      <c r="Y12" s="131">
        <v>556</v>
      </c>
      <c r="Z12" s="150">
        <v>1171</v>
      </c>
      <c r="AA12" s="148" t="s">
        <v>415</v>
      </c>
      <c r="AB12" s="149">
        <v>76.27</v>
      </c>
      <c r="AC12" s="150">
        <v>104</v>
      </c>
      <c r="AD12" s="151">
        <v>5</v>
      </c>
      <c r="AE12" s="149">
        <v>3.35</v>
      </c>
      <c r="AF12" s="134">
        <f t="shared" si="4"/>
        <v>27.951606174384651</v>
      </c>
      <c r="AG12" s="152"/>
      <c r="AH12" s="129">
        <v>64.599999999999994</v>
      </c>
      <c r="AI12" s="134">
        <f t="shared" si="5"/>
        <v>539.00709219858152</v>
      </c>
      <c r="AJ12" s="153">
        <v>17.649999999999999</v>
      </c>
      <c r="AK12" s="154"/>
      <c r="AL12" s="155">
        <v>11.36</v>
      </c>
      <c r="AM12" s="478">
        <f t="shared" si="25"/>
        <v>32.260000000000005</v>
      </c>
      <c r="AN12" s="126">
        <f t="shared" si="26"/>
        <v>0.2</v>
      </c>
      <c r="AO12" s="157" t="s">
        <v>356</v>
      </c>
      <c r="AP12" s="156">
        <v>8.41</v>
      </c>
      <c r="AQ12" s="156">
        <v>8.24</v>
      </c>
      <c r="AR12" s="149"/>
      <c r="AS12" s="149">
        <v>5.82</v>
      </c>
      <c r="AT12" s="149">
        <v>161.30000000000001</v>
      </c>
      <c r="AU12" s="149">
        <v>2.17</v>
      </c>
      <c r="AV12" s="164"/>
      <c r="AW12" s="164"/>
      <c r="AX12" s="158">
        <f t="shared" si="6"/>
        <v>0</v>
      </c>
      <c r="AY12" s="125">
        <f t="shared" si="7"/>
        <v>119.85</v>
      </c>
      <c r="AZ12" s="125">
        <f t="shared" si="27"/>
        <v>117.27329433373743</v>
      </c>
      <c r="BA12" s="159">
        <f t="shared" si="8"/>
        <v>2.9124591549295773</v>
      </c>
      <c r="BB12" s="160">
        <f t="shared" si="9"/>
        <v>4.7939999999999996</v>
      </c>
      <c r="BC12" s="161">
        <f t="shared" si="10"/>
        <v>0.90446939335319998</v>
      </c>
      <c r="BD12" s="160">
        <f t="shared" si="28"/>
        <v>7.7064591549295773</v>
      </c>
      <c r="BE12" s="162">
        <v>0.86399999999999999</v>
      </c>
      <c r="BF12" s="25">
        <f t="shared" si="29"/>
        <v>647.26</v>
      </c>
      <c r="BG12" s="25">
        <f t="shared" si="11"/>
        <v>125.80645161290323</v>
      </c>
      <c r="BH12" s="25">
        <f t="shared" si="30"/>
        <v>754.83870967741927</v>
      </c>
      <c r="BI12" s="26">
        <f t="shared" si="12"/>
        <v>1</v>
      </c>
      <c r="BJ12" s="37">
        <f t="shared" si="31"/>
        <v>754.83870967741927</v>
      </c>
      <c r="BK12" s="28">
        <f t="shared" si="32"/>
        <v>158.78899999999999</v>
      </c>
      <c r="BL12" s="31">
        <v>72.843999999999994</v>
      </c>
      <c r="BM12" s="31"/>
      <c r="BN12" s="31"/>
      <c r="BO12" s="40"/>
      <c r="BP12" s="40"/>
      <c r="BQ12" s="32">
        <v>36.405000000000001</v>
      </c>
      <c r="BR12" s="33">
        <v>1.35</v>
      </c>
      <c r="BS12" s="34">
        <v>0.87</v>
      </c>
      <c r="BT12" s="33"/>
      <c r="BU12" s="28"/>
      <c r="BV12" s="287"/>
      <c r="BW12" s="287"/>
      <c r="BX12" s="36"/>
      <c r="BY12" s="33">
        <v>37.94</v>
      </c>
      <c r="BZ12" s="34">
        <v>35.950000000000003</v>
      </c>
      <c r="CA12" s="33"/>
      <c r="CB12" s="35"/>
      <c r="CC12" s="235"/>
      <c r="CD12" s="235"/>
      <c r="CE12" s="36">
        <v>43.1</v>
      </c>
      <c r="CF12" s="28">
        <f t="shared" si="33"/>
        <v>117.062</v>
      </c>
      <c r="CG12" s="30"/>
      <c r="CH12" s="31"/>
      <c r="CI12" s="32">
        <v>56.988999999999997</v>
      </c>
      <c r="CJ12" s="33">
        <v>2.72</v>
      </c>
      <c r="CK12" s="33"/>
      <c r="CL12" s="35"/>
      <c r="CM12" s="36">
        <v>2.72</v>
      </c>
      <c r="CN12" s="286"/>
      <c r="CO12" s="249">
        <f t="shared" si="13"/>
        <v>156.64534849999998</v>
      </c>
      <c r="CP12" s="12">
        <f t="shared" si="13"/>
        <v>72.210257199999987</v>
      </c>
      <c r="CQ12" s="12">
        <f t="shared" si="13"/>
        <v>0</v>
      </c>
      <c r="CR12" s="12">
        <f t="shared" si="13"/>
        <v>0</v>
      </c>
      <c r="CS12" s="11">
        <f t="shared" si="13"/>
        <v>0</v>
      </c>
      <c r="CT12" s="11">
        <f t="shared" si="13"/>
        <v>0</v>
      </c>
      <c r="CU12" s="272">
        <f t="shared" si="13"/>
        <v>36.405000000000001</v>
      </c>
      <c r="CV12" s="249">
        <f t="shared" si="14"/>
        <v>113.8779136</v>
      </c>
      <c r="CW12" s="12">
        <f t="shared" si="14"/>
        <v>0</v>
      </c>
      <c r="CX12" s="252">
        <f t="shared" si="14"/>
        <v>0</v>
      </c>
      <c r="CY12" s="272">
        <f t="shared" si="14"/>
        <v>55.438899199999994</v>
      </c>
      <c r="CZ12" s="13"/>
      <c r="DA12" s="240">
        <f>(D12+'[2]октябрь 20 '!D12)/(AY12+'[2]октябрь 20 '!BA12)</f>
        <v>2.1967501237250286</v>
      </c>
      <c r="DB12" s="241">
        <f>(T12+'[2]октябрь 20 '!T12)/(AY12+'[2]октябрь 20 '!BA12)</f>
        <v>1.3523154623235014</v>
      </c>
      <c r="DD12" s="292">
        <f t="shared" si="15"/>
        <v>10.382999999999999</v>
      </c>
      <c r="DE12" s="291">
        <v>0.48</v>
      </c>
      <c r="DF12" s="291">
        <v>11.76</v>
      </c>
      <c r="DG12" s="145">
        <f t="shared" si="16"/>
        <v>10.333161599999999</v>
      </c>
      <c r="DH12" s="293">
        <f t="shared" si="34"/>
        <v>1.5932605272846465</v>
      </c>
      <c r="DJ12" s="38">
        <v>150.78899999999999</v>
      </c>
      <c r="DK12" s="460">
        <f t="shared" si="35"/>
        <v>158.78899999999999</v>
      </c>
      <c r="DL12" s="30">
        <v>103.062</v>
      </c>
      <c r="DM12" s="460">
        <f t="shared" si="36"/>
        <v>117.062</v>
      </c>
    </row>
    <row r="13" spans="1:117" s="76" customFormat="1" ht="16.5" customHeight="1" thickBot="1">
      <c r="A13" s="144">
        <v>7</v>
      </c>
      <c r="B13" s="122">
        <f t="shared" si="17"/>
        <v>215.51</v>
      </c>
      <c r="C13" s="123">
        <f t="shared" si="18"/>
        <v>1.9303511669992113</v>
      </c>
      <c r="D13" s="145">
        <f t="shared" si="19"/>
        <v>211.34990019999998</v>
      </c>
      <c r="E13" s="125">
        <f t="shared" si="20"/>
        <v>39.03672001299244</v>
      </c>
      <c r="F13" s="146">
        <f t="shared" si="0"/>
        <v>1.9616660497493961</v>
      </c>
      <c r="G13" s="127">
        <v>13.75</v>
      </c>
      <c r="H13" s="126">
        <f t="shared" si="21"/>
        <v>1.6921932448487094</v>
      </c>
      <c r="I13" s="230">
        <f>'[1]июль 20'!AI12</f>
        <v>0</v>
      </c>
      <c r="J13" s="439">
        <f>'[1]октябрь 20'!AA12</f>
        <v>8.3490000000000002</v>
      </c>
      <c r="K13" s="464">
        <f>'[1]сентябрь 20'!AM12</f>
        <v>0</v>
      </c>
      <c r="L13" s="441">
        <f>'[1]октябрь 20'!AE12</f>
        <v>29.033000000000001</v>
      </c>
      <c r="M13" s="468">
        <f t="shared" si="22"/>
        <v>0.26947280490068681</v>
      </c>
      <c r="N13" s="399">
        <f>'[1]октябрь 20'!W12</f>
        <v>0</v>
      </c>
      <c r="O13" s="403">
        <f>'[1]октябрь 20'!AU12</f>
        <v>5.0970000000000004</v>
      </c>
      <c r="P13" s="401">
        <f t="shared" si="1"/>
        <v>154.03800000000001</v>
      </c>
      <c r="Q13" s="122">
        <f t="shared" si="23"/>
        <v>154.03800000000001</v>
      </c>
      <c r="R13" s="123">
        <f t="shared" si="24"/>
        <v>2.6699999999999995</v>
      </c>
      <c r="S13" s="129">
        <v>3.02</v>
      </c>
      <c r="T13" s="125">
        <f t="shared" si="2"/>
        <v>149.9251854</v>
      </c>
      <c r="U13" s="147">
        <f t="shared" si="3"/>
        <v>1.3915461796918505</v>
      </c>
      <c r="V13" s="130">
        <v>107.74</v>
      </c>
      <c r="W13" s="130">
        <v>107.74</v>
      </c>
      <c r="X13" s="129">
        <v>0.61</v>
      </c>
      <c r="Y13" s="165">
        <v>565</v>
      </c>
      <c r="Z13" s="166">
        <v>1156</v>
      </c>
      <c r="AA13" s="148" t="s">
        <v>220</v>
      </c>
      <c r="AB13" s="149">
        <v>76.52</v>
      </c>
      <c r="AC13" s="150">
        <v>87</v>
      </c>
      <c r="AD13" s="151">
        <v>5</v>
      </c>
      <c r="AE13" s="149"/>
      <c r="AF13" s="134">
        <f t="shared" si="4"/>
        <v>0</v>
      </c>
      <c r="AG13" s="152"/>
      <c r="AH13" s="129">
        <v>77.599999999999994</v>
      </c>
      <c r="AI13" s="134">
        <f t="shared" si="5"/>
        <v>720.25245962502299</v>
      </c>
      <c r="AJ13" s="136">
        <v>16.97</v>
      </c>
      <c r="AK13" s="154"/>
      <c r="AL13" s="155">
        <v>6.67</v>
      </c>
      <c r="AM13" s="478">
        <f t="shared" si="25"/>
        <v>27.660000000000004</v>
      </c>
      <c r="AN13" s="126">
        <f t="shared" si="26"/>
        <v>0.2</v>
      </c>
      <c r="AO13" s="157" t="s">
        <v>353</v>
      </c>
      <c r="AP13" s="156">
        <v>6.28</v>
      </c>
      <c r="AQ13" s="156">
        <v>8.5500000000000007</v>
      </c>
      <c r="AR13" s="149"/>
      <c r="AS13" s="149">
        <v>8.2200000000000006</v>
      </c>
      <c r="AT13" s="149">
        <v>138.30000000000001</v>
      </c>
      <c r="AU13" s="149">
        <v>3.77</v>
      </c>
      <c r="AV13" s="149"/>
      <c r="AW13" s="149"/>
      <c r="AX13" s="158">
        <f t="shared" si="6"/>
        <v>0</v>
      </c>
      <c r="AY13" s="125">
        <f t="shared" si="7"/>
        <v>107.74000000000002</v>
      </c>
      <c r="AZ13" s="125">
        <f t="shared" si="27"/>
        <v>95.323329019385369</v>
      </c>
      <c r="BA13" s="159">
        <f t="shared" si="8"/>
        <v>4.9412619718309854</v>
      </c>
      <c r="BB13" s="160">
        <f t="shared" si="9"/>
        <v>4.3096000000000014</v>
      </c>
      <c r="BC13" s="161">
        <f t="shared" si="10"/>
        <v>0.99925554230579638</v>
      </c>
      <c r="BD13" s="160">
        <f t="shared" si="28"/>
        <v>9.2508619718309859</v>
      </c>
      <c r="BE13" s="162">
        <v>0.88100000000000001</v>
      </c>
      <c r="BF13" s="25">
        <f t="shared" si="29"/>
        <v>755</v>
      </c>
      <c r="BG13" s="25">
        <f t="shared" si="11"/>
        <v>125.80645161290323</v>
      </c>
      <c r="BH13" s="25">
        <f t="shared" si="30"/>
        <v>880.64516129032245</v>
      </c>
      <c r="BI13" s="26">
        <f t="shared" si="12"/>
        <v>1</v>
      </c>
      <c r="BJ13" s="37">
        <f t="shared" si="31"/>
        <v>880.64516129032245</v>
      </c>
      <c r="BK13" s="28">
        <f t="shared" si="32"/>
        <v>128.345</v>
      </c>
      <c r="BL13" s="40">
        <v>58.131999999999998</v>
      </c>
      <c r="BM13" s="325"/>
      <c r="BN13" s="31"/>
      <c r="BO13" s="40"/>
      <c r="BP13" s="40"/>
      <c r="BQ13" s="32">
        <v>29.033000000000001</v>
      </c>
      <c r="BR13" s="33">
        <v>2.34</v>
      </c>
      <c r="BS13" s="34">
        <v>1.99</v>
      </c>
      <c r="BT13" s="33"/>
      <c r="BU13" s="28"/>
      <c r="BV13" s="287"/>
      <c r="BW13" s="287"/>
      <c r="BX13" s="36"/>
      <c r="BY13" s="33">
        <v>38.68</v>
      </c>
      <c r="BZ13" s="34">
        <v>37.76</v>
      </c>
      <c r="CA13" s="33"/>
      <c r="CB13" s="35"/>
      <c r="CC13" s="235"/>
      <c r="CD13" s="235"/>
      <c r="CE13" s="36">
        <v>43.17</v>
      </c>
      <c r="CF13" s="28">
        <f t="shared" si="33"/>
        <v>104.226</v>
      </c>
      <c r="CG13" s="30"/>
      <c r="CH13" s="30"/>
      <c r="CI13" s="32">
        <v>49.811999999999998</v>
      </c>
      <c r="CJ13" s="33">
        <v>2.67</v>
      </c>
      <c r="CK13" s="33"/>
      <c r="CL13" s="33"/>
      <c r="CM13" s="36">
        <v>2.67</v>
      </c>
      <c r="CN13" s="286"/>
      <c r="CO13" s="249">
        <f t="shared" si="13"/>
        <v>125.34172699999999</v>
      </c>
      <c r="CP13" s="12">
        <f t="shared" si="13"/>
        <v>56.9751732</v>
      </c>
      <c r="CQ13" s="12">
        <f t="shared" si="13"/>
        <v>0</v>
      </c>
      <c r="CR13" s="12">
        <f t="shared" si="13"/>
        <v>0</v>
      </c>
      <c r="CS13" s="11">
        <f t="shared" si="13"/>
        <v>0</v>
      </c>
      <c r="CT13" s="11">
        <f t="shared" si="13"/>
        <v>0</v>
      </c>
      <c r="CU13" s="272">
        <f t="shared" si="13"/>
        <v>29.033000000000001</v>
      </c>
      <c r="CV13" s="249">
        <f t="shared" si="14"/>
        <v>101.44316579999999</v>
      </c>
      <c r="CW13" s="251">
        <f t="shared" si="14"/>
        <v>0</v>
      </c>
      <c r="CX13" s="249">
        <f t="shared" si="14"/>
        <v>0</v>
      </c>
      <c r="CY13" s="272">
        <f t="shared" si="14"/>
        <v>48.482019599999994</v>
      </c>
      <c r="CZ13" s="13"/>
      <c r="DA13" s="240">
        <f>(D13+'[2]октябрь 20 '!D13)/(AY13+'[2]октябрь 20 '!BA13)</f>
        <v>2.0885160009772781</v>
      </c>
      <c r="DB13" s="241">
        <f>(T13+'[2]октябрь 20 '!T13)/(AY13+'[2]октябрь 20 '!BA13)</f>
        <v>1.3397351100252464</v>
      </c>
      <c r="DD13" s="292">
        <f t="shared" si="15"/>
        <v>8.3490000000000002</v>
      </c>
      <c r="DE13" s="291">
        <v>0.33</v>
      </c>
      <c r="DF13" s="291">
        <v>11</v>
      </c>
      <c r="DG13" s="145">
        <f t="shared" si="16"/>
        <v>8.3214483000000001</v>
      </c>
      <c r="DH13" s="293">
        <f t="shared" si="34"/>
        <v>1.1962353802927341</v>
      </c>
      <c r="DJ13" s="39">
        <v>120.345</v>
      </c>
      <c r="DK13" s="460">
        <f t="shared" si="35"/>
        <v>128.345</v>
      </c>
      <c r="DL13" s="30">
        <v>90.225999999999999</v>
      </c>
      <c r="DM13" s="460">
        <f t="shared" si="36"/>
        <v>104.226</v>
      </c>
    </row>
    <row r="14" spans="1:117" s="76" customFormat="1" ht="16.5" customHeight="1" thickBot="1">
      <c r="A14" s="144">
        <v>8</v>
      </c>
      <c r="B14" s="122">
        <f t="shared" si="17"/>
        <v>51.593000000000004</v>
      </c>
      <c r="C14" s="123">
        <f t="shared" si="18"/>
        <v>0.95544046672998262</v>
      </c>
      <c r="D14" s="145">
        <f t="shared" si="19"/>
        <v>51.100059600000002</v>
      </c>
      <c r="E14" s="125">
        <f t="shared" si="20"/>
        <v>38.816588490686719</v>
      </c>
      <c r="F14" s="146">
        <f t="shared" si="0"/>
        <v>1.8441017538794662</v>
      </c>
      <c r="G14" s="127">
        <v>3.42</v>
      </c>
      <c r="H14" s="126">
        <f t="shared" si="21"/>
        <v>1.6161695994225913</v>
      </c>
      <c r="I14" s="230">
        <f>'[1]июль 20'!AI13</f>
        <v>0</v>
      </c>
      <c r="J14" s="439">
        <f>'[1]октябрь 20'!AA13</f>
        <v>2.0190000000000001</v>
      </c>
      <c r="K14" s="464">
        <f>'[1]сентябрь 20'!AM13</f>
        <v>0</v>
      </c>
      <c r="L14" s="441">
        <f>'[1]октябрь 20'!AE13</f>
        <v>6.3159999999999998</v>
      </c>
      <c r="M14" s="471">
        <f t="shared" si="22"/>
        <v>0.22793215445687479</v>
      </c>
      <c r="N14" s="403">
        <f>'[1]октябрь 20'!W13</f>
        <v>0</v>
      </c>
      <c r="O14" s="403">
        <f>'[1]октябрь 20'!AU13</f>
        <v>1.1830000000000001</v>
      </c>
      <c r="P14" s="401">
        <f t="shared" si="1"/>
        <v>44.611000000000004</v>
      </c>
      <c r="Q14" s="122">
        <f t="shared" si="23"/>
        <v>44.611000000000004</v>
      </c>
      <c r="R14" s="123">
        <f t="shared" si="24"/>
        <v>2.83</v>
      </c>
      <c r="S14" s="129"/>
      <c r="T14" s="125">
        <f t="shared" si="2"/>
        <v>43.348508700000004</v>
      </c>
      <c r="U14" s="147">
        <f t="shared" si="3"/>
        <v>1.5643633597979072</v>
      </c>
      <c r="V14" s="130">
        <v>27.71</v>
      </c>
      <c r="W14" s="130"/>
      <c r="X14" s="129">
        <v>1.49</v>
      </c>
      <c r="Y14" s="131">
        <v>570</v>
      </c>
      <c r="Z14" s="150">
        <v>1029</v>
      </c>
      <c r="AA14" s="148" t="s">
        <v>416</v>
      </c>
      <c r="AB14" s="149">
        <v>76.319999999999993</v>
      </c>
      <c r="AC14" s="150">
        <v>19</v>
      </c>
      <c r="AD14" s="151">
        <v>2</v>
      </c>
      <c r="AE14" s="149"/>
      <c r="AF14" s="134">
        <f t="shared" si="4"/>
        <v>0</v>
      </c>
      <c r="AG14" s="152"/>
      <c r="AH14" s="129">
        <v>15.4</v>
      </c>
      <c r="AI14" s="134">
        <f t="shared" si="5"/>
        <v>555.75604474918805</v>
      </c>
      <c r="AJ14" s="153">
        <v>6.8</v>
      </c>
      <c r="AK14" s="154"/>
      <c r="AL14" s="155">
        <v>2.6</v>
      </c>
      <c r="AM14" s="478">
        <f t="shared" si="25"/>
        <v>7.43</v>
      </c>
      <c r="AN14" s="126">
        <f t="shared" si="26"/>
        <v>0.2</v>
      </c>
      <c r="AO14" s="157" t="s">
        <v>323</v>
      </c>
      <c r="AP14" s="156">
        <v>6.06</v>
      </c>
      <c r="AQ14" s="156">
        <v>7.5</v>
      </c>
      <c r="AR14" s="149"/>
      <c r="AS14" s="149">
        <v>9.14</v>
      </c>
      <c r="AT14" s="149">
        <v>37.15</v>
      </c>
      <c r="AU14" s="149">
        <v>0.59</v>
      </c>
      <c r="AV14" s="149"/>
      <c r="AW14" s="149"/>
      <c r="AX14" s="158">
        <f t="shared" si="6"/>
        <v>0</v>
      </c>
      <c r="AY14" s="125">
        <f t="shared" si="7"/>
        <v>27.709999999999997</v>
      </c>
      <c r="AZ14" s="125">
        <f t="shared" si="27"/>
        <v>22.96127685309532</v>
      </c>
      <c r="BA14" s="159">
        <f t="shared" si="8"/>
        <v>1.0903633802816901</v>
      </c>
      <c r="BB14" s="160">
        <f t="shared" si="9"/>
        <v>1.1083999999999998</v>
      </c>
      <c r="BC14" s="161">
        <f t="shared" si="10"/>
        <v>1.0661937130406149</v>
      </c>
      <c r="BD14" s="159">
        <f t="shared" si="28"/>
        <v>2.1987633802816902</v>
      </c>
      <c r="BE14" s="167">
        <v>0.88700000000000001</v>
      </c>
      <c r="BF14" s="25">
        <f t="shared" si="29"/>
        <v>782.71</v>
      </c>
      <c r="BG14" s="25">
        <f t="shared" si="11"/>
        <v>125.80645161290323</v>
      </c>
      <c r="BH14" s="25">
        <f t="shared" si="30"/>
        <v>1006.4516129032256</v>
      </c>
      <c r="BI14" s="26">
        <f t="shared" si="12"/>
        <v>1</v>
      </c>
      <c r="BJ14" s="37">
        <f t="shared" si="31"/>
        <v>1006.4516129032256</v>
      </c>
      <c r="BK14" s="28">
        <f t="shared" si="32"/>
        <v>32.655000000000001</v>
      </c>
      <c r="BL14" s="40">
        <v>12.622</v>
      </c>
      <c r="BM14" s="325"/>
      <c r="BN14" s="31"/>
      <c r="BO14" s="40"/>
      <c r="BP14" s="40"/>
      <c r="BQ14" s="32">
        <v>6.3159999999999998</v>
      </c>
      <c r="BR14" s="33">
        <v>0.98</v>
      </c>
      <c r="BS14" s="34">
        <v>1.37</v>
      </c>
      <c r="BT14" s="33"/>
      <c r="BU14" s="28"/>
      <c r="BV14" s="287"/>
      <c r="BW14" s="287"/>
      <c r="BX14" s="36"/>
      <c r="BY14" s="33">
        <v>38.409999999999997</v>
      </c>
      <c r="BZ14" s="34">
        <v>37.61</v>
      </c>
      <c r="CA14" s="33"/>
      <c r="CB14" s="35"/>
      <c r="CC14" s="235"/>
      <c r="CD14" s="235"/>
      <c r="CE14" s="36">
        <v>43.33</v>
      </c>
      <c r="CF14" s="28">
        <f t="shared" si="33"/>
        <v>34.411000000000001</v>
      </c>
      <c r="CG14" s="30"/>
      <c r="CH14" s="30"/>
      <c r="CI14" s="32">
        <v>10.199999999999999</v>
      </c>
      <c r="CJ14" s="33">
        <v>2.83</v>
      </c>
      <c r="CK14" s="33"/>
      <c r="CL14" s="33"/>
      <c r="CM14" s="36">
        <v>2.83</v>
      </c>
      <c r="CN14" s="286"/>
      <c r="CO14" s="249">
        <f t="shared" si="13"/>
        <v>32.334980999999999</v>
      </c>
      <c r="CP14" s="12">
        <f t="shared" si="13"/>
        <v>12.4490786</v>
      </c>
      <c r="CQ14" s="12">
        <f t="shared" si="13"/>
        <v>0</v>
      </c>
      <c r="CR14" s="12">
        <f t="shared" si="13"/>
        <v>0</v>
      </c>
      <c r="CS14" s="11">
        <f t="shared" si="13"/>
        <v>0</v>
      </c>
      <c r="CT14" s="11">
        <f t="shared" si="13"/>
        <v>0</v>
      </c>
      <c r="CU14" s="272">
        <f t="shared" si="13"/>
        <v>6.3159999999999998</v>
      </c>
      <c r="CV14" s="249">
        <f t="shared" si="14"/>
        <v>33.437168700000001</v>
      </c>
      <c r="CW14" s="12">
        <f t="shared" si="14"/>
        <v>0</v>
      </c>
      <c r="CX14" s="252">
        <f t="shared" si="14"/>
        <v>0</v>
      </c>
      <c r="CY14" s="272">
        <f t="shared" si="14"/>
        <v>9.9113399999999992</v>
      </c>
      <c r="CZ14" s="13"/>
      <c r="DA14" s="240">
        <f>(D14+'[2]октябрь 20 '!D14)/(AY14+'[2]октябрь 20 '!BA14)</f>
        <v>2.1790666434576411</v>
      </c>
      <c r="DB14" s="241">
        <f>(T14+'[2]октябрь 20 '!T14)/(AY14+'[2]октябрь 20 '!BA14)</f>
        <v>1.37757573914116</v>
      </c>
      <c r="DD14" s="292">
        <f t="shared" si="15"/>
        <v>2.0190000000000001</v>
      </c>
      <c r="DE14" s="291">
        <v>0.64</v>
      </c>
      <c r="DF14" s="291">
        <v>10.36</v>
      </c>
      <c r="DG14" s="145">
        <f t="shared" si="16"/>
        <v>2.0060784000000003</v>
      </c>
      <c r="DH14" s="293">
        <f t="shared" si="34"/>
        <v>0.27231357735849065</v>
      </c>
      <c r="DJ14" s="39">
        <v>24.655000000000001</v>
      </c>
      <c r="DK14" s="460">
        <f t="shared" si="35"/>
        <v>32.655000000000001</v>
      </c>
      <c r="DL14" s="30">
        <v>20.411000000000001</v>
      </c>
      <c r="DM14" s="460">
        <f t="shared" si="36"/>
        <v>34.411000000000001</v>
      </c>
    </row>
    <row r="15" spans="1:117" s="76" customFormat="1" ht="16.5" customHeight="1" thickBot="1">
      <c r="A15" s="144">
        <v>9</v>
      </c>
      <c r="B15" s="122">
        <f t="shared" si="17"/>
        <v>240.63</v>
      </c>
      <c r="C15" s="123">
        <f t="shared" si="18"/>
        <v>0.74105360927565145</v>
      </c>
      <c r="D15" s="145">
        <f t="shared" si="19"/>
        <v>238.84680269999998</v>
      </c>
      <c r="E15" s="125">
        <f t="shared" si="20"/>
        <v>39.037007688151938</v>
      </c>
      <c r="F15" s="146">
        <f t="shared" si="0"/>
        <v>2.7641106665895157</v>
      </c>
      <c r="G15" s="127">
        <v>11.07</v>
      </c>
      <c r="H15" s="126">
        <f t="shared" si="21"/>
        <v>2.3873371450063656</v>
      </c>
      <c r="I15" s="230">
        <f>'[1]июль 20'!AI14</f>
        <v>0</v>
      </c>
      <c r="J15" s="277">
        <f>'[1]октябрь 20'!AA14</f>
        <v>9.1739999999999995</v>
      </c>
      <c r="K15" s="518">
        <f>'[1]сентябрь 20'!AM14</f>
        <v>0</v>
      </c>
      <c r="L15" s="441">
        <f>'[1]октябрь 20'!AE14</f>
        <v>32.557000000000002</v>
      </c>
      <c r="M15" s="469">
        <f t="shared" si="22"/>
        <v>0.37677352158315019</v>
      </c>
      <c r="N15" s="403">
        <f>'[1]октябрь 20'!W14</f>
        <v>0</v>
      </c>
      <c r="O15" s="403">
        <f>'[1]октябрь 20'!AU14</f>
        <v>5.8390000000000004</v>
      </c>
      <c r="P15" s="401">
        <f t="shared" si="1"/>
        <v>160.29499999999999</v>
      </c>
      <c r="Q15" s="122">
        <f t="shared" si="23"/>
        <v>160.29499999999999</v>
      </c>
      <c r="R15" s="123">
        <f t="shared" si="24"/>
        <v>2.88</v>
      </c>
      <c r="S15" s="129">
        <v>10.65</v>
      </c>
      <c r="T15" s="125">
        <f t="shared" si="2"/>
        <v>155.678504</v>
      </c>
      <c r="U15" s="147">
        <f t="shared" si="3"/>
        <v>1.8016260155074648</v>
      </c>
      <c r="V15" s="130">
        <v>86.41</v>
      </c>
      <c r="W15" s="130">
        <v>60.86</v>
      </c>
      <c r="X15" s="129">
        <v>0.82</v>
      </c>
      <c r="Y15" s="131">
        <v>560</v>
      </c>
      <c r="Z15" s="150">
        <v>1093</v>
      </c>
      <c r="AA15" s="148" t="s">
        <v>413</v>
      </c>
      <c r="AB15" s="149">
        <v>76.45</v>
      </c>
      <c r="AC15" s="150">
        <v>93</v>
      </c>
      <c r="AD15" s="151">
        <v>4</v>
      </c>
      <c r="AE15" s="149">
        <v>6.6</v>
      </c>
      <c r="AF15" s="134">
        <f t="shared" si="4"/>
        <v>76.380048605485484</v>
      </c>
      <c r="AG15" s="152"/>
      <c r="AH15" s="129">
        <v>51.25</v>
      </c>
      <c r="AI15" s="134">
        <f t="shared" si="5"/>
        <v>593.10265015623213</v>
      </c>
      <c r="AJ15" s="136">
        <v>13.17</v>
      </c>
      <c r="AK15" s="154"/>
      <c r="AL15" s="155">
        <v>6.37</v>
      </c>
      <c r="AM15" s="478">
        <f t="shared" si="25"/>
        <v>22.76</v>
      </c>
      <c r="AN15" s="126">
        <f t="shared" si="26"/>
        <v>0.2</v>
      </c>
      <c r="AO15" s="157" t="s">
        <v>166</v>
      </c>
      <c r="AP15" s="156">
        <v>8.1</v>
      </c>
      <c r="AQ15" s="156">
        <v>7.65</v>
      </c>
      <c r="AR15" s="149"/>
      <c r="AS15" s="149">
        <v>7.12</v>
      </c>
      <c r="AT15" s="149">
        <v>113.8</v>
      </c>
      <c r="AU15" s="149">
        <v>1.74</v>
      </c>
      <c r="AV15" s="149"/>
      <c r="AW15" s="149"/>
      <c r="AX15" s="158">
        <f t="shared" si="6"/>
        <v>0</v>
      </c>
      <c r="AY15" s="125">
        <f t="shared" si="7"/>
        <v>86.409999999999982</v>
      </c>
      <c r="AZ15" s="125">
        <f t="shared" si="27"/>
        <v>107.55853698763276</v>
      </c>
      <c r="BA15" s="159">
        <f t="shared" si="8"/>
        <v>2.82669014084507</v>
      </c>
      <c r="BB15" s="160">
        <f t="shared" si="9"/>
        <v>3.4563999999999995</v>
      </c>
      <c r="BC15" s="161">
        <f t="shared" si="10"/>
        <v>0.70850927948641818</v>
      </c>
      <c r="BD15" s="159">
        <f t="shared" si="28"/>
        <v>6.2830901408450694</v>
      </c>
      <c r="BE15" s="167">
        <v>0.86499999999999999</v>
      </c>
      <c r="BF15" s="25">
        <f t="shared" si="29"/>
        <v>869.12</v>
      </c>
      <c r="BG15" s="25">
        <f t="shared" si="11"/>
        <v>125.80645161290323</v>
      </c>
      <c r="BH15" s="25">
        <f t="shared" si="30"/>
        <v>1132.2580645161288</v>
      </c>
      <c r="BI15" s="26">
        <f t="shared" si="12"/>
        <v>1</v>
      </c>
      <c r="BJ15" s="37">
        <f t="shared" si="31"/>
        <v>1132.2580645161288</v>
      </c>
      <c r="BK15" s="28">
        <f t="shared" si="32"/>
        <v>142.869</v>
      </c>
      <c r="BL15" s="42">
        <v>65.203999999999994</v>
      </c>
      <c r="BM15" s="31"/>
      <c r="BN15" s="31"/>
      <c r="BO15" s="40"/>
      <c r="BP15" s="40"/>
      <c r="BQ15" s="32">
        <v>32.557000000000002</v>
      </c>
      <c r="BR15" s="33">
        <v>0.81</v>
      </c>
      <c r="BS15" s="35">
        <v>0.96</v>
      </c>
      <c r="BT15" s="35"/>
      <c r="BU15" s="28"/>
      <c r="BV15" s="287"/>
      <c r="BW15" s="287"/>
      <c r="BX15" s="36"/>
      <c r="BY15" s="33">
        <v>38.58</v>
      </c>
      <c r="BZ15" s="34">
        <v>37.770000000000003</v>
      </c>
      <c r="CA15" s="35"/>
      <c r="CB15" s="35"/>
      <c r="CC15" s="35"/>
      <c r="CD15" s="35"/>
      <c r="CE15" s="35">
        <v>43.58</v>
      </c>
      <c r="CF15" s="28">
        <f t="shared" si="33"/>
        <v>101.699</v>
      </c>
      <c r="CG15" s="30"/>
      <c r="CH15" s="30"/>
      <c r="CI15" s="32">
        <v>58.595999999999997</v>
      </c>
      <c r="CJ15" s="33">
        <v>2.88</v>
      </c>
      <c r="CK15" s="33"/>
      <c r="CL15" s="33"/>
      <c r="CM15" s="36">
        <v>2.88</v>
      </c>
      <c r="CN15" s="286"/>
      <c r="CO15" s="249">
        <f t="shared" si="13"/>
        <v>141.71176109999999</v>
      </c>
      <c r="CP15" s="12">
        <f t="shared" si="13"/>
        <v>64.578041599999992</v>
      </c>
      <c r="CQ15" s="12">
        <f t="shared" si="13"/>
        <v>0</v>
      </c>
      <c r="CR15" s="17">
        <f t="shared" si="13"/>
        <v>0</v>
      </c>
      <c r="CS15" s="11">
        <f t="shared" si="13"/>
        <v>0</v>
      </c>
      <c r="CT15" s="11">
        <f t="shared" si="13"/>
        <v>0</v>
      </c>
      <c r="CU15" s="272">
        <f t="shared" si="13"/>
        <v>32.557000000000002</v>
      </c>
      <c r="CV15" s="249">
        <f t="shared" si="14"/>
        <v>98.770068800000004</v>
      </c>
      <c r="CW15" s="12">
        <f t="shared" si="14"/>
        <v>0</v>
      </c>
      <c r="CX15" s="249">
        <f t="shared" si="14"/>
        <v>0</v>
      </c>
      <c r="CY15" s="274">
        <f t="shared" si="14"/>
        <v>56.9084352</v>
      </c>
      <c r="CZ15" s="13"/>
      <c r="DA15" s="240">
        <f>(D15+'[2]октябрь 20 '!D15)/(AY15+'[2]октябрь 20 '!BA15)</f>
        <v>2.3142415255752491</v>
      </c>
      <c r="DB15" s="241">
        <f>(T15+'[2]октябрь 20 '!T15)/(AY15+'[2]октябрь 20 '!BA15)</f>
        <v>1.4616809866721607</v>
      </c>
      <c r="DD15" s="292">
        <f t="shared" si="15"/>
        <v>9.1739999999999995</v>
      </c>
      <c r="DE15" s="291">
        <v>0.33</v>
      </c>
      <c r="DF15" s="291">
        <v>9.09</v>
      </c>
      <c r="DG15" s="145">
        <f t="shared" si="16"/>
        <v>9.1437258000000003</v>
      </c>
      <c r="DH15" s="293">
        <f t="shared" si="34"/>
        <v>1.08720036</v>
      </c>
      <c r="DJ15" s="38">
        <v>134.869</v>
      </c>
      <c r="DK15" s="460">
        <f t="shared" si="35"/>
        <v>142.869</v>
      </c>
      <c r="DL15" s="38">
        <v>87.698999999999998</v>
      </c>
      <c r="DM15" s="460">
        <f t="shared" si="36"/>
        <v>101.699</v>
      </c>
    </row>
    <row r="16" spans="1:117" s="76" customFormat="1" ht="16.5" customHeight="1" thickBot="1">
      <c r="A16" s="144">
        <v>10</v>
      </c>
      <c r="B16" s="122">
        <f t="shared" si="17"/>
        <v>255.505</v>
      </c>
      <c r="C16" s="123">
        <f t="shared" si="18"/>
        <v>0.64407068354826724</v>
      </c>
      <c r="D16" s="145">
        <f t="shared" si="19"/>
        <v>253.85936720000001</v>
      </c>
      <c r="E16" s="125">
        <f t="shared" si="20"/>
        <v>38.656081485685213</v>
      </c>
      <c r="F16" s="146">
        <f t="shared" si="0"/>
        <v>2.4449520100163729</v>
      </c>
      <c r="G16" s="127">
        <v>23.62</v>
      </c>
      <c r="H16" s="126">
        <f t="shared" si="21"/>
        <v>2.1112430626986418</v>
      </c>
      <c r="I16" s="230">
        <f>'[1]июль 20'!AI15</f>
        <v>0</v>
      </c>
      <c r="J16" s="439">
        <f>'[1]октябрь 20'!AA15</f>
        <v>10.016</v>
      </c>
      <c r="K16" s="467">
        <f>'[1]сентябрь 20'!AM15</f>
        <v>0</v>
      </c>
      <c r="L16" s="441">
        <f>'[1]октябрь 20'!AE15</f>
        <v>34.649000000000001</v>
      </c>
      <c r="M16" s="468">
        <f t="shared" si="22"/>
        <v>0.33370894731773088</v>
      </c>
      <c r="N16" s="403">
        <f>'[1]октябрь 20'!W15</f>
        <v>0</v>
      </c>
      <c r="O16" s="403">
        <f>'[1]октябрь 20'!AU15</f>
        <v>6.0220000000000002</v>
      </c>
      <c r="P16" s="401">
        <f t="shared" si="1"/>
        <v>168.34300000000002</v>
      </c>
      <c r="Q16" s="122">
        <f t="shared" si="23"/>
        <v>168.34300000000002</v>
      </c>
      <c r="R16" s="123">
        <f t="shared" si="24"/>
        <v>2.8</v>
      </c>
      <c r="S16" s="501">
        <v>12.66</v>
      </c>
      <c r="T16" s="125">
        <f t="shared" si="2"/>
        <v>163.62939600000001</v>
      </c>
      <c r="U16" s="147">
        <f t="shared" si="3"/>
        <v>1.5759356255417509</v>
      </c>
      <c r="V16" s="130">
        <v>103.83</v>
      </c>
      <c r="W16" s="130">
        <v>63.58</v>
      </c>
      <c r="X16" s="129">
        <v>1.01</v>
      </c>
      <c r="Y16" s="131">
        <v>588</v>
      </c>
      <c r="Z16" s="150">
        <v>1159</v>
      </c>
      <c r="AA16" s="148" t="s">
        <v>110</v>
      </c>
      <c r="AB16" s="149">
        <v>76.56</v>
      </c>
      <c r="AC16" s="150">
        <v>99</v>
      </c>
      <c r="AD16" s="151">
        <v>5</v>
      </c>
      <c r="AE16" s="149">
        <v>7.65</v>
      </c>
      <c r="AF16" s="134">
        <f t="shared" si="4"/>
        <v>73.678127708754687</v>
      </c>
      <c r="AG16" s="152"/>
      <c r="AH16" s="129">
        <v>71.25</v>
      </c>
      <c r="AI16" s="134">
        <f t="shared" si="5"/>
        <v>686.21785611095049</v>
      </c>
      <c r="AJ16" s="153">
        <v>16.46</v>
      </c>
      <c r="AK16" s="154"/>
      <c r="AL16" s="155">
        <v>6.54</v>
      </c>
      <c r="AM16" s="478">
        <v>48.54</v>
      </c>
      <c r="AN16" s="126">
        <f t="shared" si="26"/>
        <v>0.31145332050048125</v>
      </c>
      <c r="AO16" s="157" t="s">
        <v>168</v>
      </c>
      <c r="AP16" s="156">
        <v>8.18</v>
      </c>
      <c r="AQ16" s="156">
        <v>7.97</v>
      </c>
      <c r="AR16" s="149"/>
      <c r="AS16" s="149">
        <v>6.29</v>
      </c>
      <c r="AT16" s="149">
        <v>155.85</v>
      </c>
      <c r="AU16" s="149">
        <v>3.06</v>
      </c>
      <c r="AV16" s="149"/>
      <c r="AW16" s="149"/>
      <c r="AX16" s="158">
        <f t="shared" si="6"/>
        <v>0</v>
      </c>
      <c r="AY16" s="125">
        <f t="shared" si="7"/>
        <v>103.83000000000001</v>
      </c>
      <c r="AZ16" s="125">
        <f t="shared" si="27"/>
        <v>114.22071311539247</v>
      </c>
      <c r="BA16" s="159">
        <f t="shared" si="8"/>
        <v>3.4716813380281688</v>
      </c>
      <c r="BB16" s="160">
        <f t="shared" si="9"/>
        <v>4.1532000000000009</v>
      </c>
      <c r="BC16" s="161">
        <f t="shared" si="10"/>
        <v>0.8100536021070146</v>
      </c>
      <c r="BD16" s="160">
        <f t="shared" si="28"/>
        <v>7.6248813380281693</v>
      </c>
      <c r="BE16" s="162">
        <v>0.85799999999999998</v>
      </c>
      <c r="BF16" s="25">
        <f t="shared" si="29"/>
        <v>972.95</v>
      </c>
      <c r="BG16" s="25">
        <f t="shared" si="11"/>
        <v>125.80645161290323</v>
      </c>
      <c r="BH16" s="25">
        <f t="shared" si="30"/>
        <v>1258.064516129032</v>
      </c>
      <c r="BI16" s="26">
        <f t="shared" si="12"/>
        <v>1</v>
      </c>
      <c r="BJ16" s="37">
        <f t="shared" si="31"/>
        <v>1258.064516129032</v>
      </c>
      <c r="BK16" s="28">
        <f t="shared" si="32"/>
        <v>151.51900000000001</v>
      </c>
      <c r="BL16" s="31">
        <v>69.337000000000003</v>
      </c>
      <c r="BM16" s="31"/>
      <c r="BN16" s="234"/>
      <c r="BO16" s="42"/>
      <c r="BP16" s="40"/>
      <c r="BQ16" s="32">
        <v>34.649000000000001</v>
      </c>
      <c r="BR16" s="33">
        <v>0.72</v>
      </c>
      <c r="BS16" s="34">
        <v>0.8</v>
      </c>
      <c r="BT16" s="35"/>
      <c r="BU16" s="28"/>
      <c r="BV16" s="287"/>
      <c r="BW16" s="287"/>
      <c r="BX16" s="36"/>
      <c r="BY16" s="33">
        <v>38.049999999999997</v>
      </c>
      <c r="BZ16" s="34">
        <v>37.43</v>
      </c>
      <c r="CA16" s="35"/>
      <c r="CB16" s="405"/>
      <c r="CC16" s="404"/>
      <c r="CD16" s="235"/>
      <c r="CE16" s="36">
        <v>43.76</v>
      </c>
      <c r="CF16" s="28">
        <f t="shared" si="33"/>
        <v>110.17</v>
      </c>
      <c r="CG16" s="30"/>
      <c r="CH16" s="30"/>
      <c r="CI16" s="32">
        <v>58.173000000000002</v>
      </c>
      <c r="CJ16" s="33">
        <v>2.8</v>
      </c>
      <c r="CK16" s="33"/>
      <c r="CL16" s="33"/>
      <c r="CM16" s="36">
        <v>2.8</v>
      </c>
      <c r="CN16" s="286"/>
      <c r="CO16" s="249">
        <f t="shared" si="13"/>
        <v>150.4280632</v>
      </c>
      <c r="CP16" s="12">
        <f t="shared" si="13"/>
        <v>68.782303999999996</v>
      </c>
      <c r="CQ16" s="12">
        <f t="shared" si="13"/>
        <v>0</v>
      </c>
      <c r="CR16" s="11">
        <f t="shared" si="13"/>
        <v>0</v>
      </c>
      <c r="CS16" s="11">
        <f t="shared" si="13"/>
        <v>0</v>
      </c>
      <c r="CT16" s="11">
        <f t="shared" si="13"/>
        <v>0</v>
      </c>
      <c r="CU16" s="272">
        <f t="shared" si="13"/>
        <v>34.649000000000001</v>
      </c>
      <c r="CV16" s="249">
        <f t="shared" si="14"/>
        <v>107.08524</v>
      </c>
      <c r="CW16" s="12">
        <f t="shared" si="14"/>
        <v>0</v>
      </c>
      <c r="CX16" s="249">
        <f t="shared" si="14"/>
        <v>0</v>
      </c>
      <c r="CY16" s="272">
        <f t="shared" si="14"/>
        <v>56.544156000000001</v>
      </c>
      <c r="CZ16" s="13"/>
      <c r="DA16" s="240">
        <f>(D16+'[2]октябрь 20 '!D16)/(AY16+'[2]октябрь 20 '!BA16)</f>
        <v>2.8189088749180393</v>
      </c>
      <c r="DB16" s="241">
        <f>(T16+'[2]октябрь 20 '!T16)/(AY16+'[2]октябрь 20 '!BA16)</f>
        <v>1.7621375245882673</v>
      </c>
      <c r="DD16" s="292">
        <f t="shared" si="15"/>
        <v>10.016</v>
      </c>
      <c r="DE16" s="291">
        <v>0.38</v>
      </c>
      <c r="DF16" s="291">
        <v>17.82</v>
      </c>
      <c r="DG16" s="145">
        <f t="shared" si="16"/>
        <v>9.9779392000000016</v>
      </c>
      <c r="DH16" s="293">
        <f t="shared" si="34"/>
        <v>2.3224513655172414</v>
      </c>
      <c r="DJ16" s="328">
        <v>143.51900000000001</v>
      </c>
      <c r="DK16" s="460">
        <f t="shared" si="35"/>
        <v>151.51900000000001</v>
      </c>
      <c r="DL16" s="38">
        <v>96.17</v>
      </c>
      <c r="DM16" s="460">
        <f t="shared" si="36"/>
        <v>110.17</v>
      </c>
    </row>
    <row r="17" spans="1:117" s="76" customFormat="1" ht="16.5" customHeight="1" thickBot="1">
      <c r="A17" s="144">
        <v>11</v>
      </c>
      <c r="B17" s="122">
        <f t="shared" si="17"/>
        <v>263.04000000000002</v>
      </c>
      <c r="C17" s="123">
        <f t="shared" si="18"/>
        <v>0.73778801703163022</v>
      </c>
      <c r="D17" s="145">
        <f t="shared" si="19"/>
        <v>261.09932240000001</v>
      </c>
      <c r="E17" s="125">
        <f t="shared" si="20"/>
        <v>39.094203086982965</v>
      </c>
      <c r="F17" s="146">
        <f t="shared" si="0"/>
        <v>2.2408112118091319</v>
      </c>
      <c r="G17" s="127">
        <v>16.63</v>
      </c>
      <c r="H17" s="126">
        <f t="shared" si="21"/>
        <v>1.9342629797459667</v>
      </c>
      <c r="I17" s="230">
        <f>'[1]июль 20'!AI16</f>
        <v>0</v>
      </c>
      <c r="J17" s="277">
        <f>'[1]октябрь 20'!AA16</f>
        <v>10.188000000000001</v>
      </c>
      <c r="K17" s="465">
        <f>'[1]сентябрь 20'!AM16</f>
        <v>0</v>
      </c>
      <c r="L17" s="438">
        <f>'[1]октябрь 20'!AE16</f>
        <v>35.719000000000001</v>
      </c>
      <c r="M17" s="469">
        <f t="shared" si="22"/>
        <v>0.30654823206316517</v>
      </c>
      <c r="N17" s="403">
        <f>'[1]октябрь 20'!W16</f>
        <v>0</v>
      </c>
      <c r="O17" s="403">
        <f>'[1]октябрь 20'!AU16</f>
        <v>6.1459999999999999</v>
      </c>
      <c r="P17" s="401">
        <f t="shared" si="1"/>
        <v>173.47699999999998</v>
      </c>
      <c r="Q17" s="122">
        <f t="shared" si="23"/>
        <v>173.47699999999998</v>
      </c>
      <c r="R17" s="123">
        <f t="shared" si="24"/>
        <v>3.1700000000000008</v>
      </c>
      <c r="S17" s="129"/>
      <c r="T17" s="125">
        <f t="shared" si="2"/>
        <v>167.97777909999996</v>
      </c>
      <c r="U17" s="147">
        <f t="shared" si="3"/>
        <v>1.4416218597665635</v>
      </c>
      <c r="V17" s="130">
        <v>116.52</v>
      </c>
      <c r="W17" s="130">
        <v>116.52</v>
      </c>
      <c r="X17" s="129">
        <v>0.38</v>
      </c>
      <c r="Y17" s="131">
        <v>569</v>
      </c>
      <c r="Z17" s="150">
        <v>1178</v>
      </c>
      <c r="AA17" s="148" t="s">
        <v>110</v>
      </c>
      <c r="AB17" s="149">
        <v>76.83</v>
      </c>
      <c r="AC17" s="150">
        <v>102</v>
      </c>
      <c r="AD17" s="151">
        <v>5</v>
      </c>
      <c r="AE17" s="149">
        <v>7.6</v>
      </c>
      <c r="AF17" s="134">
        <f t="shared" si="4"/>
        <v>65.224854102300043</v>
      </c>
      <c r="AG17" s="152"/>
      <c r="AH17" s="129">
        <v>78.849999999999994</v>
      </c>
      <c r="AI17" s="134">
        <f t="shared" si="5"/>
        <v>676.70786131136299</v>
      </c>
      <c r="AJ17" s="136">
        <v>20.71</v>
      </c>
      <c r="AK17" s="154"/>
      <c r="AL17" s="155">
        <v>7.81</v>
      </c>
      <c r="AM17" s="478">
        <f>AT17*0.2</f>
        <v>30.64</v>
      </c>
      <c r="AN17" s="126">
        <f t="shared" si="26"/>
        <v>0.2</v>
      </c>
      <c r="AO17" s="157" t="s">
        <v>349</v>
      </c>
      <c r="AP17" s="156">
        <v>6.93</v>
      </c>
      <c r="AQ17" s="156">
        <v>7.97</v>
      </c>
      <c r="AR17" s="149"/>
      <c r="AS17" s="149">
        <v>7.46</v>
      </c>
      <c r="AT17" s="149">
        <v>153.19999999999999</v>
      </c>
      <c r="AU17" s="149">
        <v>1.77</v>
      </c>
      <c r="AV17" s="149"/>
      <c r="AW17" s="149"/>
      <c r="AX17" s="158">
        <f t="shared" si="6"/>
        <v>0</v>
      </c>
      <c r="AY17" s="125">
        <f t="shared" si="7"/>
        <v>116.51999999999998</v>
      </c>
      <c r="AZ17" s="125">
        <f t="shared" si="27"/>
        <v>117.84942893118935</v>
      </c>
      <c r="BA17" s="159">
        <f t="shared" si="8"/>
        <v>4.5566415492957741</v>
      </c>
      <c r="BB17" s="160">
        <f t="shared" si="9"/>
        <v>4.6607999999999992</v>
      </c>
      <c r="BC17" s="161">
        <f t="shared" si="10"/>
        <v>0.87702747657581837</v>
      </c>
      <c r="BD17" s="160">
        <f t="shared" si="28"/>
        <v>9.2174415492957742</v>
      </c>
      <c r="BE17" s="162">
        <v>0.86</v>
      </c>
      <c r="BF17" s="25">
        <f t="shared" si="29"/>
        <v>1089.47</v>
      </c>
      <c r="BG17" s="25">
        <f t="shared" si="11"/>
        <v>125.80645161290323</v>
      </c>
      <c r="BH17" s="25">
        <f t="shared" si="30"/>
        <v>1383.8709677419351</v>
      </c>
      <c r="BI17" s="26">
        <f t="shared" si="12"/>
        <v>1</v>
      </c>
      <c r="BJ17" s="37">
        <f t="shared" si="31"/>
        <v>1383.8709677419351</v>
      </c>
      <c r="BK17" s="28">
        <f t="shared" si="32"/>
        <v>155.90600000000001</v>
      </c>
      <c r="BL17" s="31">
        <v>71.415000000000006</v>
      </c>
      <c r="BM17" s="31"/>
      <c r="BN17" s="234"/>
      <c r="BO17" s="42"/>
      <c r="BP17" s="40"/>
      <c r="BQ17" s="32">
        <v>35.719000000000001</v>
      </c>
      <c r="BR17" s="33">
        <v>0.86</v>
      </c>
      <c r="BS17" s="34">
        <v>0.84</v>
      </c>
      <c r="BT17" s="35"/>
      <c r="BU17" s="28"/>
      <c r="BV17" s="287"/>
      <c r="BW17" s="287"/>
      <c r="BX17" s="36"/>
      <c r="BY17" s="33">
        <v>38.57</v>
      </c>
      <c r="BZ17" s="34">
        <v>38.090000000000003</v>
      </c>
      <c r="CA17" s="35"/>
      <c r="CB17" s="405"/>
      <c r="CC17" s="404"/>
      <c r="CD17" s="235"/>
      <c r="CE17" s="36">
        <v>43.39</v>
      </c>
      <c r="CF17" s="28">
        <f t="shared" si="33"/>
        <v>96.992999999999995</v>
      </c>
      <c r="CG17" s="42">
        <v>76.483999999999995</v>
      </c>
      <c r="CH17" s="234"/>
      <c r="CI17" s="233"/>
      <c r="CJ17" s="33">
        <v>3.17</v>
      </c>
      <c r="CK17" s="33">
        <v>3.17</v>
      </c>
      <c r="CL17" s="33"/>
      <c r="CM17" s="36"/>
      <c r="CN17" s="286"/>
      <c r="CO17" s="249">
        <f t="shared" si="13"/>
        <v>154.56520840000002</v>
      </c>
      <c r="CP17" s="12">
        <f t="shared" si="13"/>
        <v>70.815113999999994</v>
      </c>
      <c r="CQ17" s="12">
        <f t="shared" si="13"/>
        <v>0</v>
      </c>
      <c r="CR17" s="12">
        <f t="shared" si="13"/>
        <v>0</v>
      </c>
      <c r="CS17" s="11">
        <f t="shared" si="13"/>
        <v>0</v>
      </c>
      <c r="CT17" s="11">
        <f t="shared" si="13"/>
        <v>0</v>
      </c>
      <c r="CU17" s="272">
        <f t="shared" si="13"/>
        <v>35.719000000000001</v>
      </c>
      <c r="CV17" s="249">
        <f t="shared" si="14"/>
        <v>93.918321899999995</v>
      </c>
      <c r="CW17" s="12">
        <f t="shared" si="14"/>
        <v>74.059457199999997</v>
      </c>
      <c r="CX17" s="254">
        <f t="shared" si="14"/>
        <v>0</v>
      </c>
      <c r="CY17" s="272">
        <f t="shared" si="14"/>
        <v>0</v>
      </c>
      <c r="CZ17" s="13"/>
      <c r="DA17" s="240">
        <f>(D17+'[2]октябрь 20 '!D17)/(AY17+'[2]октябрь 20 '!BA17)</f>
        <v>2.2127847507934426</v>
      </c>
      <c r="DB17" s="241">
        <f>(T17+'[2]октябрь 20 '!T17)/(AY17+'[2]октябрь 20 '!BA17)</f>
        <v>1.3833871742880948</v>
      </c>
      <c r="DD17" s="292">
        <f t="shared" si="15"/>
        <v>10.188000000000001</v>
      </c>
      <c r="DE17" s="291">
        <v>0.42</v>
      </c>
      <c r="DF17" s="291">
        <v>14.12</v>
      </c>
      <c r="DG17" s="145">
        <f t="shared" si="16"/>
        <v>10.145210400000002</v>
      </c>
      <c r="DH17" s="293">
        <f t="shared" si="34"/>
        <v>1.8645108791878173</v>
      </c>
      <c r="DJ17" s="39">
        <v>147.90600000000001</v>
      </c>
      <c r="DK17" s="460">
        <f t="shared" si="35"/>
        <v>155.90600000000001</v>
      </c>
      <c r="DL17" s="38">
        <v>82.992999999999995</v>
      </c>
      <c r="DM17" s="460">
        <f t="shared" si="36"/>
        <v>96.992999999999995</v>
      </c>
    </row>
    <row r="18" spans="1:117" s="76" customFormat="1" ht="16.5" customHeight="1" thickBot="1">
      <c r="A18" s="144">
        <v>12</v>
      </c>
      <c r="B18" s="122">
        <f t="shared" si="17"/>
        <v>262.66800000000001</v>
      </c>
      <c r="C18" s="123">
        <f t="shared" si="18"/>
        <v>0.89031149588073155</v>
      </c>
      <c r="D18" s="145">
        <f t="shared" si="19"/>
        <v>260.32943660000001</v>
      </c>
      <c r="E18" s="125">
        <f t="shared" si="20"/>
        <v>39.301836957680422</v>
      </c>
      <c r="F18" s="146">
        <f t="shared" si="0"/>
        <v>2.2461556220880072</v>
      </c>
      <c r="G18" s="127"/>
      <c r="H18" s="126">
        <f t="shared" si="21"/>
        <v>1.9124282709232099</v>
      </c>
      <c r="I18" s="230">
        <f>'[1]июль 20'!AI17</f>
        <v>0</v>
      </c>
      <c r="J18" s="439">
        <f>'[1]октябрь 20'!AA17</f>
        <v>10.260999999999999</v>
      </c>
      <c r="K18" s="464">
        <f>'[1]сентябрь 20'!AM17</f>
        <v>0</v>
      </c>
      <c r="L18" s="441">
        <f>'[1]октябрь 20'!AE17</f>
        <v>38.679000000000002</v>
      </c>
      <c r="M18" s="468">
        <f t="shared" si="22"/>
        <v>0.33372735116479729</v>
      </c>
      <c r="N18" s="403">
        <f>'[1]октябрь 20'!W17</f>
        <v>0</v>
      </c>
      <c r="O18" s="403">
        <f>'[1]октябрь 20'!AU17</f>
        <v>6.1180000000000003</v>
      </c>
      <c r="P18" s="401">
        <f t="shared" si="1"/>
        <v>175.018</v>
      </c>
      <c r="Q18" s="122">
        <f t="shared" si="23"/>
        <v>175.018</v>
      </c>
      <c r="R18" s="123">
        <f t="shared" si="24"/>
        <v>3.57</v>
      </c>
      <c r="S18" s="501">
        <v>14.78</v>
      </c>
      <c r="T18" s="125">
        <f t="shared" si="2"/>
        <v>168.76985740000001</v>
      </c>
      <c r="U18" s="147">
        <f t="shared" si="3"/>
        <v>1.4561678809318379</v>
      </c>
      <c r="V18" s="130">
        <v>95.37</v>
      </c>
      <c r="W18" s="130">
        <v>115.9</v>
      </c>
      <c r="X18" s="129">
        <v>0.45</v>
      </c>
      <c r="Y18" s="131">
        <v>580</v>
      </c>
      <c r="Z18" s="150">
        <v>1175</v>
      </c>
      <c r="AA18" s="148" t="s">
        <v>128</v>
      </c>
      <c r="AB18" s="149">
        <v>76.14</v>
      </c>
      <c r="AC18" s="150">
        <v>102</v>
      </c>
      <c r="AD18" s="151">
        <v>5</v>
      </c>
      <c r="AE18" s="149">
        <v>3.4</v>
      </c>
      <c r="AF18" s="134">
        <f t="shared" si="4"/>
        <v>29.335634167385678</v>
      </c>
      <c r="AG18" s="152"/>
      <c r="AH18" s="129">
        <v>83.75</v>
      </c>
      <c r="AI18" s="134">
        <f t="shared" si="5"/>
        <v>722.60569456427959</v>
      </c>
      <c r="AJ18" s="153">
        <v>14.73</v>
      </c>
      <c r="AK18" s="154"/>
      <c r="AL18" s="155">
        <v>10.72</v>
      </c>
      <c r="AM18" s="478">
        <f>AT18*0.2</f>
        <v>31.189999999999998</v>
      </c>
      <c r="AN18" s="126">
        <f t="shared" si="26"/>
        <v>0.2</v>
      </c>
      <c r="AO18" s="157" t="s">
        <v>417</v>
      </c>
      <c r="AP18" s="156">
        <v>6.7</v>
      </c>
      <c r="AQ18" s="156">
        <v>8.36</v>
      </c>
      <c r="AR18" s="151"/>
      <c r="AS18" s="149">
        <v>8.2100000000000009</v>
      </c>
      <c r="AT18" s="149">
        <v>155.94999999999999</v>
      </c>
      <c r="AU18" s="149">
        <v>1.86</v>
      </c>
      <c r="AV18" s="149"/>
      <c r="AW18" s="149"/>
      <c r="AX18" s="158">
        <f t="shared" si="6"/>
        <v>0</v>
      </c>
      <c r="AY18" s="125">
        <f t="shared" si="7"/>
        <v>115.89999999999999</v>
      </c>
      <c r="AZ18" s="125">
        <f t="shared" si="27"/>
        <v>118.72938333592957</v>
      </c>
      <c r="BA18" s="159">
        <f t="shared" si="8"/>
        <v>5.3263820422535213</v>
      </c>
      <c r="BB18" s="160">
        <f t="shared" si="9"/>
        <v>4.6360000000000001</v>
      </c>
      <c r="BC18" s="161">
        <f t="shared" si="10"/>
        <v>0.86250213801457942</v>
      </c>
      <c r="BD18" s="160">
        <f t="shared" si="28"/>
        <v>9.9623820422535214</v>
      </c>
      <c r="BE18" s="162">
        <v>0.86099999999999999</v>
      </c>
      <c r="BF18" s="25">
        <f t="shared" si="29"/>
        <v>1205.3700000000001</v>
      </c>
      <c r="BG18" s="25">
        <f t="shared" si="11"/>
        <v>125.80645161290323</v>
      </c>
      <c r="BH18" s="25">
        <f t="shared" si="30"/>
        <v>1509.6774193548383</v>
      </c>
      <c r="BI18" s="26">
        <f t="shared" si="12"/>
        <v>1</v>
      </c>
      <c r="BJ18" s="37">
        <f t="shared" si="31"/>
        <v>1509.6774193548383</v>
      </c>
      <c r="BK18" s="28">
        <f t="shared" si="32"/>
        <v>152.54900000000001</v>
      </c>
      <c r="BL18" s="31">
        <v>71.44</v>
      </c>
      <c r="BM18" s="31"/>
      <c r="BN18" s="234"/>
      <c r="BO18" s="42"/>
      <c r="BP18" s="40"/>
      <c r="BQ18" s="411">
        <v>38.679000000000002</v>
      </c>
      <c r="BR18" s="41">
        <v>1.06</v>
      </c>
      <c r="BS18" s="34">
        <v>1.01</v>
      </c>
      <c r="BT18" s="35"/>
      <c r="BU18" s="28"/>
      <c r="BV18" s="287"/>
      <c r="BW18" s="287"/>
      <c r="BX18" s="36"/>
      <c r="BY18" s="34">
        <v>38.89</v>
      </c>
      <c r="BZ18" s="34">
        <v>37.799999999999997</v>
      </c>
      <c r="CA18" s="35"/>
      <c r="CB18" s="405"/>
      <c r="CC18" s="404"/>
      <c r="CD18" s="235"/>
      <c r="CE18" s="405">
        <v>43.7</v>
      </c>
      <c r="CF18" s="28">
        <f t="shared" si="33"/>
        <v>98.54</v>
      </c>
      <c r="CG18" s="42">
        <v>76.477999999999994</v>
      </c>
      <c r="CH18" s="234"/>
      <c r="CI18" s="233"/>
      <c r="CJ18" s="33">
        <v>3.57</v>
      </c>
      <c r="CK18" s="33">
        <v>3.57</v>
      </c>
      <c r="CL18" s="33"/>
      <c r="CM18" s="36"/>
      <c r="CN18" s="286"/>
      <c r="CO18" s="249">
        <f t="shared" si="13"/>
        <v>150.9319806</v>
      </c>
      <c r="CP18" s="12">
        <f t="shared" si="13"/>
        <v>70.718456000000003</v>
      </c>
      <c r="CQ18" s="12">
        <f t="shared" si="13"/>
        <v>0</v>
      </c>
      <c r="CR18" s="12">
        <f t="shared" si="13"/>
        <v>0</v>
      </c>
      <c r="CS18" s="11">
        <f t="shared" si="13"/>
        <v>0</v>
      </c>
      <c r="CT18" s="11">
        <f t="shared" si="13"/>
        <v>0</v>
      </c>
      <c r="CU18" s="272">
        <f t="shared" si="13"/>
        <v>38.679000000000002</v>
      </c>
      <c r="CV18" s="249">
        <f t="shared" si="14"/>
        <v>95.02212200000001</v>
      </c>
      <c r="CW18" s="11">
        <f t="shared" si="14"/>
        <v>73.747735399999996</v>
      </c>
      <c r="CX18" s="249">
        <f t="shared" si="14"/>
        <v>0</v>
      </c>
      <c r="CY18" s="272">
        <f t="shared" si="14"/>
        <v>0</v>
      </c>
      <c r="CZ18" s="13"/>
      <c r="DA18" s="240">
        <f>(D18+'[2]октябрь 20 '!D18)/(AY18+'[2]октябрь 20 '!BA18)</f>
        <v>2.2186410426146903</v>
      </c>
      <c r="DB18" s="241">
        <f>(T18+'[2]октябрь 20 '!T18)/(AY18+'[2]октябрь 20 '!BA18)</f>
        <v>1.3909079754637343</v>
      </c>
      <c r="DD18" s="292">
        <f t="shared" si="15"/>
        <v>10.260999999999999</v>
      </c>
      <c r="DE18" s="291">
        <v>0.12</v>
      </c>
      <c r="DF18" s="291">
        <v>10.54</v>
      </c>
      <c r="DG18" s="145">
        <f t="shared" si="16"/>
        <v>10.248686799999998</v>
      </c>
      <c r="DH18" s="293">
        <f t="shared" si="34"/>
        <v>1.4187176106120301</v>
      </c>
      <c r="DJ18" s="38">
        <v>144.54900000000001</v>
      </c>
      <c r="DK18" s="460">
        <f t="shared" si="35"/>
        <v>152.54900000000001</v>
      </c>
      <c r="DL18" s="38">
        <v>84.54</v>
      </c>
      <c r="DM18" s="460">
        <f t="shared" si="36"/>
        <v>98.54</v>
      </c>
    </row>
    <row r="19" spans="1:117" s="76" customFormat="1" ht="16.5" customHeight="1" thickBot="1">
      <c r="A19" s="144">
        <v>13</v>
      </c>
      <c r="B19" s="122">
        <f t="shared" si="17"/>
        <v>298.01099999999997</v>
      </c>
      <c r="C19" s="123">
        <f t="shared" si="18"/>
        <v>0.78471294683753301</v>
      </c>
      <c r="D19" s="145">
        <f t="shared" si="19"/>
        <v>295.6724691</v>
      </c>
      <c r="E19" s="125">
        <f t="shared" si="20"/>
        <v>38.474949313951498</v>
      </c>
      <c r="F19" s="146">
        <f t="shared" si="0"/>
        <v>2.42453849200492</v>
      </c>
      <c r="G19" s="127">
        <v>22.82</v>
      </c>
      <c r="H19" s="126">
        <f t="shared" si="21"/>
        <v>2.0442432890528903</v>
      </c>
      <c r="I19" s="230">
        <f>'[1]июль 20'!AI18</f>
        <v>0</v>
      </c>
      <c r="J19" s="439">
        <f>'[1]октябрь 20'!AA18</f>
        <v>11.61</v>
      </c>
      <c r="K19" s="464">
        <f>'[1]сентябрь 20'!AM18</f>
        <v>0</v>
      </c>
      <c r="L19" s="441">
        <f>'[1]октябрь 20'!AE18</f>
        <v>46.377000000000002</v>
      </c>
      <c r="M19" s="469">
        <f t="shared" si="22"/>
        <v>0.38029520295202951</v>
      </c>
      <c r="N19" s="403">
        <f>'[1]октябрь 20'!W18</f>
        <v>0</v>
      </c>
      <c r="O19" s="403">
        <f>'[1]октябрь 20'!AU18</f>
        <v>7.0970000000000004</v>
      </c>
      <c r="P19" s="401">
        <f t="shared" si="1"/>
        <v>195.37700000000001</v>
      </c>
      <c r="Q19" s="122">
        <f t="shared" si="23"/>
        <v>195.37700000000001</v>
      </c>
      <c r="R19" s="123">
        <f t="shared" si="24"/>
        <v>3.2600000000000002</v>
      </c>
      <c r="S19" s="501">
        <v>2.83</v>
      </c>
      <c r="T19" s="125">
        <f t="shared" si="2"/>
        <v>189.00770979999999</v>
      </c>
      <c r="U19" s="147">
        <f t="shared" si="3"/>
        <v>1.5498787191471912</v>
      </c>
      <c r="V19" s="130">
        <v>121.95</v>
      </c>
      <c r="W19" s="130">
        <v>95.22</v>
      </c>
      <c r="X19" s="129">
        <v>0.89</v>
      </c>
      <c r="Y19" s="131">
        <v>537</v>
      </c>
      <c r="Z19" s="150">
        <v>1169</v>
      </c>
      <c r="AA19" s="148" t="s">
        <v>116</v>
      </c>
      <c r="AB19" s="149">
        <v>76.150000000000006</v>
      </c>
      <c r="AC19" s="150">
        <v>116</v>
      </c>
      <c r="AD19" s="151">
        <v>5</v>
      </c>
      <c r="AE19" s="149"/>
      <c r="AF19" s="134">
        <f t="shared" si="4"/>
        <v>0</v>
      </c>
      <c r="AG19" s="152"/>
      <c r="AH19" s="129">
        <v>66.849999999999994</v>
      </c>
      <c r="AI19" s="134">
        <f t="shared" si="5"/>
        <v>548.1754817548175</v>
      </c>
      <c r="AJ19" s="136">
        <v>17.079999999999998</v>
      </c>
      <c r="AK19" s="154"/>
      <c r="AL19" s="155">
        <v>8.49</v>
      </c>
      <c r="AM19" s="478">
        <f>AT19*0.2</f>
        <v>31.860000000000003</v>
      </c>
      <c r="AN19" s="126">
        <f t="shared" si="26"/>
        <v>0.2</v>
      </c>
      <c r="AO19" s="157" t="s">
        <v>418</v>
      </c>
      <c r="AP19" s="156">
        <v>7.22</v>
      </c>
      <c r="AQ19" s="156">
        <v>8.31</v>
      </c>
      <c r="AR19" s="151"/>
      <c r="AS19" s="149">
        <v>5.93</v>
      </c>
      <c r="AT19" s="149">
        <v>159.30000000000001</v>
      </c>
      <c r="AU19" s="149">
        <v>3</v>
      </c>
      <c r="AV19" s="164"/>
      <c r="AW19" s="149"/>
      <c r="AX19" s="158">
        <f t="shared" si="6"/>
        <v>0</v>
      </c>
      <c r="AY19" s="125">
        <f t="shared" si="7"/>
        <v>121.95</v>
      </c>
      <c r="AZ19" s="125">
        <f t="shared" si="27"/>
        <v>132.24321598962456</v>
      </c>
      <c r="BA19" s="159">
        <f t="shared" si="8"/>
        <v>3.0708630281690135</v>
      </c>
      <c r="BB19" s="160">
        <f t="shared" si="9"/>
        <v>4.8780000000000001</v>
      </c>
      <c r="BC19" s="161">
        <f t="shared" si="10"/>
        <v>0.81632438146204989</v>
      </c>
      <c r="BD19" s="160">
        <f t="shared" si="28"/>
        <v>7.9488630281690131</v>
      </c>
      <c r="BE19" s="162">
        <v>0.85599999999999998</v>
      </c>
      <c r="BF19" s="25">
        <f t="shared" si="29"/>
        <v>1327.3200000000002</v>
      </c>
      <c r="BG19" s="25">
        <f t="shared" si="11"/>
        <v>125.80645161290323</v>
      </c>
      <c r="BH19" s="25">
        <f t="shared" si="30"/>
        <v>1635.4838709677415</v>
      </c>
      <c r="BI19" s="26">
        <f t="shared" si="12"/>
        <v>1</v>
      </c>
      <c r="BJ19" s="37">
        <f t="shared" si="31"/>
        <v>1635.4838709677415</v>
      </c>
      <c r="BK19" s="28">
        <f t="shared" si="32"/>
        <v>170.44499999999999</v>
      </c>
      <c r="BL19" s="31">
        <v>81.188999999999993</v>
      </c>
      <c r="BM19" s="31"/>
      <c r="BN19" s="234"/>
      <c r="BO19" s="42"/>
      <c r="BP19" s="40"/>
      <c r="BQ19" s="411">
        <v>46.377000000000002</v>
      </c>
      <c r="BR19" s="33">
        <v>1.01</v>
      </c>
      <c r="BS19" s="34">
        <v>0.76</v>
      </c>
      <c r="BT19" s="35"/>
      <c r="BU19" s="28"/>
      <c r="BV19" s="287"/>
      <c r="BW19" s="512"/>
      <c r="BX19" s="36"/>
      <c r="BY19" s="33">
        <v>37.700000000000003</v>
      </c>
      <c r="BZ19" s="34">
        <v>37.22</v>
      </c>
      <c r="CA19" s="35"/>
      <c r="CB19" s="405"/>
      <c r="CC19" s="404"/>
      <c r="CD19" s="235"/>
      <c r="CE19" s="413">
        <v>43.52</v>
      </c>
      <c r="CF19" s="28">
        <f t="shared" si="33"/>
        <v>108.39100000000001</v>
      </c>
      <c r="CG19" s="41">
        <v>86.986000000000004</v>
      </c>
      <c r="CH19" s="30"/>
      <c r="CI19" s="32"/>
      <c r="CJ19" s="33">
        <v>3.26</v>
      </c>
      <c r="CK19" s="33">
        <v>3.26</v>
      </c>
      <c r="CL19" s="33"/>
      <c r="CM19" s="36"/>
      <c r="CN19" s="286"/>
      <c r="CO19" s="249">
        <f t="shared" si="13"/>
        <v>168.72350549999999</v>
      </c>
      <c r="CP19" s="12">
        <f t="shared" si="13"/>
        <v>80.571963599999989</v>
      </c>
      <c r="CQ19" s="12">
        <f t="shared" si="13"/>
        <v>0</v>
      </c>
      <c r="CR19" s="12">
        <f t="shared" si="13"/>
        <v>0</v>
      </c>
      <c r="CS19" s="11">
        <f t="shared" si="13"/>
        <v>0</v>
      </c>
      <c r="CT19" s="11">
        <f t="shared" si="13"/>
        <v>0</v>
      </c>
      <c r="CU19" s="272">
        <f t="shared" si="13"/>
        <v>46.377000000000002</v>
      </c>
      <c r="CV19" s="249">
        <f t="shared" si="14"/>
        <v>104.8574534</v>
      </c>
      <c r="CW19" s="251">
        <f t="shared" si="14"/>
        <v>84.150256400000004</v>
      </c>
      <c r="CX19" s="249">
        <f t="shared" si="14"/>
        <v>0</v>
      </c>
      <c r="CY19" s="272">
        <f t="shared" si="14"/>
        <v>0</v>
      </c>
      <c r="CZ19" s="13"/>
      <c r="DA19" s="240">
        <f>(D19+'[2]октябрь 20 '!D19)/(AY19+'[2]октябрь 20 '!BA19)</f>
        <v>2.25292305185957</v>
      </c>
      <c r="DB19" s="241">
        <f>(T19+'[2]октябрь 20 '!T19)/(AY19+'[2]октябрь 20 '!BA19)</f>
        <v>1.4028499494849878</v>
      </c>
      <c r="DD19" s="292">
        <f t="shared" si="15"/>
        <v>11.61</v>
      </c>
      <c r="DE19" s="291">
        <v>0.25</v>
      </c>
      <c r="DF19" s="291">
        <v>12.01</v>
      </c>
      <c r="DG19" s="145">
        <f t="shared" si="16"/>
        <v>11.580975</v>
      </c>
      <c r="DH19" s="293">
        <f t="shared" si="34"/>
        <v>1.826493890347997</v>
      </c>
      <c r="DJ19" s="38">
        <v>162.44499999999999</v>
      </c>
      <c r="DK19" s="460">
        <f t="shared" si="35"/>
        <v>170.44499999999999</v>
      </c>
      <c r="DL19" s="41">
        <v>94.391000000000005</v>
      </c>
      <c r="DM19" s="460">
        <f t="shared" si="36"/>
        <v>108.39100000000001</v>
      </c>
    </row>
    <row r="20" spans="1:117" s="76" customFormat="1" ht="16.5" customHeight="1" thickBot="1">
      <c r="A20" s="144">
        <v>14</v>
      </c>
      <c r="B20" s="122">
        <f t="shared" si="17"/>
        <v>270.48899999999998</v>
      </c>
      <c r="C20" s="123">
        <f t="shared" si="18"/>
        <v>0.6486126977437161</v>
      </c>
      <c r="D20" s="145">
        <f t="shared" si="19"/>
        <v>268.73457400000001</v>
      </c>
      <c r="E20" s="125">
        <f t="shared" si="20"/>
        <v>39.198096114814284</v>
      </c>
      <c r="F20" s="146">
        <f t="shared" si="0"/>
        <v>2.2450674519632412</v>
      </c>
      <c r="G20" s="127">
        <v>17.52</v>
      </c>
      <c r="H20" s="126">
        <f t="shared" si="21"/>
        <v>1.894206967418546</v>
      </c>
      <c r="I20" s="230">
        <f>'[1]июль 20'!AI19</f>
        <v>0</v>
      </c>
      <c r="J20" s="439">
        <f>'[1]октябрь 20'!AA19</f>
        <v>10.417999999999999</v>
      </c>
      <c r="K20" s="464">
        <f>'[1]сентябрь 20'!AM19</f>
        <v>0</v>
      </c>
      <c r="L20" s="441">
        <f>'[1]октябрь 20'!AE19</f>
        <v>41.997999999999998</v>
      </c>
      <c r="M20" s="468">
        <f t="shared" si="22"/>
        <v>0.35086048454469498</v>
      </c>
      <c r="N20" s="403">
        <f>'[1]октябрь 20'!W19</f>
        <v>0</v>
      </c>
      <c r="O20" s="403">
        <f>'[1]октябрь 20'!AU19</f>
        <v>7.3129999999999997</v>
      </c>
      <c r="P20" s="401">
        <f t="shared" si="1"/>
        <v>177.68299999999999</v>
      </c>
      <c r="Q20" s="122">
        <f t="shared" si="23"/>
        <v>177.68299999999999</v>
      </c>
      <c r="R20" s="123">
        <f t="shared" si="24"/>
        <v>3.28</v>
      </c>
      <c r="S20" s="501">
        <v>1.6</v>
      </c>
      <c r="T20" s="125">
        <f t="shared" si="2"/>
        <v>171.85499759999999</v>
      </c>
      <c r="U20" s="147">
        <f t="shared" si="3"/>
        <v>1.4357142656641602</v>
      </c>
      <c r="V20" s="130">
        <v>119.7</v>
      </c>
      <c r="W20" s="130">
        <v>119.7</v>
      </c>
      <c r="X20" s="129">
        <v>0.68</v>
      </c>
      <c r="Y20" s="131">
        <v>538</v>
      </c>
      <c r="Z20" s="150">
        <v>1169</v>
      </c>
      <c r="AA20" s="168" t="s">
        <v>188</v>
      </c>
      <c r="AB20" s="149">
        <v>76.48</v>
      </c>
      <c r="AC20" s="150">
        <v>105</v>
      </c>
      <c r="AD20" s="151">
        <v>5</v>
      </c>
      <c r="AE20" s="149">
        <v>5.55</v>
      </c>
      <c r="AF20" s="134">
        <f t="shared" si="4"/>
        <v>46.365914786967409</v>
      </c>
      <c r="AG20" s="152"/>
      <c r="AH20" s="129">
        <v>75.95</v>
      </c>
      <c r="AI20" s="134">
        <f t="shared" si="5"/>
        <v>634.50292397660814</v>
      </c>
      <c r="AJ20" s="153">
        <v>16.510000000000002</v>
      </c>
      <c r="AK20" s="154"/>
      <c r="AL20" s="155">
        <v>11.82</v>
      </c>
      <c r="AM20" s="478">
        <f t="shared" ref="AM20:AM36" si="37">AT20*0.2</f>
        <v>32.06</v>
      </c>
      <c r="AN20" s="126">
        <f t="shared" si="26"/>
        <v>0.2</v>
      </c>
      <c r="AO20" s="157" t="s">
        <v>419</v>
      </c>
      <c r="AP20" s="156">
        <v>7.14</v>
      </c>
      <c r="AQ20" s="156">
        <v>8.4499999999999993</v>
      </c>
      <c r="AR20" s="149"/>
      <c r="AS20" s="149">
        <v>6.67</v>
      </c>
      <c r="AT20" s="149">
        <v>160.30000000000001</v>
      </c>
      <c r="AU20" s="149">
        <v>3.28</v>
      </c>
      <c r="AV20" s="149"/>
      <c r="AW20" s="149"/>
      <c r="AX20" s="158">
        <f t="shared" si="6"/>
        <v>0</v>
      </c>
      <c r="AY20" s="125">
        <f t="shared" si="7"/>
        <v>119.70000000000002</v>
      </c>
      <c r="AZ20" s="125">
        <f t="shared" si="27"/>
        <v>121.60363761882078</v>
      </c>
      <c r="BA20" s="159">
        <f t="shared" si="8"/>
        <v>3.9242616197183096</v>
      </c>
      <c r="BB20" s="160">
        <f t="shared" si="9"/>
        <v>4.7880000000000011</v>
      </c>
      <c r="BC20" s="161">
        <f t="shared" si="10"/>
        <v>0.86906750583085757</v>
      </c>
      <c r="BD20" s="160">
        <f t="shared" si="28"/>
        <v>8.7122616197183103</v>
      </c>
      <c r="BE20" s="162">
        <v>0.85699999999999998</v>
      </c>
      <c r="BF20" s="25">
        <f t="shared" si="29"/>
        <v>1447.0200000000002</v>
      </c>
      <c r="BG20" s="25">
        <f t="shared" si="11"/>
        <v>125.80645161290323</v>
      </c>
      <c r="BH20" s="25">
        <f t="shared" si="30"/>
        <v>1761.2903225806447</v>
      </c>
      <c r="BI20" s="26">
        <f t="shared" si="12"/>
        <v>1</v>
      </c>
      <c r="BJ20" s="37">
        <f t="shared" si="31"/>
        <v>1761.2903225806447</v>
      </c>
      <c r="BK20" s="28">
        <f t="shared" si="32"/>
        <v>154.989</v>
      </c>
      <c r="BL20" s="31">
        <v>73.501999999999995</v>
      </c>
      <c r="BM20" s="31"/>
      <c r="BN20" s="234"/>
      <c r="BO20" s="42"/>
      <c r="BP20" s="40"/>
      <c r="BQ20" s="411">
        <v>41.997999999999998</v>
      </c>
      <c r="BR20" s="33">
        <v>0.8</v>
      </c>
      <c r="BS20" s="34">
        <v>0.7</v>
      </c>
      <c r="BT20" s="35"/>
      <c r="BU20" s="28"/>
      <c r="BV20" s="287"/>
      <c r="BW20" s="287"/>
      <c r="BX20" s="36"/>
      <c r="BY20" s="33">
        <v>38.94</v>
      </c>
      <c r="BZ20" s="34">
        <v>37.21</v>
      </c>
      <c r="CA20" s="35"/>
      <c r="CB20" s="405"/>
      <c r="CC20" s="404"/>
      <c r="CD20" s="235"/>
      <c r="CE20" s="413">
        <v>43.63</v>
      </c>
      <c r="CF20" s="28">
        <f t="shared" si="33"/>
        <v>98.956999999999994</v>
      </c>
      <c r="CG20" s="30">
        <v>78.725999999999999</v>
      </c>
      <c r="CH20" s="31"/>
      <c r="CI20" s="32"/>
      <c r="CJ20" s="33">
        <v>3.28</v>
      </c>
      <c r="CK20" s="33">
        <v>3.28</v>
      </c>
      <c r="CL20" s="35"/>
      <c r="CM20" s="36"/>
      <c r="CN20" s="286"/>
      <c r="CO20" s="249">
        <f t="shared" si="13"/>
        <v>153.749088</v>
      </c>
      <c r="CP20" s="12">
        <f t="shared" si="13"/>
        <v>72.98748599999999</v>
      </c>
      <c r="CQ20" s="12">
        <f t="shared" si="13"/>
        <v>0</v>
      </c>
      <c r="CR20" s="12">
        <f t="shared" si="13"/>
        <v>0</v>
      </c>
      <c r="CS20" s="11">
        <f t="shared" si="13"/>
        <v>0</v>
      </c>
      <c r="CT20" s="11">
        <f t="shared" si="13"/>
        <v>0</v>
      </c>
      <c r="CU20" s="272">
        <f t="shared" si="13"/>
        <v>41.997999999999998</v>
      </c>
      <c r="CV20" s="249">
        <f t="shared" si="14"/>
        <v>95.711210399999985</v>
      </c>
      <c r="CW20" s="12">
        <f t="shared" si="14"/>
        <v>76.143787199999991</v>
      </c>
      <c r="CX20" s="249">
        <f t="shared" si="14"/>
        <v>0</v>
      </c>
      <c r="CY20" s="272">
        <f t="shared" si="14"/>
        <v>0</v>
      </c>
      <c r="CZ20" s="13"/>
      <c r="DA20" s="240">
        <f>(D20+'[2]октябрь 20 '!D20)/(AY20+'[2]октябрь 20 '!BA20)</f>
        <v>2.3294413732931427</v>
      </c>
      <c r="DB20" s="241">
        <f>(T20+'[2]октябрь 20 '!T20)/(AY20+'[2]октябрь 20 '!BA20)</f>
        <v>1.4712727434077617</v>
      </c>
      <c r="DD20" s="292">
        <f t="shared" si="15"/>
        <v>10.417999999999999</v>
      </c>
      <c r="DE20" s="291">
        <v>0.61</v>
      </c>
      <c r="DF20" s="407">
        <v>10.06</v>
      </c>
      <c r="DG20" s="145">
        <f t="shared" si="16"/>
        <v>10.354450199999999</v>
      </c>
      <c r="DH20" s="293">
        <f t="shared" si="34"/>
        <v>1.3620001178347279</v>
      </c>
      <c r="DJ20" s="38">
        <v>146.989</v>
      </c>
      <c r="DK20" s="460">
        <f t="shared" si="35"/>
        <v>154.989</v>
      </c>
      <c r="DL20" s="30">
        <v>84.956999999999994</v>
      </c>
      <c r="DM20" s="460">
        <f t="shared" si="36"/>
        <v>98.956999999999994</v>
      </c>
    </row>
    <row r="21" spans="1:117" s="76" customFormat="1" ht="16.5" customHeight="1" thickBot="1">
      <c r="A21" s="144">
        <v>15</v>
      </c>
      <c r="B21" s="122">
        <f t="shared" si="17"/>
        <v>270.64400000000001</v>
      </c>
      <c r="C21" s="123">
        <f t="shared" si="18"/>
        <v>0.63973500243862791</v>
      </c>
      <c r="D21" s="145">
        <f t="shared" si="19"/>
        <v>268.91259560000003</v>
      </c>
      <c r="E21" s="125">
        <f t="shared" si="20"/>
        <v>39.107182276348261</v>
      </c>
      <c r="F21" s="146">
        <f t="shared" si="0"/>
        <v>2.306282981132076</v>
      </c>
      <c r="G21" s="127">
        <v>11.45</v>
      </c>
      <c r="H21" s="126">
        <f t="shared" si="21"/>
        <v>1.8728524493996572</v>
      </c>
      <c r="I21" s="230">
        <f>'[1]июль 20'!AI20</f>
        <v>0</v>
      </c>
      <c r="J21" s="439">
        <f>'[1]октябрь 20'!AA20</f>
        <v>10.599</v>
      </c>
      <c r="K21" s="464">
        <f>'[1]сентябрь 20'!AM20</f>
        <v>0</v>
      </c>
      <c r="L21" s="441">
        <f>'[1]октябрь 20'!AE20</f>
        <v>50.537999999999997</v>
      </c>
      <c r="M21" s="469">
        <f t="shared" si="22"/>
        <v>0.43343053173241852</v>
      </c>
      <c r="N21" s="403">
        <f>'[1]октябрь 20'!W20</f>
        <v>0</v>
      </c>
      <c r="O21" s="403">
        <f>'[1]октябрь 20'!AU20</f>
        <v>6.36</v>
      </c>
      <c r="P21" s="401">
        <f t="shared" si="1"/>
        <v>177.625</v>
      </c>
      <c r="Q21" s="122">
        <f t="shared" si="23"/>
        <v>177.625</v>
      </c>
      <c r="R21" s="123">
        <f t="shared" si="24"/>
        <v>3.33</v>
      </c>
      <c r="S21" s="501">
        <v>68.91</v>
      </c>
      <c r="T21" s="125">
        <f t="shared" si="2"/>
        <v>171.71008750000001</v>
      </c>
      <c r="U21" s="147">
        <f t="shared" si="3"/>
        <v>1.4726422598627789</v>
      </c>
      <c r="V21" s="130">
        <v>116.6</v>
      </c>
      <c r="W21" s="130">
        <v>49.79</v>
      </c>
      <c r="X21" s="129">
        <v>1.0900000000000001</v>
      </c>
      <c r="Y21" s="131">
        <v>530</v>
      </c>
      <c r="Z21" s="150">
        <v>1167</v>
      </c>
      <c r="AA21" s="168" t="s">
        <v>251</v>
      </c>
      <c r="AB21" s="149">
        <v>76.08</v>
      </c>
      <c r="AC21" s="150">
        <v>105</v>
      </c>
      <c r="AD21" s="151">
        <v>5</v>
      </c>
      <c r="AE21" s="149"/>
      <c r="AF21" s="134">
        <f t="shared" si="4"/>
        <v>0</v>
      </c>
      <c r="AG21" s="152"/>
      <c r="AH21" s="129">
        <v>59.3</v>
      </c>
      <c r="AI21" s="134">
        <f t="shared" si="5"/>
        <v>508.57632933104634</v>
      </c>
      <c r="AJ21" s="136">
        <v>17.5</v>
      </c>
      <c r="AK21" s="154"/>
      <c r="AL21" s="155">
        <v>6.51</v>
      </c>
      <c r="AM21" s="478">
        <f t="shared" si="37"/>
        <v>30.34</v>
      </c>
      <c r="AN21" s="126">
        <f t="shared" si="26"/>
        <v>0.2</v>
      </c>
      <c r="AO21" s="157" t="s">
        <v>203</v>
      </c>
      <c r="AP21" s="156">
        <v>7.22</v>
      </c>
      <c r="AQ21" s="156">
        <v>8.66</v>
      </c>
      <c r="AR21" s="149"/>
      <c r="AS21" s="149">
        <v>5.72</v>
      </c>
      <c r="AT21" s="149">
        <v>151.69999999999999</v>
      </c>
      <c r="AU21" s="149">
        <v>1.75</v>
      </c>
      <c r="AV21" s="149"/>
      <c r="AW21" s="149"/>
      <c r="AX21" s="158">
        <f t="shared" si="6"/>
        <v>0</v>
      </c>
      <c r="AY21" s="125">
        <f t="shared" si="7"/>
        <v>116.6</v>
      </c>
      <c r="AZ21" s="125">
        <f t="shared" si="27"/>
        <v>122.18624150203954</v>
      </c>
      <c r="BA21" s="159">
        <f t="shared" si="8"/>
        <v>2.6275746478873234</v>
      </c>
      <c r="BB21" s="160">
        <f t="shared" si="9"/>
        <v>4.6639999999999997</v>
      </c>
      <c r="BC21" s="161">
        <f t="shared" si="10"/>
        <v>0.8435316535322801</v>
      </c>
      <c r="BD21" s="160">
        <f t="shared" si="28"/>
        <v>7.2915746478873231</v>
      </c>
      <c r="BE21" s="162">
        <v>0.85599999999999998</v>
      </c>
      <c r="BF21" s="25">
        <f t="shared" si="29"/>
        <v>1563.6200000000001</v>
      </c>
      <c r="BG21" s="25">
        <f t="shared" si="11"/>
        <v>125.80645161290323</v>
      </c>
      <c r="BH21" s="25">
        <f t="shared" si="30"/>
        <v>1887.0967741935478</v>
      </c>
      <c r="BI21" s="26">
        <f t="shared" si="12"/>
        <v>1</v>
      </c>
      <c r="BJ21" s="37">
        <f t="shared" si="31"/>
        <v>1887.0967741935478</v>
      </c>
      <c r="BK21" s="28">
        <f t="shared" si="32"/>
        <v>146.6</v>
      </c>
      <c r="BL21" s="31">
        <v>73.506</v>
      </c>
      <c r="BM21" s="31"/>
      <c r="BN21" s="234">
        <v>42</v>
      </c>
      <c r="BO21" s="42"/>
      <c r="BP21" s="40"/>
      <c r="BQ21" s="411">
        <v>8.5380000000000003</v>
      </c>
      <c r="BR21" s="33">
        <v>0.81</v>
      </c>
      <c r="BS21" s="34">
        <v>0.74</v>
      </c>
      <c r="BT21" s="35"/>
      <c r="BU21" s="35"/>
      <c r="BV21" s="235"/>
      <c r="BW21" s="235"/>
      <c r="BX21" s="36"/>
      <c r="BY21" s="33">
        <v>38.39</v>
      </c>
      <c r="BZ21" s="34">
        <v>37.6</v>
      </c>
      <c r="CA21" s="35"/>
      <c r="CB21" s="405">
        <v>43.4</v>
      </c>
      <c r="CC21" s="404"/>
      <c r="CD21" s="235"/>
      <c r="CE21" s="413">
        <v>43.28</v>
      </c>
      <c r="CF21" s="28">
        <f t="shared" si="33"/>
        <v>98.864000000000004</v>
      </c>
      <c r="CG21" s="30">
        <v>78.760999999999996</v>
      </c>
      <c r="CH21" s="31"/>
      <c r="CI21" s="32"/>
      <c r="CJ21" s="33">
        <v>3.33</v>
      </c>
      <c r="CK21" s="33">
        <v>3.33</v>
      </c>
      <c r="CL21" s="35"/>
      <c r="CM21" s="36"/>
      <c r="CN21" s="286"/>
      <c r="CO21" s="249">
        <f t="shared" si="13"/>
        <v>145.41254000000001</v>
      </c>
      <c r="CP21" s="12">
        <f t="shared" si="13"/>
        <v>72.962055599999999</v>
      </c>
      <c r="CQ21" s="12">
        <f t="shared" si="13"/>
        <v>0</v>
      </c>
      <c r="CR21" s="12">
        <f t="shared" si="13"/>
        <v>42</v>
      </c>
      <c r="CS21" s="11">
        <f t="shared" si="13"/>
        <v>0</v>
      </c>
      <c r="CT21" s="11">
        <f t="shared" si="13"/>
        <v>0</v>
      </c>
      <c r="CU21" s="272">
        <f t="shared" si="13"/>
        <v>8.5380000000000003</v>
      </c>
      <c r="CV21" s="249">
        <f t="shared" si="14"/>
        <v>95.571828800000006</v>
      </c>
      <c r="CW21" s="12">
        <f t="shared" si="14"/>
        <v>76.138258699999994</v>
      </c>
      <c r="CX21" s="249">
        <f t="shared" si="14"/>
        <v>0</v>
      </c>
      <c r="CY21" s="272">
        <f t="shared" si="14"/>
        <v>0</v>
      </c>
      <c r="CZ21" s="13"/>
      <c r="DA21" s="240">
        <f>(D21+'[2]октябрь 20 '!D21)/(AY21+'[2]октябрь 20 '!BA21)</f>
        <v>2.1650026600343462</v>
      </c>
      <c r="DB21" s="241">
        <f>(T21+'[2]октябрь 20 '!T21)/(AY21+'[2]октябрь 20 '!BA21)</f>
        <v>1.3436373763842009</v>
      </c>
      <c r="DD21" s="292">
        <f t="shared" si="15"/>
        <v>10.599</v>
      </c>
      <c r="DE21" s="291">
        <v>0.28000000000000003</v>
      </c>
      <c r="DF21" s="291">
        <v>10.89</v>
      </c>
      <c r="DG21" s="145">
        <f t="shared" si="16"/>
        <v>10.5693228</v>
      </c>
      <c r="DH21" s="293">
        <f t="shared" si="34"/>
        <v>1.5128801957413252</v>
      </c>
      <c r="DJ21" s="38">
        <v>138.6</v>
      </c>
      <c r="DK21" s="460">
        <f t="shared" si="35"/>
        <v>146.6</v>
      </c>
      <c r="DL21" s="30">
        <v>84.864000000000004</v>
      </c>
      <c r="DM21" s="460">
        <f t="shared" si="36"/>
        <v>98.864000000000004</v>
      </c>
    </row>
    <row r="22" spans="1:117" s="76" customFormat="1" ht="16.5" customHeight="1" thickBot="1">
      <c r="A22" s="144">
        <v>16</v>
      </c>
      <c r="B22" s="122">
        <f t="shared" si="17"/>
        <v>268.32400000000001</v>
      </c>
      <c r="C22" s="123">
        <f t="shared" si="18"/>
        <v>1.6908453213279466</v>
      </c>
      <c r="D22" s="145">
        <f t="shared" si="19"/>
        <v>263.78705620000005</v>
      </c>
      <c r="E22" s="125">
        <f t="shared" si="20"/>
        <v>39.252235879011934</v>
      </c>
      <c r="F22" s="146">
        <f t="shared" si="0"/>
        <v>2.3550313025622711</v>
      </c>
      <c r="G22" s="127">
        <v>16.79</v>
      </c>
      <c r="H22" s="126">
        <f t="shared" si="21"/>
        <v>1.8406129470582979</v>
      </c>
      <c r="I22" s="230">
        <f>'[1]июль 20'!AI21</f>
        <v>0</v>
      </c>
      <c r="J22" s="439">
        <f>'[1]октябрь 20'!AA21</f>
        <v>10.432</v>
      </c>
      <c r="K22" s="464">
        <f>'[1]сентябрь 20'!AM21</f>
        <v>0</v>
      </c>
      <c r="L22" s="441">
        <f>'[1]октябрь 20'!AE21</f>
        <v>57.62</v>
      </c>
      <c r="M22" s="468">
        <f t="shared" si="22"/>
        <v>0.51441835550397275</v>
      </c>
      <c r="N22" s="403">
        <f>'[1]октябрь 20'!W21</f>
        <v>0</v>
      </c>
      <c r="O22" s="403">
        <f>'[1]октябрь 20'!AU21</f>
        <v>5.21</v>
      </c>
      <c r="P22" s="401">
        <f t="shared" si="1"/>
        <v>175.55</v>
      </c>
      <c r="Q22" s="122">
        <f t="shared" si="23"/>
        <v>175.55</v>
      </c>
      <c r="R22" s="123">
        <f t="shared" si="24"/>
        <v>3.31</v>
      </c>
      <c r="S22" s="501">
        <v>2.48</v>
      </c>
      <c r="T22" s="125">
        <f t="shared" si="2"/>
        <v>169.739295</v>
      </c>
      <c r="U22" s="147">
        <f t="shared" si="3"/>
        <v>1.5153941165967322</v>
      </c>
      <c r="V22" s="130">
        <v>112.01</v>
      </c>
      <c r="W22" s="130">
        <v>86.33</v>
      </c>
      <c r="X22" s="129">
        <v>0.73</v>
      </c>
      <c r="Y22" s="131">
        <v>520</v>
      </c>
      <c r="Z22" s="150">
        <v>1157</v>
      </c>
      <c r="AA22" s="148" t="s">
        <v>249</v>
      </c>
      <c r="AB22" s="149">
        <v>76.67</v>
      </c>
      <c r="AC22" s="150">
        <v>104</v>
      </c>
      <c r="AD22" s="151">
        <v>5</v>
      </c>
      <c r="AE22" s="149"/>
      <c r="AF22" s="134">
        <f t="shared" si="4"/>
        <v>0</v>
      </c>
      <c r="AG22" s="152"/>
      <c r="AH22" s="129">
        <v>68.95</v>
      </c>
      <c r="AI22" s="134">
        <f t="shared" si="5"/>
        <v>615.57003838942944</v>
      </c>
      <c r="AJ22" s="153">
        <v>16.46</v>
      </c>
      <c r="AK22" s="154"/>
      <c r="AL22" s="155">
        <v>8.3800000000000008</v>
      </c>
      <c r="AM22" s="478">
        <f t="shared" si="37"/>
        <v>29.630000000000003</v>
      </c>
      <c r="AN22" s="126">
        <f t="shared" si="26"/>
        <v>0.2</v>
      </c>
      <c r="AO22" s="157" t="s">
        <v>361</v>
      </c>
      <c r="AP22" s="156">
        <v>7.08</v>
      </c>
      <c r="AQ22" s="156">
        <v>8.89</v>
      </c>
      <c r="AR22" s="151"/>
      <c r="AS22" s="149">
        <v>7.37</v>
      </c>
      <c r="AT22" s="149">
        <v>148.15</v>
      </c>
      <c r="AU22" s="149">
        <v>1.87</v>
      </c>
      <c r="AV22" s="149"/>
      <c r="AW22" s="149"/>
      <c r="AX22" s="158">
        <f t="shared" si="6"/>
        <v>0</v>
      </c>
      <c r="AY22" s="125">
        <f t="shared" si="7"/>
        <v>112.01000000000002</v>
      </c>
      <c r="AZ22" s="125">
        <f t="shared" si="27"/>
        <v>119.34704883520179</v>
      </c>
      <c r="BA22" s="159">
        <f t="shared" si="8"/>
        <v>3.9364623239436618</v>
      </c>
      <c r="BB22" s="160">
        <f t="shared" si="9"/>
        <v>4.4804000000000013</v>
      </c>
      <c r="BC22" s="161">
        <f t="shared" si="10"/>
        <v>0.82940066495162557</v>
      </c>
      <c r="BD22" s="160">
        <f t="shared" si="28"/>
        <v>8.4168623239436631</v>
      </c>
      <c r="BE22" s="162">
        <v>0.85399999999999998</v>
      </c>
      <c r="BF22" s="25">
        <f t="shared" si="29"/>
        <v>1675.63</v>
      </c>
      <c r="BG22" s="25">
        <f t="shared" si="11"/>
        <v>125.80645161290323</v>
      </c>
      <c r="BH22" s="25">
        <f t="shared" si="30"/>
        <v>2012.903225806451</v>
      </c>
      <c r="BI22" s="26">
        <f t="shared" si="12"/>
        <v>1</v>
      </c>
      <c r="BJ22" s="37">
        <f t="shared" si="31"/>
        <v>2012.903225806451</v>
      </c>
      <c r="BK22" s="28">
        <f t="shared" si="32"/>
        <v>137.92599999999999</v>
      </c>
      <c r="BL22" s="31">
        <v>72.778000000000006</v>
      </c>
      <c r="BM22" s="31"/>
      <c r="BN22" s="234">
        <v>52.305999999999997</v>
      </c>
      <c r="BO22" s="42"/>
      <c r="BP22" s="40"/>
      <c r="BQ22" s="411">
        <v>5.3140000000000001</v>
      </c>
      <c r="BR22" s="33">
        <v>3.11</v>
      </c>
      <c r="BS22" s="34">
        <v>0.34</v>
      </c>
      <c r="BT22" s="35"/>
      <c r="BU22" s="35"/>
      <c r="BV22" s="235"/>
      <c r="BW22" s="235"/>
      <c r="BX22" s="36"/>
      <c r="BY22" s="33">
        <v>38.380000000000003</v>
      </c>
      <c r="BZ22" s="34">
        <v>37.78</v>
      </c>
      <c r="CA22" s="35"/>
      <c r="CB22" s="405">
        <v>43.16</v>
      </c>
      <c r="CC22" s="404"/>
      <c r="CD22" s="235"/>
      <c r="CE22" s="413">
        <v>43.59</v>
      </c>
      <c r="CF22" s="28">
        <f t="shared" si="33"/>
        <v>97.572999999999993</v>
      </c>
      <c r="CG22" s="30">
        <v>77.977000000000004</v>
      </c>
      <c r="CH22" s="31"/>
      <c r="CI22" s="32"/>
      <c r="CJ22" s="33">
        <v>3.31</v>
      </c>
      <c r="CK22" s="33">
        <v>3.31</v>
      </c>
      <c r="CL22" s="35"/>
      <c r="CM22" s="36"/>
      <c r="CN22" s="286"/>
      <c r="CO22" s="249">
        <f t="shared" si="13"/>
        <v>133.63650139999999</v>
      </c>
      <c r="CP22" s="12">
        <f t="shared" si="13"/>
        <v>72.530554800000004</v>
      </c>
      <c r="CQ22" s="12">
        <f t="shared" si="13"/>
        <v>0</v>
      </c>
      <c r="CR22" s="12">
        <f t="shared" si="13"/>
        <v>52.305999999999997</v>
      </c>
      <c r="CS22" s="11">
        <f t="shared" si="13"/>
        <v>0</v>
      </c>
      <c r="CT22" s="11">
        <f t="shared" si="13"/>
        <v>0</v>
      </c>
      <c r="CU22" s="272">
        <f t="shared" si="13"/>
        <v>5.3140000000000001</v>
      </c>
      <c r="CV22" s="249">
        <f t="shared" si="14"/>
        <v>94.343333699999988</v>
      </c>
      <c r="CW22" s="12">
        <f t="shared" si="14"/>
        <v>75.395961299999996</v>
      </c>
      <c r="CX22" s="249">
        <f t="shared" si="14"/>
        <v>0</v>
      </c>
      <c r="CY22" s="272">
        <f t="shared" si="14"/>
        <v>0</v>
      </c>
      <c r="CZ22" s="13"/>
      <c r="DA22" s="240">
        <f>(D22+'[2]октябрь 20 '!D22)/(AY22+'[2]октябрь 20 '!BA22)</f>
        <v>2.0827260792971636</v>
      </c>
      <c r="DB22" s="241">
        <f>(T22+'[2]октябрь 20 '!T22)/(AY22+'[2]октябрь 20 '!BA22)</f>
        <v>1.2970644684969226</v>
      </c>
      <c r="DD22" s="292">
        <f t="shared" si="15"/>
        <v>10.432</v>
      </c>
      <c r="DE22" s="291">
        <v>0.1</v>
      </c>
      <c r="DF22" s="291">
        <v>10.66</v>
      </c>
      <c r="DG22" s="145">
        <f t="shared" si="16"/>
        <v>10.421568000000002</v>
      </c>
      <c r="DH22" s="293">
        <f t="shared" si="34"/>
        <v>1.4489880641711232</v>
      </c>
      <c r="DJ22" s="38">
        <v>129.92599999999999</v>
      </c>
      <c r="DK22" s="460">
        <f t="shared" si="35"/>
        <v>137.92599999999999</v>
      </c>
      <c r="DL22" s="30">
        <v>83.572999999999993</v>
      </c>
      <c r="DM22" s="460">
        <f t="shared" si="36"/>
        <v>97.572999999999993</v>
      </c>
    </row>
    <row r="23" spans="1:117" s="76" customFormat="1" ht="16.5" customHeight="1" thickBot="1">
      <c r="A23" s="144">
        <v>17</v>
      </c>
      <c r="B23" s="122">
        <f t="shared" si="17"/>
        <v>270.65100000000001</v>
      </c>
      <c r="C23" s="123">
        <f t="shared" si="18"/>
        <v>0.75943454855145553</v>
      </c>
      <c r="D23" s="145">
        <f t="shared" si="19"/>
        <v>268.59558280000005</v>
      </c>
      <c r="E23" s="125">
        <f t="shared" si="20"/>
        <v>39.625733509205581</v>
      </c>
      <c r="F23" s="146">
        <f t="shared" si="0"/>
        <v>2.0728166599783919</v>
      </c>
      <c r="G23" s="127"/>
      <c r="H23" s="126">
        <f t="shared" si="21"/>
        <v>1.6274547214076245</v>
      </c>
      <c r="I23" s="230">
        <f>'[1]июль 20'!AI22</f>
        <v>0</v>
      </c>
      <c r="J23" s="439">
        <f>'[1]октябрь 20'!AA22</f>
        <v>10.48</v>
      </c>
      <c r="K23" s="464">
        <f>'[1]сентябрь 20'!AM22</f>
        <v>0</v>
      </c>
      <c r="L23" s="441">
        <f>'[1]октябрь 20'!AE22</f>
        <v>57.71</v>
      </c>
      <c r="M23" s="469">
        <f t="shared" si="22"/>
        <v>0.44536193857076706</v>
      </c>
      <c r="N23" s="403">
        <f>'[1]октябрь 20'!W22</f>
        <v>0</v>
      </c>
      <c r="O23" s="403">
        <f>'[1]октябрь 20'!AU22</f>
        <v>5.68</v>
      </c>
      <c r="P23" s="401">
        <f t="shared" si="1"/>
        <v>177.86</v>
      </c>
      <c r="Q23" s="122">
        <f t="shared" si="23"/>
        <v>177.86</v>
      </c>
      <c r="R23" s="123">
        <f t="shared" si="24"/>
        <v>3.6199999999999997</v>
      </c>
      <c r="S23" s="501">
        <v>9.9499999999999993</v>
      </c>
      <c r="T23" s="125">
        <f t="shared" si="2"/>
        <v>171.421468</v>
      </c>
      <c r="U23" s="147">
        <f t="shared" si="3"/>
        <v>1.322900663682667</v>
      </c>
      <c r="V23" s="130">
        <v>129.58000000000001</v>
      </c>
      <c r="W23" s="130">
        <v>129.58000000000001</v>
      </c>
      <c r="X23" s="129">
        <v>0.51</v>
      </c>
      <c r="Y23" s="131">
        <v>524</v>
      </c>
      <c r="Z23" s="150">
        <v>1168</v>
      </c>
      <c r="AA23" s="148" t="s">
        <v>116</v>
      </c>
      <c r="AB23" s="149">
        <v>76.45</v>
      </c>
      <c r="AC23" s="150">
        <v>105</v>
      </c>
      <c r="AD23" s="151">
        <v>5</v>
      </c>
      <c r="AE23" s="149"/>
      <c r="AF23" s="134">
        <f t="shared" si="4"/>
        <v>0</v>
      </c>
      <c r="AG23" s="152"/>
      <c r="AH23" s="129">
        <v>87.45</v>
      </c>
      <c r="AI23" s="134">
        <f t="shared" si="5"/>
        <v>674.8726655348047</v>
      </c>
      <c r="AJ23" s="136">
        <v>16.5</v>
      </c>
      <c r="AK23" s="154"/>
      <c r="AL23" s="155">
        <v>8.51</v>
      </c>
      <c r="AM23" s="478">
        <f t="shared" si="37"/>
        <v>33.830000000000005</v>
      </c>
      <c r="AN23" s="126">
        <f t="shared" si="26"/>
        <v>0.20000000000000004</v>
      </c>
      <c r="AO23" s="157" t="s">
        <v>424</v>
      </c>
      <c r="AP23" s="156">
        <v>7.1</v>
      </c>
      <c r="AQ23" s="156">
        <v>7.15</v>
      </c>
      <c r="AR23" s="151"/>
      <c r="AS23" s="149">
        <v>8</v>
      </c>
      <c r="AT23" s="149">
        <v>169.15</v>
      </c>
      <c r="AU23" s="149">
        <v>2.77</v>
      </c>
      <c r="AV23" s="149"/>
      <c r="AW23" s="149"/>
      <c r="AX23" s="158">
        <f t="shared" si="6"/>
        <v>0</v>
      </c>
      <c r="AY23" s="125">
        <f t="shared" si="7"/>
        <v>129.58000000000001</v>
      </c>
      <c r="AZ23" s="125">
        <f t="shared" si="27"/>
        <v>123.2039876618467</v>
      </c>
      <c r="BA23" s="159">
        <f t="shared" si="8"/>
        <v>5.4194366197183097</v>
      </c>
      <c r="BB23" s="160">
        <f t="shared" si="9"/>
        <v>5.1832000000000003</v>
      </c>
      <c r="BC23" s="161">
        <f t="shared" si="10"/>
        <v>0.93076337278129784</v>
      </c>
      <c r="BD23" s="160">
        <f t="shared" si="28"/>
        <v>10.602636619718311</v>
      </c>
      <c r="BE23" s="162">
        <v>0.86</v>
      </c>
      <c r="BF23" s="25">
        <f t="shared" si="29"/>
        <v>1805.21</v>
      </c>
      <c r="BG23" s="25">
        <f t="shared" si="11"/>
        <v>125.80645161290323</v>
      </c>
      <c r="BH23" s="25">
        <f t="shared" si="30"/>
        <v>2138.7096774193542</v>
      </c>
      <c r="BI23" s="26">
        <f t="shared" si="12"/>
        <v>1</v>
      </c>
      <c r="BJ23" s="37">
        <f t="shared" si="31"/>
        <v>2138.7096774193542</v>
      </c>
      <c r="BK23" s="28">
        <f t="shared" si="32"/>
        <v>139.43</v>
      </c>
      <c r="BL23" s="31">
        <v>73.510999999999996</v>
      </c>
      <c r="BM23" s="31"/>
      <c r="BN23" s="234">
        <v>52.493000000000002</v>
      </c>
      <c r="BO23" s="42"/>
      <c r="BP23" s="40"/>
      <c r="BQ23" s="411">
        <v>5.2169999999999996</v>
      </c>
      <c r="BR23" s="33">
        <v>1.2</v>
      </c>
      <c r="BS23" s="34">
        <v>0.52</v>
      </c>
      <c r="BT23" s="35"/>
      <c r="BU23" s="35"/>
      <c r="BV23" s="235"/>
      <c r="BW23" s="235"/>
      <c r="BX23" s="36"/>
      <c r="BY23" s="33">
        <v>38.99</v>
      </c>
      <c r="BZ23" s="34">
        <v>38.090000000000003</v>
      </c>
      <c r="CA23" s="35"/>
      <c r="CB23" s="405">
        <v>43.07</v>
      </c>
      <c r="CC23" s="404"/>
      <c r="CD23" s="235"/>
      <c r="CE23" s="413">
        <v>43.6</v>
      </c>
      <c r="CF23" s="28">
        <f t="shared" si="33"/>
        <v>99.218000000000004</v>
      </c>
      <c r="CG23" s="30">
        <v>78.641999999999996</v>
      </c>
      <c r="CH23" s="31"/>
      <c r="CI23" s="32"/>
      <c r="CJ23" s="33">
        <v>3.62</v>
      </c>
      <c r="CK23" s="33">
        <v>3.62</v>
      </c>
      <c r="CL23" s="35"/>
      <c r="CM23" s="36"/>
      <c r="CN23" s="286"/>
      <c r="CO23" s="249">
        <f t="shared" ref="CO23:CU37" si="38">BK23*((100-BR23)/100)</f>
        <v>137.75684000000001</v>
      </c>
      <c r="CP23" s="12">
        <f t="shared" si="38"/>
        <v>73.128742799999998</v>
      </c>
      <c r="CQ23" s="12">
        <f t="shared" si="38"/>
        <v>0</v>
      </c>
      <c r="CR23" s="12">
        <f t="shared" si="38"/>
        <v>52.493000000000002</v>
      </c>
      <c r="CS23" s="11">
        <f t="shared" si="38"/>
        <v>0</v>
      </c>
      <c r="CT23" s="11">
        <f t="shared" si="38"/>
        <v>0</v>
      </c>
      <c r="CU23" s="272">
        <f t="shared" si="38"/>
        <v>5.2169999999999996</v>
      </c>
      <c r="CV23" s="249">
        <f t="shared" si="14"/>
        <v>95.626308399999999</v>
      </c>
      <c r="CW23" s="11">
        <f t="shared" si="14"/>
        <v>75.795159599999991</v>
      </c>
      <c r="CX23" s="249">
        <f t="shared" si="14"/>
        <v>0</v>
      </c>
      <c r="CY23" s="272">
        <f t="shared" si="14"/>
        <v>0</v>
      </c>
      <c r="CZ23" s="13"/>
      <c r="DA23" s="240">
        <f>(D23+'[2]октябрь 20 '!D23)/(AY23+'[2]октябрь 20 '!BA23)</f>
        <v>2.0945335741157924</v>
      </c>
      <c r="DB23" s="241">
        <f>(T23+'[2]октябрь 20 '!T23)/(AY23+'[2]октябрь 20 '!BA23)</f>
        <v>1.2912914081417264</v>
      </c>
      <c r="DD23" s="292">
        <f t="shared" si="15"/>
        <v>10.48</v>
      </c>
      <c r="DE23" s="291">
        <v>0.48</v>
      </c>
      <c r="DF23" s="291">
        <v>12.21</v>
      </c>
      <c r="DG23" s="145">
        <f t="shared" si="16"/>
        <v>10.429696</v>
      </c>
      <c r="DH23" s="293">
        <f t="shared" si="34"/>
        <v>1.6657500086330936</v>
      </c>
      <c r="DJ23" s="38">
        <v>131.43</v>
      </c>
      <c r="DK23" s="460">
        <f t="shared" si="35"/>
        <v>139.43</v>
      </c>
      <c r="DL23" s="30">
        <v>85.218000000000004</v>
      </c>
      <c r="DM23" s="460">
        <f t="shared" si="36"/>
        <v>99.218000000000004</v>
      </c>
    </row>
    <row r="24" spans="1:117" s="76" customFormat="1" ht="16.5" customHeight="1" thickBot="1">
      <c r="A24" s="144">
        <v>18</v>
      </c>
      <c r="B24" s="122">
        <f t="shared" si="17"/>
        <v>285.44299999999998</v>
      </c>
      <c r="C24" s="123">
        <f t="shared" si="18"/>
        <v>0.49272558794575455</v>
      </c>
      <c r="D24" s="145">
        <f t="shared" si="19"/>
        <v>284.03654929999999</v>
      </c>
      <c r="E24" s="125">
        <f t="shared" si="20"/>
        <v>39.412481300995296</v>
      </c>
      <c r="F24" s="146">
        <f t="shared" si="0"/>
        <v>2.2225082104851328</v>
      </c>
      <c r="G24" s="127">
        <v>17.89</v>
      </c>
      <c r="H24" s="126">
        <f t="shared" si="21"/>
        <v>1.7456224514866983</v>
      </c>
      <c r="I24" s="230">
        <f>'[1]июль 20'!AI23</f>
        <v>0</v>
      </c>
      <c r="J24" s="439">
        <f>'[1]октябрь 20'!AA23</f>
        <v>11.198</v>
      </c>
      <c r="K24" s="464">
        <f>'[1]сентябрь 20'!AM23</f>
        <v>0</v>
      </c>
      <c r="L24" s="441">
        <f>'[1]октябрь 20'!AE23</f>
        <v>60.945999999999998</v>
      </c>
      <c r="M24" s="468">
        <f t="shared" si="22"/>
        <v>0.47688575899843505</v>
      </c>
      <c r="N24" s="403">
        <f>'[1]октябрь 20'!W23</f>
        <v>0</v>
      </c>
      <c r="O24" s="403">
        <f>'[1]октябрь 20'!AU23</f>
        <v>6.6820000000000004</v>
      </c>
      <c r="P24" s="401">
        <f t="shared" si="1"/>
        <v>188.03800000000001</v>
      </c>
      <c r="Q24" s="122">
        <f t="shared" si="23"/>
        <v>188.03800000000001</v>
      </c>
      <c r="R24" s="123">
        <f t="shared" si="24"/>
        <v>3.33</v>
      </c>
      <c r="S24" s="129">
        <v>14.05</v>
      </c>
      <c r="T24" s="125">
        <f t="shared" si="2"/>
        <v>181.77633460000001</v>
      </c>
      <c r="U24" s="147">
        <f t="shared" si="3"/>
        <v>1.4223500359937404</v>
      </c>
      <c r="V24" s="130">
        <v>127.8</v>
      </c>
      <c r="W24" s="130">
        <v>74.92</v>
      </c>
      <c r="X24" s="129">
        <v>0.92</v>
      </c>
      <c r="Y24" s="150">
        <v>535</v>
      </c>
      <c r="Z24" s="150">
        <v>1171</v>
      </c>
      <c r="AA24" s="148" t="s">
        <v>150</v>
      </c>
      <c r="AB24" s="149">
        <v>76.33</v>
      </c>
      <c r="AC24" s="150">
        <v>111</v>
      </c>
      <c r="AD24" s="151">
        <v>5</v>
      </c>
      <c r="AE24" s="149"/>
      <c r="AF24" s="134">
        <f t="shared" si="4"/>
        <v>0</v>
      </c>
      <c r="AG24" s="152"/>
      <c r="AH24" s="129">
        <v>75.900000000000006</v>
      </c>
      <c r="AI24" s="134">
        <f t="shared" si="5"/>
        <v>593.89671361502349</v>
      </c>
      <c r="AJ24" s="153">
        <v>16.059999999999999</v>
      </c>
      <c r="AK24" s="154"/>
      <c r="AL24" s="155">
        <v>8.07</v>
      </c>
      <c r="AM24" s="478">
        <f t="shared" si="37"/>
        <v>33.330000000000005</v>
      </c>
      <c r="AN24" s="126">
        <f t="shared" si="26"/>
        <v>0.20000000000000004</v>
      </c>
      <c r="AO24" s="157" t="s">
        <v>425</v>
      </c>
      <c r="AP24" s="156">
        <v>6.91</v>
      </c>
      <c r="AQ24" s="156">
        <v>8.1300000000000008</v>
      </c>
      <c r="AR24" s="151"/>
      <c r="AS24" s="149">
        <v>7.01</v>
      </c>
      <c r="AT24" s="149">
        <v>166.65</v>
      </c>
      <c r="AU24" s="149">
        <v>2.5499999999999998</v>
      </c>
      <c r="AV24" s="164"/>
      <c r="AW24" s="149"/>
      <c r="AX24" s="158">
        <f t="shared" si="6"/>
        <v>0</v>
      </c>
      <c r="AY24" s="125">
        <f t="shared" si="7"/>
        <v>127.8</v>
      </c>
      <c r="AZ24" s="125">
        <f t="shared" si="27"/>
        <v>129.65510453743775</v>
      </c>
      <c r="BA24" s="159">
        <f t="shared" si="8"/>
        <v>4.1215838028169003</v>
      </c>
      <c r="BB24" s="160">
        <f t="shared" si="9"/>
        <v>5.1120000000000001</v>
      </c>
      <c r="BC24" s="161">
        <f t="shared" si="10"/>
        <v>0.87140111367255724</v>
      </c>
      <c r="BD24" s="160">
        <f t="shared" si="28"/>
        <v>9.2335838028169004</v>
      </c>
      <c r="BE24" s="162">
        <v>0.86</v>
      </c>
      <c r="BF24" s="25">
        <f t="shared" si="29"/>
        <v>1933.01</v>
      </c>
      <c r="BG24" s="25">
        <f t="shared" si="11"/>
        <v>125.80645161290323</v>
      </c>
      <c r="BH24" s="25">
        <f t="shared" si="30"/>
        <v>2264.5161290322576</v>
      </c>
      <c r="BI24" s="26">
        <f t="shared" si="12"/>
        <v>1</v>
      </c>
      <c r="BJ24" s="37">
        <f t="shared" si="31"/>
        <v>2264.5161290322576</v>
      </c>
      <c r="BK24" s="28">
        <f t="shared" si="32"/>
        <v>146.74600000000001</v>
      </c>
      <c r="BL24" s="31">
        <v>77.751000000000005</v>
      </c>
      <c r="BM24" s="31"/>
      <c r="BN24" s="234">
        <v>55.418999999999997</v>
      </c>
      <c r="BO24" s="42"/>
      <c r="BP24" s="40"/>
      <c r="BQ24" s="411">
        <v>5.5270000000000001</v>
      </c>
      <c r="BR24" s="33">
        <v>0.72</v>
      </c>
      <c r="BS24" s="34">
        <v>0.45</v>
      </c>
      <c r="BT24" s="35"/>
      <c r="BU24" s="35"/>
      <c r="BV24" s="235"/>
      <c r="BW24" s="235"/>
      <c r="BX24" s="36"/>
      <c r="BY24" s="33">
        <v>38.92</v>
      </c>
      <c r="BZ24" s="34">
        <v>37.49</v>
      </c>
      <c r="CA24" s="35"/>
      <c r="CB24" s="405">
        <v>43.03</v>
      </c>
      <c r="CC24" s="404"/>
      <c r="CD24" s="235"/>
      <c r="CE24" s="413">
        <v>43.26</v>
      </c>
      <c r="CF24" s="28">
        <f t="shared" si="33"/>
        <v>104.776</v>
      </c>
      <c r="CG24" s="30">
        <v>83.262</v>
      </c>
      <c r="CH24" s="31"/>
      <c r="CI24" s="32"/>
      <c r="CJ24" s="33">
        <v>3.33</v>
      </c>
      <c r="CK24" s="33">
        <v>3.33</v>
      </c>
      <c r="CL24" s="35"/>
      <c r="CM24" s="36"/>
      <c r="CN24" s="286"/>
      <c r="CO24" s="249">
        <f t="shared" si="38"/>
        <v>145.6894288</v>
      </c>
      <c r="CP24" s="12">
        <f t="shared" si="38"/>
        <v>77.401120500000005</v>
      </c>
      <c r="CQ24" s="12">
        <f t="shared" si="38"/>
        <v>0</v>
      </c>
      <c r="CR24" s="12">
        <f t="shared" si="38"/>
        <v>55.418999999999997</v>
      </c>
      <c r="CS24" s="11">
        <f t="shared" si="38"/>
        <v>0</v>
      </c>
      <c r="CT24" s="11">
        <f t="shared" si="38"/>
        <v>0</v>
      </c>
      <c r="CU24" s="272">
        <f t="shared" si="38"/>
        <v>5.5270000000000001</v>
      </c>
      <c r="CV24" s="249">
        <f t="shared" si="14"/>
        <v>101.2869592</v>
      </c>
      <c r="CW24" s="12">
        <f t="shared" si="14"/>
        <v>80.4893754</v>
      </c>
      <c r="CX24" s="249">
        <f t="shared" si="14"/>
        <v>0</v>
      </c>
      <c r="CY24" s="272">
        <f t="shared" si="14"/>
        <v>0</v>
      </c>
      <c r="CZ24" s="13"/>
      <c r="DA24" s="240">
        <f>(D24+'[2]октябрь 20 '!D24)/(AY24+'[2]октябрь 20 '!BA24)</f>
        <v>2.1013109699621242</v>
      </c>
      <c r="DB24" s="241">
        <f>(T24+'[2]октябрь 20 '!T24)/(AY24+'[2]октябрь 20 '!BA24)</f>
        <v>1.2950695052165091</v>
      </c>
      <c r="DD24" s="292">
        <f t="shared" si="15"/>
        <v>11.198</v>
      </c>
      <c r="DE24" s="291">
        <v>0.12</v>
      </c>
      <c r="DF24" s="291">
        <v>11.06</v>
      </c>
      <c r="DG24" s="145">
        <f t="shared" si="16"/>
        <v>11.184562399999999</v>
      </c>
      <c r="DH24" s="293">
        <f t="shared" si="34"/>
        <v>1.6206112949561118</v>
      </c>
      <c r="DJ24" s="38">
        <v>138.74600000000001</v>
      </c>
      <c r="DK24" s="460">
        <f t="shared" si="35"/>
        <v>146.74600000000001</v>
      </c>
      <c r="DL24" s="30">
        <v>90.775999999999996</v>
      </c>
      <c r="DM24" s="460">
        <f t="shared" si="36"/>
        <v>104.776</v>
      </c>
    </row>
    <row r="25" spans="1:117" s="76" customFormat="1" ht="16.5" customHeight="1" thickBot="1">
      <c r="A25" s="144">
        <v>19</v>
      </c>
      <c r="B25" s="122">
        <f t="shared" si="17"/>
        <v>275.63799999999998</v>
      </c>
      <c r="C25" s="123">
        <f t="shared" si="18"/>
        <v>0.58520425340482807</v>
      </c>
      <c r="D25" s="145">
        <f t="shared" si="19"/>
        <v>274.02495469999997</v>
      </c>
      <c r="E25" s="125">
        <f t="shared" si="20"/>
        <v>39.523532749475763</v>
      </c>
      <c r="F25" s="146">
        <f t="shared" si="0"/>
        <v>2.1925504456713072</v>
      </c>
      <c r="G25" s="127">
        <v>11.47</v>
      </c>
      <c r="H25" s="126">
        <f t="shared" si="21"/>
        <v>1.7213390518482956</v>
      </c>
      <c r="I25" s="230">
        <f>'[1]июль 20'!AI24</f>
        <v>0</v>
      </c>
      <c r="J25" s="439">
        <f>'[1]октябрь 20'!AA24</f>
        <v>10.523</v>
      </c>
      <c r="K25" s="465">
        <f>'[1]сентябрь 20'!AM24</f>
        <v>0</v>
      </c>
      <c r="L25" s="441">
        <f>'[1]октябрь 20'!AE24</f>
        <v>58.892000000000003</v>
      </c>
      <c r="M25" s="469">
        <f t="shared" si="22"/>
        <v>0.47121139382301175</v>
      </c>
      <c r="N25" s="403">
        <f>'[1]октябрь 20'!W24</f>
        <v>0</v>
      </c>
      <c r="O25" s="403">
        <f>'[1]октябрь 20'!AU24</f>
        <v>7.4669999999999996</v>
      </c>
      <c r="P25" s="401">
        <f t="shared" si="1"/>
        <v>181.43599999999998</v>
      </c>
      <c r="Q25" s="122">
        <f t="shared" si="23"/>
        <v>181.43599999999998</v>
      </c>
      <c r="R25" s="123">
        <f>IF(Q25=0,0,(CI25*CM25+CG25*CK25+CH25*CL25+CF25*CJ25)/Q25)</f>
        <v>3.37</v>
      </c>
      <c r="S25" s="501">
        <v>7.44</v>
      </c>
      <c r="T25" s="125">
        <f t="shared" si="2"/>
        <v>175.32160679999996</v>
      </c>
      <c r="U25" s="147">
        <f t="shared" si="3"/>
        <v>1.4027973019683146</v>
      </c>
      <c r="V25" s="130">
        <v>124.98</v>
      </c>
      <c r="W25" s="130">
        <v>101.29</v>
      </c>
      <c r="X25" s="129">
        <v>0.88</v>
      </c>
      <c r="Y25" s="150">
        <v>567</v>
      </c>
      <c r="Z25" s="150">
        <v>1180</v>
      </c>
      <c r="AA25" s="148" t="s">
        <v>427</v>
      </c>
      <c r="AB25" s="149">
        <v>76.27</v>
      </c>
      <c r="AC25" s="150">
        <v>107</v>
      </c>
      <c r="AD25" s="151">
        <v>5</v>
      </c>
      <c r="AE25" s="149">
        <v>5.4</v>
      </c>
      <c r="AF25" s="134">
        <f t="shared" si="4"/>
        <v>43.206913106096984</v>
      </c>
      <c r="AG25" s="152"/>
      <c r="AH25" s="129">
        <v>83.65</v>
      </c>
      <c r="AI25" s="134">
        <f t="shared" si="5"/>
        <v>669.30708913426167</v>
      </c>
      <c r="AJ25" s="136">
        <v>17.739999999999998</v>
      </c>
      <c r="AK25" s="154"/>
      <c r="AL25" s="155">
        <v>7.61</v>
      </c>
      <c r="AM25" s="478">
        <f t="shared" si="37"/>
        <v>32.68</v>
      </c>
      <c r="AN25" s="126">
        <f t="shared" si="26"/>
        <v>0.19999999999999998</v>
      </c>
      <c r="AO25" s="157" t="s">
        <v>426</v>
      </c>
      <c r="AP25" s="156">
        <v>6.73</v>
      </c>
      <c r="AQ25" s="156">
        <v>8.0500000000000007</v>
      </c>
      <c r="AR25" s="152"/>
      <c r="AS25" s="149">
        <v>8.59</v>
      </c>
      <c r="AT25" s="149">
        <v>163.4</v>
      </c>
      <c r="AU25" s="149">
        <v>1.87</v>
      </c>
      <c r="AV25" s="164"/>
      <c r="AW25" s="149"/>
      <c r="AX25" s="158">
        <f t="shared" si="6"/>
        <v>0</v>
      </c>
      <c r="AY25" s="125">
        <f t="shared" si="7"/>
        <v>124.97999999999999</v>
      </c>
      <c r="AZ25" s="125">
        <f t="shared" si="27"/>
        <v>125.71609518952617</v>
      </c>
      <c r="BA25" s="159">
        <f t="shared" si="8"/>
        <v>5.5662595070422531</v>
      </c>
      <c r="BB25" s="160">
        <f t="shared" si="9"/>
        <v>4.9992000000000001</v>
      </c>
      <c r="BC25" s="161">
        <f t="shared" si="10"/>
        <v>0.88013318406777596</v>
      </c>
      <c r="BD25" s="160">
        <f t="shared" si="28"/>
        <v>10.565459507042252</v>
      </c>
      <c r="BE25" s="162">
        <v>0.86199999999999999</v>
      </c>
      <c r="BF25" s="25">
        <f t="shared" si="29"/>
        <v>2057.9899999999998</v>
      </c>
      <c r="BG25" s="25">
        <f t="shared" si="11"/>
        <v>125.80645161290323</v>
      </c>
      <c r="BH25" s="25">
        <f t="shared" si="30"/>
        <v>2390.322580645161</v>
      </c>
      <c r="BI25" s="26">
        <f t="shared" si="12"/>
        <v>1</v>
      </c>
      <c r="BJ25" s="37">
        <f t="shared" si="31"/>
        <v>2390.322580645161</v>
      </c>
      <c r="BK25" s="28">
        <f t="shared" si="32"/>
        <v>141.78299999999999</v>
      </c>
      <c r="BL25" s="31">
        <v>74.962999999999994</v>
      </c>
      <c r="BM25" s="31"/>
      <c r="BN25" s="234">
        <v>53.581000000000003</v>
      </c>
      <c r="BO25" s="42"/>
      <c r="BP25" s="40"/>
      <c r="BQ25" s="411">
        <v>5.3109999999999999</v>
      </c>
      <c r="BR25" s="33">
        <v>0.72</v>
      </c>
      <c r="BS25" s="34">
        <v>0.79</v>
      </c>
      <c r="BT25" s="35"/>
      <c r="BU25" s="35"/>
      <c r="BV25" s="235"/>
      <c r="BW25" s="235"/>
      <c r="BX25" s="36"/>
      <c r="BY25" s="33">
        <v>38.729999999999997</v>
      </c>
      <c r="BZ25" s="34">
        <v>38.090000000000003</v>
      </c>
      <c r="CA25" s="35"/>
      <c r="CB25" s="405">
        <v>43.21</v>
      </c>
      <c r="CC25" s="404"/>
      <c r="CD25" s="235"/>
      <c r="CE25" s="413">
        <v>43.75</v>
      </c>
      <c r="CF25" s="28">
        <f t="shared" si="33"/>
        <v>101.214</v>
      </c>
      <c r="CG25" s="30">
        <v>80.221999999999994</v>
      </c>
      <c r="CH25" s="31"/>
      <c r="CI25" s="32"/>
      <c r="CJ25" s="33">
        <v>3.37</v>
      </c>
      <c r="CK25" s="33">
        <v>3.37</v>
      </c>
      <c r="CL25" s="35"/>
      <c r="CM25" s="36"/>
      <c r="CN25" s="286"/>
      <c r="CO25" s="249">
        <f t="shared" si="38"/>
        <v>140.76216239999999</v>
      </c>
      <c r="CP25" s="12">
        <f t="shared" si="38"/>
        <v>74.370792299999991</v>
      </c>
      <c r="CQ25" s="12">
        <f t="shared" si="38"/>
        <v>0</v>
      </c>
      <c r="CR25" s="12">
        <f t="shared" si="38"/>
        <v>53.581000000000003</v>
      </c>
      <c r="CS25" s="11">
        <f t="shared" si="38"/>
        <v>0</v>
      </c>
      <c r="CT25" s="11">
        <f t="shared" si="38"/>
        <v>0</v>
      </c>
      <c r="CU25" s="272">
        <f t="shared" si="38"/>
        <v>5.3109999999999999</v>
      </c>
      <c r="CV25" s="249">
        <f t="shared" si="14"/>
        <v>97.803088199999991</v>
      </c>
      <c r="CW25" s="251">
        <f t="shared" si="14"/>
        <v>77.518518599999993</v>
      </c>
      <c r="CX25" s="249">
        <f t="shared" si="14"/>
        <v>0</v>
      </c>
      <c r="CY25" s="272">
        <f t="shared" si="14"/>
        <v>0</v>
      </c>
      <c r="CZ25" s="13"/>
      <c r="DA25" s="240">
        <f>(D25+'[2]октябрь 20 '!D25)/(AY25+'[2]октябрь 20 '!BA25)</f>
        <v>2.1453553042480236</v>
      </c>
      <c r="DB25" s="241">
        <f>(T25+'[2]октябрь 20 '!T25)/(AY25+'[2]октябрь 20 '!BA25)</f>
        <v>1.3207490693976136</v>
      </c>
      <c r="DD25" s="292">
        <f t="shared" si="15"/>
        <v>10.523</v>
      </c>
      <c r="DE25" s="291">
        <v>0.34</v>
      </c>
      <c r="DF25" s="291">
        <v>12.72</v>
      </c>
      <c r="DG25" s="145">
        <f t="shared" si="16"/>
        <v>10.487221799999999</v>
      </c>
      <c r="DH25" s="293">
        <f t="shared" si="34"/>
        <v>1.7490161439097942</v>
      </c>
      <c r="DJ25" s="38">
        <v>133.78299999999999</v>
      </c>
      <c r="DK25" s="460">
        <f t="shared" si="35"/>
        <v>141.78299999999999</v>
      </c>
      <c r="DL25" s="30">
        <v>87.213999999999999</v>
      </c>
      <c r="DM25" s="460">
        <f t="shared" si="36"/>
        <v>101.214</v>
      </c>
    </row>
    <row r="26" spans="1:117" s="76" customFormat="1" ht="16.5" customHeight="1" thickBot="1">
      <c r="A26" s="144">
        <v>20</v>
      </c>
      <c r="B26" s="122">
        <f t="shared" si="17"/>
        <v>280.75399999999996</v>
      </c>
      <c r="C26" s="123">
        <f t="shared" si="18"/>
        <v>1.6190525513438814</v>
      </c>
      <c r="D26" s="145">
        <f t="shared" si="19"/>
        <v>276.20844519999997</v>
      </c>
      <c r="E26" s="125">
        <f t="shared" si="20"/>
        <v>39.299488840764518</v>
      </c>
      <c r="F26" s="146">
        <f t="shared" si="0"/>
        <v>2.6944536650082913</v>
      </c>
      <c r="G26" s="127">
        <v>11.55</v>
      </c>
      <c r="H26" s="126">
        <f t="shared" si="21"/>
        <v>2.1082084206418883</v>
      </c>
      <c r="I26" s="230">
        <f>'[1]июль 20'!AI25</f>
        <v>0</v>
      </c>
      <c r="J26" s="439">
        <f>'[1]октябрь 20'!AA25</f>
        <v>10.984</v>
      </c>
      <c r="K26" s="464">
        <f>'[1]сентябрь 20'!AM25</f>
        <v>0</v>
      </c>
      <c r="L26" s="441">
        <f>'[1]октябрь 20'!AE25</f>
        <v>60.095999999999997</v>
      </c>
      <c r="M26" s="468">
        <f t="shared" si="22"/>
        <v>0.58624524436640324</v>
      </c>
      <c r="N26" s="403">
        <f>'[1]октябрь 20'!W25</f>
        <v>0</v>
      </c>
      <c r="O26" s="403">
        <f>'[1]октябрь 20'!AU25</f>
        <v>6.9880000000000004</v>
      </c>
      <c r="P26" s="401">
        <f t="shared" si="1"/>
        <v>184.256</v>
      </c>
      <c r="Q26" s="122">
        <f t="shared" si="23"/>
        <v>184.256</v>
      </c>
      <c r="R26" s="123">
        <f t="shared" si="24"/>
        <v>3.47</v>
      </c>
      <c r="S26" s="501">
        <v>1.08</v>
      </c>
      <c r="T26" s="125">
        <f t="shared" si="2"/>
        <v>177.8623168</v>
      </c>
      <c r="U26" s="147">
        <f t="shared" si="3"/>
        <v>1.7350728397229538</v>
      </c>
      <c r="V26" s="169">
        <v>102.51</v>
      </c>
      <c r="W26" s="169">
        <v>102.51</v>
      </c>
      <c r="X26" s="170">
        <v>0.75</v>
      </c>
      <c r="Y26" s="166">
        <v>553</v>
      </c>
      <c r="Z26" s="166">
        <v>1177</v>
      </c>
      <c r="AA26" s="148" t="s">
        <v>171</v>
      </c>
      <c r="AB26" s="164">
        <v>76.55</v>
      </c>
      <c r="AC26" s="166">
        <v>109</v>
      </c>
      <c r="AD26" s="171">
        <v>5</v>
      </c>
      <c r="AE26" s="164"/>
      <c r="AF26" s="172">
        <f t="shared" si="4"/>
        <v>0</v>
      </c>
      <c r="AG26" s="173"/>
      <c r="AH26" s="170">
        <v>75.25</v>
      </c>
      <c r="AI26" s="134">
        <f t="shared" si="5"/>
        <v>734.07472441712991</v>
      </c>
      <c r="AJ26" s="174">
        <v>16.71</v>
      </c>
      <c r="AK26" s="175"/>
      <c r="AL26" s="176">
        <v>6.62</v>
      </c>
      <c r="AM26" s="478">
        <v>50.42</v>
      </c>
      <c r="AN26" s="126">
        <f t="shared" si="26"/>
        <v>0.32033036848792884</v>
      </c>
      <c r="AO26" s="178" t="s">
        <v>370</v>
      </c>
      <c r="AP26" s="177">
        <v>7.19</v>
      </c>
      <c r="AQ26" s="177">
        <v>8.43</v>
      </c>
      <c r="AR26" s="171"/>
      <c r="AS26" s="164">
        <v>6.59</v>
      </c>
      <c r="AT26" s="149">
        <v>157.4</v>
      </c>
      <c r="AU26" s="164">
        <v>2.15</v>
      </c>
      <c r="AV26" s="164"/>
      <c r="AW26" s="164"/>
      <c r="AX26" s="179">
        <f t="shared" si="6"/>
        <v>0</v>
      </c>
      <c r="AY26" s="125">
        <f t="shared" si="7"/>
        <v>102.51</v>
      </c>
      <c r="AZ26" s="125">
        <f t="shared" si="27"/>
        <v>125.25179263181975</v>
      </c>
      <c r="BA26" s="159">
        <f t="shared" si="8"/>
        <v>3.841459507042253</v>
      </c>
      <c r="BB26" s="159">
        <f t="shared" si="9"/>
        <v>4.1004000000000005</v>
      </c>
      <c r="BC26" s="180">
        <f t="shared" si="10"/>
        <v>0.72291556187598038</v>
      </c>
      <c r="BD26" s="159">
        <f t="shared" si="28"/>
        <v>7.9418595070422535</v>
      </c>
      <c r="BE26" s="167">
        <v>0.85399999999999998</v>
      </c>
      <c r="BF26" s="25">
        <f t="shared" si="29"/>
        <v>2160.5</v>
      </c>
      <c r="BG26" s="25">
        <f t="shared" si="11"/>
        <v>125.80645161290323</v>
      </c>
      <c r="BH26" s="25">
        <f t="shared" si="30"/>
        <v>2516.1290322580644</v>
      </c>
      <c r="BI26" s="26">
        <f t="shared" si="12"/>
        <v>1</v>
      </c>
      <c r="BJ26" s="37">
        <f t="shared" si="31"/>
        <v>2516.1290322580644</v>
      </c>
      <c r="BK26" s="28">
        <f t="shared" si="32"/>
        <v>220.65799999999999</v>
      </c>
      <c r="BL26" s="43"/>
      <c r="BM26" s="31"/>
      <c r="BN26" s="406">
        <v>54.606999999999999</v>
      </c>
      <c r="BO26" s="42"/>
      <c r="BP26" s="40"/>
      <c r="BQ26" s="412">
        <v>5.4889999999999999</v>
      </c>
      <c r="BR26" s="33">
        <v>2.06</v>
      </c>
      <c r="BS26" s="34"/>
      <c r="BT26" s="35"/>
      <c r="BU26" s="35"/>
      <c r="BV26" s="235"/>
      <c r="BW26" s="235"/>
      <c r="BX26" s="36"/>
      <c r="BY26" s="33">
        <v>38.229999999999997</v>
      </c>
      <c r="BZ26" s="34"/>
      <c r="CA26" s="35"/>
      <c r="CB26" s="405">
        <v>43.22</v>
      </c>
      <c r="CC26" s="404"/>
      <c r="CD26" s="235"/>
      <c r="CE26" s="413">
        <v>43.29</v>
      </c>
      <c r="CF26" s="28">
        <f t="shared" si="33"/>
        <v>97.131</v>
      </c>
      <c r="CG26" s="30">
        <v>87.125</v>
      </c>
      <c r="CH26" s="43"/>
      <c r="CI26" s="32"/>
      <c r="CJ26" s="33">
        <v>3.47</v>
      </c>
      <c r="CK26" s="33">
        <v>3.47</v>
      </c>
      <c r="CL26" s="35"/>
      <c r="CM26" s="36"/>
      <c r="CN26" s="286"/>
      <c r="CO26" s="249">
        <f t="shared" si="38"/>
        <v>216.11244519999997</v>
      </c>
      <c r="CP26" s="12">
        <f t="shared" si="38"/>
        <v>0</v>
      </c>
      <c r="CQ26" s="12">
        <f t="shared" si="38"/>
        <v>0</v>
      </c>
      <c r="CR26" s="12">
        <f t="shared" si="38"/>
        <v>54.606999999999999</v>
      </c>
      <c r="CS26" s="11">
        <f t="shared" si="38"/>
        <v>0</v>
      </c>
      <c r="CT26" s="11">
        <f t="shared" si="38"/>
        <v>0</v>
      </c>
      <c r="CU26" s="272">
        <f t="shared" si="38"/>
        <v>5.4889999999999999</v>
      </c>
      <c r="CV26" s="249">
        <f t="shared" si="14"/>
        <v>93.76055430000001</v>
      </c>
      <c r="CW26" s="12">
        <f t="shared" si="14"/>
        <v>84.101762500000007</v>
      </c>
      <c r="CX26" s="249">
        <f t="shared" si="14"/>
        <v>0</v>
      </c>
      <c r="CY26" s="274">
        <f t="shared" si="14"/>
        <v>0</v>
      </c>
      <c r="CZ26" s="13"/>
      <c r="DA26" s="240">
        <f>(D26+'[2]октябрь 20 '!D26)/(AY26+'[2]октябрь 20 '!BA26)</f>
        <v>2.6699879610451958</v>
      </c>
      <c r="DB26" s="241">
        <f>(T26+'[2]октябрь 20 '!T26)/(AY26+'[2]октябрь 20 '!BA26)</f>
        <v>1.6574388478156505</v>
      </c>
      <c r="DD26" s="292">
        <f t="shared" si="15"/>
        <v>10.984</v>
      </c>
      <c r="DE26" s="291">
        <v>1.52</v>
      </c>
      <c r="DF26" s="291">
        <v>10.33</v>
      </c>
      <c r="DG26" s="145">
        <f t="shared" si="16"/>
        <v>10.817043200000001</v>
      </c>
      <c r="DH26" s="293">
        <f t="shared" si="34"/>
        <v>1.4597002776747225</v>
      </c>
      <c r="DJ26" s="38">
        <v>212.65799999999999</v>
      </c>
      <c r="DK26" s="460">
        <f t="shared" si="35"/>
        <v>220.65799999999999</v>
      </c>
      <c r="DL26" s="30">
        <v>83.131</v>
      </c>
      <c r="DM26" s="460">
        <f t="shared" si="36"/>
        <v>97.131</v>
      </c>
    </row>
    <row r="27" spans="1:117" s="76" customFormat="1" ht="16.5" customHeight="1" thickBot="1">
      <c r="A27" s="144">
        <v>21</v>
      </c>
      <c r="B27" s="122">
        <f t="shared" si="17"/>
        <v>270.59100000000001</v>
      </c>
      <c r="C27" s="123">
        <f t="shared" si="18"/>
        <v>0.90043404991296816</v>
      </c>
      <c r="D27" s="145">
        <f t="shared" si="19"/>
        <v>268.15450649999997</v>
      </c>
      <c r="E27" s="125">
        <f t="shared" si="20"/>
        <v>39.630626037081797</v>
      </c>
      <c r="F27" s="146">
        <f t="shared" si="0"/>
        <v>2.0356373377362784</v>
      </c>
      <c r="G27" s="127">
        <v>15.74</v>
      </c>
      <c r="H27" s="126">
        <f t="shared" si="21"/>
        <v>1.5898618879526301</v>
      </c>
      <c r="I27" s="230">
        <f>'[1]июль 20'!AI26</f>
        <v>0</v>
      </c>
      <c r="J27" s="439">
        <f>'[1]октябрь 20'!AA26</f>
        <v>10.436</v>
      </c>
      <c r="K27" s="464">
        <f>'[1]сентябрь 20'!AM26</f>
        <v>0</v>
      </c>
      <c r="L27" s="441">
        <f>'[1]октябрь 20'!AE26</f>
        <v>58.722000000000001</v>
      </c>
      <c r="M27" s="469">
        <f t="shared" si="22"/>
        <v>0.4457754497836483</v>
      </c>
      <c r="N27" s="403">
        <f>'[1]октябрь 20'!W26</f>
        <v>0</v>
      </c>
      <c r="O27" s="403">
        <f>'[1]октябрь 20'!AU26</f>
        <v>5.851</v>
      </c>
      <c r="P27" s="401">
        <f t="shared" si="1"/>
        <v>177.24799999999999</v>
      </c>
      <c r="Q27" s="122">
        <f t="shared" si="23"/>
        <v>177.24799999999999</v>
      </c>
      <c r="R27" s="123">
        <f t="shared" si="24"/>
        <v>3.1000000000000005</v>
      </c>
      <c r="S27" s="501">
        <v>10</v>
      </c>
      <c r="T27" s="125">
        <f t="shared" si="2"/>
        <v>171.75331199999999</v>
      </c>
      <c r="U27" s="147">
        <f t="shared" si="3"/>
        <v>1.3038283762240945</v>
      </c>
      <c r="V27" s="130">
        <v>110.91</v>
      </c>
      <c r="W27" s="130">
        <v>102.66</v>
      </c>
      <c r="X27" s="129">
        <v>0.77</v>
      </c>
      <c r="Y27" s="150">
        <v>535</v>
      </c>
      <c r="Z27" s="150">
        <v>1173</v>
      </c>
      <c r="AA27" s="148" t="s">
        <v>145</v>
      </c>
      <c r="AB27" s="149">
        <v>75.900000000000006</v>
      </c>
      <c r="AC27" s="150">
        <v>105</v>
      </c>
      <c r="AD27" s="151">
        <v>5</v>
      </c>
      <c r="AE27" s="149"/>
      <c r="AF27" s="134">
        <f t="shared" si="4"/>
        <v>0</v>
      </c>
      <c r="AG27" s="152"/>
      <c r="AH27" s="129">
        <v>77.349999999999994</v>
      </c>
      <c r="AI27" s="134">
        <f t="shared" si="5"/>
        <v>587.18591057466017</v>
      </c>
      <c r="AJ27" s="136">
        <v>20.76</v>
      </c>
      <c r="AK27" s="154"/>
      <c r="AL27" s="155">
        <v>6.48</v>
      </c>
      <c r="AM27" s="478">
        <f t="shared" si="37"/>
        <v>34.07</v>
      </c>
      <c r="AN27" s="126">
        <f t="shared" si="26"/>
        <v>0.2</v>
      </c>
      <c r="AO27" s="157" t="s">
        <v>428</v>
      </c>
      <c r="AP27" s="156">
        <v>7.09</v>
      </c>
      <c r="AQ27" s="156">
        <v>8.91</v>
      </c>
      <c r="AR27" s="151"/>
      <c r="AS27" s="149">
        <v>7.3</v>
      </c>
      <c r="AT27" s="149">
        <v>170.35</v>
      </c>
      <c r="AU27" s="149">
        <v>1.93</v>
      </c>
      <c r="AV27" s="164"/>
      <c r="AW27" s="149"/>
      <c r="AX27" s="158">
        <f t="shared" si="6"/>
        <v>0</v>
      </c>
      <c r="AY27" s="125">
        <f t="shared" si="7"/>
        <v>131.73000000000002</v>
      </c>
      <c r="AZ27" s="125">
        <f t="shared" si="27"/>
        <v>123.73578617124815</v>
      </c>
      <c r="BA27" s="159">
        <f t="shared" si="8"/>
        <v>4.3740880281690133</v>
      </c>
      <c r="BB27" s="160">
        <f t="shared" si="9"/>
        <v>5.2692000000000005</v>
      </c>
      <c r="BC27" s="161">
        <f t="shared" si="10"/>
        <v>0.94082843533245153</v>
      </c>
      <c r="BD27" s="160">
        <f t="shared" si="28"/>
        <v>9.6432880281690139</v>
      </c>
      <c r="BE27" s="162">
        <v>0.85799999999999998</v>
      </c>
      <c r="BF27" s="25">
        <f t="shared" si="29"/>
        <v>2292.23</v>
      </c>
      <c r="BG27" s="25">
        <f t="shared" si="11"/>
        <v>125.80645161290323</v>
      </c>
      <c r="BH27" s="25">
        <f t="shared" si="30"/>
        <v>2641.9354838709678</v>
      </c>
      <c r="BI27" s="26">
        <f t="shared" si="12"/>
        <v>1</v>
      </c>
      <c r="BJ27" s="37">
        <f t="shared" si="31"/>
        <v>2641.9354838709678</v>
      </c>
      <c r="BK27" s="28">
        <f t="shared" si="32"/>
        <v>211.869</v>
      </c>
      <c r="BL27" s="31"/>
      <c r="BM27" s="31"/>
      <c r="BN27" s="234">
        <v>52.527999999999999</v>
      </c>
      <c r="BO27" s="42"/>
      <c r="BP27" s="40"/>
      <c r="BQ27" s="411">
        <v>6.194</v>
      </c>
      <c r="BR27" s="33">
        <v>1.1499999999999999</v>
      </c>
      <c r="BS27" s="34"/>
      <c r="BT27" s="35"/>
      <c r="BU27" s="35"/>
      <c r="BV27" s="235"/>
      <c r="BW27" s="235"/>
      <c r="BX27" s="36"/>
      <c r="BY27" s="33">
        <v>38.53</v>
      </c>
      <c r="BZ27" s="34"/>
      <c r="CA27" s="35"/>
      <c r="CB27" s="405">
        <v>43.55</v>
      </c>
      <c r="CC27" s="404"/>
      <c r="CD27" s="235"/>
      <c r="CE27" s="413">
        <v>44.04</v>
      </c>
      <c r="CF27" s="28">
        <f t="shared" si="33"/>
        <v>78.075000000000003</v>
      </c>
      <c r="CG27" s="30">
        <v>99.173000000000002</v>
      </c>
      <c r="CH27" s="31"/>
      <c r="CI27" s="32"/>
      <c r="CJ27" s="33">
        <v>3.1</v>
      </c>
      <c r="CK27" s="33">
        <v>3.1</v>
      </c>
      <c r="CL27" s="35"/>
      <c r="CM27" s="36"/>
      <c r="CN27" s="286"/>
      <c r="CO27" s="249">
        <f t="shared" si="38"/>
        <v>209.43250649999999</v>
      </c>
      <c r="CP27" s="12">
        <f t="shared" si="38"/>
        <v>0</v>
      </c>
      <c r="CQ27" s="12">
        <f t="shared" si="38"/>
        <v>0</v>
      </c>
      <c r="CR27" s="12">
        <f t="shared" si="38"/>
        <v>52.527999999999999</v>
      </c>
      <c r="CS27" s="11">
        <f t="shared" si="38"/>
        <v>0</v>
      </c>
      <c r="CT27" s="11">
        <f t="shared" si="38"/>
        <v>0</v>
      </c>
      <c r="CU27" s="272">
        <f t="shared" si="38"/>
        <v>6.194</v>
      </c>
      <c r="CV27" s="249">
        <f t="shared" si="14"/>
        <v>75.654675000000012</v>
      </c>
      <c r="CW27" s="11">
        <f t="shared" si="14"/>
        <v>96.098637000000011</v>
      </c>
      <c r="CX27" s="249">
        <f t="shared" si="14"/>
        <v>0</v>
      </c>
      <c r="CY27" s="272">
        <f t="shared" si="14"/>
        <v>0</v>
      </c>
      <c r="CZ27" s="13"/>
      <c r="DA27" s="240">
        <f>(D27+'[2]октябрь 20 '!D27)/(AY27+'[2]октябрь 20 '!BA27)</f>
        <v>2.0035659593332302</v>
      </c>
      <c r="DB27" s="241">
        <f>(T27+'[2]октябрь 20 '!T27)/(AY27+'[2]октябрь 20 '!BA27)</f>
        <v>1.238456003623094</v>
      </c>
      <c r="DD27" s="292">
        <f t="shared" si="15"/>
        <v>10.436</v>
      </c>
      <c r="DE27" s="291">
        <v>0.55000000000000004</v>
      </c>
      <c r="DF27" s="291">
        <v>10.99</v>
      </c>
      <c r="DG27" s="145">
        <f t="shared" si="16"/>
        <v>10.378602000000001</v>
      </c>
      <c r="DH27" s="293">
        <f t="shared" si="34"/>
        <v>1.5027778126482214</v>
      </c>
      <c r="DJ27" s="38">
        <v>203.869</v>
      </c>
      <c r="DK27" s="460">
        <f t="shared" si="35"/>
        <v>211.869</v>
      </c>
      <c r="DL27" s="30">
        <v>64.075000000000003</v>
      </c>
      <c r="DM27" s="460">
        <f t="shared" si="36"/>
        <v>78.075000000000003</v>
      </c>
    </row>
    <row r="28" spans="1:117" s="76" customFormat="1" ht="16.5" customHeight="1" thickBot="1">
      <c r="A28" s="144">
        <v>22</v>
      </c>
      <c r="B28" s="122">
        <f t="shared" si="17"/>
        <v>258.04399999999998</v>
      </c>
      <c r="C28" s="123">
        <f t="shared" si="18"/>
        <v>1.1280383190463641</v>
      </c>
      <c r="D28" s="145">
        <f t="shared" si="19"/>
        <v>255.13316479999997</v>
      </c>
      <c r="E28" s="125">
        <f t="shared" si="20"/>
        <v>39.59997775573158</v>
      </c>
      <c r="F28" s="146">
        <f t="shared" si="0"/>
        <v>2.0769551025724518</v>
      </c>
      <c r="G28" s="127">
        <v>11.59</v>
      </c>
      <c r="H28" s="126">
        <f t="shared" si="21"/>
        <v>1.5882869163139044</v>
      </c>
      <c r="I28" s="230">
        <f>'[1]июль 20'!AI27</f>
        <v>0</v>
      </c>
      <c r="J28" s="439">
        <f>'[1]октябрь 20'!AA27</f>
        <v>9.952</v>
      </c>
      <c r="K28" s="464">
        <f>'[1]сентябрь 20'!AM27</f>
        <v>0</v>
      </c>
      <c r="L28" s="441">
        <f>'[1]октябрь 20'!AE27</f>
        <v>60.027999999999999</v>
      </c>
      <c r="M28" s="468">
        <f t="shared" si="22"/>
        <v>0.48866818625854769</v>
      </c>
      <c r="N28" s="403">
        <f>'[1]октябрь 20'!W27</f>
        <v>0</v>
      </c>
      <c r="O28" s="403">
        <f>'[1]октябрь 20'!AU27</f>
        <v>4.202</v>
      </c>
      <c r="P28" s="401">
        <f t="shared" si="1"/>
        <v>168.125</v>
      </c>
      <c r="Q28" s="122">
        <f t="shared" si="23"/>
        <v>168.125</v>
      </c>
      <c r="R28" s="123">
        <f t="shared" si="24"/>
        <v>3.11</v>
      </c>
      <c r="S28" s="501">
        <v>3.02</v>
      </c>
      <c r="T28" s="125">
        <f t="shared" si="2"/>
        <v>162.89631249999999</v>
      </c>
      <c r="U28" s="147">
        <f t="shared" si="3"/>
        <v>1.3260852531748615</v>
      </c>
      <c r="V28" s="130">
        <v>99.43</v>
      </c>
      <c r="W28" s="130">
        <v>99.43</v>
      </c>
      <c r="X28" s="129">
        <v>0.91</v>
      </c>
      <c r="Y28" s="150">
        <v>540</v>
      </c>
      <c r="Z28" s="150">
        <v>1172</v>
      </c>
      <c r="AA28" s="148" t="s">
        <v>256</v>
      </c>
      <c r="AB28" s="149">
        <v>75.95</v>
      </c>
      <c r="AC28" s="150">
        <v>100</v>
      </c>
      <c r="AD28" s="151">
        <v>5</v>
      </c>
      <c r="AE28" s="149">
        <v>7.4</v>
      </c>
      <c r="AF28" s="134">
        <f t="shared" si="4"/>
        <v>60.24096385542169</v>
      </c>
      <c r="AG28" s="152"/>
      <c r="AH28" s="129">
        <v>67.55</v>
      </c>
      <c r="AI28" s="134">
        <f t="shared" si="5"/>
        <v>549.90231195050467</v>
      </c>
      <c r="AJ28" s="153">
        <v>19.77</v>
      </c>
      <c r="AK28" s="154"/>
      <c r="AL28" s="155">
        <v>6.13</v>
      </c>
      <c r="AM28" s="478">
        <f t="shared" si="37"/>
        <v>31.8</v>
      </c>
      <c r="AN28" s="126">
        <f t="shared" si="26"/>
        <v>0.2</v>
      </c>
      <c r="AO28" s="157" t="s">
        <v>429</v>
      </c>
      <c r="AP28" s="156">
        <v>6.74</v>
      </c>
      <c r="AQ28" s="156">
        <v>8.48</v>
      </c>
      <c r="AR28" s="151"/>
      <c r="AS28" s="149">
        <v>6.92</v>
      </c>
      <c r="AT28" s="149">
        <v>159</v>
      </c>
      <c r="AU28" s="149">
        <v>1.77</v>
      </c>
      <c r="AV28" s="164"/>
      <c r="AW28" s="149"/>
      <c r="AX28" s="158">
        <f t="shared" si="6"/>
        <v>0</v>
      </c>
      <c r="AY28" s="125">
        <f t="shared" si="7"/>
        <v>122.84</v>
      </c>
      <c r="AZ28" s="125">
        <f t="shared" si="27"/>
        <v>118.60388376571512</v>
      </c>
      <c r="BA28" s="159">
        <f t="shared" si="8"/>
        <v>3.6210605633802815</v>
      </c>
      <c r="BB28" s="160">
        <f t="shared" si="9"/>
        <v>4.9136000000000006</v>
      </c>
      <c r="BC28" s="161">
        <f t="shared" si="10"/>
        <v>0.92343371693554066</v>
      </c>
      <c r="BD28" s="160">
        <f t="shared" si="28"/>
        <v>8.5346605633802817</v>
      </c>
      <c r="BE28" s="162">
        <v>0.86099999999999999</v>
      </c>
      <c r="BF28" s="25">
        <f t="shared" si="29"/>
        <v>2415.0700000000002</v>
      </c>
      <c r="BG28" s="25">
        <f t="shared" si="11"/>
        <v>125.80645161290323</v>
      </c>
      <c r="BH28" s="25">
        <f t="shared" si="30"/>
        <v>2767.7419354838712</v>
      </c>
      <c r="BI28" s="26">
        <f t="shared" si="12"/>
        <v>1</v>
      </c>
      <c r="BJ28" s="37">
        <f t="shared" si="31"/>
        <v>2767.7419354838712</v>
      </c>
      <c r="BK28" s="28">
        <f t="shared" si="32"/>
        <v>198.01599999999999</v>
      </c>
      <c r="BL28" s="31"/>
      <c r="BM28" s="31"/>
      <c r="BN28" s="234">
        <v>50.042999999999999</v>
      </c>
      <c r="BO28" s="42"/>
      <c r="BP28" s="40"/>
      <c r="BQ28" s="411">
        <v>9.9849999999999994</v>
      </c>
      <c r="BR28" s="33">
        <v>1.47</v>
      </c>
      <c r="BS28" s="34"/>
      <c r="BT28" s="35"/>
      <c r="BU28" s="35"/>
      <c r="BV28" s="235"/>
      <c r="BW28" s="235"/>
      <c r="BX28" s="36"/>
      <c r="BY28" s="33">
        <v>38.54</v>
      </c>
      <c r="BZ28" s="34"/>
      <c r="CA28" s="35"/>
      <c r="CB28" s="405">
        <v>43.04</v>
      </c>
      <c r="CC28" s="404"/>
      <c r="CD28" s="235"/>
      <c r="CE28" s="36">
        <v>43.38</v>
      </c>
      <c r="CF28" s="28">
        <f t="shared" si="33"/>
        <v>75.072000000000003</v>
      </c>
      <c r="CG28" s="30">
        <v>93.052999999999997</v>
      </c>
      <c r="CH28" s="31"/>
      <c r="CI28" s="32"/>
      <c r="CJ28" s="33">
        <v>3.11</v>
      </c>
      <c r="CK28" s="33">
        <v>3.11</v>
      </c>
      <c r="CL28" s="35"/>
      <c r="CM28" s="36"/>
      <c r="CN28" s="286"/>
      <c r="CO28" s="249">
        <f t="shared" si="38"/>
        <v>195.10516480000001</v>
      </c>
      <c r="CP28" s="12">
        <f t="shared" si="38"/>
        <v>0</v>
      </c>
      <c r="CQ28" s="12">
        <f t="shared" si="38"/>
        <v>0</v>
      </c>
      <c r="CR28" s="12">
        <f t="shared" si="38"/>
        <v>50.042999999999999</v>
      </c>
      <c r="CS28" s="11">
        <f t="shared" si="38"/>
        <v>0</v>
      </c>
      <c r="CT28" s="11">
        <f t="shared" si="38"/>
        <v>0</v>
      </c>
      <c r="CU28" s="272">
        <f t="shared" si="38"/>
        <v>9.9849999999999994</v>
      </c>
      <c r="CV28" s="249">
        <f t="shared" si="14"/>
        <v>72.737260800000001</v>
      </c>
      <c r="CW28" s="12">
        <f t="shared" si="14"/>
        <v>90.159051699999992</v>
      </c>
      <c r="CX28" s="249">
        <f t="shared" si="14"/>
        <v>0</v>
      </c>
      <c r="CY28" s="272">
        <f t="shared" si="14"/>
        <v>0</v>
      </c>
      <c r="CZ28" s="13"/>
      <c r="DA28" s="240">
        <f>(D28+'[2]октябрь 20 '!D28)/(AY28+'[2]октябрь 20 '!BA28)</f>
        <v>2.0164177009150088</v>
      </c>
      <c r="DB28" s="241">
        <f>(T28+'[2]октябрь 20 '!T28)/(AY28+'[2]октябрь 20 '!BA28)</f>
        <v>1.2337711467031414</v>
      </c>
      <c r="DD28" s="292">
        <f t="shared" si="15"/>
        <v>9.952</v>
      </c>
      <c r="DE28" s="305">
        <v>0.36</v>
      </c>
      <c r="DF28" s="291">
        <v>18.940000000000001</v>
      </c>
      <c r="DG28" s="145">
        <f t="shared" si="16"/>
        <v>9.9161728</v>
      </c>
      <c r="DH28" s="293">
        <f t="shared" si="34"/>
        <v>2.4728415119420672</v>
      </c>
      <c r="DJ28" s="38">
        <v>190.01599999999999</v>
      </c>
      <c r="DK28" s="460">
        <f t="shared" si="35"/>
        <v>198.01599999999999</v>
      </c>
      <c r="DL28" s="30">
        <v>61.072000000000003</v>
      </c>
      <c r="DM28" s="460">
        <f t="shared" si="36"/>
        <v>75.072000000000003</v>
      </c>
    </row>
    <row r="29" spans="1:117" s="76" customFormat="1" ht="16.5" customHeight="1" thickBot="1">
      <c r="A29" s="144">
        <v>23</v>
      </c>
      <c r="B29" s="122">
        <f t="shared" si="17"/>
        <v>283.03800000000001</v>
      </c>
      <c r="C29" s="123">
        <f t="shared" si="18"/>
        <v>1.2261533786982666</v>
      </c>
      <c r="D29" s="145">
        <f t="shared" si="19"/>
        <v>279.56752</v>
      </c>
      <c r="E29" s="125">
        <f t="shared" si="20"/>
        <v>39.425904224874401</v>
      </c>
      <c r="F29" s="146">
        <f t="shared" si="0"/>
        <v>2.2087976613731533</v>
      </c>
      <c r="G29" s="127">
        <v>9.75</v>
      </c>
      <c r="H29" s="126">
        <f t="shared" si="21"/>
        <v>1.6862962787390376</v>
      </c>
      <c r="I29" s="230">
        <f>'[1]июль 20'!AI28</f>
        <v>0</v>
      </c>
      <c r="J29" s="439">
        <f>'[1]октябрь 20'!AA28</f>
        <v>10.836</v>
      </c>
      <c r="K29" s="464">
        <f>'[1]сентябрь 20'!AM28</f>
        <v>0</v>
      </c>
      <c r="L29" s="441">
        <f>'[1]октябрь 20'!AE28</f>
        <v>66.132999999999996</v>
      </c>
      <c r="M29" s="469">
        <f t="shared" si="22"/>
        <v>0.5225013826341155</v>
      </c>
      <c r="N29" s="403">
        <f>'[1]октябрь 20'!W28</f>
        <v>0</v>
      </c>
      <c r="O29" s="403">
        <f>'[1]октябрь 20'!AU28</f>
        <v>5.3369999999999997</v>
      </c>
      <c r="P29" s="401">
        <f t="shared" si="1"/>
        <v>182.786</v>
      </c>
      <c r="Q29" s="122">
        <f t="shared" si="23"/>
        <v>182.786</v>
      </c>
      <c r="R29" s="123">
        <f t="shared" si="24"/>
        <v>3.1599999999999997</v>
      </c>
      <c r="S29" s="501">
        <v>0.35</v>
      </c>
      <c r="T29" s="125">
        <f t="shared" si="2"/>
        <v>177.00996240000001</v>
      </c>
      <c r="U29" s="147">
        <f t="shared" si="3"/>
        <v>1.3985143588528086</v>
      </c>
      <c r="V29" s="130">
        <v>126.57</v>
      </c>
      <c r="W29" s="130">
        <v>102.6</v>
      </c>
      <c r="X29" s="129">
        <v>0.78</v>
      </c>
      <c r="Y29" s="150">
        <v>573</v>
      </c>
      <c r="Z29" s="150">
        <v>1176</v>
      </c>
      <c r="AA29" s="148" t="s">
        <v>431</v>
      </c>
      <c r="AB29" s="149">
        <v>75.989999999999995</v>
      </c>
      <c r="AC29" s="150">
        <v>110</v>
      </c>
      <c r="AD29" s="151">
        <v>5</v>
      </c>
      <c r="AE29" s="149">
        <v>4.25</v>
      </c>
      <c r="AF29" s="134">
        <f t="shared" si="4"/>
        <v>33.578257090937818</v>
      </c>
      <c r="AG29" s="152"/>
      <c r="AH29" s="129">
        <v>77.349999999999994</v>
      </c>
      <c r="AI29" s="134">
        <f t="shared" si="5"/>
        <v>611.12427905506831</v>
      </c>
      <c r="AJ29" s="136">
        <v>20.71</v>
      </c>
      <c r="AK29" s="154"/>
      <c r="AL29" s="155">
        <v>7.42</v>
      </c>
      <c r="AM29" s="478">
        <f t="shared" si="37"/>
        <v>33.080000000000005</v>
      </c>
      <c r="AN29" s="126">
        <f t="shared" si="26"/>
        <v>0.20000000000000004</v>
      </c>
      <c r="AO29" s="157" t="s">
        <v>432</v>
      </c>
      <c r="AP29" s="156">
        <v>6.72</v>
      </c>
      <c r="AQ29" s="156">
        <v>8.9499999999999993</v>
      </c>
      <c r="AR29" s="149"/>
      <c r="AS29" s="149">
        <v>8.23</v>
      </c>
      <c r="AT29" s="149">
        <v>165.4</v>
      </c>
      <c r="AU29" s="149">
        <v>1.67</v>
      </c>
      <c r="AV29" s="164"/>
      <c r="AW29" s="149"/>
      <c r="AX29" s="158">
        <f t="shared" si="6"/>
        <v>0</v>
      </c>
      <c r="AY29" s="125">
        <f t="shared" si="7"/>
        <v>126.57000000000001</v>
      </c>
      <c r="AZ29" s="125">
        <f t="shared" si="27"/>
        <v>129.51515082102438</v>
      </c>
      <c r="BA29" s="159">
        <f t="shared" si="8"/>
        <v>4.93133485915493</v>
      </c>
      <c r="BB29" s="160">
        <f t="shared" si="9"/>
        <v>5.0628000000000002</v>
      </c>
      <c r="BC29" s="161">
        <f t="shared" si="10"/>
        <v>0.87260731260627977</v>
      </c>
      <c r="BD29" s="160">
        <f t="shared" si="28"/>
        <v>9.9941348591549293</v>
      </c>
      <c r="BE29" s="162">
        <v>0.86199999999999999</v>
      </c>
      <c r="BF29" s="25">
        <f t="shared" si="29"/>
        <v>2541.6400000000003</v>
      </c>
      <c r="BG29" s="25">
        <f t="shared" si="11"/>
        <v>125.80645161290323</v>
      </c>
      <c r="BH29" s="25">
        <f t="shared" si="30"/>
        <v>2893.5483870967746</v>
      </c>
      <c r="BI29" s="26">
        <f t="shared" si="12"/>
        <v>1</v>
      </c>
      <c r="BJ29" s="37">
        <f t="shared" si="31"/>
        <v>2893.5483870967746</v>
      </c>
      <c r="BK29" s="28">
        <f t="shared" si="32"/>
        <v>216.905</v>
      </c>
      <c r="BL29" s="31"/>
      <c r="BM29" s="31"/>
      <c r="BN29" s="31">
        <v>55.125999999999998</v>
      </c>
      <c r="BO29" s="40"/>
      <c r="BP29" s="40"/>
      <c r="BQ29" s="32">
        <v>11.007</v>
      </c>
      <c r="BR29" s="33">
        <v>1.6</v>
      </c>
      <c r="BS29" s="34"/>
      <c r="BT29" s="35"/>
      <c r="BU29" s="35"/>
      <c r="BV29" s="235"/>
      <c r="BW29" s="235"/>
      <c r="BX29" s="36"/>
      <c r="BY29" s="33">
        <v>38.229999999999997</v>
      </c>
      <c r="BZ29" s="34"/>
      <c r="CA29" s="35"/>
      <c r="CB29" s="35">
        <v>43.3</v>
      </c>
      <c r="CC29" s="235"/>
      <c r="CD29" s="235"/>
      <c r="CE29" s="36">
        <v>43.59</v>
      </c>
      <c r="CF29" s="28">
        <f t="shared" si="33"/>
        <v>81.090999999999994</v>
      </c>
      <c r="CG29" s="30">
        <v>101.69499999999999</v>
      </c>
      <c r="CH29" s="31"/>
      <c r="CI29" s="32"/>
      <c r="CJ29" s="33">
        <v>3.16</v>
      </c>
      <c r="CK29" s="33">
        <v>3.16</v>
      </c>
      <c r="CL29" s="35"/>
      <c r="CM29" s="36"/>
      <c r="CN29" s="286"/>
      <c r="CO29" s="249">
        <f t="shared" si="38"/>
        <v>213.43452000000002</v>
      </c>
      <c r="CP29" s="12">
        <f t="shared" si="38"/>
        <v>0</v>
      </c>
      <c r="CQ29" s="12">
        <f t="shared" si="38"/>
        <v>0</v>
      </c>
      <c r="CR29" s="12">
        <f t="shared" si="38"/>
        <v>55.125999999999998</v>
      </c>
      <c r="CS29" s="11">
        <f t="shared" si="38"/>
        <v>0</v>
      </c>
      <c r="CT29" s="11">
        <f t="shared" si="38"/>
        <v>0</v>
      </c>
      <c r="CU29" s="272">
        <f t="shared" si="38"/>
        <v>11.007</v>
      </c>
      <c r="CV29" s="249">
        <f t="shared" si="14"/>
        <v>78.528524399999995</v>
      </c>
      <c r="CW29" s="12">
        <f t="shared" si="14"/>
        <v>98.481437999999997</v>
      </c>
      <c r="CX29" s="249">
        <f t="shared" si="14"/>
        <v>0</v>
      </c>
      <c r="CY29" s="272">
        <f t="shared" si="14"/>
        <v>0</v>
      </c>
      <c r="CZ29" s="13"/>
      <c r="DA29" s="240">
        <f>(D29+'[2]октябрь 20 '!D29)/(AY29+'[2]октябрь 20 '!BA29)</f>
        <v>2.1387405171138494</v>
      </c>
      <c r="DB29" s="241">
        <f>(T29+'[2]октябрь 20 '!T29)/(AY29+'[2]октябрь 20 '!BA29)</f>
        <v>1.3034960863061809</v>
      </c>
      <c r="DD29" s="292">
        <f t="shared" si="15"/>
        <v>10.836</v>
      </c>
      <c r="DE29" s="291">
        <v>0.52</v>
      </c>
      <c r="DF29" s="291">
        <v>20.36</v>
      </c>
      <c r="DG29" s="145">
        <f t="shared" si="16"/>
        <v>10.779652800000001</v>
      </c>
      <c r="DH29" s="293">
        <f t="shared" si="34"/>
        <v>2.8881922754046592</v>
      </c>
      <c r="DJ29" s="328">
        <v>208.905</v>
      </c>
      <c r="DK29" s="460">
        <f t="shared" si="35"/>
        <v>216.905</v>
      </c>
      <c r="DL29" s="30">
        <v>67.090999999999994</v>
      </c>
      <c r="DM29" s="460">
        <f t="shared" si="36"/>
        <v>81.090999999999994</v>
      </c>
    </row>
    <row r="30" spans="1:117" s="76" customFormat="1" ht="16.5" customHeight="1" thickBot="1">
      <c r="A30" s="144">
        <v>24</v>
      </c>
      <c r="B30" s="122">
        <f t="shared" si="17"/>
        <v>280.67500000000001</v>
      </c>
      <c r="C30" s="123">
        <f t="shared" si="18"/>
        <v>2.7491719248240845</v>
      </c>
      <c r="D30" s="145">
        <f t="shared" si="19"/>
        <v>272.95876170000003</v>
      </c>
      <c r="E30" s="125">
        <f t="shared" si="20"/>
        <v>39.404163997506011</v>
      </c>
      <c r="F30" s="146">
        <f t="shared" si="0"/>
        <v>2.3349765757057317</v>
      </c>
      <c r="G30" s="127">
        <v>12.45</v>
      </c>
      <c r="H30" s="126">
        <f t="shared" si="21"/>
        <v>1.7726326920444826</v>
      </c>
      <c r="I30" s="230">
        <f>'[1]июль 20'!AI29</f>
        <v>0</v>
      </c>
      <c r="J30" s="439">
        <f>'[1]октябрь 20'!AA29</f>
        <v>10.855</v>
      </c>
      <c r="K30" s="464">
        <f>'[1]сентябрь 20'!AM29</f>
        <v>0</v>
      </c>
      <c r="L30" s="441">
        <f>'[1]октябрь 20'!AE29</f>
        <v>65.738</v>
      </c>
      <c r="M30" s="468">
        <f t="shared" si="22"/>
        <v>0.56234388366124899</v>
      </c>
      <c r="N30" s="403">
        <f>'[1]октябрь 20'!W29</f>
        <v>0</v>
      </c>
      <c r="O30" s="403">
        <f>'[1]октябрь 20'!AU29</f>
        <v>5.0049999999999999</v>
      </c>
      <c r="P30" s="401">
        <f t="shared" si="1"/>
        <v>182.33399999999997</v>
      </c>
      <c r="Q30" s="122">
        <f t="shared" si="23"/>
        <v>182.33399999999997</v>
      </c>
      <c r="R30" s="123">
        <f t="shared" si="24"/>
        <v>3.12</v>
      </c>
      <c r="S30" s="501">
        <v>10.29</v>
      </c>
      <c r="T30" s="125">
        <f t="shared" si="2"/>
        <v>176.64517919999997</v>
      </c>
      <c r="U30" s="147">
        <f t="shared" si="3"/>
        <v>1.5110793772455089</v>
      </c>
      <c r="V30" s="169">
        <v>116.9</v>
      </c>
      <c r="W30" s="169">
        <v>66.260000000000005</v>
      </c>
      <c r="X30" s="170">
        <v>0.66</v>
      </c>
      <c r="Y30" s="166">
        <v>549</v>
      </c>
      <c r="Z30" s="166">
        <v>1172</v>
      </c>
      <c r="AA30" s="148" t="s">
        <v>433</v>
      </c>
      <c r="AB30" s="164">
        <v>75.900000000000006</v>
      </c>
      <c r="AC30" s="166">
        <v>109</v>
      </c>
      <c r="AD30" s="171">
        <v>5</v>
      </c>
      <c r="AE30" s="164"/>
      <c r="AF30" s="172">
        <f t="shared" si="4"/>
        <v>0</v>
      </c>
      <c r="AG30" s="173"/>
      <c r="AH30" s="170">
        <v>73</v>
      </c>
      <c r="AI30" s="134">
        <f t="shared" si="5"/>
        <v>624.46535500427728</v>
      </c>
      <c r="AJ30" s="174">
        <v>15.05</v>
      </c>
      <c r="AK30" s="175"/>
      <c r="AL30" s="176">
        <v>7.9</v>
      </c>
      <c r="AM30" s="478">
        <f t="shared" si="37"/>
        <v>30.689999999999998</v>
      </c>
      <c r="AN30" s="126">
        <f t="shared" si="26"/>
        <v>0.2</v>
      </c>
      <c r="AO30" s="178" t="s">
        <v>353</v>
      </c>
      <c r="AP30" s="177">
        <v>6.55</v>
      </c>
      <c r="AQ30" s="177">
        <v>8.6300000000000008</v>
      </c>
      <c r="AR30" s="171"/>
      <c r="AS30" s="164">
        <v>9.24</v>
      </c>
      <c r="AT30" s="149">
        <v>153.44999999999999</v>
      </c>
      <c r="AU30" s="164">
        <v>2.04</v>
      </c>
      <c r="AV30" s="164"/>
      <c r="AW30" s="164"/>
      <c r="AX30" s="179">
        <f t="shared" si="6"/>
        <v>0</v>
      </c>
      <c r="AY30" s="125">
        <f t="shared" si="7"/>
        <v>116.89999999999999</v>
      </c>
      <c r="AZ30" s="125">
        <f t="shared" si="27"/>
        <v>125.12585526006488</v>
      </c>
      <c r="BA30" s="159">
        <f t="shared" si="8"/>
        <v>5.2251549295774646</v>
      </c>
      <c r="BB30" s="159">
        <f t="shared" si="9"/>
        <v>4.6760000000000002</v>
      </c>
      <c r="BC30" s="180">
        <f t="shared" si="10"/>
        <v>0.82493006099975597</v>
      </c>
      <c r="BD30" s="159">
        <f t="shared" si="28"/>
        <v>9.9011549295774657</v>
      </c>
      <c r="BE30" s="167">
        <v>0.86</v>
      </c>
      <c r="BF30" s="25">
        <f t="shared" si="29"/>
        <v>2658.5400000000004</v>
      </c>
      <c r="BG30" s="25">
        <f t="shared" si="11"/>
        <v>125.80645161290323</v>
      </c>
      <c r="BH30" s="25">
        <f t="shared" si="30"/>
        <v>3019.354838709678</v>
      </c>
      <c r="BI30" s="26">
        <f t="shared" si="12"/>
        <v>1</v>
      </c>
      <c r="BJ30" s="37">
        <f t="shared" si="31"/>
        <v>3019.354838709678</v>
      </c>
      <c r="BK30" s="28">
        <f t="shared" si="32"/>
        <v>214.93700000000001</v>
      </c>
      <c r="BL30" s="31"/>
      <c r="BM30" s="31"/>
      <c r="BN30" s="31">
        <v>54.895000000000003</v>
      </c>
      <c r="BO30" s="40"/>
      <c r="BP30" s="40"/>
      <c r="BQ30" s="44">
        <v>10.843</v>
      </c>
      <c r="BR30" s="45">
        <v>3.59</v>
      </c>
      <c r="BS30" s="46"/>
      <c r="BT30" s="47"/>
      <c r="BU30" s="47"/>
      <c r="BV30" s="283"/>
      <c r="BW30" s="283"/>
      <c r="BX30" s="48"/>
      <c r="BY30" s="45">
        <v>38.11</v>
      </c>
      <c r="BZ30" s="46"/>
      <c r="CA30" s="47"/>
      <c r="CB30" s="47">
        <v>43.53</v>
      </c>
      <c r="CC30" s="283"/>
      <c r="CD30" s="283"/>
      <c r="CE30" s="48">
        <v>44.17</v>
      </c>
      <c r="CF30" s="28">
        <f t="shared" si="33"/>
        <v>128.74599999999998</v>
      </c>
      <c r="CG30" s="49">
        <v>53.588000000000001</v>
      </c>
      <c r="CH30" s="43"/>
      <c r="CI30" s="32"/>
      <c r="CJ30" s="33">
        <v>3.12</v>
      </c>
      <c r="CK30" s="33">
        <v>3.12</v>
      </c>
      <c r="CL30" s="35"/>
      <c r="CM30" s="36"/>
      <c r="CN30" s="286"/>
      <c r="CO30" s="249">
        <f t="shared" si="38"/>
        <v>207.2207617</v>
      </c>
      <c r="CP30" s="12">
        <f t="shared" si="38"/>
        <v>0</v>
      </c>
      <c r="CQ30" s="12">
        <f t="shared" si="38"/>
        <v>0</v>
      </c>
      <c r="CR30" s="12">
        <f t="shared" si="38"/>
        <v>54.895000000000003</v>
      </c>
      <c r="CS30" s="11">
        <f t="shared" si="38"/>
        <v>0</v>
      </c>
      <c r="CT30" s="11">
        <f t="shared" si="38"/>
        <v>0</v>
      </c>
      <c r="CU30" s="272">
        <f t="shared" si="38"/>
        <v>10.843</v>
      </c>
      <c r="CV30" s="249">
        <f t="shared" si="14"/>
        <v>124.72912479999998</v>
      </c>
      <c r="CW30" s="11">
        <f t="shared" si="14"/>
        <v>51.9160544</v>
      </c>
      <c r="CX30" s="252">
        <f t="shared" si="14"/>
        <v>0</v>
      </c>
      <c r="CY30" s="272">
        <f t="shared" si="14"/>
        <v>0</v>
      </c>
      <c r="CZ30" s="13"/>
      <c r="DA30" s="240">
        <f>(D30+'[2]октябрь 20 '!D30)/(AY30+'[2]октябрь 20 '!BA30)</f>
        <v>2.1901788463857521</v>
      </c>
      <c r="DB30" s="241">
        <f>(T30+'[2]октябрь 20 '!T30)/(AY30+'[2]октябрь 20 '!BA30)</f>
        <v>1.3600236619030932</v>
      </c>
      <c r="DD30" s="292">
        <f t="shared" si="15"/>
        <v>10.855</v>
      </c>
      <c r="DE30" s="291">
        <v>0.64</v>
      </c>
      <c r="DF30" s="291">
        <v>9.9499999999999993</v>
      </c>
      <c r="DG30" s="145">
        <f t="shared" si="16"/>
        <v>10.785528000000001</v>
      </c>
      <c r="DH30" s="293">
        <f t="shared" si="34"/>
        <v>1.4139130909090909</v>
      </c>
      <c r="DJ30" s="38">
        <v>206.93700000000001</v>
      </c>
      <c r="DK30" s="460">
        <f t="shared" si="35"/>
        <v>214.93700000000001</v>
      </c>
      <c r="DL30" s="49">
        <v>114.746</v>
      </c>
      <c r="DM30" s="460">
        <f t="shared" si="36"/>
        <v>128.74599999999998</v>
      </c>
    </row>
    <row r="31" spans="1:117" s="76" customFormat="1" ht="16.5" customHeight="1" thickBot="1">
      <c r="A31" s="144">
        <v>25</v>
      </c>
      <c r="B31" s="122">
        <f t="shared" si="17"/>
        <v>248.21700000000001</v>
      </c>
      <c r="C31" s="123">
        <f t="shared" si="18"/>
        <v>2.2551880008218612</v>
      </c>
      <c r="D31" s="145">
        <f t="shared" si="19"/>
        <v>242.61924000000002</v>
      </c>
      <c r="E31" s="125">
        <f t="shared" si="20"/>
        <v>39.212068150046122</v>
      </c>
      <c r="F31" s="146">
        <f t="shared" si="0"/>
        <v>2.1596870215417483</v>
      </c>
      <c r="G31" s="127">
        <v>8.8699999999999992</v>
      </c>
      <c r="H31" s="126">
        <f t="shared" si="21"/>
        <v>1.6450261705536764</v>
      </c>
      <c r="I31" s="230">
        <f>'[1]июль 20'!AI30</f>
        <v>0</v>
      </c>
      <c r="J31" s="439">
        <f>'[1]октябрь 20'!AA30</f>
        <v>9.8070000000000004</v>
      </c>
      <c r="K31" s="464">
        <f>'[1]сентябрь 20'!AM30</f>
        <v>0</v>
      </c>
      <c r="L31" s="441">
        <f>'[1]октябрь 20'!AE30</f>
        <v>57.817</v>
      </c>
      <c r="M31" s="469">
        <f t="shared" si="22"/>
        <v>0.51466085098807191</v>
      </c>
      <c r="N31" s="403">
        <f>'[1]октябрь 20'!W30</f>
        <v>0</v>
      </c>
      <c r="O31" s="403">
        <f>'[1]октябрь 20'!AU30</f>
        <v>3.9609999999999999</v>
      </c>
      <c r="P31" s="401">
        <f t="shared" si="1"/>
        <v>166.55799999999999</v>
      </c>
      <c r="Q31" s="122">
        <f t="shared" si="23"/>
        <v>166.55799999999999</v>
      </c>
      <c r="R31" s="123">
        <f>IF(Q31=0,0,(CI31*CM31+CG31*CK31+CH31*CL31+CF31*CJ31)/Q31)</f>
        <v>2.62</v>
      </c>
      <c r="S31" s="501"/>
      <c r="T31" s="125">
        <f t="shared" si="2"/>
        <v>162.19418039999999</v>
      </c>
      <c r="U31" s="147">
        <f t="shared" si="3"/>
        <v>1.4437794231796333</v>
      </c>
      <c r="V31" s="130">
        <v>112.34</v>
      </c>
      <c r="W31" s="130">
        <v>112.34</v>
      </c>
      <c r="X31" s="129">
        <v>0.34</v>
      </c>
      <c r="Y31" s="150">
        <v>574</v>
      </c>
      <c r="Z31" s="150">
        <v>1174</v>
      </c>
      <c r="AA31" s="148" t="s">
        <v>434</v>
      </c>
      <c r="AB31" s="149">
        <v>76.239999999999995</v>
      </c>
      <c r="AC31" s="150">
        <v>97</v>
      </c>
      <c r="AD31" s="151">
        <v>5</v>
      </c>
      <c r="AE31" s="149"/>
      <c r="AF31" s="134">
        <f t="shared" si="4"/>
        <v>0</v>
      </c>
      <c r="AG31" s="152"/>
      <c r="AH31" s="129">
        <v>75.7</v>
      </c>
      <c r="AI31" s="134">
        <f t="shared" si="5"/>
        <v>673.84724942139928</v>
      </c>
      <c r="AJ31" s="136">
        <v>17.53</v>
      </c>
      <c r="AK31" s="154"/>
      <c r="AL31" s="155">
        <v>7.2</v>
      </c>
      <c r="AM31" s="478">
        <f t="shared" si="37"/>
        <v>29.39</v>
      </c>
      <c r="AN31" s="126">
        <f t="shared" si="26"/>
        <v>0.2</v>
      </c>
      <c r="AO31" s="157" t="s">
        <v>435</v>
      </c>
      <c r="AP31" s="156">
        <v>6.29</v>
      </c>
      <c r="AQ31" s="156">
        <v>8.52</v>
      </c>
      <c r="AR31" s="151"/>
      <c r="AS31" s="149">
        <v>9.93</v>
      </c>
      <c r="AT31" s="149">
        <v>146.94999999999999</v>
      </c>
      <c r="AU31" s="149">
        <v>1.98</v>
      </c>
      <c r="AV31" s="164"/>
      <c r="AW31" s="149"/>
      <c r="AX31" s="158">
        <f t="shared" si="6"/>
        <v>0</v>
      </c>
      <c r="AY31" s="125">
        <f t="shared" si="7"/>
        <v>112.34</v>
      </c>
      <c r="AZ31" s="125">
        <f t="shared" si="27"/>
        <v>110.49541730104359</v>
      </c>
      <c r="BA31" s="159">
        <f t="shared" si="8"/>
        <v>5.8230359154929578</v>
      </c>
      <c r="BB31" s="160">
        <f t="shared" si="9"/>
        <v>4.4935999999999998</v>
      </c>
      <c r="BC31" s="161">
        <f t="shared" si="10"/>
        <v>0.90026905097566512</v>
      </c>
      <c r="BD31" s="160">
        <f t="shared" si="28"/>
        <v>10.316635915492958</v>
      </c>
      <c r="BE31" s="162">
        <v>0.86199999999999999</v>
      </c>
      <c r="BF31" s="25">
        <f t="shared" si="29"/>
        <v>2770.8800000000006</v>
      </c>
      <c r="BG31" s="25">
        <f t="shared" si="11"/>
        <v>125.80645161290323</v>
      </c>
      <c r="BH31" s="25">
        <f t="shared" si="30"/>
        <v>3145.1612903225814</v>
      </c>
      <c r="BI31" s="26">
        <f t="shared" si="12"/>
        <v>1</v>
      </c>
      <c r="BJ31" s="37">
        <f t="shared" si="31"/>
        <v>3145.1612903225814</v>
      </c>
      <c r="BK31" s="28">
        <f t="shared" si="32"/>
        <v>190.4</v>
      </c>
      <c r="BL31" s="31"/>
      <c r="BM31" s="31"/>
      <c r="BN31" s="31">
        <v>48.002000000000002</v>
      </c>
      <c r="BO31" s="40"/>
      <c r="BP31" s="40"/>
      <c r="BQ31" s="32">
        <v>9.8149999999999995</v>
      </c>
      <c r="BR31" s="33">
        <v>2.94</v>
      </c>
      <c r="BS31" s="34"/>
      <c r="BT31" s="35"/>
      <c r="BU31" s="35"/>
      <c r="BV31" s="235"/>
      <c r="BW31" s="235"/>
      <c r="BX31" s="36"/>
      <c r="BY31" s="33">
        <v>37.909999999999997</v>
      </c>
      <c r="BZ31" s="34"/>
      <c r="CA31" s="35"/>
      <c r="CB31" s="35">
        <v>43.41</v>
      </c>
      <c r="CC31" s="235"/>
      <c r="CD31" s="235"/>
      <c r="CE31" s="36">
        <v>43.94</v>
      </c>
      <c r="CF31" s="28">
        <f t="shared" si="33"/>
        <v>90.558999999999997</v>
      </c>
      <c r="CG31" s="30"/>
      <c r="CH31" s="31">
        <v>75.998999999999995</v>
      </c>
      <c r="CI31" s="32"/>
      <c r="CJ31" s="33">
        <v>2.62</v>
      </c>
      <c r="CK31" s="33"/>
      <c r="CL31" s="35">
        <v>2.62</v>
      </c>
      <c r="CM31" s="36"/>
      <c r="CN31" s="286"/>
      <c r="CO31" s="249">
        <f t="shared" si="38"/>
        <v>184.80224000000001</v>
      </c>
      <c r="CP31" s="12">
        <f t="shared" si="38"/>
        <v>0</v>
      </c>
      <c r="CQ31" s="12">
        <f t="shared" si="38"/>
        <v>0</v>
      </c>
      <c r="CR31" s="12">
        <f t="shared" si="38"/>
        <v>48.002000000000002</v>
      </c>
      <c r="CS31" s="11">
        <f t="shared" si="38"/>
        <v>0</v>
      </c>
      <c r="CT31" s="11">
        <f t="shared" si="38"/>
        <v>0</v>
      </c>
      <c r="CU31" s="272">
        <f t="shared" si="38"/>
        <v>9.8149999999999995</v>
      </c>
      <c r="CV31" s="249">
        <f t="shared" si="14"/>
        <v>88.186354199999997</v>
      </c>
      <c r="CW31" s="12">
        <f t="shared" si="14"/>
        <v>0</v>
      </c>
      <c r="CX31" s="249">
        <f t="shared" si="14"/>
        <v>74.007826199999997</v>
      </c>
      <c r="CY31" s="272">
        <f t="shared" si="14"/>
        <v>0</v>
      </c>
      <c r="CZ31" s="13"/>
      <c r="DA31" s="240">
        <f>(D31+'[2]октябрь 20 '!D31)/(AY31+'[2]октябрь 20 '!BA31)</f>
        <v>2.202082265042931</v>
      </c>
      <c r="DB31" s="241">
        <f>(T31+'[2]октябрь 20 '!T31)/(AY31+'[2]октябрь 20 '!BA31)</f>
        <v>1.3765712279216589</v>
      </c>
      <c r="DD31" s="292">
        <f t="shared" si="15"/>
        <v>9.8070000000000004</v>
      </c>
      <c r="DE31" s="291">
        <v>0.71</v>
      </c>
      <c r="DF31" s="291">
        <v>12.2</v>
      </c>
      <c r="DG31" s="145">
        <f t="shared" si="16"/>
        <v>9.737370300000002</v>
      </c>
      <c r="DH31" s="293">
        <f t="shared" si="34"/>
        <v>1.5581835999475344</v>
      </c>
      <c r="DJ31" s="38">
        <v>182.4</v>
      </c>
      <c r="DK31" s="460">
        <f t="shared" si="35"/>
        <v>190.4</v>
      </c>
      <c r="DL31" s="30">
        <v>76.558999999999997</v>
      </c>
      <c r="DM31" s="460">
        <f t="shared" si="36"/>
        <v>90.558999999999997</v>
      </c>
    </row>
    <row r="32" spans="1:117" s="76" customFormat="1" ht="16.5" customHeight="1" thickBot="1">
      <c r="A32" s="144">
        <v>26</v>
      </c>
      <c r="B32" s="122">
        <f t="shared" si="17"/>
        <v>75.50800000000001</v>
      </c>
      <c r="C32" s="123">
        <f t="shared" si="18"/>
        <v>1.6604359802934785</v>
      </c>
      <c r="D32" s="145">
        <f t="shared" si="19"/>
        <v>74.254238000000001</v>
      </c>
      <c r="E32" s="125">
        <f t="shared" si="20"/>
        <v>39.679527467288231</v>
      </c>
      <c r="F32" s="146">
        <f t="shared" si="0"/>
        <v>2.2535428831562978</v>
      </c>
      <c r="G32" s="127">
        <v>4.18</v>
      </c>
      <c r="H32" s="126">
        <f t="shared" si="21"/>
        <v>1.7652879514415785</v>
      </c>
      <c r="I32" s="230">
        <f>'[1]июль 20'!AI31</f>
        <v>0</v>
      </c>
      <c r="J32" s="439">
        <f>'[1]октябрь 20'!AA31</f>
        <v>2.6110000000000002</v>
      </c>
      <c r="K32" s="464">
        <f>'[1]сентябрь 20'!AM31</f>
        <v>0</v>
      </c>
      <c r="L32" s="441">
        <f>'[1]октябрь 20'!AE31</f>
        <v>16.088000000000001</v>
      </c>
      <c r="M32" s="468">
        <f t="shared" si="22"/>
        <v>0.48825493171471934</v>
      </c>
      <c r="N32" s="403">
        <f>'[1]октябрь 20'!W31</f>
        <v>0</v>
      </c>
      <c r="O32" s="403">
        <f>'[1]октябрь 20'!AU31</f>
        <v>1.093</v>
      </c>
      <c r="P32" s="401">
        <f t="shared" si="1"/>
        <v>59.698999999999998</v>
      </c>
      <c r="Q32" s="122">
        <f t="shared" si="23"/>
        <v>59.698999999999998</v>
      </c>
      <c r="R32" s="123">
        <f t="shared" si="24"/>
        <v>2.7300000000000004</v>
      </c>
      <c r="S32" s="501">
        <v>15.16</v>
      </c>
      <c r="T32" s="125">
        <f t="shared" si="2"/>
        <v>58.069217299999998</v>
      </c>
      <c r="U32" s="147">
        <f t="shared" si="3"/>
        <v>1.7623434688922612</v>
      </c>
      <c r="V32" s="130">
        <v>20.76</v>
      </c>
      <c r="W32" s="130">
        <v>32.950000000000003</v>
      </c>
      <c r="X32" s="129">
        <v>0.31</v>
      </c>
      <c r="Y32" s="150">
        <v>598</v>
      </c>
      <c r="Z32" s="150">
        <v>1067</v>
      </c>
      <c r="AA32" s="148" t="s">
        <v>436</v>
      </c>
      <c r="AB32" s="149">
        <v>75.58</v>
      </c>
      <c r="AC32" s="150">
        <v>28</v>
      </c>
      <c r="AD32" s="151">
        <v>2</v>
      </c>
      <c r="AE32" s="149"/>
      <c r="AF32" s="134">
        <f t="shared" si="4"/>
        <v>0</v>
      </c>
      <c r="AG32" s="152"/>
      <c r="AH32" s="129">
        <v>25.9</v>
      </c>
      <c r="AI32" s="134">
        <f t="shared" si="5"/>
        <v>786.03945371775421</v>
      </c>
      <c r="AJ32" s="153">
        <v>5.95</v>
      </c>
      <c r="AK32" s="154"/>
      <c r="AL32" s="155">
        <v>1.92</v>
      </c>
      <c r="AM32" s="478">
        <f t="shared" si="37"/>
        <v>8.49</v>
      </c>
      <c r="AN32" s="126">
        <f t="shared" si="26"/>
        <v>0.19999999999999998</v>
      </c>
      <c r="AO32" s="157" t="s">
        <v>332</v>
      </c>
      <c r="AP32" s="156">
        <v>6.06</v>
      </c>
      <c r="AQ32" s="156">
        <v>8.41</v>
      </c>
      <c r="AR32" s="151"/>
      <c r="AS32" s="149">
        <v>13.92</v>
      </c>
      <c r="AT32" s="149">
        <v>42.45</v>
      </c>
      <c r="AU32" s="149">
        <v>0.91</v>
      </c>
      <c r="AV32" s="149"/>
      <c r="AW32" s="149"/>
      <c r="AX32" s="158">
        <f t="shared" si="6"/>
        <v>0</v>
      </c>
      <c r="AY32" s="125">
        <f t="shared" si="7"/>
        <v>32.949999999999996</v>
      </c>
      <c r="AZ32" s="125">
        <f t="shared" si="27"/>
        <v>34.74281295744305</v>
      </c>
      <c r="BA32" s="159">
        <f t="shared" si="8"/>
        <v>2.792822535211267</v>
      </c>
      <c r="BB32" s="160">
        <f t="shared" si="9"/>
        <v>1.3179999999999998</v>
      </c>
      <c r="BC32" s="161">
        <f t="shared" si="10"/>
        <v>0.84522934995769294</v>
      </c>
      <c r="BD32" s="160">
        <f t="shared" si="28"/>
        <v>4.1108225352112671</v>
      </c>
      <c r="BE32" s="162">
        <v>0.86199999999999999</v>
      </c>
      <c r="BF32" s="25">
        <f t="shared" si="29"/>
        <v>2803.8300000000004</v>
      </c>
      <c r="BG32" s="25">
        <f t="shared" si="11"/>
        <v>125.80645161290323</v>
      </c>
      <c r="BH32" s="25">
        <f t="shared" si="30"/>
        <v>3270.9677419354848</v>
      </c>
      <c r="BI32" s="26">
        <f t="shared" si="12"/>
        <v>1</v>
      </c>
      <c r="BJ32" s="37">
        <f t="shared" si="31"/>
        <v>3270.9677419354848</v>
      </c>
      <c r="BK32" s="28">
        <f t="shared" si="32"/>
        <v>59.42</v>
      </c>
      <c r="BL32" s="31"/>
      <c r="BM32" s="31"/>
      <c r="BN32" s="31">
        <v>13.489000000000001</v>
      </c>
      <c r="BO32" s="40"/>
      <c r="BP32" s="40"/>
      <c r="BQ32" s="32">
        <v>2.5990000000000002</v>
      </c>
      <c r="BR32" s="33">
        <v>2.11</v>
      </c>
      <c r="BS32" s="34"/>
      <c r="BT32" s="35"/>
      <c r="BU32" s="35"/>
      <c r="BV32" s="235"/>
      <c r="BW32" s="235"/>
      <c r="BX32" s="36"/>
      <c r="BY32" s="33">
        <v>38.659999999999997</v>
      </c>
      <c r="BZ32" s="34"/>
      <c r="CA32" s="35"/>
      <c r="CB32" s="35">
        <v>43.29</v>
      </c>
      <c r="CC32" s="235"/>
      <c r="CD32" s="235"/>
      <c r="CE32" s="36">
        <v>44.25</v>
      </c>
      <c r="CF32" s="28">
        <f t="shared" si="33"/>
        <v>30.515999999999998</v>
      </c>
      <c r="CG32" s="30"/>
      <c r="CH32" s="31">
        <v>29.183</v>
      </c>
      <c r="CI32" s="50"/>
      <c r="CJ32" s="33">
        <v>2.73</v>
      </c>
      <c r="CK32" s="33"/>
      <c r="CL32" s="35">
        <v>2.73</v>
      </c>
      <c r="CM32" s="36"/>
      <c r="CN32" s="286"/>
      <c r="CO32" s="249">
        <f t="shared" si="38"/>
        <v>58.166238</v>
      </c>
      <c r="CP32" s="12">
        <f t="shared" si="38"/>
        <v>0</v>
      </c>
      <c r="CQ32" s="12">
        <f t="shared" si="38"/>
        <v>0</v>
      </c>
      <c r="CR32" s="12">
        <f t="shared" si="38"/>
        <v>13.489000000000001</v>
      </c>
      <c r="CS32" s="11">
        <f t="shared" si="38"/>
        <v>0</v>
      </c>
      <c r="CT32" s="11">
        <f t="shared" si="38"/>
        <v>0</v>
      </c>
      <c r="CU32" s="272">
        <f t="shared" si="38"/>
        <v>2.5990000000000002</v>
      </c>
      <c r="CV32" s="249">
        <f t="shared" si="14"/>
        <v>29.682913199999998</v>
      </c>
      <c r="CW32" s="11">
        <f t="shared" si="14"/>
        <v>0</v>
      </c>
      <c r="CX32" s="249">
        <f t="shared" si="14"/>
        <v>28.3863041</v>
      </c>
      <c r="CY32" s="272">
        <f t="shared" si="14"/>
        <v>0</v>
      </c>
      <c r="CZ32" s="13"/>
      <c r="DA32" s="240">
        <f>(D32+'[2]октябрь 20 '!D32)/(AY32+'[2]октябрь 20 '!BA32)</f>
        <v>2.1487311299096858</v>
      </c>
      <c r="DB32" s="241">
        <f>(T32+'[2]октябрь 20 '!T32)/(AY32+'[2]октябрь 20 '!BA32)</f>
        <v>1.3508047085252757</v>
      </c>
      <c r="DD32" s="292">
        <f t="shared" si="15"/>
        <v>2.6110000000000002</v>
      </c>
      <c r="DE32" s="291">
        <v>1.54</v>
      </c>
      <c r="DF32" s="291">
        <v>20.88</v>
      </c>
      <c r="DG32" s="145">
        <f t="shared" si="16"/>
        <v>2.5707906</v>
      </c>
      <c r="DH32" s="293">
        <f t="shared" si="34"/>
        <v>0.71021576776925111</v>
      </c>
      <c r="DJ32" s="38">
        <v>51.42</v>
      </c>
      <c r="DK32" s="460">
        <f t="shared" si="35"/>
        <v>59.42</v>
      </c>
      <c r="DL32" s="30">
        <v>16.515999999999998</v>
      </c>
      <c r="DM32" s="460">
        <f t="shared" si="36"/>
        <v>30.515999999999998</v>
      </c>
    </row>
    <row r="33" spans="1:117" s="76" customFormat="1" ht="16.5" customHeight="1" thickBot="1">
      <c r="A33" s="144">
        <v>27</v>
      </c>
      <c r="B33" s="122">
        <f t="shared" si="17"/>
        <v>243.137</v>
      </c>
      <c r="C33" s="123">
        <f t="shared" si="18"/>
        <v>1.428042297141118</v>
      </c>
      <c r="D33" s="145">
        <f t="shared" si="19"/>
        <v>239.6649008</v>
      </c>
      <c r="E33" s="125">
        <f t="shared" si="20"/>
        <v>39.480222343781492</v>
      </c>
      <c r="F33" s="146">
        <f t="shared" si="0"/>
        <v>2.3149319115232303</v>
      </c>
      <c r="G33" s="127">
        <v>4.8</v>
      </c>
      <c r="H33" s="126">
        <f t="shared" si="21"/>
        <v>1.7695344421906696</v>
      </c>
      <c r="I33" s="230">
        <f>'[1]июль 20'!AI32</f>
        <v>0</v>
      </c>
      <c r="J33" s="439">
        <f>'[1]октябрь 20'!AA32</f>
        <v>9.3759999999999994</v>
      </c>
      <c r="K33" s="464">
        <f>'[1]сентябрь 20'!AM32</f>
        <v>0</v>
      </c>
      <c r="L33" s="441">
        <f>'[1]октябрь 20'!AE32</f>
        <v>56.465000000000003</v>
      </c>
      <c r="M33" s="469">
        <f t="shared" si="22"/>
        <v>0.54539746933256061</v>
      </c>
      <c r="N33" s="403">
        <f>'[1]октябрь 20'!W32</f>
        <v>0</v>
      </c>
      <c r="O33" s="403">
        <f>'[1]октябрь 20'!AU32</f>
        <v>3.8540000000000001</v>
      </c>
      <c r="P33" s="401">
        <f t="shared" si="1"/>
        <v>163.27499999999998</v>
      </c>
      <c r="Q33" s="122">
        <f t="shared" si="23"/>
        <v>163.27499999999998</v>
      </c>
      <c r="R33" s="123">
        <f t="shared" si="24"/>
        <v>2.6600000000000006</v>
      </c>
      <c r="S33" s="501">
        <v>11.76</v>
      </c>
      <c r="T33" s="125">
        <f t="shared" si="2"/>
        <v>158.93188499999999</v>
      </c>
      <c r="U33" s="147">
        <f t="shared" si="3"/>
        <v>1.5351288032454362</v>
      </c>
      <c r="V33" s="130">
        <v>103.53</v>
      </c>
      <c r="W33" s="130">
        <v>103.53</v>
      </c>
      <c r="X33" s="129">
        <v>0.67</v>
      </c>
      <c r="Y33" s="150">
        <v>580</v>
      </c>
      <c r="Z33" s="150">
        <v>1139</v>
      </c>
      <c r="AA33" s="148" t="s">
        <v>253</v>
      </c>
      <c r="AB33" s="149">
        <v>76.2</v>
      </c>
      <c r="AC33" s="150">
        <v>94</v>
      </c>
      <c r="AD33" s="151">
        <v>4</v>
      </c>
      <c r="AE33" s="149">
        <v>7.15</v>
      </c>
      <c r="AF33" s="134">
        <f t="shared" si="4"/>
        <v>69.062107601661367</v>
      </c>
      <c r="AG33" s="152"/>
      <c r="AH33" s="129">
        <v>55.3</v>
      </c>
      <c r="AI33" s="134">
        <f t="shared" si="5"/>
        <v>534.1446923597025</v>
      </c>
      <c r="AJ33" s="136">
        <v>13.41</v>
      </c>
      <c r="AK33" s="154"/>
      <c r="AL33" s="155">
        <v>5.87</v>
      </c>
      <c r="AM33" s="478">
        <f t="shared" si="37"/>
        <v>27.09</v>
      </c>
      <c r="AN33" s="126">
        <f t="shared" si="26"/>
        <v>0.2</v>
      </c>
      <c r="AO33" s="157" t="s">
        <v>437</v>
      </c>
      <c r="AP33" s="156">
        <v>8.09</v>
      </c>
      <c r="AQ33" s="156">
        <v>7.68</v>
      </c>
      <c r="AR33" s="151"/>
      <c r="AS33" s="149">
        <v>7.34</v>
      </c>
      <c r="AT33" s="149">
        <v>135.44999999999999</v>
      </c>
      <c r="AU33" s="149">
        <v>1.04</v>
      </c>
      <c r="AV33" s="149"/>
      <c r="AW33" s="149"/>
      <c r="AX33" s="158">
        <f t="shared" si="6"/>
        <v>0</v>
      </c>
      <c r="AY33" s="125">
        <f t="shared" si="7"/>
        <v>103.52999999999999</v>
      </c>
      <c r="AZ33" s="125">
        <f t="shared" si="27"/>
        <v>110.60634358017224</v>
      </c>
      <c r="BA33" s="159">
        <f t="shared" si="8"/>
        <v>3.1443112676056337</v>
      </c>
      <c r="BB33" s="160">
        <f t="shared" si="9"/>
        <v>4.1411999999999995</v>
      </c>
      <c r="BC33" s="161">
        <f t="shared" si="10"/>
        <v>0.83375252030565961</v>
      </c>
      <c r="BD33" s="160">
        <f t="shared" si="28"/>
        <v>7.2855112676056333</v>
      </c>
      <c r="BE33" s="162">
        <v>0.86099999999999999</v>
      </c>
      <c r="BF33" s="25">
        <f t="shared" si="29"/>
        <v>2907.3600000000006</v>
      </c>
      <c r="BG33" s="25">
        <f t="shared" si="11"/>
        <v>125.80645161290323</v>
      </c>
      <c r="BH33" s="25">
        <f t="shared" si="30"/>
        <v>3396.7741935483882</v>
      </c>
      <c r="BI33" s="26">
        <f t="shared" si="12"/>
        <v>1</v>
      </c>
      <c r="BJ33" s="37">
        <f t="shared" si="31"/>
        <v>3396.7741935483882</v>
      </c>
      <c r="BK33" s="28">
        <f t="shared" si="32"/>
        <v>186.672</v>
      </c>
      <c r="BL33" s="31"/>
      <c r="BM33" s="31"/>
      <c r="BN33" s="31">
        <v>47.067999999999998</v>
      </c>
      <c r="BO33" s="40"/>
      <c r="BP33" s="40"/>
      <c r="BQ33" s="32">
        <v>9.3970000000000002</v>
      </c>
      <c r="BR33" s="33">
        <v>1.86</v>
      </c>
      <c r="BS33" s="34"/>
      <c r="BT33" s="35"/>
      <c r="BU33" s="35"/>
      <c r="BV33" s="235"/>
      <c r="BW33" s="235"/>
      <c r="BX33" s="36"/>
      <c r="BY33" s="33">
        <v>38.28</v>
      </c>
      <c r="BZ33" s="34"/>
      <c r="CA33" s="35"/>
      <c r="CB33" s="35">
        <v>43.31</v>
      </c>
      <c r="CC33" s="235"/>
      <c r="CD33" s="235"/>
      <c r="CE33" s="36">
        <v>44.14</v>
      </c>
      <c r="CF33" s="28">
        <f t="shared" si="33"/>
        <v>71.384999999999991</v>
      </c>
      <c r="CG33" s="30"/>
      <c r="CH33" s="31">
        <v>91.89</v>
      </c>
      <c r="CI33" s="32"/>
      <c r="CJ33" s="33">
        <v>2.66</v>
      </c>
      <c r="CK33" s="33"/>
      <c r="CL33" s="35">
        <v>2.66</v>
      </c>
      <c r="CM33" s="36"/>
      <c r="CN33" s="270"/>
      <c r="CO33" s="249">
        <f t="shared" si="38"/>
        <v>183.19990079999999</v>
      </c>
      <c r="CP33" s="12">
        <f t="shared" si="38"/>
        <v>0</v>
      </c>
      <c r="CQ33" s="12">
        <f t="shared" si="38"/>
        <v>0</v>
      </c>
      <c r="CR33" s="12">
        <f t="shared" si="38"/>
        <v>47.067999999999998</v>
      </c>
      <c r="CS33" s="11">
        <f t="shared" si="38"/>
        <v>0</v>
      </c>
      <c r="CT33" s="11">
        <f t="shared" si="38"/>
        <v>0</v>
      </c>
      <c r="CU33" s="272">
        <f t="shared" si="38"/>
        <v>9.3970000000000002</v>
      </c>
      <c r="CV33" s="249">
        <f t="shared" si="14"/>
        <v>69.486159000000001</v>
      </c>
      <c r="CW33" s="12">
        <f t="shared" si="14"/>
        <v>0</v>
      </c>
      <c r="CX33" s="254">
        <f t="shared" si="14"/>
        <v>89.445726000000008</v>
      </c>
      <c r="CY33" s="275">
        <f t="shared" si="14"/>
        <v>0</v>
      </c>
      <c r="CZ33" s="13"/>
      <c r="DA33" s="240">
        <f>(D33+'[2]октябрь 20 '!D33)/(AY33+'[2]октябрь 20 '!BA33)</f>
        <v>2.1082378564912259</v>
      </c>
      <c r="DB33" s="241">
        <f>(T33+'[2]октябрь 20 '!T33)/(AY33+'[2]октябрь 20 '!BA33)</f>
        <v>1.3247570522444347</v>
      </c>
      <c r="DD33" s="292">
        <f t="shared" si="15"/>
        <v>9.3759999999999994</v>
      </c>
      <c r="DE33" s="291">
        <v>0.98</v>
      </c>
      <c r="DF33" s="291">
        <v>18.079999999999998</v>
      </c>
      <c r="DG33" s="145">
        <f t="shared" si="16"/>
        <v>9.2841151999999987</v>
      </c>
      <c r="DH33" s="293">
        <f t="shared" si="34"/>
        <v>2.2028451813123358</v>
      </c>
      <c r="DJ33" s="38">
        <v>178.672</v>
      </c>
      <c r="DK33" s="460">
        <f t="shared" si="35"/>
        <v>186.672</v>
      </c>
      <c r="DL33" s="30">
        <v>57.384999999999998</v>
      </c>
      <c r="DM33" s="460">
        <f t="shared" si="36"/>
        <v>71.384999999999991</v>
      </c>
    </row>
    <row r="34" spans="1:117" s="76" customFormat="1" ht="16.5" customHeight="1" thickBot="1">
      <c r="A34" s="144">
        <v>28</v>
      </c>
      <c r="B34" s="122">
        <f t="shared" si="17"/>
        <v>275.34999999999997</v>
      </c>
      <c r="C34" s="123">
        <f t="shared" si="18"/>
        <v>1.1739798075177048</v>
      </c>
      <c r="D34" s="145">
        <f t="shared" si="19"/>
        <v>272.11744659999994</v>
      </c>
      <c r="E34" s="125">
        <f t="shared" si="20"/>
        <v>39.280932485927003</v>
      </c>
      <c r="F34" s="146">
        <f t="shared" si="0"/>
        <v>2.2166621586836097</v>
      </c>
      <c r="G34" s="127"/>
      <c r="H34" s="126">
        <f t="shared" si="21"/>
        <v>1.6947331915933528</v>
      </c>
      <c r="I34" s="230">
        <f>'[1]июль 20'!AI33</f>
        <v>0</v>
      </c>
      <c r="J34" s="439">
        <f>'[1]октябрь 20'!AA33</f>
        <v>10.598000000000001</v>
      </c>
      <c r="K34" s="464">
        <f>'[1]сентябрь 20'!AM33</f>
        <v>0</v>
      </c>
      <c r="L34" s="441">
        <f>'[1]октябрь 20'!AE33</f>
        <v>64.072000000000003</v>
      </c>
      <c r="M34" s="468">
        <f t="shared" si="22"/>
        <v>0.52192896709025738</v>
      </c>
      <c r="N34" s="403">
        <f>'[1]октябрь 20'!W33</f>
        <v>0</v>
      </c>
      <c r="O34" s="403">
        <f>'[1]октябрь 20'!AU33</f>
        <v>5.5149999999999997</v>
      </c>
      <c r="P34" s="401">
        <f t="shared" si="1"/>
        <v>184.58100000000002</v>
      </c>
      <c r="Q34" s="122">
        <f t="shared" si="23"/>
        <v>184.58100000000002</v>
      </c>
      <c r="R34" s="123">
        <f t="shared" si="24"/>
        <v>2.4</v>
      </c>
      <c r="S34" s="501">
        <v>15.79</v>
      </c>
      <c r="T34" s="125">
        <f t="shared" si="2"/>
        <v>180.15105600000001</v>
      </c>
      <c r="U34" s="147">
        <f t="shared" si="3"/>
        <v>1.4675061583577713</v>
      </c>
      <c r="V34" s="169">
        <v>122.76</v>
      </c>
      <c r="W34" s="169">
        <v>101.17</v>
      </c>
      <c r="X34" s="170">
        <v>0.61</v>
      </c>
      <c r="Y34" s="166">
        <v>594</v>
      </c>
      <c r="Z34" s="166">
        <v>1168</v>
      </c>
      <c r="AA34" s="148" t="s">
        <v>120</v>
      </c>
      <c r="AB34" s="164">
        <v>76.09</v>
      </c>
      <c r="AC34" s="166">
        <v>107</v>
      </c>
      <c r="AD34" s="171">
        <v>5</v>
      </c>
      <c r="AE34" s="164">
        <v>9.8000000000000007</v>
      </c>
      <c r="AF34" s="172">
        <f t="shared" si="4"/>
        <v>79.830563701531446</v>
      </c>
      <c r="AG34" s="173"/>
      <c r="AH34" s="170">
        <v>78.25</v>
      </c>
      <c r="AI34" s="134">
        <f t="shared" si="5"/>
        <v>637.42261322906484</v>
      </c>
      <c r="AJ34" s="174">
        <v>14.48</v>
      </c>
      <c r="AK34" s="175"/>
      <c r="AL34" s="176">
        <v>8.36</v>
      </c>
      <c r="AM34" s="478">
        <f t="shared" si="37"/>
        <v>32.17</v>
      </c>
      <c r="AN34" s="126">
        <f t="shared" si="26"/>
        <v>0.2</v>
      </c>
      <c r="AO34" s="178" t="s">
        <v>428</v>
      </c>
      <c r="AP34" s="177">
        <v>7.48</v>
      </c>
      <c r="AQ34" s="177">
        <v>8.34</v>
      </c>
      <c r="AR34" s="171"/>
      <c r="AS34" s="164">
        <v>6.44</v>
      </c>
      <c r="AT34" s="149">
        <v>160.85</v>
      </c>
      <c r="AU34" s="164">
        <v>2.44</v>
      </c>
      <c r="AV34" s="164"/>
      <c r="AW34" s="164"/>
      <c r="AX34" s="179">
        <f t="shared" si="6"/>
        <v>0</v>
      </c>
      <c r="AY34" s="125">
        <f t="shared" si="7"/>
        <v>122.76</v>
      </c>
      <c r="AZ34" s="125">
        <f t="shared" si="27"/>
        <v>124.68669889614917</v>
      </c>
      <c r="BA34" s="159">
        <f t="shared" si="8"/>
        <v>3.9036830985915492</v>
      </c>
      <c r="BB34" s="159">
        <f t="shared" si="9"/>
        <v>4.9104000000000001</v>
      </c>
      <c r="BC34" s="180">
        <f t="shared" si="10"/>
        <v>0.87386890854838195</v>
      </c>
      <c r="BD34" s="159">
        <f t="shared" si="28"/>
        <v>8.8140830985915493</v>
      </c>
      <c r="BE34" s="167">
        <v>0.86099999999999999</v>
      </c>
      <c r="BF34" s="25">
        <f t="shared" si="29"/>
        <v>3030.1200000000008</v>
      </c>
      <c r="BG34" s="25">
        <f t="shared" si="11"/>
        <v>125.80645161290323</v>
      </c>
      <c r="BH34" s="25">
        <f t="shared" si="30"/>
        <v>3522.5806451612916</v>
      </c>
      <c r="BI34" s="26">
        <f t="shared" si="12"/>
        <v>1</v>
      </c>
      <c r="BJ34" s="37">
        <f t="shared" si="31"/>
        <v>3522.5806451612916</v>
      </c>
      <c r="BK34" s="28">
        <f t="shared" si="32"/>
        <v>211.27799999999999</v>
      </c>
      <c r="BL34" s="30"/>
      <c r="BM34" s="43"/>
      <c r="BN34" s="43">
        <v>53.494</v>
      </c>
      <c r="BO34" s="281"/>
      <c r="BP34" s="281"/>
      <c r="BQ34" s="44">
        <v>10.577999999999999</v>
      </c>
      <c r="BR34" s="45">
        <v>1.53</v>
      </c>
      <c r="BS34" s="46"/>
      <c r="BT34" s="47"/>
      <c r="BU34" s="47"/>
      <c r="BV34" s="283"/>
      <c r="BW34" s="283"/>
      <c r="BX34" s="48"/>
      <c r="BY34" s="45">
        <v>38.020000000000003</v>
      </c>
      <c r="BZ34" s="46"/>
      <c r="CA34" s="47"/>
      <c r="CB34" s="47">
        <v>43.32</v>
      </c>
      <c r="CC34" s="283"/>
      <c r="CD34" s="283"/>
      <c r="CE34" s="48">
        <v>44.04</v>
      </c>
      <c r="CF34" s="28">
        <f t="shared" si="33"/>
        <v>79.298000000000002</v>
      </c>
      <c r="CG34" s="49"/>
      <c r="CH34" s="43">
        <v>105.283</v>
      </c>
      <c r="CI34" s="32"/>
      <c r="CJ34" s="33">
        <v>2.4</v>
      </c>
      <c r="CK34" s="33"/>
      <c r="CL34" s="35">
        <v>2.4</v>
      </c>
      <c r="CM34" s="36"/>
      <c r="CN34" s="270"/>
      <c r="CO34" s="249">
        <f t="shared" si="38"/>
        <v>208.04544659999999</v>
      </c>
      <c r="CP34" s="12">
        <f t="shared" si="38"/>
        <v>0</v>
      </c>
      <c r="CQ34" s="12">
        <f t="shared" si="38"/>
        <v>0</v>
      </c>
      <c r="CR34" s="12">
        <f t="shared" si="38"/>
        <v>53.494</v>
      </c>
      <c r="CS34" s="11">
        <f t="shared" si="38"/>
        <v>0</v>
      </c>
      <c r="CT34" s="11">
        <f t="shared" si="38"/>
        <v>0</v>
      </c>
      <c r="CU34" s="272">
        <f t="shared" si="38"/>
        <v>10.577999999999999</v>
      </c>
      <c r="CV34" s="249">
        <f t="shared" si="14"/>
        <v>77.394847999999996</v>
      </c>
      <c r="CW34" s="12">
        <f t="shared" si="14"/>
        <v>0</v>
      </c>
      <c r="CX34" s="249">
        <f t="shared" si="14"/>
        <v>102.756208</v>
      </c>
      <c r="CY34" s="272">
        <f t="shared" si="14"/>
        <v>0</v>
      </c>
      <c r="CZ34" s="13"/>
      <c r="DA34" s="240">
        <f>(D34+'[2]октябрь 20 '!D34)/(AY34+'[2]октябрь 20 '!BA34)</f>
        <v>2.1904024188847595</v>
      </c>
      <c r="DB34" s="241">
        <f>(T34+'[2]октябрь 20 '!T34)/(AY34+'[2]октябрь 20 '!BA34)</f>
        <v>1.3789691973920286</v>
      </c>
      <c r="DD34" s="292">
        <f t="shared" si="15"/>
        <v>10.598000000000001</v>
      </c>
      <c r="DE34" s="291">
        <v>0.88</v>
      </c>
      <c r="DF34" s="291">
        <v>14.84</v>
      </c>
      <c r="DG34" s="145">
        <f t="shared" si="16"/>
        <v>10.504737600000002</v>
      </c>
      <c r="DH34" s="293">
        <f t="shared" si="34"/>
        <v>2.0487620710211596</v>
      </c>
      <c r="DJ34" s="38">
        <v>203.27799999999999</v>
      </c>
      <c r="DK34" s="460">
        <f t="shared" si="35"/>
        <v>211.27799999999999</v>
      </c>
      <c r="DL34" s="49">
        <v>65.298000000000002</v>
      </c>
      <c r="DM34" s="460">
        <f t="shared" si="36"/>
        <v>79.298000000000002</v>
      </c>
    </row>
    <row r="35" spans="1:117" s="76" customFormat="1" ht="16.5" customHeight="1" thickBot="1">
      <c r="A35" s="144">
        <v>29</v>
      </c>
      <c r="B35" s="122">
        <f t="shared" si="17"/>
        <v>277.90199999999999</v>
      </c>
      <c r="C35" s="123">
        <f t="shared" si="18"/>
        <v>0.85893991407042791</v>
      </c>
      <c r="D35" s="145">
        <f t="shared" si="19"/>
        <v>275.51498879999997</v>
      </c>
      <c r="E35" s="125">
        <f t="shared" si="20"/>
        <v>39.336243567876437</v>
      </c>
      <c r="F35" s="146">
        <f t="shared" si="0"/>
        <v>2.1134933169683947</v>
      </c>
      <c r="G35" s="127">
        <v>12.97</v>
      </c>
      <c r="H35" s="126">
        <f t="shared" si="21"/>
        <v>1.6165924271248846</v>
      </c>
      <c r="I35" s="230">
        <f>'[1]июль 20'!AI34</f>
        <v>0</v>
      </c>
      <c r="J35" s="439">
        <f>'[1]октябрь 20'!AA34</f>
        <v>10.869</v>
      </c>
      <c r="K35" s="464">
        <f>'[1]сентябрь 20'!AM34</f>
        <v>0</v>
      </c>
      <c r="L35" s="441">
        <f>'[1]октябрь 20'!AE34</f>
        <v>64.775999999999996</v>
      </c>
      <c r="M35" s="469">
        <f t="shared" si="22"/>
        <v>0.49690088984351022</v>
      </c>
      <c r="N35" s="403">
        <f>'[1]октябрь 20'!W34</f>
        <v>0</v>
      </c>
      <c r="O35" s="403">
        <f>'[1]октябрь 20'!AU34</f>
        <v>5.45</v>
      </c>
      <c r="P35" s="401">
        <f t="shared" si="1"/>
        <v>185.673</v>
      </c>
      <c r="Q35" s="122">
        <f t="shared" si="23"/>
        <v>185.673</v>
      </c>
      <c r="R35" s="123">
        <f t="shared" si="24"/>
        <v>2.11</v>
      </c>
      <c r="S35" s="501">
        <v>1.95</v>
      </c>
      <c r="T35" s="125">
        <f t="shared" si="2"/>
        <v>181.75529969999999</v>
      </c>
      <c r="U35" s="147">
        <f t="shared" si="3"/>
        <v>1.3942566715250075</v>
      </c>
      <c r="V35" s="130">
        <v>130.36000000000001</v>
      </c>
      <c r="W35" s="130">
        <v>102.97</v>
      </c>
      <c r="X35" s="129">
        <v>0.91</v>
      </c>
      <c r="Y35" s="150">
        <v>604</v>
      </c>
      <c r="Z35" s="150">
        <v>1166</v>
      </c>
      <c r="AA35" s="148" t="s">
        <v>250</v>
      </c>
      <c r="AB35" s="149">
        <v>76.260000000000005</v>
      </c>
      <c r="AC35" s="150">
        <v>108</v>
      </c>
      <c r="AD35" s="151">
        <v>5</v>
      </c>
      <c r="AE35" s="181"/>
      <c r="AF35" s="134">
        <f t="shared" si="4"/>
        <v>0</v>
      </c>
      <c r="AG35" s="182"/>
      <c r="AH35" s="129">
        <v>68.8</v>
      </c>
      <c r="AI35" s="134">
        <f t="shared" si="5"/>
        <v>527.76925437250691</v>
      </c>
      <c r="AJ35" s="136">
        <v>16.739999999999998</v>
      </c>
      <c r="AK35" s="154"/>
      <c r="AL35" s="155">
        <v>6.75</v>
      </c>
      <c r="AM35" s="478">
        <f t="shared" si="37"/>
        <v>33.480000000000004</v>
      </c>
      <c r="AN35" s="126">
        <f t="shared" si="26"/>
        <v>0.2</v>
      </c>
      <c r="AO35" s="184" t="s">
        <v>439</v>
      </c>
      <c r="AP35" s="183">
        <v>7.61</v>
      </c>
      <c r="AQ35" s="183">
        <v>8.7899999999999991</v>
      </c>
      <c r="AR35" s="185"/>
      <c r="AS35" s="181">
        <v>6.24</v>
      </c>
      <c r="AT35" s="149">
        <v>167.4</v>
      </c>
      <c r="AU35" s="181">
        <v>3.19</v>
      </c>
      <c r="AV35" s="149"/>
      <c r="AW35" s="149"/>
      <c r="AX35" s="158">
        <f t="shared" si="6"/>
        <v>0</v>
      </c>
      <c r="AY35" s="125">
        <f t="shared" si="7"/>
        <v>130.36000000000001</v>
      </c>
      <c r="AZ35" s="125">
        <f t="shared" si="27"/>
        <v>126.45268589220794</v>
      </c>
      <c r="BA35" s="159">
        <f t="shared" si="8"/>
        <v>3.325656338028169</v>
      </c>
      <c r="BB35" s="160">
        <f t="shared" si="9"/>
        <v>5.2144000000000004</v>
      </c>
      <c r="BC35" s="161">
        <f t="shared" si="10"/>
        <v>0.91728235119885149</v>
      </c>
      <c r="BD35" s="160">
        <f t="shared" si="28"/>
        <v>8.5400563380281689</v>
      </c>
      <c r="BE35" s="162">
        <v>0.86299999999999999</v>
      </c>
      <c r="BF35" s="25">
        <f t="shared" si="29"/>
        <v>3160.4800000000009</v>
      </c>
      <c r="BG35" s="25">
        <f t="shared" si="11"/>
        <v>125.80645161290323</v>
      </c>
      <c r="BH35" s="25">
        <f t="shared" si="30"/>
        <v>3648.387096774195</v>
      </c>
      <c r="BI35" s="26">
        <f t="shared" si="12"/>
        <v>1</v>
      </c>
      <c r="BJ35" s="37">
        <f t="shared" si="31"/>
        <v>3648.387096774195</v>
      </c>
      <c r="BK35" s="28">
        <f t="shared" si="32"/>
        <v>213.126</v>
      </c>
      <c r="BL35" s="31"/>
      <c r="BM35" s="31"/>
      <c r="BN35" s="31">
        <v>53.99</v>
      </c>
      <c r="BO35" s="40"/>
      <c r="BP35" s="40"/>
      <c r="BQ35" s="32">
        <v>10.786</v>
      </c>
      <c r="BR35" s="33">
        <v>1.1200000000000001</v>
      </c>
      <c r="BS35" s="34"/>
      <c r="BT35" s="35"/>
      <c r="BU35" s="35"/>
      <c r="BV35" s="235"/>
      <c r="BW35" s="235"/>
      <c r="BX35" s="36"/>
      <c r="BY35" s="33">
        <v>38.049999999999997</v>
      </c>
      <c r="BZ35" s="34"/>
      <c r="CA35" s="35"/>
      <c r="CB35" s="35">
        <v>43.47</v>
      </c>
      <c r="CC35" s="235"/>
      <c r="CD35" s="235"/>
      <c r="CE35" s="36">
        <v>44.06</v>
      </c>
      <c r="CF35" s="28">
        <f t="shared" si="33"/>
        <v>79.876000000000005</v>
      </c>
      <c r="CG35" s="30"/>
      <c r="CH35" s="31">
        <v>105.797</v>
      </c>
      <c r="CI35" s="50"/>
      <c r="CJ35" s="33">
        <v>2.11</v>
      </c>
      <c r="CK35" s="33"/>
      <c r="CL35" s="35">
        <v>2.11</v>
      </c>
      <c r="CM35" s="36"/>
      <c r="CN35" s="270"/>
      <c r="CO35" s="249">
        <f t="shared" si="38"/>
        <v>210.73898879999999</v>
      </c>
      <c r="CP35" s="12">
        <f t="shared" si="38"/>
        <v>0</v>
      </c>
      <c r="CQ35" s="12">
        <f t="shared" si="38"/>
        <v>0</v>
      </c>
      <c r="CR35" s="12">
        <f t="shared" si="38"/>
        <v>53.99</v>
      </c>
      <c r="CS35" s="11">
        <f t="shared" si="38"/>
        <v>0</v>
      </c>
      <c r="CT35" s="11">
        <f t="shared" si="38"/>
        <v>0</v>
      </c>
      <c r="CU35" s="272">
        <f t="shared" si="38"/>
        <v>10.786</v>
      </c>
      <c r="CV35" s="249">
        <f t="shared" si="14"/>
        <v>78.19061640000001</v>
      </c>
      <c r="CW35" s="12">
        <f t="shared" si="14"/>
        <v>0</v>
      </c>
      <c r="CX35" s="249">
        <f t="shared" si="14"/>
        <v>103.5646833</v>
      </c>
      <c r="CY35" s="272">
        <f t="shared" si="14"/>
        <v>0</v>
      </c>
      <c r="CZ35" s="13"/>
      <c r="DA35" s="240">
        <f>(D35+'[2]октябрь 20 '!D35)/(AY35+'[2]октябрь 20 '!BA35)</f>
        <v>2.0657857147479102</v>
      </c>
      <c r="DB35" s="241">
        <f>(T35+'[2]октябрь 20 '!T35)/(AY35+'[2]октябрь 20 '!BA35)</f>
        <v>1.290362091399299</v>
      </c>
      <c r="DD35" s="292">
        <f t="shared" si="15"/>
        <v>10.869</v>
      </c>
      <c r="DE35" s="291">
        <v>0.77</v>
      </c>
      <c r="DF35" s="291">
        <v>16.87</v>
      </c>
      <c r="DG35" s="145">
        <f t="shared" si="16"/>
        <v>10.7853087</v>
      </c>
      <c r="DH35" s="293">
        <f t="shared" si="34"/>
        <v>2.3858924438631002</v>
      </c>
      <c r="DJ35" s="38">
        <v>205.126</v>
      </c>
      <c r="DK35" s="460">
        <f t="shared" si="35"/>
        <v>213.126</v>
      </c>
      <c r="DL35" s="30">
        <v>65.876000000000005</v>
      </c>
      <c r="DM35" s="460">
        <f t="shared" si="36"/>
        <v>79.876000000000005</v>
      </c>
    </row>
    <row r="36" spans="1:117" s="76" customFormat="1" ht="16.5" customHeight="1" thickBot="1">
      <c r="A36" s="144">
        <v>30</v>
      </c>
      <c r="B36" s="122">
        <f t="shared" si="17"/>
        <v>255.69</v>
      </c>
      <c r="C36" s="123">
        <f t="shared" si="18"/>
        <v>0.95914975165239158</v>
      </c>
      <c r="D36" s="145">
        <f t="shared" si="19"/>
        <v>253.23755</v>
      </c>
      <c r="E36" s="125">
        <f t="shared" si="20"/>
        <v>39.316475497672961</v>
      </c>
      <c r="F36" s="146">
        <f t="shared" si="0"/>
        <v>2.0433918340998951</v>
      </c>
      <c r="G36" s="127"/>
      <c r="H36" s="126">
        <f t="shared" si="21"/>
        <v>1.5633305091583958</v>
      </c>
      <c r="I36" s="230">
        <f>'[1]июль 20'!AI35</f>
        <v>0</v>
      </c>
      <c r="J36" s="439">
        <f>'[1]октябрь 20'!AA35</f>
        <v>9.9390000000000001</v>
      </c>
      <c r="K36" s="464">
        <f>'[1]сентябрь 20'!AM35</f>
        <v>0</v>
      </c>
      <c r="L36" s="441">
        <f>'[1]октябрь 20'!AE35</f>
        <v>59.494</v>
      </c>
      <c r="M36" s="468">
        <f t="shared" si="22"/>
        <v>0.48006132494149922</v>
      </c>
      <c r="N36" s="403">
        <f>'[1]октябрь 20'!W35</f>
        <v>0</v>
      </c>
      <c r="O36" s="403">
        <f>'[1]октябрь 20'!AU35</f>
        <v>5.875</v>
      </c>
      <c r="P36" s="401">
        <f t="shared" si="1"/>
        <v>170.035</v>
      </c>
      <c r="Q36" s="122">
        <f t="shared" si="23"/>
        <v>170.035</v>
      </c>
      <c r="R36" s="123">
        <f t="shared" si="24"/>
        <v>2.19</v>
      </c>
      <c r="S36" s="501">
        <v>1.66</v>
      </c>
      <c r="T36" s="125">
        <f t="shared" si="2"/>
        <v>166.31123349999999</v>
      </c>
      <c r="U36" s="147">
        <f t="shared" si="3"/>
        <v>1.3419771927701121</v>
      </c>
      <c r="V36" s="130">
        <v>123.93</v>
      </c>
      <c r="W36" s="130">
        <v>64.91</v>
      </c>
      <c r="X36" s="129">
        <v>0.82</v>
      </c>
      <c r="Y36" s="150">
        <v>600</v>
      </c>
      <c r="Z36" s="150">
        <v>1169</v>
      </c>
      <c r="AA36" s="148" t="s">
        <v>252</v>
      </c>
      <c r="AB36" s="149">
        <v>75.95</v>
      </c>
      <c r="AC36" s="150">
        <v>99</v>
      </c>
      <c r="AD36" s="151">
        <v>4</v>
      </c>
      <c r="AE36" s="149"/>
      <c r="AF36" s="134">
        <f t="shared" si="4"/>
        <v>0</v>
      </c>
      <c r="AG36" s="152"/>
      <c r="AH36" s="129">
        <v>78.45</v>
      </c>
      <c r="AI36" s="134">
        <f t="shared" si="5"/>
        <v>633.01863955458725</v>
      </c>
      <c r="AJ36" s="153">
        <v>15.79</v>
      </c>
      <c r="AK36" s="154"/>
      <c r="AL36" s="155">
        <v>7.32</v>
      </c>
      <c r="AM36" s="478">
        <f t="shared" si="37"/>
        <v>32.4</v>
      </c>
      <c r="AN36" s="126">
        <f t="shared" si="26"/>
        <v>0.19999999999999998</v>
      </c>
      <c r="AO36" s="157" t="s">
        <v>144</v>
      </c>
      <c r="AP36" s="156">
        <v>7.73</v>
      </c>
      <c r="AQ36" s="156">
        <v>8.56</v>
      </c>
      <c r="AR36" s="151"/>
      <c r="AS36" s="149">
        <v>7.97</v>
      </c>
      <c r="AT36" s="149">
        <v>162</v>
      </c>
      <c r="AU36" s="149">
        <v>1.65</v>
      </c>
      <c r="AV36" s="149"/>
      <c r="AW36" s="149"/>
      <c r="AX36" s="158">
        <f t="shared" si="6"/>
        <v>0</v>
      </c>
      <c r="AY36" s="125">
        <f t="shared" si="7"/>
        <v>123.93</v>
      </c>
      <c r="AZ36" s="125">
        <f t="shared" si="27"/>
        <v>117.08582553538095</v>
      </c>
      <c r="BA36" s="159">
        <f t="shared" si="8"/>
        <v>4.843458802816901</v>
      </c>
      <c r="BB36" s="160">
        <f t="shared" si="9"/>
        <v>4.9572000000000003</v>
      </c>
      <c r="BC36" s="161">
        <f t="shared" si="10"/>
        <v>0.94536941098555494</v>
      </c>
      <c r="BD36" s="160">
        <f t="shared" si="28"/>
        <v>9.8006588028169013</v>
      </c>
      <c r="BE36" s="162">
        <v>0.86599999999999999</v>
      </c>
      <c r="BF36" s="25">
        <f t="shared" si="29"/>
        <v>3284.4100000000008</v>
      </c>
      <c r="BG36" s="25">
        <f t="shared" si="11"/>
        <v>125.80645161290323</v>
      </c>
      <c r="BH36" s="25">
        <f t="shared" si="30"/>
        <v>3774.1935483870984</v>
      </c>
      <c r="BI36" s="26">
        <f t="shared" si="12"/>
        <v>1</v>
      </c>
      <c r="BJ36" s="37">
        <f t="shared" si="31"/>
        <v>3774.1935483870984</v>
      </c>
      <c r="BK36" s="28">
        <f t="shared" si="32"/>
        <v>196.196</v>
      </c>
      <c r="BL36" s="31"/>
      <c r="BM36" s="31"/>
      <c r="BN36" s="31">
        <v>49.485999999999997</v>
      </c>
      <c r="BO36" s="40"/>
      <c r="BP36" s="40"/>
      <c r="BQ36" s="32">
        <v>10.007999999999999</v>
      </c>
      <c r="BR36" s="33">
        <v>1.25</v>
      </c>
      <c r="BS36" s="34"/>
      <c r="BT36" s="35"/>
      <c r="BU36" s="35"/>
      <c r="BV36" s="235"/>
      <c r="BW36" s="235"/>
      <c r="BX36" s="36"/>
      <c r="BY36" s="33">
        <v>37.979999999999997</v>
      </c>
      <c r="BZ36" s="34"/>
      <c r="CA36" s="35"/>
      <c r="CB36" s="35">
        <v>43.67</v>
      </c>
      <c r="CC36" s="235"/>
      <c r="CD36" s="235"/>
      <c r="CE36" s="36">
        <v>43.99</v>
      </c>
      <c r="CF36" s="28">
        <f t="shared" si="33"/>
        <v>74.460999999999999</v>
      </c>
      <c r="CG36" s="30"/>
      <c r="CH36" s="34">
        <v>95.573999999999998</v>
      </c>
      <c r="CI36" s="50"/>
      <c r="CJ36" s="33">
        <v>2.19</v>
      </c>
      <c r="CK36" s="33"/>
      <c r="CL36" s="35">
        <v>2.19</v>
      </c>
      <c r="CM36" s="36"/>
      <c r="CN36" s="270"/>
      <c r="CO36" s="249">
        <f t="shared" si="38"/>
        <v>193.74355</v>
      </c>
      <c r="CP36" s="12">
        <f t="shared" si="38"/>
        <v>0</v>
      </c>
      <c r="CQ36" s="12">
        <f t="shared" si="38"/>
        <v>0</v>
      </c>
      <c r="CR36" s="12">
        <f t="shared" si="38"/>
        <v>49.485999999999997</v>
      </c>
      <c r="CS36" s="11">
        <f t="shared" si="38"/>
        <v>0</v>
      </c>
      <c r="CT36" s="11">
        <f t="shared" si="38"/>
        <v>0</v>
      </c>
      <c r="CU36" s="272">
        <f t="shared" si="38"/>
        <v>10.007999999999999</v>
      </c>
      <c r="CV36" s="249">
        <f t="shared" si="14"/>
        <v>72.830304099999992</v>
      </c>
      <c r="CW36" s="12">
        <f t="shared" si="14"/>
        <v>0</v>
      </c>
      <c r="CX36" s="249">
        <f t="shared" si="14"/>
        <v>93.480929399999994</v>
      </c>
      <c r="CY36" s="274">
        <f t="shared" si="14"/>
        <v>0</v>
      </c>
      <c r="CZ36" s="13"/>
      <c r="DA36" s="240">
        <f>(D36+'[2]октябрь 20 '!D36)/(AY36+'[2]октябрь 20 '!BA36)</f>
        <v>2.1098884615852693</v>
      </c>
      <c r="DB36" s="241">
        <f>(T36+'[2]октябрь 20 '!T36)/(AY36+'[2]октябрь 20 '!BA36)</f>
        <v>1.3257736529069879</v>
      </c>
      <c r="DD36" s="292">
        <f t="shared" si="15"/>
        <v>9.9390000000000001</v>
      </c>
      <c r="DE36" s="291">
        <v>1.82</v>
      </c>
      <c r="DF36" s="291">
        <v>20.57</v>
      </c>
      <c r="DG36" s="145">
        <f t="shared" si="16"/>
        <v>9.7581102000000008</v>
      </c>
      <c r="DH36" s="293">
        <f t="shared" si="34"/>
        <v>2.6428482793153392</v>
      </c>
      <c r="DJ36" s="38">
        <v>188.196</v>
      </c>
      <c r="DK36" s="460">
        <f t="shared" si="35"/>
        <v>196.196</v>
      </c>
      <c r="DL36" s="30">
        <v>60.460999999999999</v>
      </c>
      <c r="DM36" s="460">
        <f t="shared" si="36"/>
        <v>74.460999999999999</v>
      </c>
    </row>
    <row r="37" spans="1:117" s="76" customFormat="1" ht="16.5" customHeight="1" thickBot="1">
      <c r="A37" s="186">
        <v>31</v>
      </c>
      <c r="B37" s="122">
        <f t="shared" si="17"/>
        <v>275.25599999999997</v>
      </c>
      <c r="C37" s="123">
        <f t="shared" si="18"/>
        <v>0.92472756270526346</v>
      </c>
      <c r="D37" s="187">
        <f t="shared" si="19"/>
        <v>272.71063190000001</v>
      </c>
      <c r="E37" s="285">
        <f t="shared" si="20"/>
        <v>39.536624742058301</v>
      </c>
      <c r="F37" s="189">
        <f t="shared" si="0"/>
        <v>2.9732951580898384</v>
      </c>
      <c r="G37" s="127"/>
      <c r="H37" s="126">
        <f t="shared" si="21"/>
        <v>2.265761359572612</v>
      </c>
      <c r="I37" s="230">
        <f>'[1]июль 20'!AI36</f>
        <v>0</v>
      </c>
      <c r="J37" s="277">
        <f>'[1]октябрь 20'!AA36</f>
        <v>10.762</v>
      </c>
      <c r="K37" s="276">
        <f>'[1]сентябрь 20'!AM36</f>
        <v>0</v>
      </c>
      <c r="L37" s="438">
        <f>'[1]октябрь 20'!AE36</f>
        <v>64.894999999999996</v>
      </c>
      <c r="M37" s="128">
        <f t="shared" si="22"/>
        <v>0.7075337985172262</v>
      </c>
      <c r="N37" s="399">
        <f>'[1]октябрь 20'!W36</f>
        <v>0</v>
      </c>
      <c r="O37" s="403">
        <f>'[1]октябрь 20'!AU36</f>
        <v>6.5430000000000001</v>
      </c>
      <c r="P37" s="125">
        <f t="shared" si="1"/>
        <v>191.29700000000003</v>
      </c>
      <c r="Q37" s="122">
        <f t="shared" si="23"/>
        <v>191.29700000000003</v>
      </c>
      <c r="R37" s="123">
        <f t="shared" si="24"/>
        <v>2.12</v>
      </c>
      <c r="S37" s="501"/>
      <c r="T37" s="125">
        <f t="shared" si="2"/>
        <v>187.24150360000002</v>
      </c>
      <c r="U37" s="191">
        <f t="shared" si="3"/>
        <v>2.0414468338421279</v>
      </c>
      <c r="V37" s="192">
        <v>91.72</v>
      </c>
      <c r="W37" s="192">
        <v>91.72</v>
      </c>
      <c r="X37" s="190">
        <v>0.49</v>
      </c>
      <c r="Y37" s="193">
        <v>623</v>
      </c>
      <c r="Z37" s="194">
        <v>1181</v>
      </c>
      <c r="AA37" s="195" t="s">
        <v>118</v>
      </c>
      <c r="AB37" s="196">
        <v>75.52</v>
      </c>
      <c r="AC37" s="194">
        <v>108</v>
      </c>
      <c r="AD37" s="193">
        <v>4</v>
      </c>
      <c r="AE37" s="196"/>
      <c r="AF37" s="134">
        <f t="shared" si="4"/>
        <v>0</v>
      </c>
      <c r="AG37" s="197"/>
      <c r="AH37" s="190">
        <v>70.8</v>
      </c>
      <c r="AI37" s="134">
        <f t="shared" si="5"/>
        <v>771.91452245965979</v>
      </c>
      <c r="AJ37" s="196">
        <v>12.61</v>
      </c>
      <c r="AK37" s="198"/>
      <c r="AL37" s="199">
        <v>6.89</v>
      </c>
      <c r="AM37" s="478">
        <v>51.39</v>
      </c>
      <c r="AN37" s="126">
        <f t="shared" si="26"/>
        <v>0.34260000000000002</v>
      </c>
      <c r="AO37" s="201" t="s">
        <v>323</v>
      </c>
      <c r="AP37" s="200">
        <v>7.22</v>
      </c>
      <c r="AQ37" s="156">
        <v>7.84</v>
      </c>
      <c r="AR37" s="193"/>
      <c r="AS37" s="196">
        <v>7.81</v>
      </c>
      <c r="AT37" s="242">
        <v>150</v>
      </c>
      <c r="AU37" s="196"/>
      <c r="AV37" s="196"/>
      <c r="AW37" s="196"/>
      <c r="AX37" s="202">
        <f t="shared" si="6"/>
        <v>0</v>
      </c>
      <c r="AY37" s="188">
        <f t="shared" si="7"/>
        <v>91.720000000000013</v>
      </c>
      <c r="AZ37" s="125">
        <f t="shared" si="27"/>
        <v>127.30619713611901</v>
      </c>
      <c r="BA37" s="203">
        <f t="shared" si="8"/>
        <v>4.2833999999999994</v>
      </c>
      <c r="BB37" s="204">
        <f t="shared" si="9"/>
        <v>3.6688000000000005</v>
      </c>
      <c r="BC37" s="205">
        <f t="shared" si="10"/>
        <v>0.64242786057898704</v>
      </c>
      <c r="BD37" s="206">
        <f t="shared" si="28"/>
        <v>7.9521999999999995</v>
      </c>
      <c r="BE37" s="207">
        <v>0.85799999999999998</v>
      </c>
      <c r="BF37" s="25">
        <f t="shared" si="29"/>
        <v>3376.1300000000006</v>
      </c>
      <c r="BG37" s="25">
        <f t="shared" si="11"/>
        <v>125.80645161290323</v>
      </c>
      <c r="BH37" s="25">
        <f t="shared" si="30"/>
        <v>3900.0000000000018</v>
      </c>
      <c r="BI37" s="26">
        <f t="shared" si="12"/>
        <v>1</v>
      </c>
      <c r="BJ37" s="37">
        <f t="shared" si="31"/>
        <v>3900.0000000000018</v>
      </c>
      <c r="BK37" s="28">
        <v>210.36099999999999</v>
      </c>
      <c r="BL37" s="53"/>
      <c r="BM37" s="53"/>
      <c r="BN37" s="53">
        <v>54.042999999999999</v>
      </c>
      <c r="BO37" s="282"/>
      <c r="BP37" s="282"/>
      <c r="BQ37" s="54">
        <v>10.852</v>
      </c>
      <c r="BR37" s="55">
        <v>1.21</v>
      </c>
      <c r="BS37" s="52"/>
      <c r="BT37" s="56"/>
      <c r="BU37" s="56"/>
      <c r="BV37" s="284"/>
      <c r="BW37" s="284"/>
      <c r="BX37" s="57"/>
      <c r="BY37" s="55">
        <v>38.299999999999997</v>
      </c>
      <c r="BZ37" s="52"/>
      <c r="CA37" s="56"/>
      <c r="CB37" s="56">
        <v>43.48</v>
      </c>
      <c r="CC37" s="284"/>
      <c r="CD37" s="284"/>
      <c r="CE37" s="57">
        <v>43.87</v>
      </c>
      <c r="CF37" s="28">
        <f t="shared" si="33"/>
        <v>85.507000000000005</v>
      </c>
      <c r="CG37" s="58"/>
      <c r="CH37" s="52">
        <v>105.79</v>
      </c>
      <c r="CI37" s="54"/>
      <c r="CJ37" s="33">
        <v>2.12</v>
      </c>
      <c r="CK37" s="265"/>
      <c r="CL37" s="59">
        <v>2.12</v>
      </c>
      <c r="CM37" s="60"/>
      <c r="CN37" s="270"/>
      <c r="CO37" s="269">
        <f t="shared" si="38"/>
        <v>207.8156319</v>
      </c>
      <c r="CP37" s="18">
        <f t="shared" si="38"/>
        <v>0</v>
      </c>
      <c r="CQ37" s="18">
        <f t="shared" si="38"/>
        <v>0</v>
      </c>
      <c r="CR37" s="18">
        <f t="shared" si="38"/>
        <v>54.042999999999999</v>
      </c>
      <c r="CS37" s="251">
        <f t="shared" si="38"/>
        <v>0</v>
      </c>
      <c r="CT37" s="11">
        <f t="shared" si="38"/>
        <v>0</v>
      </c>
      <c r="CU37" s="273">
        <f t="shared" si="38"/>
        <v>10.852</v>
      </c>
      <c r="CV37" s="269">
        <f t="shared" si="14"/>
        <v>83.694251600000001</v>
      </c>
      <c r="CW37" s="18">
        <f t="shared" si="14"/>
        <v>0</v>
      </c>
      <c r="CX37" s="261">
        <f t="shared" si="14"/>
        <v>103.547252</v>
      </c>
      <c r="CY37" s="273">
        <f t="shared" si="14"/>
        <v>0</v>
      </c>
      <c r="CZ37" s="13"/>
      <c r="DA37" s="240">
        <f>(D37+'[2]октябрь 20 '!D37)/(AY37+'[2]октябрь 20 '!BA37)</f>
        <v>2.9155801687504792</v>
      </c>
      <c r="DB37" s="241">
        <f>(T37+'[2]октябрь 20 '!T37)/(AY37+'[2]октябрь 20 '!BA37)</f>
        <v>1.831753868221216</v>
      </c>
      <c r="DD37" s="292">
        <f t="shared" si="15"/>
        <v>10.762</v>
      </c>
      <c r="DE37" s="294">
        <v>1.44</v>
      </c>
      <c r="DF37" s="294">
        <v>18.989999999999998</v>
      </c>
      <c r="DG37" s="323">
        <f t="shared" si="16"/>
        <v>10.607027200000001</v>
      </c>
      <c r="DH37" s="293">
        <f t="shared" si="34"/>
        <v>2.6672066542372885</v>
      </c>
      <c r="DJ37" s="51">
        <v>205.12700000000001</v>
      </c>
      <c r="DK37" s="460">
        <f t="shared" si="35"/>
        <v>213.12700000000001</v>
      </c>
      <c r="DL37" s="58">
        <v>65.897000000000006</v>
      </c>
      <c r="DM37" s="460">
        <f>DL37+19.61</f>
        <v>85.507000000000005</v>
      </c>
    </row>
    <row r="38" spans="1:117" s="214" customFormat="1" ht="16.5" customHeight="1" thickBot="1">
      <c r="A38" s="91" t="s">
        <v>56</v>
      </c>
      <c r="B38" s="329">
        <f>SUM(B7:B37)</f>
        <v>7755.5990040000006</v>
      </c>
      <c r="C38" s="330"/>
      <c r="D38" s="331">
        <f>SUM(D7:D37)</f>
        <v>7670.5670917609095</v>
      </c>
      <c r="E38" s="332"/>
      <c r="F38" s="331"/>
      <c r="G38" s="333">
        <f>SUM(G7:G37)</f>
        <v>358.52000000000004</v>
      </c>
      <c r="H38" s="329"/>
      <c r="I38" s="334">
        <f>SUM(I7:I37)</f>
        <v>0</v>
      </c>
      <c r="J38" s="329">
        <f>SUM(J7:J37)</f>
        <v>300.197</v>
      </c>
      <c r="K38" s="329">
        <f>SUM(K7:K37)</f>
        <v>0</v>
      </c>
      <c r="L38" s="329">
        <f>SUM(L7:L37)</f>
        <v>1496.12</v>
      </c>
      <c r="M38" s="335"/>
      <c r="N38" s="329">
        <f>SUM(N7:N37)</f>
        <v>0</v>
      </c>
      <c r="O38" s="329">
        <f>SUM(O7:O37)</f>
        <v>157.79899999999998</v>
      </c>
      <c r="P38" s="330">
        <f>SUM(P7:P37)</f>
        <v>5146.470002</v>
      </c>
      <c r="Q38" s="329">
        <f>SUM(Q7:Q37)</f>
        <v>5146.470002</v>
      </c>
      <c r="R38" s="336">
        <f>IF(Q38=0,0,(CA38*CH38+CE38*CI38+CF38*CJ38)/Q38)</f>
        <v>0</v>
      </c>
      <c r="S38" s="329">
        <f>SUM(S7:S37)</f>
        <v>288.42</v>
      </c>
      <c r="T38" s="331">
        <f>SUM(T7:T37)</f>
        <v>4996.6720981999988</v>
      </c>
      <c r="U38" s="337"/>
      <c r="V38" s="332">
        <f>SUM(V7:V37)</f>
        <v>3204.6500000000005</v>
      </c>
      <c r="W38" s="332">
        <f>SUM(W7:W37)</f>
        <v>2653.0799999999995</v>
      </c>
      <c r="X38" s="338"/>
      <c r="Y38" s="337"/>
      <c r="Z38" s="339"/>
      <c r="AA38" s="340"/>
      <c r="AB38" s="338"/>
      <c r="AC38" s="339"/>
      <c r="AD38" s="339">
        <f>SUM(AD7:AD37)</f>
        <v>141</v>
      </c>
      <c r="AE38" s="332">
        <f>SUM(AE7:AE37)</f>
        <v>72.149999999999991</v>
      </c>
      <c r="AF38" s="341"/>
      <c r="AG38" s="342">
        <f>SUM(AG7:AG37)</f>
        <v>0</v>
      </c>
      <c r="AH38" s="332">
        <f>SUM(AH7:AH37)</f>
        <v>2130.1000000000004</v>
      </c>
      <c r="AI38" s="341"/>
      <c r="AJ38" s="332">
        <f>SUM(AJ7:AJ37)</f>
        <v>493.74000000000007</v>
      </c>
      <c r="AK38" s="343"/>
      <c r="AL38" s="522">
        <f>SUM(AL7:AL37)</f>
        <v>235.77999999999997</v>
      </c>
      <c r="AM38" s="344">
        <f>SUM(AM7:AM37)</f>
        <v>958.30999999999983</v>
      </c>
      <c r="AN38" s="345"/>
      <c r="AO38" s="342"/>
      <c r="AP38" s="332"/>
      <c r="AQ38" s="342"/>
      <c r="AR38" s="342"/>
      <c r="AS38" s="346"/>
      <c r="AT38" s="332">
        <f>SUM(AT7:AT37)</f>
        <v>4503.0499999999993</v>
      </c>
      <c r="AU38" s="332">
        <f>SUM(AU7:AU37)</f>
        <v>67.17</v>
      </c>
      <c r="AV38" s="347">
        <f>SUM(AV7:AV37)</f>
        <v>0</v>
      </c>
      <c r="AW38" s="332">
        <f>SUM(AW7:AW37)</f>
        <v>0</v>
      </c>
      <c r="AX38" s="331"/>
      <c r="AY38" s="332">
        <f>SUM(AY7:AY37)</f>
        <v>3376.1300000000006</v>
      </c>
      <c r="AZ38" s="330">
        <f>SUM(AZ7:AZ37)</f>
        <v>3487.503851267541</v>
      </c>
      <c r="BA38" s="342">
        <f>SUM(BA7:BA37)</f>
        <v>126.18220457746477</v>
      </c>
      <c r="BB38" s="342">
        <f>SUM(BB7:BB37)</f>
        <v>135.04519999999999</v>
      </c>
      <c r="BC38" s="332"/>
      <c r="BD38" s="342">
        <f>SUM(BD7:BD37)</f>
        <v>261.22740457746482</v>
      </c>
      <c r="BE38" s="348"/>
      <c r="BF38" s="19"/>
      <c r="BG38" s="19">
        <f t="shared" si="11"/>
        <v>0</v>
      </c>
      <c r="BH38" s="19"/>
      <c r="BI38" s="208">
        <f>SUM(BI7:BI37)</f>
        <v>31</v>
      </c>
      <c r="BJ38" s="209"/>
      <c r="BK38" s="278">
        <f t="shared" ref="BK38:BQ38" si="39">SUM(BK7:BK37)</f>
        <v>4976.6369999999997</v>
      </c>
      <c r="BL38" s="61">
        <f>SUM(BL7:BL37)</f>
        <v>1282.8419999999999</v>
      </c>
      <c r="BM38" s="61">
        <f t="shared" si="39"/>
        <v>9.9999999999999995E-7</v>
      </c>
      <c r="BN38" s="61">
        <f t="shared" si="39"/>
        <v>842.57000100000005</v>
      </c>
      <c r="BO38" s="61">
        <f t="shared" si="39"/>
        <v>9.9999999999999995E-7</v>
      </c>
      <c r="BP38" s="61">
        <f t="shared" si="39"/>
        <v>9.9999999999999995E-7</v>
      </c>
      <c r="BQ38" s="64">
        <f t="shared" si="39"/>
        <v>653.55000000000007</v>
      </c>
      <c r="BR38" s="63"/>
      <c r="BS38" s="24"/>
      <c r="BT38" s="24"/>
      <c r="BU38" s="24"/>
      <c r="BV38" s="62"/>
      <c r="BW38" s="62"/>
      <c r="BX38" s="65"/>
      <c r="BY38" s="63"/>
      <c r="BZ38" s="24"/>
      <c r="CA38" s="24"/>
      <c r="CB38" s="24"/>
      <c r="CC38" s="62"/>
      <c r="CD38" s="62"/>
      <c r="CE38" s="62"/>
      <c r="CF38" s="66">
        <f>SUM(CF7:CF37)</f>
        <v>2911.1450000000004</v>
      </c>
      <c r="CG38" s="66">
        <f>SUM(CG7:CG37)</f>
        <v>1152.1720009999999</v>
      </c>
      <c r="CH38" s="61">
        <f>SUM(CH7:CH37)</f>
        <v>609.51600100000007</v>
      </c>
      <c r="CI38" s="67">
        <f>SUM(CI7:CI37)</f>
        <v>473.637</v>
      </c>
      <c r="CJ38" s="210"/>
      <c r="CK38" s="266"/>
      <c r="CL38" s="211"/>
      <c r="CM38" s="212"/>
      <c r="CN38" s="213"/>
      <c r="CO38" s="68">
        <f t="shared" ref="CO38:CY38" si="40">SUM(CO7:CO37)</f>
        <v>4903.1943858999985</v>
      </c>
      <c r="CP38" s="69">
        <f t="shared" si="40"/>
        <v>1271.2527020999999</v>
      </c>
      <c r="CQ38" s="70">
        <f t="shared" si="40"/>
        <v>9.9999998999999992E-7</v>
      </c>
      <c r="CR38" s="69">
        <f t="shared" si="40"/>
        <v>842.57000099999993</v>
      </c>
      <c r="CS38" s="72">
        <f t="shared" si="40"/>
        <v>9.9999998999999992E-7</v>
      </c>
      <c r="CT38" s="72">
        <f t="shared" si="40"/>
        <v>9.9999998999999992E-7</v>
      </c>
      <c r="CU38" s="71">
        <f t="shared" si="40"/>
        <v>653.54999976091005</v>
      </c>
      <c r="CV38" s="72">
        <f t="shared" si="40"/>
        <v>2826.3262729000003</v>
      </c>
      <c r="CW38" s="72">
        <f t="shared" si="40"/>
        <v>1114.1954544</v>
      </c>
      <c r="CX38" s="72">
        <f t="shared" si="40"/>
        <v>595.18893000000003</v>
      </c>
      <c r="CY38" s="72">
        <f t="shared" si="40"/>
        <v>460.96144089999996</v>
      </c>
      <c r="CZ38" s="70"/>
      <c r="DA38" s="240">
        <f>(D38+'[2]октябрь 20 '!D38)/(AY38+'[2]октябрь 20 '!BA38)</f>
        <v>2.2130926271213127</v>
      </c>
      <c r="DB38" s="241">
        <f>(T38+'[2]октябрь 20 '!T38)/(AY38+'[2]октябрь 20 '!BA38)</f>
        <v>1.3778730250367193</v>
      </c>
      <c r="DD38" s="295">
        <f>SUM(DD7:DD37)</f>
        <v>300.197</v>
      </c>
      <c r="DE38" s="296">
        <f>(SUMPRODUCT(DD7:DD37,DE7:DE37))/DD38</f>
        <v>0.54404124624829686</v>
      </c>
      <c r="DF38" s="296">
        <f>(SUMPRODUCT(DD7:DD37,DF7:DF37))/DD38</f>
        <v>13.352973214255968</v>
      </c>
      <c r="DG38" s="296">
        <f>(SUMPRODUCT(DE7:DE37,DG7:DG37))/DE38</f>
        <v>297.4986477388004</v>
      </c>
      <c r="DH38" s="324">
        <f>IF(J38=0,0,(DG38*DF38%)/(AB39/100))</f>
        <v>52.196288586802069</v>
      </c>
    </row>
    <row r="39" spans="1:117" s="214" customFormat="1" ht="16.5" customHeight="1" thickBot="1">
      <c r="A39" s="93" t="s">
        <v>57</v>
      </c>
      <c r="B39" s="349">
        <f>B38/AU2</f>
        <v>250.18061303225809</v>
      </c>
      <c r="C39" s="349">
        <f>(BK38*BR39+BM38*BT39+BQ38*BX39+BL38*BS39+BN38*BU39+BO38*BV39+BP38*BW39)/B38</f>
        <v>1.0963938722880631</v>
      </c>
      <c r="D39" s="350">
        <f>D38/AU2</f>
        <v>247.43764812131965</v>
      </c>
      <c r="E39" s="349">
        <f>(BK38*BY39+BM38*CA39+BQ38*CE39+BL38*BZ39+BN38*CB39+BO38*CC39+BP38*CD39)/B38</f>
        <v>39.039711834487719</v>
      </c>
      <c r="F39" s="351">
        <f>IF($AY$38=0,0,$D$38/$AY$38)</f>
        <v>2.2719999205483523</v>
      </c>
      <c r="G39" s="352">
        <f>G38/AU2</f>
        <v>11.565161290322582</v>
      </c>
      <c r="H39" s="353">
        <f>IF($AY$38=0,0,(CP38+CO38+CS38+CQ38+CT38)/AY38)</f>
        <v>1.8288534775023468</v>
      </c>
      <c r="I39" s="349">
        <f>I38/AU2</f>
        <v>0</v>
      </c>
      <c r="J39" s="349">
        <f>J38/AU2</f>
        <v>9.6837741935483876</v>
      </c>
      <c r="K39" s="349">
        <f>K38/AU2</f>
        <v>0</v>
      </c>
      <c r="L39" s="349">
        <f>L38/AU2</f>
        <v>48.261935483870964</v>
      </c>
      <c r="M39" s="354">
        <f>IF($AY$38=0,0,(CR38+CU38)/$AY$38)</f>
        <v>0.44314644304600526</v>
      </c>
      <c r="N39" s="349">
        <f>N38/AU2</f>
        <v>0</v>
      </c>
      <c r="O39" s="349">
        <f>O38/AU2</f>
        <v>5.0902903225806444</v>
      </c>
      <c r="P39" s="349">
        <f>P38/AU2</f>
        <v>166.01516135483871</v>
      </c>
      <c r="Q39" s="349">
        <f>Q38/AU2</f>
        <v>166.01516135483871</v>
      </c>
      <c r="R39" s="349">
        <f>(SUMPRODUCT(R7:R37,Q7:Q37))/Q38</f>
        <v>2.9106922558916333</v>
      </c>
      <c r="S39" s="355">
        <f>S38/AU2</f>
        <v>9.3038709677419362</v>
      </c>
      <c r="T39" s="356"/>
      <c r="U39" s="354">
        <f>IF($AY$38=0,0,$T$38/$AY$38)</f>
        <v>1.4799999106077071</v>
      </c>
      <c r="V39" s="349">
        <f>V38/AU2</f>
        <v>103.37580645161292</v>
      </c>
      <c r="W39" s="349">
        <f>W38/AU2</f>
        <v>85.583225806451594</v>
      </c>
      <c r="X39" s="349">
        <f>(SUMPRODUCT(X7:X37,AY7:AY37))/AY38</f>
        <v>0.72680936456830747</v>
      </c>
      <c r="Y39" s="357">
        <f>AVERAGE(Y7:Y37)</f>
        <v>561.06451612903231</v>
      </c>
      <c r="Z39" s="357">
        <f>AVERAGE(Z7:Z37)</f>
        <v>1157.5483870967741</v>
      </c>
      <c r="AA39" s="357"/>
      <c r="AB39" s="349">
        <f>(SUMPRODUCT(AB7:AB37,AY7:AY37))/AY38</f>
        <v>76.106780426109168</v>
      </c>
      <c r="AC39" s="358">
        <f>AVERAGE(AC7:AC37)</f>
        <v>97.161290322580641</v>
      </c>
      <c r="AD39" s="358">
        <f>AVERAGE(AD7:AD37)</f>
        <v>4.5483870967741939</v>
      </c>
      <c r="AE39" s="349">
        <f>AE38/AU2</f>
        <v>2.3274193548387094</v>
      </c>
      <c r="AF39" s="355">
        <f>IF(AY38=0,0,AE38/AY38*1000)</f>
        <v>21.370622576737265</v>
      </c>
      <c r="AG39" s="356" t="e">
        <f>AG38/$AW$2</f>
        <v>#DIV/0!</v>
      </c>
      <c r="AH39" s="349">
        <f>AH38/AU2</f>
        <v>68.712903225806457</v>
      </c>
      <c r="AI39" s="355">
        <f>IF(AY38=0,0,AH38/AY38*1000)</f>
        <v>630.92949619830983</v>
      </c>
      <c r="AJ39" s="349">
        <f>AJ38/AU2</f>
        <v>15.927096774193551</v>
      </c>
      <c r="AK39" s="359"/>
      <c r="AL39" s="349">
        <f>AL38/AU2</f>
        <v>7.605806451612902</v>
      </c>
      <c r="AM39" s="349">
        <f>AM38/AU2</f>
        <v>30.913225806451607</v>
      </c>
      <c r="AN39" s="360">
        <f>IF(AM39=0,0,AM39/AT39)</f>
        <v>0.21281353749125595</v>
      </c>
      <c r="AO39" s="356"/>
      <c r="AP39" s="349">
        <f>AVERAGE(AP7:AP37)</f>
        <v>7.2154838709677422</v>
      </c>
      <c r="AQ39" s="349">
        <f>AVERAGE(AQ7:AQ37)</f>
        <v>8.2267741935483869</v>
      </c>
      <c r="AR39" s="356"/>
      <c r="AS39" s="349">
        <f>AVERAGE(AS7:AS37)</f>
        <v>7.7900000000000009</v>
      </c>
      <c r="AT39" s="349">
        <f>AT38/AU2</f>
        <v>145.2596774193548</v>
      </c>
      <c r="AU39" s="349">
        <f>AU38/AU2</f>
        <v>2.1667741935483873</v>
      </c>
      <c r="AV39" s="349" t="e">
        <f>AV38/$AW$2</f>
        <v>#DIV/0!</v>
      </c>
      <c r="AW39" s="349" t="e">
        <f>AW38/$AW$2</f>
        <v>#DIV/0!</v>
      </c>
      <c r="AX39" s="349" t="e">
        <f>IF(AY39=0,0,AW39/AY39*100)</f>
        <v>#DIV/0!</v>
      </c>
      <c r="AY39" s="349">
        <f>AY38/AU2</f>
        <v>108.90741935483872</v>
      </c>
      <c r="AZ39" s="349">
        <f>AZ38/AU2</f>
        <v>112.50012423443681</v>
      </c>
      <c r="BA39" s="356"/>
      <c r="BB39" s="356"/>
      <c r="BC39" s="351">
        <f>(AY38*AB39)/(D38*E39)</f>
        <v>0.85804177975916185</v>
      </c>
      <c r="BD39" s="349">
        <f>BD38/AU2</f>
        <v>8.4266904702408016</v>
      </c>
      <c r="BE39" s="361"/>
      <c r="BF39" s="19"/>
      <c r="BG39" s="19"/>
      <c r="BH39" s="19"/>
      <c r="BI39" s="19"/>
      <c r="BJ39" s="215"/>
      <c r="BK39" s="73"/>
      <c r="BL39" s="216"/>
      <c r="BM39" s="216"/>
      <c r="BN39" s="216"/>
      <c r="BO39" s="219"/>
      <c r="BP39" s="219"/>
      <c r="BQ39" s="217"/>
      <c r="BR39" s="73">
        <f>(SUMPRODUCT(BK7:BK37,BR7:BR37))/BK38</f>
        <v>1.4757478614574457</v>
      </c>
      <c r="BS39" s="29">
        <f>(SUMPRODUCT(BL7:BL37,BS7:BS37))/BL38</f>
        <v>0.9034080502509273</v>
      </c>
      <c r="BT39" s="29">
        <f t="shared" ref="BT39:BX39" si="41">(SUMPRODUCT(BM7:BM37,BT7:BT37))/BM38</f>
        <v>9.9999999999999995E-7</v>
      </c>
      <c r="BU39" s="29">
        <f t="shared" si="41"/>
        <v>1.1868450085015546E-15</v>
      </c>
      <c r="BV39" s="29">
        <f t="shared" si="41"/>
        <v>9.9999999999999995E-7</v>
      </c>
      <c r="BW39" s="29">
        <f t="shared" si="41"/>
        <v>9.9999999999999995E-7</v>
      </c>
      <c r="BX39" s="74">
        <f t="shared" si="41"/>
        <v>3.6583275954402866E-8</v>
      </c>
      <c r="BY39" s="73">
        <f t="shared" ref="BY39:CE39" si="42">(SUMPRODUCT(BK7:BK37,BY7:BY37))/BK38</f>
        <v>38.197780720193172</v>
      </c>
      <c r="BZ39" s="29">
        <f t="shared" si="42"/>
        <v>37.212323279094392</v>
      </c>
      <c r="CA39" s="29">
        <f t="shared" si="42"/>
        <v>9.9999999999999995E-7</v>
      </c>
      <c r="CB39" s="29">
        <f t="shared" si="42"/>
        <v>43.320530242804125</v>
      </c>
      <c r="CC39" s="29">
        <f t="shared" si="42"/>
        <v>9.9999999999999995E-7</v>
      </c>
      <c r="CD39" s="29">
        <f t="shared" si="42"/>
        <v>9.9999999999999995E-7</v>
      </c>
      <c r="CE39" s="74">
        <f t="shared" si="42"/>
        <v>43.51885998010863</v>
      </c>
      <c r="CF39" s="218"/>
      <c r="CG39" s="218"/>
      <c r="CH39" s="216"/>
      <c r="CI39" s="219"/>
      <c r="CJ39" s="75">
        <f>(SUMPRODUCT(CF7:CF37,CJ7:CJ37))/CF38</f>
        <v>2.9135864788596928</v>
      </c>
      <c r="CK39" s="75">
        <f>(SUMPRODUCT(CG7:CG37,CK7:CK37))/CG38</f>
        <v>3.2960830993149619</v>
      </c>
      <c r="CL39" s="29">
        <f>(SUMPRODUCT(CH7:CH37,CL7:CL37))/CH38</f>
        <v>2.3505651986977134</v>
      </c>
      <c r="CM39" s="74">
        <f>(SUMPRODUCT(CI7:CI37,CM7:CM37))/CI38</f>
        <v>2.676218095292386</v>
      </c>
      <c r="CN39" s="19"/>
      <c r="CO39" s="596">
        <f>CO38+CP38</f>
        <v>6174.4470879999981</v>
      </c>
      <c r="CP39" s="596"/>
      <c r="CQ39" s="597">
        <f>CQ38+CR38+CU38+CS38+CT38</f>
        <v>1496.1200037609096</v>
      </c>
      <c r="CR39" s="597"/>
      <c r="CS39" s="597"/>
      <c r="CT39" s="597"/>
      <c r="CU39" s="597"/>
      <c r="CV39" s="597">
        <f>CV38+CX38+CY38+CW38</f>
        <v>4996.6720982000006</v>
      </c>
      <c r="CW39" s="597"/>
      <c r="CX39" s="597"/>
      <c r="CY39" s="597"/>
      <c r="DA39" s="236"/>
      <c r="DB39" s="238"/>
      <c r="DD39" s="297"/>
      <c r="DE39" s="298"/>
      <c r="DF39" s="298"/>
      <c r="DG39" s="299"/>
      <c r="DH39" s="300"/>
    </row>
    <row r="40" spans="1:117" s="214" customFormat="1" ht="16.5" customHeight="1" thickBot="1">
      <c r="A40" s="94" t="s">
        <v>58</v>
      </c>
      <c r="B40" s="362"/>
      <c r="C40" s="362"/>
      <c r="D40" s="363"/>
      <c r="E40" s="364">
        <v>37.4</v>
      </c>
      <c r="F40" s="363">
        <v>2.15</v>
      </c>
      <c r="G40" s="365">
        <v>10.346</v>
      </c>
      <c r="H40" s="363">
        <v>1.8274999999999999</v>
      </c>
      <c r="I40" s="363"/>
      <c r="J40" s="363">
        <v>10.064</v>
      </c>
      <c r="K40" s="363"/>
      <c r="L40" s="363"/>
      <c r="M40" s="363">
        <v>0.32250000000000001</v>
      </c>
      <c r="N40" s="363"/>
      <c r="O40" s="363">
        <v>4.4029999999999996</v>
      </c>
      <c r="P40" s="366"/>
      <c r="Q40" s="362"/>
      <c r="R40" s="367"/>
      <c r="S40" s="368">
        <v>14.468</v>
      </c>
      <c r="T40" s="362"/>
      <c r="U40" s="369">
        <v>1.28</v>
      </c>
      <c r="V40" s="370">
        <v>3900</v>
      </c>
      <c r="W40" s="370">
        <v>3900</v>
      </c>
      <c r="X40" s="371"/>
      <c r="Y40" s="371"/>
      <c r="Z40" s="372">
        <v>1190</v>
      </c>
      <c r="AA40" s="372"/>
      <c r="AB40" s="362">
        <v>76</v>
      </c>
      <c r="AC40" s="362"/>
      <c r="AD40" s="362"/>
      <c r="AE40" s="362"/>
      <c r="AF40" s="362"/>
      <c r="AG40" s="362"/>
      <c r="AH40" s="362"/>
      <c r="AI40" s="362">
        <v>730</v>
      </c>
      <c r="AJ40" s="373"/>
      <c r="AK40" s="374"/>
      <c r="AL40" s="375"/>
      <c r="AM40" s="362"/>
      <c r="AN40" s="362"/>
      <c r="AO40" s="362"/>
      <c r="AP40" s="362"/>
      <c r="AQ40" s="362"/>
      <c r="AR40" s="362"/>
      <c r="AS40" s="362"/>
      <c r="AT40" s="376">
        <v>3900</v>
      </c>
      <c r="AU40" s="377">
        <v>46.8</v>
      </c>
      <c r="AV40" s="377"/>
      <c r="AW40" s="378"/>
      <c r="AX40" s="362"/>
      <c r="AY40" s="379">
        <v>125.806</v>
      </c>
      <c r="AZ40" s="362"/>
      <c r="BA40" s="362"/>
      <c r="BB40" s="362"/>
      <c r="BC40" s="363">
        <v>0.9</v>
      </c>
      <c r="BD40" s="362"/>
      <c r="BE40" s="380"/>
      <c r="BF40" s="19"/>
      <c r="BG40" s="19"/>
      <c r="BH40" s="19"/>
      <c r="BI40" s="19"/>
      <c r="BJ40" s="215"/>
      <c r="BK40" s="220"/>
      <c r="BL40" s="221"/>
      <c r="BM40" s="216"/>
      <c r="BN40" s="216"/>
      <c r="BO40" s="219"/>
      <c r="BP40" s="219"/>
      <c r="BQ40" s="217"/>
      <c r="BR40" s="218"/>
      <c r="BS40" s="216"/>
      <c r="BT40" s="216"/>
      <c r="BU40" s="216"/>
      <c r="BV40" s="219"/>
      <c r="BW40" s="219"/>
      <c r="BX40" s="217"/>
      <c r="BY40" s="218"/>
      <c r="BZ40" s="216"/>
      <c r="CA40" s="216"/>
      <c r="CB40" s="216"/>
      <c r="CC40" s="219"/>
      <c r="CD40" s="219"/>
      <c r="CE40" s="217"/>
      <c r="CF40" s="218"/>
      <c r="CG40" s="218"/>
      <c r="CH40" s="216"/>
      <c r="CI40" s="219"/>
      <c r="CJ40" s="220"/>
      <c r="CK40" s="218"/>
      <c r="CL40" s="216"/>
      <c r="CM40" s="217"/>
      <c r="CN40" s="213"/>
      <c r="CO40" s="604">
        <f>CO39+CQ39</f>
        <v>7670.5670917609077</v>
      </c>
      <c r="CP40" s="604"/>
      <c r="CQ40" s="604"/>
      <c r="CR40" s="604"/>
      <c r="CS40" s="604"/>
      <c r="CT40" s="604"/>
      <c r="CU40" s="604"/>
      <c r="DA40" s="237"/>
      <c r="DB40" s="239"/>
      <c r="DD40" s="301"/>
      <c r="DE40" s="302"/>
      <c r="DF40" s="302"/>
      <c r="DG40" s="303"/>
      <c r="DH40" s="304"/>
    </row>
    <row r="41" spans="1:117" s="214" customFormat="1" ht="16.5" customHeight="1" thickBot="1">
      <c r="A41" s="95" t="s">
        <v>59</v>
      </c>
      <c r="B41" s="381"/>
      <c r="C41" s="381"/>
      <c r="D41" s="382"/>
      <c r="E41" s="381"/>
      <c r="F41" s="383">
        <f>F39-F40</f>
        <v>0.1219999205483524</v>
      </c>
      <c r="G41" s="384">
        <f>G39-G40</f>
        <v>1.2191612903225817</v>
      </c>
      <c r="H41" s="383"/>
      <c r="I41" s="385">
        <f>I39-I40</f>
        <v>0</v>
      </c>
      <c r="J41" s="385"/>
      <c r="K41" s="385"/>
      <c r="L41" s="385"/>
      <c r="M41" s="385"/>
      <c r="N41" s="385"/>
      <c r="O41" s="385"/>
      <c r="P41" s="383"/>
      <c r="Q41" s="386"/>
      <c r="R41" s="385">
        <f>R39-R40</f>
        <v>2.9106922558916333</v>
      </c>
      <c r="S41" s="386"/>
      <c r="T41" s="386"/>
      <c r="U41" s="383">
        <f>U39-U40</f>
        <v>0.19999991060770705</v>
      </c>
      <c r="V41" s="383"/>
      <c r="W41" s="383"/>
      <c r="X41" s="383"/>
      <c r="Y41" s="383"/>
      <c r="Z41" s="387">
        <f>Z39-Z40</f>
        <v>-32.45161290322585</v>
      </c>
      <c r="AA41" s="388"/>
      <c r="AB41" s="381"/>
      <c r="AC41" s="381"/>
      <c r="AD41" s="381"/>
      <c r="AE41" s="381"/>
      <c r="AF41" s="381"/>
      <c r="AG41" s="381"/>
      <c r="AH41" s="381"/>
      <c r="AI41" s="381"/>
      <c r="AJ41" s="381"/>
      <c r="AK41" s="389"/>
      <c r="AL41" s="390"/>
      <c r="AM41" s="381"/>
      <c r="AN41" s="381"/>
      <c r="AO41" s="381"/>
      <c r="AP41" s="381"/>
      <c r="AQ41" s="381"/>
      <c r="AR41" s="381"/>
      <c r="AS41" s="381"/>
      <c r="AT41" s="391">
        <f>AT38+AV38-AT40</f>
        <v>603.04999999999927</v>
      </c>
      <c r="AU41" s="392"/>
      <c r="AV41" s="393"/>
      <c r="AW41" s="390"/>
      <c r="AX41" s="381"/>
      <c r="AY41" s="385"/>
      <c r="AZ41" s="381"/>
      <c r="BA41" s="381"/>
      <c r="BB41" s="381"/>
      <c r="BC41" s="394"/>
      <c r="BD41" s="381"/>
      <c r="BE41" s="395"/>
      <c r="BF41" s="222"/>
      <c r="BG41" s="222"/>
      <c r="BH41" s="222"/>
      <c r="BI41" s="222"/>
      <c r="BJ41" s="222"/>
      <c r="BK41" s="223"/>
      <c r="BL41" s="224"/>
      <c r="BM41" s="225"/>
      <c r="BN41" s="225"/>
      <c r="BO41" s="224"/>
      <c r="BP41" s="224"/>
      <c r="BQ41" s="226"/>
      <c r="BR41" s="227"/>
      <c r="BS41" s="225"/>
      <c r="BT41" s="225"/>
      <c r="BU41" s="225"/>
      <c r="BV41" s="224"/>
      <c r="BW41" s="224"/>
      <c r="BX41" s="224"/>
      <c r="BY41" s="228"/>
      <c r="BZ41" s="225"/>
      <c r="CA41" s="225"/>
      <c r="CB41" s="225"/>
      <c r="CC41" s="224"/>
      <c r="CD41" s="224"/>
      <c r="CE41" s="226"/>
      <c r="CF41" s="227"/>
      <c r="CG41" s="227"/>
      <c r="CH41" s="225"/>
      <c r="CI41" s="224"/>
      <c r="CJ41" s="228"/>
      <c r="CK41" s="227"/>
      <c r="CL41" s="225"/>
      <c r="CM41" s="226"/>
      <c r="CN41" s="213"/>
      <c r="CO41" s="213"/>
      <c r="CP41" s="213"/>
      <c r="CQ41" s="213"/>
      <c r="DA41" s="21"/>
      <c r="DH41" s="309"/>
    </row>
    <row r="42" spans="1:117" ht="15" hidden="1" customHeight="1">
      <c r="A42" s="96"/>
      <c r="B42" s="96"/>
      <c r="C42" s="96"/>
      <c r="D42" s="97"/>
      <c r="E42" s="96"/>
      <c r="F42" s="98"/>
      <c r="G42" s="99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1"/>
      <c r="AF42" s="101"/>
      <c r="AG42" s="100"/>
      <c r="AH42" s="100"/>
      <c r="AI42" s="100"/>
      <c r="AJ42" s="100"/>
      <c r="AK42" s="100"/>
      <c r="AL42" s="100"/>
      <c r="AM42" s="100"/>
      <c r="AN42" s="100"/>
      <c r="AO42" s="100"/>
      <c r="AP42" s="100"/>
      <c r="AQ42" s="100"/>
      <c r="AR42" s="100"/>
      <c r="AS42" s="96"/>
      <c r="AT42" s="612"/>
      <c r="AU42" s="612"/>
      <c r="AV42" s="612"/>
      <c r="AW42" s="96"/>
      <c r="AX42" s="96"/>
      <c r="AY42" s="100"/>
      <c r="AZ42" s="100"/>
      <c r="BA42" s="100"/>
      <c r="BB42" s="100"/>
      <c r="BC42" s="100"/>
      <c r="BD42" s="100"/>
      <c r="BE42" s="100"/>
      <c r="BK42" s="20"/>
      <c r="BL42" s="20"/>
      <c r="BM42" s="20"/>
    </row>
    <row r="43" spans="1:117" ht="13.5" thickBot="1">
      <c r="A43" s="100"/>
      <c r="B43" s="100"/>
      <c r="C43" s="100"/>
      <c r="D43" s="102"/>
      <c r="E43" s="100"/>
      <c r="F43" s="100"/>
      <c r="G43" s="96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1"/>
      <c r="AF43" s="101"/>
      <c r="AG43" s="100"/>
      <c r="AH43" s="100"/>
      <c r="AI43" s="100"/>
      <c r="AJ43" s="100"/>
      <c r="AK43" s="100"/>
      <c r="AL43" s="100"/>
      <c r="AM43" s="100"/>
      <c r="AN43" s="100"/>
      <c r="AO43" s="100"/>
      <c r="AP43" s="100"/>
      <c r="AQ43" s="100"/>
      <c r="AR43" s="100"/>
      <c r="AS43" s="96" t="s">
        <v>60</v>
      </c>
      <c r="AT43" s="103">
        <f>AT40/BE43</f>
        <v>125.80645161290323</v>
      </c>
      <c r="AU43" s="104"/>
      <c r="AV43" s="96"/>
      <c r="AW43" s="96" t="s">
        <v>61</v>
      </c>
      <c r="AX43" s="96"/>
      <c r="AY43" s="100"/>
      <c r="AZ43" s="100"/>
      <c r="BA43" s="100"/>
      <c r="BB43" s="100"/>
      <c r="BC43" s="100"/>
      <c r="BD43" s="105" t="s">
        <v>62</v>
      </c>
      <c r="BE43" s="100">
        <v>31</v>
      </c>
    </row>
    <row r="44" spans="1:117" ht="16.5" customHeight="1" thickBot="1">
      <c r="A44" s="100"/>
      <c r="B44" s="100"/>
      <c r="C44" s="100"/>
      <c r="D44" s="102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489" t="s">
        <v>343</v>
      </c>
      <c r="AG44" s="488"/>
      <c r="AH44" s="488"/>
      <c r="AI44" s="488"/>
      <c r="AJ44" s="488"/>
      <c r="AK44" s="488"/>
      <c r="AL44" s="488"/>
      <c r="AM44" s="490">
        <f>AM38/AT38</f>
        <v>0.21281353749125592</v>
      </c>
      <c r="AN44" s="479"/>
      <c r="AO44" s="480" t="s">
        <v>88</v>
      </c>
      <c r="AP44" s="100"/>
      <c r="AQ44" s="100"/>
      <c r="AR44" s="100"/>
      <c r="AS44" s="100"/>
      <c r="AT44" s="100"/>
      <c r="AU44" s="100"/>
      <c r="AV44" s="100"/>
      <c r="AW44" s="100"/>
      <c r="AX44" s="100"/>
      <c r="AY44" s="100"/>
      <c r="AZ44" s="100"/>
      <c r="BA44" s="100"/>
      <c r="BB44" s="100"/>
      <c r="BC44" s="100"/>
      <c r="BD44" s="96"/>
      <c r="BE44" s="96"/>
    </row>
    <row r="45" spans="1:117" ht="13.5" thickBot="1">
      <c r="A45" s="100"/>
      <c r="B45" s="100"/>
      <c r="C45" s="100"/>
      <c r="D45" s="102"/>
      <c r="E45" s="100"/>
      <c r="F45" s="100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101"/>
      <c r="AE45" s="101"/>
      <c r="AF45" s="101"/>
      <c r="AG45" s="100"/>
      <c r="AH45" s="100"/>
      <c r="AI45" s="100"/>
      <c r="AJ45" s="100"/>
      <c r="AK45" s="100"/>
      <c r="AL45" s="100"/>
      <c r="AM45" s="106" t="s">
        <v>63</v>
      </c>
      <c r="AN45" s="106"/>
      <c r="AO45" s="106"/>
      <c r="AP45" s="106"/>
      <c r="AQ45" s="106"/>
      <c r="AR45" s="106"/>
      <c r="AS45" s="107" t="s">
        <v>64</v>
      </c>
      <c r="AT45" s="108">
        <v>30</v>
      </c>
      <c r="AU45" s="108"/>
      <c r="AV45" s="100"/>
      <c r="AW45" s="100"/>
      <c r="AX45" s="100"/>
      <c r="AY45" s="100"/>
      <c r="AZ45" s="100"/>
      <c r="BA45" s="100"/>
      <c r="BB45" s="100"/>
      <c r="BC45" s="100"/>
      <c r="BD45" s="96"/>
      <c r="BE45" s="96"/>
      <c r="BM45" s="1"/>
      <c r="BS45" s="1"/>
    </row>
    <row r="46" spans="1:117" ht="12.75" customHeight="1" thickBot="1">
      <c r="A46" s="100"/>
      <c r="B46" s="100"/>
      <c r="C46" s="109" t="s">
        <v>65</v>
      </c>
      <c r="D46" s="102"/>
      <c r="E46" s="100"/>
      <c r="F46" s="100"/>
      <c r="G46" s="100"/>
      <c r="H46" s="100"/>
      <c r="I46" s="100"/>
      <c r="J46" s="100"/>
      <c r="K46" s="100"/>
      <c r="L46" s="110">
        <f>AT38/AD38</f>
        <v>31.936524822695031</v>
      </c>
      <c r="M46" s="109" t="s">
        <v>88</v>
      </c>
      <c r="N46" s="606"/>
      <c r="O46" s="606"/>
      <c r="P46" s="111"/>
      <c r="Q46" s="100"/>
      <c r="R46" s="100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101"/>
      <c r="AE46" s="101"/>
      <c r="AF46" s="101"/>
      <c r="AG46" s="100"/>
      <c r="AH46" s="100"/>
      <c r="AI46" s="100"/>
      <c r="AJ46" s="100"/>
      <c r="AK46" s="100"/>
      <c r="AL46" s="100"/>
      <c r="AM46" s="100"/>
      <c r="AN46" s="100"/>
      <c r="AO46" s="106"/>
      <c r="AP46" s="106"/>
      <c r="AQ46" s="106"/>
      <c r="AR46" s="106"/>
      <c r="AS46" s="107" t="s">
        <v>66</v>
      </c>
      <c r="AT46" s="112">
        <f>AT40/AT45</f>
        <v>130</v>
      </c>
      <c r="AU46" s="112"/>
      <c r="AV46" s="100"/>
      <c r="AW46" s="100"/>
      <c r="AX46" s="100">
        <v>0</v>
      </c>
      <c r="AY46" s="100"/>
      <c r="AZ46" s="607" t="s">
        <v>67</v>
      </c>
      <c r="BA46" s="607"/>
      <c r="BB46" s="607"/>
      <c r="BC46" s="607"/>
      <c r="BD46" s="607"/>
      <c r="BE46" s="607"/>
    </row>
    <row r="47" spans="1:117">
      <c r="A47" s="100"/>
      <c r="B47" s="100"/>
      <c r="C47" s="100"/>
      <c r="D47" s="102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100"/>
      <c r="AI47" s="100"/>
      <c r="AJ47" s="100"/>
      <c r="AK47" s="100"/>
      <c r="AL47" s="100"/>
      <c r="AM47" s="100"/>
      <c r="AN47" s="100"/>
      <c r="AO47" s="100"/>
      <c r="AP47" s="100"/>
      <c r="AQ47" s="100"/>
      <c r="AR47" s="100"/>
      <c r="AS47" s="100"/>
      <c r="AT47" s="100"/>
      <c r="AU47" s="100"/>
      <c r="AV47" s="100"/>
      <c r="AW47" s="100"/>
      <c r="AX47" s="100"/>
      <c r="AY47" s="100"/>
      <c r="AZ47" s="607"/>
      <c r="BA47" s="607"/>
      <c r="BB47" s="607"/>
      <c r="BC47" s="607"/>
      <c r="BD47" s="607"/>
      <c r="BE47" s="607"/>
    </row>
    <row r="48" spans="1:117">
      <c r="A48" s="100"/>
      <c r="B48" s="100"/>
      <c r="C48" s="100"/>
      <c r="D48" s="102"/>
      <c r="E48" s="100"/>
      <c r="F48" s="100"/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13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  <c r="AE48" s="100"/>
      <c r="AF48" s="100"/>
      <c r="AG48" s="100"/>
      <c r="AH48" s="100"/>
      <c r="AI48" s="100"/>
      <c r="AJ48" s="100"/>
      <c r="AK48" s="100"/>
      <c r="AL48" s="100"/>
      <c r="AM48" s="100"/>
      <c r="AN48" s="100"/>
      <c r="AO48" s="100"/>
      <c r="AP48" s="100"/>
      <c r="AQ48" s="100"/>
      <c r="AR48" s="100"/>
      <c r="AS48" s="100"/>
      <c r="AT48" s="100"/>
      <c r="AU48" s="100"/>
      <c r="AV48" s="100"/>
      <c r="AW48" s="100"/>
      <c r="AX48" s="100"/>
      <c r="AY48" s="100"/>
      <c r="AZ48" s="608">
        <f>BF37-BJ37</f>
        <v>-523.87000000000126</v>
      </c>
      <c r="BA48" s="608"/>
      <c r="BB48" s="608"/>
      <c r="BC48" s="608"/>
      <c r="BD48" s="609" t="s">
        <v>68</v>
      </c>
      <c r="BE48" s="114"/>
    </row>
    <row r="49" spans="1:57" ht="12" customHeight="1">
      <c r="A49" s="100"/>
      <c r="B49" s="100"/>
      <c r="C49" s="100"/>
      <c r="D49" s="102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15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100"/>
      <c r="AI49" s="100"/>
      <c r="AJ49" s="100"/>
      <c r="AK49" s="100"/>
      <c r="AL49" s="100"/>
      <c r="AM49" s="100"/>
      <c r="AN49" s="100"/>
      <c r="AO49" s="100"/>
      <c r="AP49" s="100"/>
      <c r="AQ49" s="100"/>
      <c r="AR49" s="100"/>
      <c r="AS49" s="100"/>
      <c r="AT49" s="100"/>
      <c r="AU49" s="100"/>
      <c r="AV49" s="100"/>
      <c r="AW49" s="100"/>
      <c r="AX49" s="100"/>
      <c r="AY49" s="100"/>
      <c r="AZ49" s="608"/>
      <c r="BA49" s="608"/>
      <c r="BB49" s="608"/>
      <c r="BC49" s="608"/>
      <c r="BD49" s="609"/>
      <c r="BE49" s="114"/>
    </row>
    <row r="50" spans="1:57" ht="13.5" customHeight="1">
      <c r="A50" s="100"/>
      <c r="B50" s="100"/>
      <c r="C50" s="100"/>
      <c r="D50" s="102"/>
      <c r="E50" s="100"/>
      <c r="F50" s="100"/>
      <c r="G50" s="100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100"/>
      <c r="AC50" s="100"/>
      <c r="AD50" s="100"/>
      <c r="AE50" s="100"/>
      <c r="AF50" s="100"/>
      <c r="AG50" s="100"/>
      <c r="AH50" s="100"/>
      <c r="AI50" s="100"/>
      <c r="AJ50" s="100"/>
      <c r="AK50" s="100"/>
      <c r="AL50" s="100"/>
      <c r="AM50" s="100"/>
      <c r="AN50" s="100"/>
      <c r="AO50" s="100"/>
      <c r="AP50" s="100"/>
      <c r="AQ50" s="100"/>
      <c r="AR50" s="100"/>
      <c r="AS50" s="100"/>
      <c r="AT50" s="100"/>
      <c r="AU50" s="100"/>
      <c r="AV50" s="100"/>
      <c r="AW50" s="100"/>
      <c r="AX50" s="100"/>
      <c r="AY50" s="100"/>
      <c r="AZ50" s="116"/>
      <c r="BA50" s="96"/>
      <c r="BB50" s="96"/>
      <c r="BC50" s="96"/>
      <c r="BD50" s="96"/>
      <c r="BE50" s="114"/>
    </row>
    <row r="51" spans="1:57" ht="13.5" customHeight="1" thickBot="1">
      <c r="A51" s="100"/>
      <c r="B51" s="100"/>
      <c r="C51" s="100"/>
      <c r="D51" s="102"/>
      <c r="E51" s="100"/>
      <c r="F51" s="100"/>
      <c r="G51" s="100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0"/>
      <c r="AC51" s="100"/>
      <c r="AD51" s="100"/>
      <c r="AE51" s="100"/>
      <c r="AF51" s="100"/>
      <c r="AG51" s="100"/>
      <c r="AH51" s="100"/>
      <c r="AI51" s="100"/>
      <c r="AJ51" s="100"/>
      <c r="AK51" s="100"/>
      <c r="AL51" s="100"/>
      <c r="AM51" s="100"/>
      <c r="AN51" s="100"/>
      <c r="AO51" s="100"/>
      <c r="AP51" s="100"/>
      <c r="AQ51" s="100"/>
      <c r="AR51" s="100"/>
      <c r="AS51" s="100"/>
      <c r="AT51" s="100"/>
      <c r="AU51" s="100"/>
      <c r="AV51" s="100"/>
      <c r="AW51" s="100"/>
      <c r="AX51" s="100"/>
      <c r="AY51" s="100"/>
      <c r="AZ51" s="610">
        <f>AZ48/AT40*100</f>
        <v>-13.432564102564134</v>
      </c>
      <c r="BA51" s="610"/>
      <c r="BB51" s="610"/>
      <c r="BC51" s="610"/>
      <c r="BD51" s="611" t="s">
        <v>69</v>
      </c>
      <c r="BE51" s="114"/>
    </row>
    <row r="52" spans="1:57" ht="13.5" thickBot="1">
      <c r="A52" s="100"/>
      <c r="B52" s="100"/>
      <c r="C52" s="100"/>
      <c r="D52" s="102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  <c r="AF52" s="100"/>
      <c r="AG52" s="100"/>
      <c r="AH52" s="100"/>
      <c r="AI52" s="100"/>
      <c r="AJ52" s="100"/>
      <c r="AK52" s="100"/>
      <c r="AL52" s="100"/>
      <c r="AM52" s="100"/>
      <c r="AN52" s="100"/>
      <c r="AO52" s="100"/>
      <c r="AP52" s="100"/>
      <c r="AQ52" s="100"/>
      <c r="AR52" s="100"/>
      <c r="AS52" s="100"/>
      <c r="AT52" s="100"/>
      <c r="AU52" s="100"/>
      <c r="AV52" s="100"/>
      <c r="AW52" s="100"/>
      <c r="AX52" s="100"/>
      <c r="AY52" s="100"/>
      <c r="AZ52" s="610"/>
      <c r="BA52" s="610"/>
      <c r="BB52" s="610"/>
      <c r="BC52" s="610"/>
      <c r="BD52" s="611"/>
      <c r="BE52" s="117"/>
    </row>
    <row r="53" spans="1:57">
      <c r="A53" s="100"/>
      <c r="B53" s="100"/>
      <c r="C53" s="100"/>
      <c r="D53" s="102"/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100"/>
      <c r="AI53" s="100"/>
      <c r="AJ53" s="100"/>
      <c r="AK53" s="100"/>
      <c r="AL53" s="100"/>
      <c r="AM53" s="100"/>
      <c r="AN53" s="100"/>
      <c r="AO53" s="100"/>
      <c r="AP53" s="100"/>
      <c r="AQ53" s="100"/>
      <c r="AR53" s="100"/>
      <c r="AS53" s="100"/>
      <c r="AT53" s="100"/>
      <c r="AU53" s="100"/>
      <c r="AV53" s="100"/>
      <c r="AW53" s="100"/>
      <c r="AX53" s="100"/>
      <c r="AY53" s="100"/>
      <c r="AZ53" s="100"/>
      <c r="BA53" s="100"/>
      <c r="BB53" s="100"/>
      <c r="BC53" s="100"/>
      <c r="BD53" s="100"/>
      <c r="BE53" s="100"/>
    </row>
    <row r="54" spans="1:57">
      <c r="A54" s="100"/>
      <c r="B54" s="100"/>
      <c r="C54" s="100"/>
      <c r="D54" s="102"/>
      <c r="E54" s="100"/>
      <c r="F54" s="100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100"/>
      <c r="AI54" s="100"/>
      <c r="AJ54" s="100"/>
      <c r="AK54" s="100"/>
      <c r="AL54" s="100"/>
      <c r="AM54" s="100"/>
      <c r="AN54" s="100"/>
      <c r="AO54" s="100"/>
      <c r="AP54" s="100"/>
      <c r="AQ54" s="100"/>
      <c r="AR54" s="100"/>
      <c r="AS54" s="100"/>
      <c r="AT54" s="100"/>
      <c r="AU54" s="100"/>
      <c r="AV54" s="100"/>
      <c r="AW54" s="100"/>
      <c r="AX54" s="100"/>
      <c r="AY54" s="100"/>
      <c r="AZ54" s="100"/>
      <c r="BA54" s="100"/>
      <c r="BB54" s="100"/>
      <c r="BC54" s="100"/>
      <c r="BD54" s="100"/>
      <c r="BE54" s="100"/>
    </row>
    <row r="55" spans="1:57">
      <c r="A55" s="100"/>
      <c r="B55" s="100"/>
      <c r="C55" s="100"/>
      <c r="D55" s="102"/>
      <c r="E55" s="100"/>
      <c r="F55" s="100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  <c r="AH55" s="100"/>
      <c r="AI55" s="100"/>
      <c r="AJ55" s="100"/>
      <c r="AK55" s="100"/>
      <c r="AL55" s="100"/>
      <c r="AM55" s="100"/>
      <c r="AN55" s="100"/>
      <c r="AO55" s="100"/>
      <c r="AP55" s="100"/>
      <c r="AQ55" s="100"/>
      <c r="AR55" s="100"/>
      <c r="AS55" s="100"/>
      <c r="AT55" s="100"/>
      <c r="AU55" s="100"/>
      <c r="AV55" s="100"/>
      <c r="AW55" s="100"/>
      <c r="AX55" s="100"/>
      <c r="AY55" s="100"/>
      <c r="AZ55" s="100"/>
      <c r="BA55" s="100"/>
      <c r="BB55" s="100"/>
      <c r="BC55" s="100"/>
      <c r="BD55" s="100"/>
      <c r="BE55" s="100"/>
    </row>
    <row r="56" spans="1:57" ht="13.5" thickBot="1">
      <c r="A56" s="100"/>
      <c r="B56" s="100"/>
      <c r="C56" s="100"/>
      <c r="D56" s="102"/>
      <c r="E56" s="100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/>
      <c r="AE56" s="100"/>
      <c r="AF56" s="100"/>
      <c r="AG56" s="100"/>
      <c r="AH56" s="100"/>
      <c r="AI56" s="100"/>
      <c r="AJ56" s="100"/>
      <c r="AK56" s="100"/>
      <c r="AL56" s="100"/>
      <c r="AM56" s="100"/>
      <c r="AN56" s="100"/>
      <c r="AO56" s="100"/>
      <c r="AP56" s="100"/>
      <c r="AQ56" s="100"/>
      <c r="AR56" s="100"/>
      <c r="AS56" s="100"/>
      <c r="AT56" s="100"/>
      <c r="AU56" s="100"/>
      <c r="AV56" s="100"/>
      <c r="AW56" s="100"/>
      <c r="AX56" s="100"/>
      <c r="AY56" s="100"/>
      <c r="AZ56" s="100"/>
      <c r="BA56" s="100"/>
      <c r="BB56" s="100"/>
      <c r="BC56" s="100"/>
      <c r="BD56" s="100"/>
      <c r="BE56" s="100"/>
    </row>
    <row r="57" spans="1:57" ht="15.75">
      <c r="A57" s="100"/>
      <c r="B57" s="100"/>
      <c r="C57" s="100"/>
      <c r="D57" s="102"/>
      <c r="E57" s="100"/>
      <c r="F57" s="100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100"/>
      <c r="AI57" s="100"/>
      <c r="AJ57" s="100"/>
      <c r="AK57" s="100"/>
      <c r="AL57" s="100"/>
      <c r="AM57" s="100"/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X57" s="100"/>
      <c r="AY57" s="100"/>
      <c r="AZ57" s="481" t="s">
        <v>344</v>
      </c>
      <c r="BA57" s="482"/>
      <c r="BB57" s="482"/>
      <c r="BC57" s="482"/>
      <c r="BD57" s="482"/>
      <c r="BE57" s="483"/>
    </row>
    <row r="58" spans="1:57" ht="15.75">
      <c r="A58" s="100"/>
      <c r="B58" s="100"/>
      <c r="C58" s="100"/>
      <c r="D58" s="102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  <c r="AA58" s="100"/>
      <c r="AB58" s="100"/>
      <c r="AC58" s="100"/>
      <c r="AD58" s="100"/>
      <c r="AE58" s="100"/>
      <c r="AF58" s="100"/>
      <c r="AG58" s="100"/>
      <c r="AH58" s="100"/>
      <c r="AI58" s="100"/>
      <c r="AJ58" s="100"/>
      <c r="AK58" s="100"/>
      <c r="AL58" s="100"/>
      <c r="AM58" s="100"/>
      <c r="AN58" s="100"/>
      <c r="AO58" s="100"/>
      <c r="AP58" s="100"/>
      <c r="AQ58" s="100"/>
      <c r="AR58" s="100"/>
      <c r="AS58" s="100"/>
      <c r="AT58" s="100"/>
      <c r="AU58" s="100"/>
      <c r="AV58" s="100"/>
      <c r="AW58" s="100"/>
      <c r="AX58" s="100"/>
      <c r="AY58" s="100"/>
      <c r="AZ58" s="484" t="s">
        <v>340</v>
      </c>
      <c r="BA58" s="485"/>
      <c r="BB58" s="485"/>
      <c r="BC58" s="485"/>
      <c r="BD58" s="617">
        <f>'[5]октябрь 20'!$F$38</f>
        <v>958.30999999999983</v>
      </c>
      <c r="BE58" s="618"/>
    </row>
    <row r="59" spans="1:57" ht="16.5" thickBot="1">
      <c r="A59" s="100"/>
      <c r="B59" s="100"/>
      <c r="C59" s="100"/>
      <c r="D59" s="102"/>
      <c r="E59" s="100"/>
      <c r="F59" s="100"/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  <c r="AE59" s="100"/>
      <c r="AF59" s="100"/>
      <c r="AG59" s="100"/>
      <c r="AH59" s="100"/>
      <c r="AI59" s="100"/>
      <c r="AJ59" s="100"/>
      <c r="AK59" s="100"/>
      <c r="AL59" s="100"/>
      <c r="AM59" s="100"/>
      <c r="AN59" s="100"/>
      <c r="AO59" s="100"/>
      <c r="AP59" s="100"/>
      <c r="AQ59" s="100"/>
      <c r="AR59" s="100"/>
      <c r="AS59" s="100"/>
      <c r="AT59" s="100"/>
      <c r="AU59" s="100"/>
      <c r="AV59" s="100"/>
      <c r="AW59" s="100"/>
      <c r="AX59" s="100"/>
      <c r="AY59" s="100"/>
      <c r="AZ59" s="484" t="s">
        <v>341</v>
      </c>
      <c r="BA59" s="485"/>
      <c r="BB59" s="485"/>
      <c r="BC59" s="485"/>
      <c r="BD59" s="619">
        <f>'[5]октябрь 20'!$B$38</f>
        <v>958.31000000000006</v>
      </c>
      <c r="BE59" s="620"/>
    </row>
    <row r="60" spans="1:57" ht="16.5" thickBot="1">
      <c r="A60" s="100"/>
      <c r="B60" s="100"/>
      <c r="C60" s="100"/>
      <c r="D60" s="102"/>
      <c r="E60" s="100"/>
      <c r="F60" s="100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  <c r="AE60" s="100"/>
      <c r="AF60" s="100"/>
      <c r="AG60" s="100"/>
      <c r="AH60" s="100"/>
      <c r="AI60" s="100"/>
      <c r="AJ60" s="100"/>
      <c r="AK60" s="100"/>
      <c r="AL60" s="100"/>
      <c r="AM60" s="100"/>
      <c r="AN60" s="100"/>
      <c r="AO60" s="100"/>
      <c r="AP60" s="100"/>
      <c r="AQ60" s="100"/>
      <c r="AR60" s="100"/>
      <c r="AS60" s="100"/>
      <c r="AT60" s="100"/>
      <c r="AU60" s="100"/>
      <c r="AV60" s="100"/>
      <c r="AW60" s="100"/>
      <c r="AX60" s="100"/>
      <c r="AY60" s="100"/>
      <c r="AZ60" s="486" t="s">
        <v>342</v>
      </c>
      <c r="BA60" s="487"/>
      <c r="BB60" s="487"/>
      <c r="BC60" s="487"/>
      <c r="BD60" s="621">
        <f>BD59-BD58</f>
        <v>0</v>
      </c>
      <c r="BE60" s="622"/>
    </row>
    <row r="61" spans="1:57">
      <c r="A61" s="100"/>
      <c r="B61" s="100"/>
      <c r="C61" s="100"/>
      <c r="D61" s="102"/>
      <c r="E61" s="100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/>
      <c r="AE61" s="100"/>
      <c r="AF61" s="100"/>
      <c r="AG61" s="100"/>
      <c r="AH61" s="100"/>
      <c r="AI61" s="100"/>
      <c r="AJ61" s="100"/>
      <c r="AK61" s="100"/>
      <c r="AL61" s="100"/>
      <c r="AM61" s="100"/>
      <c r="AN61" s="100"/>
      <c r="AO61" s="100"/>
      <c r="AP61" s="100"/>
      <c r="AQ61" s="100"/>
      <c r="AR61" s="100"/>
      <c r="AS61" s="100"/>
      <c r="AT61" s="100"/>
      <c r="AU61" s="100"/>
      <c r="AV61" s="100"/>
      <c r="AW61" s="100"/>
      <c r="AX61" s="100"/>
      <c r="AY61" s="100"/>
      <c r="AZ61" s="100"/>
      <c r="BA61" s="100"/>
      <c r="BB61" s="100"/>
      <c r="BC61" s="100"/>
      <c r="BD61" s="100"/>
      <c r="BE61" s="100"/>
    </row>
    <row r="62" spans="1:57">
      <c r="A62" s="100"/>
      <c r="B62" s="100"/>
      <c r="C62" s="100"/>
      <c r="D62" s="102"/>
      <c r="E62" s="100"/>
      <c r="F62" s="100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100"/>
      <c r="AC62" s="100"/>
      <c r="AD62" s="100"/>
      <c r="AE62" s="100"/>
      <c r="AF62" s="100"/>
      <c r="AG62" s="100"/>
      <c r="AH62" s="100"/>
      <c r="AI62" s="100"/>
      <c r="AJ62" s="100"/>
      <c r="AK62" s="100"/>
      <c r="AL62" s="100"/>
      <c r="AM62" s="100"/>
      <c r="AN62" s="100"/>
      <c r="AO62" s="100"/>
      <c r="AP62" s="100"/>
      <c r="AQ62" s="100"/>
      <c r="AR62" s="100"/>
      <c r="AS62" s="100"/>
      <c r="AT62" s="100"/>
      <c r="AU62" s="100"/>
      <c r="AV62" s="100"/>
      <c r="AW62" s="100"/>
      <c r="AX62" s="100"/>
      <c r="AY62" s="100"/>
      <c r="AZ62" s="100"/>
      <c r="BA62" s="100"/>
      <c r="BB62" s="100"/>
      <c r="BC62" s="100"/>
      <c r="BD62" s="100"/>
      <c r="BE62" s="100"/>
    </row>
    <row r="63" spans="1:57">
      <c r="A63" s="100"/>
      <c r="B63" s="100"/>
      <c r="C63" s="100"/>
      <c r="D63" s="102"/>
      <c r="E63" s="100"/>
      <c r="F63" s="100"/>
      <c r="G63" s="100"/>
      <c r="H63" s="100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  <c r="AA63" s="100"/>
      <c r="AB63" s="100"/>
      <c r="AC63" s="100"/>
      <c r="AD63" s="100"/>
      <c r="AE63" s="100"/>
      <c r="AF63" s="100"/>
      <c r="AG63" s="100"/>
      <c r="AH63" s="100"/>
      <c r="AI63" s="100"/>
      <c r="AJ63" s="100"/>
      <c r="AK63" s="100"/>
      <c r="AL63" s="100"/>
      <c r="AM63" s="100"/>
      <c r="AN63" s="100"/>
      <c r="AO63" s="100"/>
      <c r="AP63" s="100"/>
      <c r="AQ63" s="100"/>
      <c r="AR63" s="100"/>
      <c r="AS63" s="100"/>
      <c r="AT63" s="100"/>
      <c r="AU63" s="100"/>
      <c r="AV63" s="100"/>
      <c r="AW63" s="100"/>
      <c r="AX63" s="100"/>
      <c r="AY63" s="100"/>
      <c r="AZ63" s="100"/>
      <c r="BA63" s="100"/>
      <c r="BB63" s="100"/>
      <c r="BC63" s="100"/>
      <c r="BD63" s="100"/>
      <c r="BE63" s="100"/>
    </row>
    <row r="64" spans="1:57">
      <c r="A64" s="100"/>
      <c r="B64" s="100"/>
      <c r="C64" s="100"/>
      <c r="D64" s="102"/>
      <c r="E64" s="100"/>
      <c r="F64" s="100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  <c r="AE64" s="100"/>
      <c r="AF64" s="100"/>
      <c r="AG64" s="100"/>
      <c r="AH64" s="100"/>
      <c r="AI64" s="100"/>
      <c r="AJ64" s="100"/>
      <c r="AK64" s="100"/>
      <c r="AL64" s="100"/>
      <c r="AM64" s="100"/>
      <c r="AN64" s="100"/>
      <c r="AO64" s="100"/>
      <c r="AP64" s="100"/>
      <c r="AQ64" s="100"/>
      <c r="AR64" s="100"/>
      <c r="AS64" s="100"/>
      <c r="AT64" s="100"/>
      <c r="AU64" s="100"/>
      <c r="AV64" s="100"/>
      <c r="AW64" s="100"/>
      <c r="AX64" s="100"/>
      <c r="AY64" s="100"/>
      <c r="AZ64" s="100"/>
      <c r="BA64" s="100"/>
      <c r="BB64" s="100"/>
      <c r="BC64" s="100"/>
      <c r="BD64" s="100"/>
      <c r="BE64" s="100"/>
    </row>
    <row r="65" spans="1:57">
      <c r="A65" s="100"/>
      <c r="B65" s="100"/>
      <c r="C65" s="100"/>
      <c r="D65" s="102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/>
      <c r="AE65" s="100"/>
      <c r="AF65" s="100"/>
      <c r="AG65" s="100"/>
      <c r="AH65" s="100"/>
      <c r="AI65" s="100"/>
      <c r="AJ65" s="100"/>
      <c r="AK65" s="100"/>
      <c r="AL65" s="100"/>
      <c r="AM65" s="100"/>
      <c r="AN65" s="100"/>
      <c r="AO65" s="100"/>
      <c r="AP65" s="100"/>
      <c r="AQ65" s="100"/>
      <c r="AR65" s="100"/>
      <c r="AS65" s="100"/>
      <c r="AT65" s="100"/>
      <c r="AU65" s="100"/>
      <c r="AV65" s="100"/>
      <c r="AW65" s="100"/>
      <c r="AX65" s="100"/>
      <c r="AY65" s="100"/>
      <c r="AZ65" s="100"/>
      <c r="BA65" s="100"/>
      <c r="BB65" s="100"/>
      <c r="BC65" s="100"/>
      <c r="BD65" s="100"/>
      <c r="BE65" s="100"/>
    </row>
    <row r="66" spans="1:57">
      <c r="A66" s="100"/>
      <c r="B66" s="100"/>
      <c r="C66" s="100"/>
      <c r="D66" s="102"/>
      <c r="E66" s="100"/>
      <c r="F66" s="100"/>
      <c r="G66" s="100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/>
      <c r="AE66" s="100"/>
      <c r="AF66" s="100"/>
      <c r="AG66" s="100"/>
      <c r="AH66" s="100"/>
      <c r="AI66" s="100"/>
      <c r="AJ66" s="100"/>
      <c r="AK66" s="100"/>
      <c r="AL66" s="100"/>
      <c r="AM66" s="100"/>
      <c r="AN66" s="100"/>
      <c r="AO66" s="100"/>
      <c r="AP66" s="100"/>
      <c r="AQ66" s="100"/>
      <c r="AR66" s="100"/>
      <c r="AS66" s="100"/>
      <c r="AT66" s="100"/>
      <c r="AU66" s="100"/>
      <c r="AV66" s="100"/>
      <c r="AW66" s="100"/>
      <c r="AX66" s="100"/>
      <c r="AY66" s="100"/>
      <c r="AZ66" s="100"/>
      <c r="BA66" s="100"/>
      <c r="BB66" s="100"/>
      <c r="BC66" s="100"/>
      <c r="BD66" s="100"/>
      <c r="BE66" s="100"/>
    </row>
    <row r="67" spans="1:57">
      <c r="A67" s="100"/>
      <c r="B67" s="100"/>
      <c r="C67" s="100"/>
      <c r="D67" s="102"/>
      <c r="E67" s="100"/>
      <c r="F67" s="100"/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  <c r="AD67" s="100"/>
      <c r="AE67" s="100"/>
      <c r="AF67" s="100"/>
      <c r="AG67" s="100"/>
      <c r="AH67" s="100"/>
      <c r="AI67" s="100"/>
      <c r="AJ67" s="100"/>
      <c r="AK67" s="100"/>
      <c r="AL67" s="100"/>
      <c r="AM67" s="100"/>
      <c r="AN67" s="100"/>
      <c r="AO67" s="100"/>
      <c r="AP67" s="100"/>
      <c r="AQ67" s="100"/>
      <c r="AR67" s="100"/>
      <c r="AS67" s="100"/>
      <c r="AT67" s="100"/>
      <c r="AU67" s="100"/>
      <c r="AV67" s="100"/>
      <c r="AW67" s="100"/>
      <c r="AX67" s="100"/>
      <c r="AY67" s="100"/>
      <c r="AZ67" s="100"/>
      <c r="BA67" s="100"/>
      <c r="BB67" s="100"/>
      <c r="BC67" s="100"/>
      <c r="BD67" s="100"/>
      <c r="BE67" s="100"/>
    </row>
    <row r="68" spans="1:57">
      <c r="A68" s="100"/>
      <c r="B68" s="100"/>
      <c r="C68" s="100"/>
      <c r="D68" s="102"/>
      <c r="E68" s="100"/>
      <c r="F68" s="100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  <c r="AI68" s="100"/>
      <c r="AJ68" s="100"/>
      <c r="AK68" s="100"/>
      <c r="AL68" s="100"/>
      <c r="AM68" s="100"/>
      <c r="AN68" s="100"/>
      <c r="AO68" s="100"/>
      <c r="AP68" s="100"/>
      <c r="AQ68" s="100"/>
      <c r="AR68" s="100"/>
      <c r="AS68" s="100"/>
      <c r="AT68" s="100"/>
      <c r="AU68" s="100"/>
      <c r="AV68" s="100"/>
      <c r="AW68" s="100"/>
      <c r="AX68" s="100"/>
      <c r="AY68" s="100"/>
      <c r="AZ68" s="100"/>
      <c r="BA68" s="100"/>
      <c r="BB68" s="100"/>
      <c r="BC68" s="100"/>
      <c r="BD68" s="100"/>
      <c r="BE68" s="100"/>
    </row>
    <row r="69" spans="1:57">
      <c r="A69" s="100"/>
      <c r="B69" s="100"/>
      <c r="C69" s="100"/>
      <c r="D69" s="102"/>
      <c r="E69" s="100"/>
      <c r="F69" s="100"/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100"/>
      <c r="AC69" s="100"/>
      <c r="AD69" s="100"/>
      <c r="AE69" s="100"/>
      <c r="AF69" s="100"/>
      <c r="AG69" s="100"/>
      <c r="AH69" s="100"/>
      <c r="AI69" s="100"/>
      <c r="AJ69" s="100"/>
      <c r="AK69" s="100"/>
      <c r="AL69" s="100"/>
      <c r="AM69" s="100"/>
      <c r="AN69" s="100"/>
      <c r="AO69" s="100"/>
      <c r="AP69" s="100"/>
      <c r="AQ69" s="100"/>
      <c r="AR69" s="100"/>
      <c r="AS69" s="100"/>
      <c r="AT69" s="100"/>
      <c r="AU69" s="100"/>
      <c r="AV69" s="100"/>
      <c r="AW69" s="100"/>
      <c r="AX69" s="100"/>
      <c r="AY69" s="100"/>
      <c r="AZ69" s="100"/>
      <c r="BA69" s="100"/>
      <c r="BB69" s="100"/>
      <c r="BC69" s="100"/>
      <c r="BD69" s="100"/>
      <c r="BE69" s="100"/>
    </row>
    <row r="70" spans="1:57">
      <c r="A70" s="100"/>
      <c r="B70" s="100"/>
      <c r="C70" s="100"/>
      <c r="D70" s="102"/>
      <c r="E70" s="100"/>
      <c r="F70" s="100"/>
      <c r="G70" s="100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  <c r="AE70" s="100"/>
      <c r="AF70" s="100"/>
      <c r="AG70" s="100"/>
      <c r="AH70" s="100"/>
      <c r="AI70" s="100"/>
      <c r="AJ70" s="100"/>
      <c r="AK70" s="100"/>
      <c r="AL70" s="100"/>
      <c r="AM70" s="100"/>
      <c r="AN70" s="100"/>
      <c r="AO70" s="100"/>
      <c r="AP70" s="100"/>
      <c r="AQ70" s="100"/>
      <c r="AR70" s="100"/>
      <c r="AS70" s="100"/>
      <c r="AT70" s="100"/>
      <c r="AU70" s="100"/>
      <c r="AV70" s="100"/>
      <c r="AW70" s="100"/>
      <c r="AX70" s="100"/>
      <c r="AY70" s="100"/>
      <c r="AZ70" s="100"/>
      <c r="BA70" s="100"/>
      <c r="BB70" s="100"/>
      <c r="BC70" s="100"/>
      <c r="BD70" s="100"/>
      <c r="BE70" s="100"/>
    </row>
    <row r="71" spans="1:57" ht="18" customHeight="1">
      <c r="A71" s="318" t="s">
        <v>70</v>
      </c>
      <c r="B71" s="319"/>
      <c r="C71" s="318"/>
      <c r="D71" s="318"/>
      <c r="E71" s="318"/>
      <c r="F71" s="318"/>
      <c r="G71" s="318"/>
      <c r="H71" s="318"/>
      <c r="I71" s="318"/>
      <c r="J71" s="320"/>
      <c r="K71" s="320"/>
      <c r="L71" s="605" t="s">
        <v>371</v>
      </c>
      <c r="M71" s="605"/>
      <c r="N71" s="605"/>
      <c r="O71" s="605"/>
      <c r="P71" s="605"/>
      <c r="Q71" s="605"/>
      <c r="R71" s="109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/>
      <c r="AE71" s="100"/>
      <c r="AF71" s="100"/>
      <c r="AG71" s="100"/>
      <c r="AH71" s="100"/>
      <c r="AI71" s="100"/>
      <c r="AJ71" s="100"/>
      <c r="AK71" s="100"/>
      <c r="AL71" s="100"/>
      <c r="AM71" s="100"/>
      <c r="AN71" s="100"/>
      <c r="AO71" s="100"/>
      <c r="AP71" s="100"/>
      <c r="AQ71" s="100"/>
      <c r="AR71" s="100"/>
      <c r="AS71" s="100"/>
      <c r="AT71" s="100"/>
      <c r="AU71" s="100"/>
      <c r="AV71" s="100"/>
      <c r="AW71" s="100"/>
      <c r="AX71" s="100"/>
      <c r="AY71" s="100"/>
      <c r="AZ71" s="100"/>
      <c r="BA71" s="100"/>
      <c r="BB71" s="100"/>
      <c r="BC71" s="100"/>
      <c r="BD71" s="100"/>
      <c r="BE71" s="100"/>
    </row>
    <row r="72" spans="1:57" ht="15">
      <c r="A72" s="118"/>
      <c r="B72" s="118"/>
      <c r="C72" s="119"/>
      <c r="D72" s="120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  <c r="AE72" s="100"/>
      <c r="AF72" s="100"/>
      <c r="AG72" s="100"/>
      <c r="AH72" s="100"/>
      <c r="AI72" s="100"/>
      <c r="AJ72" s="100"/>
      <c r="AK72" s="100"/>
      <c r="AL72" s="100"/>
      <c r="AM72" s="100"/>
      <c r="AN72" s="100"/>
      <c r="AO72" s="100"/>
      <c r="AP72" s="100"/>
      <c r="AQ72" s="100"/>
      <c r="AR72" s="100"/>
      <c r="AS72" s="100"/>
      <c r="AT72" s="100"/>
      <c r="AU72" s="100"/>
      <c r="AV72" s="100"/>
      <c r="AW72" s="100"/>
      <c r="AX72" s="100"/>
      <c r="AY72" s="100"/>
      <c r="AZ72" s="100"/>
      <c r="BA72" s="100"/>
      <c r="BB72" s="100"/>
      <c r="BC72" s="100"/>
      <c r="BD72" s="100"/>
      <c r="BE72" s="100"/>
    </row>
    <row r="73" spans="1:57" ht="15.75">
      <c r="A73" s="100"/>
      <c r="B73" s="100"/>
      <c r="C73" s="100"/>
      <c r="D73" s="102"/>
      <c r="E73" s="100"/>
      <c r="F73" s="100"/>
      <c r="G73" s="100"/>
      <c r="H73" s="100"/>
      <c r="I73" s="100"/>
      <c r="J73" s="100"/>
      <c r="K73" s="100"/>
      <c r="L73" s="111"/>
      <c r="M73" s="111"/>
      <c r="N73" s="111"/>
      <c r="O73" s="111"/>
      <c r="P73" s="111"/>
      <c r="Q73" s="111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00"/>
      <c r="AK73" s="100"/>
      <c r="AL73" s="100"/>
      <c r="AM73" s="100"/>
      <c r="AN73" s="100"/>
      <c r="AO73" s="100"/>
      <c r="AP73" s="100"/>
      <c r="AQ73" s="100"/>
      <c r="AR73" s="100"/>
      <c r="AS73" s="100"/>
      <c r="AT73" s="100"/>
      <c r="AU73" s="100"/>
      <c r="AV73" s="100"/>
      <c r="AW73" s="100"/>
      <c r="AX73" s="100"/>
      <c r="AY73" s="100"/>
      <c r="AZ73" s="100"/>
      <c r="BA73" s="100"/>
      <c r="BB73" s="100"/>
      <c r="BC73" s="100"/>
      <c r="BD73" s="100"/>
      <c r="BE73" s="100"/>
    </row>
    <row r="74" spans="1:57">
      <c r="A74" s="100"/>
      <c r="B74" s="100"/>
      <c r="C74" s="100"/>
      <c r="D74" s="102"/>
      <c r="E74" s="100"/>
      <c r="F74" s="100"/>
      <c r="G74" s="100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00"/>
      <c r="AK74" s="100"/>
      <c r="AL74" s="100"/>
      <c r="AM74" s="100"/>
      <c r="AN74" s="100"/>
      <c r="AO74" s="100"/>
      <c r="AP74" s="100"/>
      <c r="AQ74" s="100"/>
      <c r="AR74" s="100"/>
      <c r="AS74" s="100"/>
      <c r="AT74" s="100"/>
      <c r="AU74" s="100"/>
      <c r="AV74" s="100"/>
      <c r="AW74" s="100"/>
      <c r="AX74" s="100"/>
      <c r="AY74" s="100"/>
      <c r="AZ74" s="100"/>
      <c r="BA74" s="100"/>
      <c r="BB74" s="100"/>
      <c r="BC74" s="100"/>
      <c r="BD74" s="100"/>
      <c r="BE74" s="100"/>
    </row>
    <row r="75" spans="1:57">
      <c r="A75" s="100"/>
      <c r="B75" s="100"/>
      <c r="C75" s="100"/>
      <c r="D75" s="102"/>
      <c r="E75" s="100"/>
      <c r="F75" s="100"/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  <c r="AD75" s="100"/>
      <c r="AE75" s="100"/>
      <c r="AF75" s="100"/>
      <c r="AG75" s="100"/>
      <c r="AH75" s="100"/>
      <c r="AI75" s="100"/>
      <c r="AJ75" s="100"/>
      <c r="AK75" s="100"/>
      <c r="AL75" s="100"/>
      <c r="AM75" s="100"/>
      <c r="AN75" s="100"/>
      <c r="AO75" s="100"/>
      <c r="AP75" s="100"/>
      <c r="AQ75" s="100"/>
      <c r="AR75" s="100"/>
      <c r="AS75" s="100"/>
      <c r="AT75" s="100"/>
      <c r="AU75" s="100"/>
      <c r="AV75" s="100"/>
      <c r="AW75" s="100"/>
      <c r="AX75" s="100"/>
      <c r="AY75" s="100"/>
      <c r="AZ75" s="100"/>
      <c r="BA75" s="100"/>
      <c r="BB75" s="100"/>
      <c r="BC75" s="100"/>
      <c r="BD75" s="100"/>
      <c r="BE75" s="100"/>
    </row>
    <row r="77" spans="1:57">
      <c r="AY77" t="s">
        <v>302</v>
      </c>
    </row>
  </sheetData>
  <sheetProtection selectLockedCells="1" selectUnlockedCells="1"/>
  <mergeCells count="81">
    <mergeCell ref="CO40:CU40"/>
    <mergeCell ref="BD58:BE58"/>
    <mergeCell ref="BD59:BE59"/>
    <mergeCell ref="BD60:BE60"/>
    <mergeCell ref="L71:Q71"/>
    <mergeCell ref="N46:O46"/>
    <mergeCell ref="AZ46:BE47"/>
    <mergeCell ref="AZ48:BC49"/>
    <mergeCell ref="BD48:BD49"/>
    <mergeCell ref="AZ51:BC52"/>
    <mergeCell ref="BD51:BD52"/>
    <mergeCell ref="AT42:AV42"/>
    <mergeCell ref="AC3:AC6"/>
    <mergeCell ref="AD3:AD6"/>
    <mergeCell ref="DA5:DB5"/>
    <mergeCell ref="CO39:CP39"/>
    <mergeCell ref="CQ39:CU39"/>
    <mergeCell ref="CV39:CY39"/>
    <mergeCell ref="AX5:AX6"/>
    <mergeCell ref="AY5:AY6"/>
    <mergeCell ref="AJ3:AK6"/>
    <mergeCell ref="AL3:AL6"/>
    <mergeCell ref="AM3:AM6"/>
    <mergeCell ref="AN3:AN6"/>
    <mergeCell ref="AO3:AO6"/>
    <mergeCell ref="AP3:AP6"/>
    <mergeCell ref="AT5:AT6"/>
    <mergeCell ref="AW5:AW6"/>
    <mergeCell ref="Q4:Q6"/>
    <mergeCell ref="R4:R6"/>
    <mergeCell ref="S4:S6"/>
    <mergeCell ref="T4:T6"/>
    <mergeCell ref="U4:U6"/>
    <mergeCell ref="AA3:AA6"/>
    <mergeCell ref="AB3:AB6"/>
    <mergeCell ref="N4:N6"/>
    <mergeCell ref="O4:O6"/>
    <mergeCell ref="DD4:DH4"/>
    <mergeCell ref="AE5:AE6"/>
    <mergeCell ref="AF5:AF6"/>
    <mergeCell ref="AG5:AG6"/>
    <mergeCell ref="AH5:AH6"/>
    <mergeCell ref="CF3:CI5"/>
    <mergeCell ref="AQ3:AQ6"/>
    <mergeCell ref="AS3:AS6"/>
    <mergeCell ref="AT3:AY4"/>
    <mergeCell ref="AZ3:AZ6"/>
    <mergeCell ref="BA3:BB4"/>
    <mergeCell ref="BC3:BC6"/>
    <mergeCell ref="CJ3:CM5"/>
    <mergeCell ref="B4:B6"/>
    <mergeCell ref="C4:C6"/>
    <mergeCell ref="D4:D6"/>
    <mergeCell ref="E4:E6"/>
    <mergeCell ref="F4:F6"/>
    <mergeCell ref="G4:G6"/>
    <mergeCell ref="H4:H6"/>
    <mergeCell ref="I4:I6"/>
    <mergeCell ref="J4:J6"/>
    <mergeCell ref="BD3:BD6"/>
    <mergeCell ref="BE3:BE6"/>
    <mergeCell ref="BK3:BQ5"/>
    <mergeCell ref="BR3:BX5"/>
    <mergeCell ref="BY3:CE5"/>
    <mergeCell ref="K4:K6"/>
    <mergeCell ref="AE3:AF4"/>
    <mergeCell ref="AG3:AI4"/>
    <mergeCell ref="AI5:AI6"/>
    <mergeCell ref="AY2:BC2"/>
    <mergeCell ref="A3:A6"/>
    <mergeCell ref="B3:G3"/>
    <mergeCell ref="H3:P3"/>
    <mergeCell ref="Q3:U3"/>
    <mergeCell ref="V3:V6"/>
    <mergeCell ref="W3:W6"/>
    <mergeCell ref="X3:X6"/>
    <mergeCell ref="Y3:Y6"/>
    <mergeCell ref="Z3:Z6"/>
    <mergeCell ref="P4:P6"/>
    <mergeCell ref="L4:L6"/>
    <mergeCell ref="M4:M6"/>
  </mergeCells>
  <printOptions horizontalCentered="1" verticalCentered="1"/>
  <pageMargins left="0" right="0" top="0" bottom="0" header="0" footer="0"/>
  <pageSetup paperSize="9" scale="46" firstPageNumber="0" orientation="landscape" r:id="rId1"/>
  <headerFooter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J77"/>
  <sheetViews>
    <sheetView showZeros="0" zoomScale="90" zoomScaleNormal="90" workbookViewId="0">
      <pane xSplit="1" ySplit="6" topLeftCell="N25" activePane="bottomRight" state="frozen"/>
      <selection pane="topRight" activeCell="B1" sqref="B1"/>
      <selection pane="bottomLeft" activeCell="A7" sqref="A7"/>
      <selection pane="bottomRight" activeCell="AB43" sqref="AB43"/>
    </sheetView>
  </sheetViews>
  <sheetFormatPr defaultColWidth="8.7109375" defaultRowHeight="12.75"/>
  <cols>
    <col min="1" max="1" width="3.5703125" customWidth="1"/>
    <col min="2" max="2" width="9.7109375" customWidth="1"/>
    <col min="3" max="3" width="6" customWidth="1"/>
    <col min="4" max="4" width="12" style="1" hidden="1" customWidth="1"/>
    <col min="5" max="5" width="7.140625" customWidth="1"/>
    <col min="6" max="6" width="7.5703125" customWidth="1"/>
    <col min="7" max="7" width="7.7109375" customWidth="1"/>
    <col min="8" max="8" width="7.28515625" customWidth="1"/>
    <col min="9" max="9" width="7.42578125" hidden="1" customWidth="1"/>
    <col min="10" max="10" width="9.140625" customWidth="1"/>
    <col min="11" max="11" width="5.5703125" hidden="1" customWidth="1"/>
    <col min="12" max="12" width="9.28515625" customWidth="1"/>
    <col min="13" max="13" width="7.42578125" customWidth="1"/>
    <col min="14" max="14" width="4.140625" customWidth="1"/>
    <col min="15" max="15" width="8.140625" customWidth="1"/>
    <col min="16" max="16" width="9.85546875" hidden="1" customWidth="1"/>
    <col min="17" max="17" width="9.28515625" customWidth="1"/>
    <col min="18" max="18" width="6" customWidth="1"/>
    <col min="19" max="19" width="8.140625" customWidth="1"/>
    <col min="20" max="20" width="9.140625" hidden="1" customWidth="1"/>
    <col min="21" max="21" width="7.140625" customWidth="1"/>
    <col min="22" max="22" width="8.140625" customWidth="1"/>
    <col min="23" max="23" width="8.28515625" customWidth="1"/>
    <col min="24" max="24" width="6" customWidth="1"/>
    <col min="25" max="25" width="5.42578125" customWidth="1"/>
    <col min="26" max="26" width="6.85546875" customWidth="1"/>
    <col min="27" max="27" width="6.5703125" customWidth="1"/>
    <col min="28" max="28" width="7.5703125" customWidth="1"/>
    <col min="29" max="29" width="6.5703125" customWidth="1"/>
    <col min="30" max="30" width="4.28515625" customWidth="1"/>
    <col min="31" max="32" width="6.85546875" customWidth="1"/>
    <col min="33" max="33" width="0" hidden="1" customWidth="1"/>
    <col min="34" max="34" width="8.42578125" customWidth="1"/>
    <col min="35" max="35" width="7" customWidth="1"/>
    <col min="36" max="36" width="7.85546875" customWidth="1"/>
    <col min="37" max="37" width="0" hidden="1" customWidth="1"/>
    <col min="38" max="38" width="7.28515625" customWidth="1"/>
    <col min="39" max="39" width="9.140625" customWidth="1"/>
    <col min="40" max="40" width="7" hidden="1" customWidth="1"/>
    <col min="41" max="41" width="9.42578125" customWidth="1"/>
    <col min="42" max="42" width="6.28515625" customWidth="1"/>
    <col min="43" max="43" width="6.85546875" customWidth="1"/>
    <col min="44" max="44" width="0" hidden="1" customWidth="1"/>
    <col min="45" max="45" width="6.7109375" customWidth="1"/>
    <col min="46" max="46" width="9.7109375" customWidth="1"/>
    <col min="47" max="47" width="7" customWidth="1"/>
    <col min="48" max="48" width="0" hidden="1" customWidth="1"/>
    <col min="49" max="49" width="6.140625" hidden="1" customWidth="1"/>
    <col min="50" max="50" width="5.140625" hidden="1" customWidth="1"/>
    <col min="51" max="51" width="8.42578125" customWidth="1"/>
    <col min="52" max="52" width="10" customWidth="1"/>
    <col min="53" max="53" width="8.7109375" hidden="1" customWidth="1"/>
    <col min="54" max="54" width="3.85546875" hidden="1" customWidth="1"/>
    <col min="55" max="55" width="6.5703125" customWidth="1"/>
    <col min="56" max="56" width="6.140625" customWidth="1"/>
    <col min="57" max="57" width="6.7109375" customWidth="1"/>
    <col min="58" max="58" width="8.85546875" customWidth="1"/>
    <col min="59" max="59" width="7.85546875" customWidth="1"/>
    <col min="60" max="60" width="9.85546875" customWidth="1"/>
    <col min="61" max="62" width="8.7109375" customWidth="1"/>
    <col min="63" max="63" width="10.28515625" customWidth="1"/>
    <col min="64" max="64" width="10.85546875" customWidth="1"/>
    <col min="65" max="65" width="10.7109375" customWidth="1"/>
    <col min="66" max="66" width="11.28515625" customWidth="1"/>
    <col min="67" max="68" width="8.85546875" customWidth="1"/>
    <col min="69" max="69" width="11.28515625" customWidth="1"/>
    <col min="70" max="70" width="7.7109375" customWidth="1"/>
    <col min="71" max="71" width="10" customWidth="1"/>
    <col min="72" max="72" width="8.85546875" customWidth="1"/>
    <col min="73" max="73" width="10.140625" customWidth="1"/>
    <col min="74" max="75" width="8.85546875" customWidth="1"/>
    <col min="76" max="76" width="10.85546875" customWidth="1"/>
    <col min="77" max="78" width="8.7109375" customWidth="1"/>
    <col min="79" max="79" width="10" customWidth="1"/>
    <col min="80" max="80" width="10.42578125" customWidth="1"/>
    <col min="81" max="82" width="8.42578125" customWidth="1"/>
    <col min="83" max="83" width="9.85546875" customWidth="1"/>
    <col min="84" max="85" width="11.42578125" customWidth="1"/>
    <col min="86" max="86" width="11.140625" customWidth="1"/>
    <col min="87" max="87" width="11.28515625" customWidth="1"/>
    <col min="88" max="89" width="10" customWidth="1"/>
    <col min="90" max="90" width="8.7109375" customWidth="1"/>
    <col min="91" max="91" width="11.85546875" customWidth="1"/>
    <col min="92" max="92" width="8.7109375" customWidth="1"/>
    <col min="93" max="93" width="12.140625" customWidth="1"/>
    <col min="94" max="94" width="12.5703125" customWidth="1"/>
    <col min="95" max="95" width="11.7109375" customWidth="1"/>
    <col min="96" max="98" width="12.28515625" customWidth="1"/>
    <col min="99" max="99" width="13.28515625" customWidth="1"/>
    <col min="100" max="100" width="12.85546875" customWidth="1"/>
    <col min="101" max="101" width="13.42578125" customWidth="1"/>
    <col min="102" max="103" width="12.5703125" customWidth="1"/>
    <col min="104" max="104" width="9.5703125" customWidth="1"/>
    <col min="105" max="105" width="19.140625" customWidth="1"/>
    <col min="106" max="106" width="19.42578125" customWidth="1"/>
    <col min="111" max="111" width="8.7109375" hidden="1" customWidth="1"/>
    <col min="112" max="112" width="9" bestFit="1" customWidth="1"/>
    <col min="114" max="114" width="9.5703125" bestFit="1" customWidth="1"/>
  </cols>
  <sheetData>
    <row r="1" spans="1:114" ht="17.25" customHeight="1">
      <c r="A1" s="310" t="s">
        <v>0</v>
      </c>
      <c r="B1" s="310"/>
      <c r="C1" s="310"/>
      <c r="D1" s="311"/>
      <c r="E1" s="310"/>
      <c r="F1" s="310"/>
      <c r="G1" s="310"/>
      <c r="H1" s="310"/>
      <c r="I1" s="310"/>
      <c r="J1" s="310"/>
      <c r="K1" s="310"/>
      <c r="L1" s="310"/>
      <c r="M1" s="310"/>
      <c r="N1" s="310"/>
      <c r="O1" s="310"/>
      <c r="P1" s="77"/>
      <c r="Q1" s="77"/>
      <c r="R1" s="77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</row>
    <row r="2" spans="1:114" ht="19.5" customHeight="1" thickBot="1">
      <c r="A2" s="22"/>
      <c r="B2" s="78"/>
      <c r="C2" s="78"/>
      <c r="D2" s="79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80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80"/>
      <c r="AT2" s="312" t="s">
        <v>1</v>
      </c>
      <c r="AU2" s="313">
        <v>30</v>
      </c>
      <c r="AV2" s="314"/>
      <c r="AW2" s="314"/>
      <c r="AX2" s="315" t="s">
        <v>81</v>
      </c>
      <c r="AY2" s="556" t="s">
        <v>438</v>
      </c>
      <c r="AZ2" s="556"/>
      <c r="BA2" s="556"/>
      <c r="BB2" s="556"/>
      <c r="BC2" s="556"/>
      <c r="BD2" s="316" t="s">
        <v>107</v>
      </c>
      <c r="BE2" s="317"/>
    </row>
    <row r="3" spans="1:114" ht="39.75" customHeight="1" thickBot="1">
      <c r="A3" s="557" t="s">
        <v>3</v>
      </c>
      <c r="B3" s="558" t="s">
        <v>71</v>
      </c>
      <c r="C3" s="558"/>
      <c r="D3" s="558"/>
      <c r="E3" s="558"/>
      <c r="F3" s="558"/>
      <c r="G3" s="558"/>
      <c r="H3" s="554" t="s">
        <v>4</v>
      </c>
      <c r="I3" s="554"/>
      <c r="J3" s="554"/>
      <c r="K3" s="554"/>
      <c r="L3" s="554"/>
      <c r="M3" s="554"/>
      <c r="N3" s="554"/>
      <c r="O3" s="554"/>
      <c r="P3" s="559"/>
      <c r="Q3" s="560" t="s">
        <v>5</v>
      </c>
      <c r="R3" s="561"/>
      <c r="S3" s="561"/>
      <c r="T3" s="561"/>
      <c r="U3" s="562"/>
      <c r="V3" s="563" t="s">
        <v>6</v>
      </c>
      <c r="W3" s="563" t="s">
        <v>7</v>
      </c>
      <c r="X3" s="564" t="s">
        <v>8</v>
      </c>
      <c r="Y3" s="564" t="s">
        <v>9</v>
      </c>
      <c r="Z3" s="564" t="s">
        <v>10</v>
      </c>
      <c r="AA3" s="564" t="s">
        <v>11</v>
      </c>
      <c r="AB3" s="564" t="s">
        <v>12</v>
      </c>
      <c r="AC3" s="564" t="s">
        <v>13</v>
      </c>
      <c r="AD3" s="564" t="s">
        <v>14</v>
      </c>
      <c r="AE3" s="554" t="s">
        <v>15</v>
      </c>
      <c r="AF3" s="554"/>
      <c r="AG3" s="554" t="s">
        <v>16</v>
      </c>
      <c r="AH3" s="554"/>
      <c r="AI3" s="554"/>
      <c r="AJ3" s="593" t="s">
        <v>17</v>
      </c>
      <c r="AK3" s="593"/>
      <c r="AL3" s="564" t="s">
        <v>18</v>
      </c>
      <c r="AM3" s="599" t="s">
        <v>19</v>
      </c>
      <c r="AN3" s="600" t="s">
        <v>95</v>
      </c>
      <c r="AO3" s="603" t="s">
        <v>20</v>
      </c>
      <c r="AP3" s="564" t="s">
        <v>105</v>
      </c>
      <c r="AQ3" s="564" t="s">
        <v>21</v>
      </c>
      <c r="AR3" s="81"/>
      <c r="AS3" s="593" t="s">
        <v>22</v>
      </c>
      <c r="AT3" s="554" t="s">
        <v>23</v>
      </c>
      <c r="AU3" s="554"/>
      <c r="AV3" s="554"/>
      <c r="AW3" s="554"/>
      <c r="AX3" s="554"/>
      <c r="AY3" s="554"/>
      <c r="AZ3" s="564" t="s">
        <v>24</v>
      </c>
      <c r="BA3" s="594" t="s">
        <v>25</v>
      </c>
      <c r="BB3" s="594"/>
      <c r="BC3" s="564" t="s">
        <v>26</v>
      </c>
      <c r="BD3" s="564" t="s">
        <v>27</v>
      </c>
      <c r="BE3" s="572" t="s">
        <v>28</v>
      </c>
      <c r="BF3" s="3"/>
      <c r="BG3" s="3"/>
      <c r="BH3" s="3"/>
      <c r="BI3" s="3"/>
      <c r="BJ3" s="3"/>
      <c r="BK3" s="573" t="s">
        <v>29</v>
      </c>
      <c r="BL3" s="574"/>
      <c r="BM3" s="574"/>
      <c r="BN3" s="574"/>
      <c r="BO3" s="575"/>
      <c r="BP3" s="575"/>
      <c r="BQ3" s="576"/>
      <c r="BR3" s="573" t="s">
        <v>30</v>
      </c>
      <c r="BS3" s="585"/>
      <c r="BT3" s="585"/>
      <c r="BU3" s="585"/>
      <c r="BV3" s="585"/>
      <c r="BW3" s="585"/>
      <c r="BX3" s="586"/>
      <c r="BY3" s="566" t="s">
        <v>31</v>
      </c>
      <c r="BZ3" s="566"/>
      <c r="CA3" s="566"/>
      <c r="CB3" s="566"/>
      <c r="CC3" s="566"/>
      <c r="CD3" s="566"/>
      <c r="CE3" s="566"/>
      <c r="CF3" s="566" t="s">
        <v>87</v>
      </c>
      <c r="CG3" s="566"/>
      <c r="CH3" s="566"/>
      <c r="CI3" s="566"/>
      <c r="CJ3" s="566" t="s">
        <v>32</v>
      </c>
      <c r="CK3" s="566"/>
      <c r="CL3" s="566"/>
      <c r="CM3" s="566"/>
      <c r="CN3" s="4"/>
      <c r="CO3" s="5"/>
      <c r="CP3" s="6"/>
      <c r="CQ3" s="6"/>
    </row>
    <row r="4" spans="1:114" s="7" customFormat="1" ht="30.75" customHeight="1" thickBot="1">
      <c r="A4" s="557"/>
      <c r="B4" s="565" t="s">
        <v>72</v>
      </c>
      <c r="C4" s="613" t="s">
        <v>73</v>
      </c>
      <c r="D4" s="615" t="s">
        <v>33</v>
      </c>
      <c r="E4" s="613" t="s">
        <v>74</v>
      </c>
      <c r="F4" s="569" t="s">
        <v>75</v>
      </c>
      <c r="G4" s="569" t="s">
        <v>34</v>
      </c>
      <c r="H4" s="555" t="s">
        <v>76</v>
      </c>
      <c r="I4" s="570" t="s">
        <v>101</v>
      </c>
      <c r="J4" s="555" t="s">
        <v>89</v>
      </c>
      <c r="K4" s="565" t="s">
        <v>35</v>
      </c>
      <c r="L4" s="565" t="s">
        <v>77</v>
      </c>
      <c r="M4" s="565" t="s">
        <v>78</v>
      </c>
      <c r="N4" s="565" t="s">
        <v>101</v>
      </c>
      <c r="O4" s="565" t="s">
        <v>96</v>
      </c>
      <c r="P4" s="555" t="s">
        <v>79</v>
      </c>
      <c r="Q4" s="555" t="s">
        <v>36</v>
      </c>
      <c r="R4" s="555" t="s">
        <v>32</v>
      </c>
      <c r="S4" s="555" t="s">
        <v>37</v>
      </c>
      <c r="T4" s="555" t="s">
        <v>38</v>
      </c>
      <c r="U4" s="555" t="s">
        <v>39</v>
      </c>
      <c r="V4" s="563"/>
      <c r="W4" s="563"/>
      <c r="X4" s="564"/>
      <c r="Y4" s="564"/>
      <c r="Z4" s="564"/>
      <c r="AA4" s="564"/>
      <c r="AB4" s="564"/>
      <c r="AC4" s="564"/>
      <c r="AD4" s="564"/>
      <c r="AE4" s="554"/>
      <c r="AF4" s="554"/>
      <c r="AG4" s="554"/>
      <c r="AH4" s="554"/>
      <c r="AI4" s="554"/>
      <c r="AJ4" s="593"/>
      <c r="AK4" s="593"/>
      <c r="AL4" s="564"/>
      <c r="AM4" s="599"/>
      <c r="AN4" s="601"/>
      <c r="AO4" s="603"/>
      <c r="AP4" s="564"/>
      <c r="AQ4" s="564"/>
      <c r="AR4" s="82"/>
      <c r="AS4" s="593"/>
      <c r="AT4" s="554"/>
      <c r="AU4" s="554"/>
      <c r="AV4" s="554"/>
      <c r="AW4" s="554"/>
      <c r="AX4" s="554"/>
      <c r="AY4" s="554"/>
      <c r="AZ4" s="564"/>
      <c r="BA4" s="594"/>
      <c r="BB4" s="594"/>
      <c r="BC4" s="564"/>
      <c r="BD4" s="564"/>
      <c r="BE4" s="572"/>
      <c r="BF4" s="3"/>
      <c r="BG4" s="3"/>
      <c r="BH4" s="3"/>
      <c r="BI4" s="3"/>
      <c r="BJ4" s="3"/>
      <c r="BK4" s="577"/>
      <c r="BL4" s="578"/>
      <c r="BM4" s="578"/>
      <c r="BN4" s="578"/>
      <c r="BO4" s="579"/>
      <c r="BP4" s="579"/>
      <c r="BQ4" s="580"/>
      <c r="BR4" s="577"/>
      <c r="BS4" s="566"/>
      <c r="BT4" s="566"/>
      <c r="BU4" s="566"/>
      <c r="BV4" s="566"/>
      <c r="BW4" s="566"/>
      <c r="BX4" s="587"/>
      <c r="BY4" s="566"/>
      <c r="BZ4" s="566"/>
      <c r="CA4" s="566"/>
      <c r="CB4" s="566"/>
      <c r="CC4" s="566"/>
      <c r="CD4" s="566"/>
      <c r="CE4" s="566"/>
      <c r="CF4" s="566"/>
      <c r="CG4" s="566"/>
      <c r="CH4" s="566"/>
      <c r="CI4" s="566"/>
      <c r="CJ4" s="566"/>
      <c r="CK4" s="566"/>
      <c r="CL4" s="566"/>
      <c r="CM4" s="566"/>
      <c r="CN4" s="4"/>
      <c r="CO4" s="6"/>
      <c r="CP4" s="6"/>
      <c r="CQ4" s="262"/>
      <c r="CR4" s="231"/>
      <c r="CS4" s="231"/>
      <c r="CT4" s="231"/>
      <c r="CU4" s="231"/>
      <c r="CV4" s="231"/>
      <c r="CW4" s="231"/>
      <c r="CX4" s="231"/>
      <c r="CY4" s="231"/>
      <c r="DD4" s="590" t="s">
        <v>90</v>
      </c>
      <c r="DE4" s="591"/>
      <c r="DF4" s="591"/>
      <c r="DG4" s="591"/>
      <c r="DH4" s="592"/>
    </row>
    <row r="5" spans="1:114" s="7" customFormat="1" ht="8.25" hidden="1" customHeight="1">
      <c r="A5" s="557"/>
      <c r="B5" s="565"/>
      <c r="C5" s="614"/>
      <c r="D5" s="616"/>
      <c r="E5" s="614"/>
      <c r="F5" s="569"/>
      <c r="G5" s="569"/>
      <c r="H5" s="555"/>
      <c r="I5" s="570"/>
      <c r="J5" s="565"/>
      <c r="K5" s="565"/>
      <c r="L5" s="565"/>
      <c r="M5" s="565"/>
      <c r="N5" s="565"/>
      <c r="O5" s="565"/>
      <c r="P5" s="555"/>
      <c r="Q5" s="555"/>
      <c r="R5" s="555"/>
      <c r="S5" s="555"/>
      <c r="T5" s="555"/>
      <c r="U5" s="555"/>
      <c r="V5" s="563"/>
      <c r="W5" s="563"/>
      <c r="X5" s="564"/>
      <c r="Y5" s="564"/>
      <c r="Z5" s="564"/>
      <c r="AA5" s="564"/>
      <c r="AB5" s="564"/>
      <c r="AC5" s="564"/>
      <c r="AD5" s="564"/>
      <c r="AE5" s="555" t="s">
        <v>40</v>
      </c>
      <c r="AF5" s="555" t="s">
        <v>41</v>
      </c>
      <c r="AG5" s="555" t="s">
        <v>42</v>
      </c>
      <c r="AH5" s="555" t="s">
        <v>40</v>
      </c>
      <c r="AI5" s="555" t="s">
        <v>41</v>
      </c>
      <c r="AJ5" s="593"/>
      <c r="AK5" s="593"/>
      <c r="AL5" s="564"/>
      <c r="AM5" s="599"/>
      <c r="AN5" s="601"/>
      <c r="AO5" s="603"/>
      <c r="AP5" s="564"/>
      <c r="AQ5" s="564"/>
      <c r="AR5" s="83"/>
      <c r="AS5" s="593"/>
      <c r="AT5" s="555" t="s">
        <v>43</v>
      </c>
      <c r="AU5" s="84"/>
      <c r="AV5" s="85"/>
      <c r="AW5" s="598" t="s">
        <v>44</v>
      </c>
      <c r="AX5" s="598" t="s">
        <v>45</v>
      </c>
      <c r="AY5" s="555" t="s">
        <v>46</v>
      </c>
      <c r="AZ5" s="564"/>
      <c r="BA5" s="86" t="s">
        <v>47</v>
      </c>
      <c r="BB5" s="86" t="s">
        <v>48</v>
      </c>
      <c r="BC5" s="564"/>
      <c r="BD5" s="564"/>
      <c r="BE5" s="572"/>
      <c r="BF5" s="3"/>
      <c r="BG5" s="3"/>
      <c r="BH5" s="3"/>
      <c r="BI5" s="3"/>
      <c r="BJ5" s="3"/>
      <c r="BK5" s="581"/>
      <c r="BL5" s="582"/>
      <c r="BM5" s="582"/>
      <c r="BN5" s="582"/>
      <c r="BO5" s="583"/>
      <c r="BP5" s="583"/>
      <c r="BQ5" s="584"/>
      <c r="BR5" s="581"/>
      <c r="BS5" s="588"/>
      <c r="BT5" s="588"/>
      <c r="BU5" s="588"/>
      <c r="BV5" s="588"/>
      <c r="BW5" s="588"/>
      <c r="BX5" s="589"/>
      <c r="BY5" s="567"/>
      <c r="BZ5" s="566"/>
      <c r="CA5" s="566"/>
      <c r="CB5" s="566"/>
      <c r="CC5" s="566"/>
      <c r="CD5" s="566"/>
      <c r="CE5" s="566"/>
      <c r="CF5" s="567"/>
      <c r="CG5" s="567"/>
      <c r="CH5" s="567"/>
      <c r="CI5" s="567"/>
      <c r="CJ5" s="567"/>
      <c r="CK5" s="567"/>
      <c r="CL5" s="567"/>
      <c r="CM5" s="567"/>
      <c r="CN5" s="4"/>
      <c r="CO5"/>
      <c r="CP5"/>
      <c r="CQ5" s="255"/>
      <c r="CR5" s="256"/>
      <c r="CS5" s="256"/>
      <c r="CT5" s="256"/>
      <c r="CU5" s="256"/>
      <c r="CV5" s="257"/>
      <c r="CW5" s="257"/>
      <c r="CX5" s="257"/>
      <c r="CY5" s="258"/>
      <c r="DA5" s="595" t="s">
        <v>49</v>
      </c>
      <c r="DB5" s="595"/>
    </row>
    <row r="6" spans="1:114" s="7" customFormat="1" ht="106.5" customHeight="1" thickBot="1">
      <c r="A6" s="557"/>
      <c r="B6" s="565"/>
      <c r="C6" s="565"/>
      <c r="D6" s="568"/>
      <c r="E6" s="565"/>
      <c r="F6" s="569"/>
      <c r="G6" s="569"/>
      <c r="H6" s="555"/>
      <c r="I6" s="570"/>
      <c r="J6" s="571"/>
      <c r="K6" s="565"/>
      <c r="L6" s="565"/>
      <c r="M6" s="565"/>
      <c r="N6" s="565"/>
      <c r="O6" s="565"/>
      <c r="P6" s="565"/>
      <c r="Q6" s="565"/>
      <c r="R6" s="565"/>
      <c r="S6" s="565"/>
      <c r="T6" s="555"/>
      <c r="U6" s="555"/>
      <c r="V6" s="563"/>
      <c r="W6" s="563"/>
      <c r="X6" s="564"/>
      <c r="Y6" s="564"/>
      <c r="Z6" s="564"/>
      <c r="AA6" s="564"/>
      <c r="AB6" s="564"/>
      <c r="AC6" s="564"/>
      <c r="AD6" s="564"/>
      <c r="AE6" s="555"/>
      <c r="AF6" s="555"/>
      <c r="AG6" s="555"/>
      <c r="AH6" s="555"/>
      <c r="AI6" s="555"/>
      <c r="AJ6" s="593"/>
      <c r="AK6" s="593"/>
      <c r="AL6" s="564"/>
      <c r="AM6" s="599"/>
      <c r="AN6" s="602"/>
      <c r="AO6" s="603"/>
      <c r="AP6" s="564"/>
      <c r="AQ6" s="564"/>
      <c r="AR6" s="532"/>
      <c r="AS6" s="593"/>
      <c r="AT6" s="555"/>
      <c r="AU6" s="531" t="s">
        <v>50</v>
      </c>
      <c r="AV6" s="531" t="s">
        <v>51</v>
      </c>
      <c r="AW6" s="598"/>
      <c r="AX6" s="598"/>
      <c r="AY6" s="555"/>
      <c r="AZ6" s="555"/>
      <c r="BA6" s="87"/>
      <c r="BB6" s="88">
        <v>0.04</v>
      </c>
      <c r="BC6" s="564"/>
      <c r="BD6" s="564"/>
      <c r="BE6" s="572"/>
      <c r="BF6" s="8" t="s">
        <v>52</v>
      </c>
      <c r="BG6" s="8" t="s">
        <v>53</v>
      </c>
      <c r="BH6" s="8" t="s">
        <v>54</v>
      </c>
      <c r="BI6" s="3"/>
      <c r="BJ6" s="3"/>
      <c r="BK6" s="308" t="s">
        <v>100</v>
      </c>
      <c r="BL6" s="280" t="s">
        <v>82</v>
      </c>
      <c r="BM6" s="279" t="s">
        <v>262</v>
      </c>
      <c r="BN6" s="307" t="s">
        <v>444</v>
      </c>
      <c r="BO6" s="308" t="s">
        <v>97</v>
      </c>
      <c r="BP6" s="326" t="s">
        <v>99</v>
      </c>
      <c r="BQ6" s="495" t="s">
        <v>420</v>
      </c>
      <c r="BR6" s="308" t="s">
        <v>100</v>
      </c>
      <c r="BS6" s="280" t="s">
        <v>82</v>
      </c>
      <c r="BT6" s="279" t="s">
        <v>262</v>
      </c>
      <c r="BU6" s="327"/>
      <c r="BV6" s="308" t="s">
        <v>97</v>
      </c>
      <c r="BW6" s="326" t="s">
        <v>99</v>
      </c>
      <c r="BX6" s="306"/>
      <c r="BY6" s="308" t="s">
        <v>100</v>
      </c>
      <c r="BZ6" s="280" t="s">
        <v>82</v>
      </c>
      <c r="CA6" s="279" t="s">
        <v>262</v>
      </c>
      <c r="CB6" s="307" t="s">
        <v>444</v>
      </c>
      <c r="CC6" s="308" t="s">
        <v>97</v>
      </c>
      <c r="CD6" s="326" t="s">
        <v>99</v>
      </c>
      <c r="CE6" s="495" t="s">
        <v>420</v>
      </c>
      <c r="CF6" s="267" t="s">
        <v>106</v>
      </c>
      <c r="CG6" s="268" t="s">
        <v>85</v>
      </c>
      <c r="CH6" s="244" t="s">
        <v>430</v>
      </c>
      <c r="CI6" s="245" t="s">
        <v>408</v>
      </c>
      <c r="CJ6" s="267" t="s">
        <v>106</v>
      </c>
      <c r="CK6" s="268" t="s">
        <v>85</v>
      </c>
      <c r="CL6" s="244" t="s">
        <v>430</v>
      </c>
      <c r="CM6" s="245" t="s">
        <v>408</v>
      </c>
      <c r="CN6" s="243"/>
      <c r="CO6" s="248" t="s">
        <v>100</v>
      </c>
      <c r="CP6" s="10" t="s">
        <v>82</v>
      </c>
      <c r="CQ6" s="264" t="s">
        <v>263</v>
      </c>
      <c r="CR6" s="23" t="s">
        <v>445</v>
      </c>
      <c r="CS6" s="248" t="s">
        <v>98</v>
      </c>
      <c r="CT6" s="248" t="s">
        <v>99</v>
      </c>
      <c r="CU6" s="496" t="s">
        <v>423</v>
      </c>
      <c r="CV6" s="259" t="s">
        <v>106</v>
      </c>
      <c r="CW6" s="248" t="s">
        <v>84</v>
      </c>
      <c r="CX6" s="232" t="s">
        <v>430</v>
      </c>
      <c r="CY6" s="263" t="s">
        <v>408</v>
      </c>
      <c r="CZ6" s="253"/>
      <c r="DA6" s="321" t="s">
        <v>80</v>
      </c>
      <c r="DB6" s="321" t="s">
        <v>55</v>
      </c>
      <c r="DD6" s="288" t="s">
        <v>91</v>
      </c>
      <c r="DE6" s="289" t="s">
        <v>92</v>
      </c>
      <c r="DF6" s="290" t="s">
        <v>93</v>
      </c>
      <c r="DG6" s="290"/>
      <c r="DH6" s="289" t="s">
        <v>94</v>
      </c>
    </row>
    <row r="7" spans="1:114" s="76" customFormat="1" ht="16.5" customHeight="1" thickBot="1">
      <c r="A7" s="121">
        <v>1</v>
      </c>
      <c r="B7" s="122">
        <f>'[1]ноябрь 20'!K6</f>
        <v>257.52300000000002</v>
      </c>
      <c r="C7" s="123">
        <f>IF(B7=0,0,(BK7*BR7+BL7*BS7+BM7*BT7+BN7*BU7+BQ7*BX7+BO7*BV7+BP7*BW7)/B7)</f>
        <v>2.8735271092523931</v>
      </c>
      <c r="D7" s="124">
        <f>B7*((100-C7)/100)</f>
        <v>250.12300678243997</v>
      </c>
      <c r="E7" s="125">
        <f>IF(B7=0,0,(BK7*BY7+BL7*BZ7+BM7*CA7+BQ7*CE7+BN7*CB7+BO7*CC7+BP7*CD7)/B7)</f>
        <v>39.584801784694974</v>
      </c>
      <c r="F7" s="126">
        <f t="shared" ref="F7:F37" si="0">IF(AY7=0,0,D7/AY7)</f>
        <v>1.9736684824622426</v>
      </c>
      <c r="G7" s="127">
        <v>16.62</v>
      </c>
      <c r="H7" s="126">
        <f>IF(AY7=0,0,(CP7+CO7+CS7+CQ7+CT7)/AY7)</f>
        <v>1.4863648023356741</v>
      </c>
      <c r="I7" s="230">
        <f>'[1]июль 20'!AI6</f>
        <v>0</v>
      </c>
      <c r="J7" s="246">
        <f>'[1]ноябрь 20'!AA6</f>
        <v>10.202</v>
      </c>
      <c r="K7" s="445">
        <f>'[1]сентябрь 20'!AM6</f>
        <v>0</v>
      </c>
      <c r="L7" s="446">
        <f>'[1]ноябрь 20'!AE6</f>
        <v>61.756</v>
      </c>
      <c r="M7" s="399">
        <f>IF(AY7=0,0,(CR7+CU7)/AY7)</f>
        <v>0.48730371168973419</v>
      </c>
      <c r="N7" s="399">
        <f>'[1]ноябрь 20'!W6</f>
        <v>0</v>
      </c>
      <c r="O7" s="402">
        <f>'[1]ноябрь 20'!AU6</f>
        <v>6.1260000000000003</v>
      </c>
      <c r="P7" s="125">
        <f t="shared" ref="P7:P37" si="1">CF7+CH7+CI7+CG7</f>
        <v>163.23700099999999</v>
      </c>
      <c r="Q7" s="122">
        <f>'[1]ноябрь 20'!S6</f>
        <v>163.23699999999999</v>
      </c>
      <c r="R7" s="123">
        <f>IF(Q7=0,0,(CI7*CM7+CG7*CK7+CH7*CL7+CF7*CJ7)/Q7)</f>
        <v>2.3300000000000063</v>
      </c>
      <c r="S7" s="129"/>
      <c r="T7" s="125">
        <f t="shared" ref="T7:T37" si="2">Q7*((100-R7)/100)</f>
        <v>159.43357789999999</v>
      </c>
      <c r="U7" s="128">
        <f t="shared" ref="U7:U37" si="3">IF(AY7=0,0,T7/AY7)</f>
        <v>1.2580571127594098</v>
      </c>
      <c r="V7" s="130">
        <v>126.73</v>
      </c>
      <c r="W7" s="130">
        <v>99.34</v>
      </c>
      <c r="X7" s="129">
        <v>0.65</v>
      </c>
      <c r="Y7" s="131">
        <v>615</v>
      </c>
      <c r="Z7" s="131">
        <v>1169</v>
      </c>
      <c r="AA7" s="132" t="s">
        <v>171</v>
      </c>
      <c r="AB7" s="129">
        <v>75.7</v>
      </c>
      <c r="AC7" s="131">
        <v>103</v>
      </c>
      <c r="AD7" s="133">
        <v>4</v>
      </c>
      <c r="AE7" s="129"/>
      <c r="AF7" s="134">
        <f t="shared" ref="AF7:AF37" si="4">IF(AY7=0,0,AE7/AY7*1000)</f>
        <v>0</v>
      </c>
      <c r="AG7" s="135"/>
      <c r="AH7" s="129">
        <v>76.5</v>
      </c>
      <c r="AI7" s="134">
        <f t="shared" ref="AI7:AI37" si="5">IF(AY7=0,0,AH7/AY7*1000)</f>
        <v>603.64554564822856</v>
      </c>
      <c r="AJ7" s="136">
        <v>14.8</v>
      </c>
      <c r="AK7" s="127"/>
      <c r="AL7" s="137">
        <v>4.96</v>
      </c>
      <c r="AM7" s="478">
        <v>31.37</v>
      </c>
      <c r="AN7" s="126">
        <f>IF(AM7=0,0,AM7/AT7)</f>
        <v>0.19698587127158557</v>
      </c>
      <c r="AO7" s="139" t="s">
        <v>347</v>
      </c>
      <c r="AP7" s="138">
        <v>7.12</v>
      </c>
      <c r="AQ7" s="138">
        <v>7.66</v>
      </c>
      <c r="AR7" s="129"/>
      <c r="AS7" s="129">
        <v>8.39</v>
      </c>
      <c r="AT7" s="129">
        <v>159.25</v>
      </c>
      <c r="AU7" s="129">
        <v>3.81</v>
      </c>
      <c r="AV7" s="129"/>
      <c r="AW7" s="129"/>
      <c r="AX7" s="140">
        <f t="shared" ref="AX7:AX37" si="6">IF(AY7=0,0,AW7/AY7*100)</f>
        <v>0</v>
      </c>
      <c r="AY7" s="125">
        <f t="shared" ref="AY7:AY37" si="7">AT7-AL7-AM7+AV7+AW7+AU7</f>
        <v>126.72999999999999</v>
      </c>
      <c r="AZ7" s="125">
        <f>IF(AB7=0,0,((D7*0.97)*(E7/100)*0.9)/(AB7/100))+DH7</f>
        <v>116.25097279121402</v>
      </c>
      <c r="BA7" s="141">
        <f t="shared" ref="BA7:BA37" si="8">(AH7*AS7)/100*(55/71)</f>
        <v>4.9719612676056339</v>
      </c>
      <c r="BB7" s="142">
        <f t="shared" ref="BB7:BB37" si="9">AY7*$BB$6</f>
        <v>5.0691999999999995</v>
      </c>
      <c r="BC7" s="122">
        <f t="shared" ref="BC7:BC37" si="10">IF((D7*E7)=0,0,(AY7*AB7)/(D7*E7))</f>
        <v>0.96893177643472006</v>
      </c>
      <c r="BD7" s="142">
        <f>BA7+BB7</f>
        <v>10.041161267605634</v>
      </c>
      <c r="BE7" s="143">
        <v>0.96899999999999997</v>
      </c>
      <c r="BF7" s="25">
        <f>AY7</f>
        <v>126.72999999999999</v>
      </c>
      <c r="BG7" s="25">
        <f t="shared" ref="BG7:BG38" si="11">IF(A7&lt;=$BE$43,$AT$43,0)</f>
        <v>125.66666666666667</v>
      </c>
      <c r="BH7" s="25">
        <f>BG7</f>
        <v>125.66666666666667</v>
      </c>
      <c r="BI7" s="26">
        <f t="shared" ref="BI7:BI37" si="12">IF(AY7&lt;&gt;0,1,0)</f>
        <v>1</v>
      </c>
      <c r="BJ7" s="27">
        <f>BG7*BI7</f>
        <v>125.66666666666667</v>
      </c>
      <c r="BK7" s="28">
        <v>195.767</v>
      </c>
      <c r="BL7" s="28">
        <v>9.9999999999999995E-7</v>
      </c>
      <c r="BM7" s="28">
        <v>9.9999999999999995E-7</v>
      </c>
      <c r="BN7" s="28">
        <v>51.569000000000003</v>
      </c>
      <c r="BO7" s="28">
        <v>9.9999999999999995E-7</v>
      </c>
      <c r="BP7" s="28">
        <v>9.9999999999999995E-7</v>
      </c>
      <c r="BQ7" s="28">
        <v>10.186999999999999</v>
      </c>
      <c r="BR7" s="28">
        <v>3.78</v>
      </c>
      <c r="BS7" s="28">
        <v>9.9999999999999995E-7</v>
      </c>
      <c r="BT7" s="28">
        <v>9.9999999999999995E-7</v>
      </c>
      <c r="BU7" s="28">
        <v>9.9999999999999995E-7</v>
      </c>
      <c r="BV7" s="28">
        <v>9.9999999999999995E-7</v>
      </c>
      <c r="BW7" s="28">
        <v>9.9999999999999995E-7</v>
      </c>
      <c r="BX7" s="28">
        <v>9.9999999999999995E-7</v>
      </c>
      <c r="BY7" s="28">
        <v>38.28</v>
      </c>
      <c r="BZ7" s="28">
        <v>9.9999999999999995E-7</v>
      </c>
      <c r="CA7" s="28">
        <v>9.9999999999999995E-7</v>
      </c>
      <c r="CB7" s="28">
        <v>43.66</v>
      </c>
      <c r="CC7" s="28">
        <v>9.9999999999999995E-7</v>
      </c>
      <c r="CD7" s="28">
        <v>9.9999999999999995E-7</v>
      </c>
      <c r="CE7" s="28">
        <v>44.03</v>
      </c>
      <c r="CF7" s="28">
        <v>62.869</v>
      </c>
      <c r="CG7" s="28">
        <v>9.9999999999999995E-7</v>
      </c>
      <c r="CH7" s="28">
        <v>54.366999999999997</v>
      </c>
      <c r="CI7" s="28">
        <v>46.000999999999998</v>
      </c>
      <c r="CJ7" s="28">
        <v>2.33</v>
      </c>
      <c r="CK7" s="28">
        <v>9.9999999999999995E-7</v>
      </c>
      <c r="CL7" s="28">
        <v>2.33</v>
      </c>
      <c r="CM7" s="28">
        <v>2.33</v>
      </c>
      <c r="CN7" s="286"/>
      <c r="CO7" s="252">
        <f t="shared" ref="CO7:CU22" si="13">BK7*((100-BR7)/100)</f>
        <v>188.36700739999998</v>
      </c>
      <c r="CP7" s="11">
        <f t="shared" si="13"/>
        <v>9.9999998999999992E-7</v>
      </c>
      <c r="CQ7" s="11">
        <f t="shared" si="13"/>
        <v>9.9999998999999992E-7</v>
      </c>
      <c r="CR7" s="11">
        <f t="shared" si="13"/>
        <v>51.568999484310005</v>
      </c>
      <c r="CS7" s="11">
        <f t="shared" si="13"/>
        <v>9.9999998999999992E-7</v>
      </c>
      <c r="CT7" s="11">
        <f t="shared" si="13"/>
        <v>9.9999998999999992E-7</v>
      </c>
      <c r="CU7" s="271">
        <f t="shared" si="13"/>
        <v>10.186999898130001</v>
      </c>
      <c r="CV7" s="260">
        <f t="shared" ref="CV7:CY37" si="14">CF7*((100-CJ7)/100)</f>
        <v>61.4041523</v>
      </c>
      <c r="CW7" s="250">
        <f t="shared" si="14"/>
        <v>9.9999998999999992E-7</v>
      </c>
      <c r="CX7" s="260">
        <f t="shared" si="14"/>
        <v>53.100248899999997</v>
      </c>
      <c r="CY7" s="271">
        <f t="shared" si="14"/>
        <v>44.929176699999999</v>
      </c>
      <c r="CZ7" s="13"/>
      <c r="DA7" s="240">
        <f>(D7+'[2]ноябрь 20'!D7)/(AY7+'[2]ноябрь 20'!BA7)</f>
        <v>2.0170075790006794</v>
      </c>
      <c r="DB7" s="241">
        <f>(T7+'[2]ноябрь 20'!T7)/(AY7+'[2]ноябрь 20'!BA7)</f>
        <v>1.2415806339564315</v>
      </c>
      <c r="DD7" s="292">
        <f t="shared" ref="DD7:DD37" si="15">J7</f>
        <v>10.202</v>
      </c>
      <c r="DE7" s="291">
        <v>0.67</v>
      </c>
      <c r="DF7" s="291">
        <v>15.45</v>
      </c>
      <c r="DG7" s="145">
        <f t="shared" ref="DG7:DG37" si="16">DD7*((100-DE7)/100)</f>
        <v>10.133646599999999</v>
      </c>
      <c r="DH7" s="293">
        <f>IF(AB7=0,0,(DG7*DF7%)/(AB7/100))</f>
        <v>2.0682277406869218</v>
      </c>
      <c r="DJ7" s="322"/>
    </row>
    <row r="8" spans="1:114" s="76" customFormat="1" ht="16.5" customHeight="1" thickBot="1">
      <c r="A8" s="144">
        <v>2</v>
      </c>
      <c r="B8" s="122">
        <f>'[1]ноябрь 20'!K7</f>
        <v>277.286</v>
      </c>
      <c r="C8" s="123">
        <f t="shared" ref="C8:C37" si="17">IF(B8=0,0,(BK8*BR8+BL8*BS8+BM8*BT8+BN8*BU8+BQ8*BX8+BO8*BV8+BP8*BW8)/B8)</f>
        <v>1.5887289296971359</v>
      </c>
      <c r="D8" s="145">
        <f t="shared" ref="D8:D37" si="18">B8*((100-C8)/100)</f>
        <v>272.88067710000001</v>
      </c>
      <c r="E8" s="125">
        <f t="shared" ref="E8:E37" si="19">IF(B8=0,0,(BK8*BY8+BL8*BZ8+BM8*CA8+BQ8*CE8+BN8*CB8+BO8*CC8+BP8*CD8)/B8)</f>
        <v>39.651590055033438</v>
      </c>
      <c r="F8" s="146">
        <f t="shared" si="0"/>
        <v>2.1202849813519817</v>
      </c>
      <c r="G8" s="127"/>
      <c r="H8" s="126">
        <f t="shared" ref="H8:H37" si="20">IF(AY8=0,0,(CP8+CO8+CS8+CQ8+CT8)/AY8)</f>
        <v>1.6035406146076148</v>
      </c>
      <c r="I8" s="230">
        <f>'[1]июль 20'!AI7</f>
        <v>0</v>
      </c>
      <c r="J8" s="247">
        <f>'[1]ноябрь 20'!AA7</f>
        <v>11.031000000000001</v>
      </c>
      <c r="K8" s="464">
        <f>'[1]сентябрь 20'!AM7</f>
        <v>0</v>
      </c>
      <c r="L8" s="446">
        <f>'[1]ноябрь 20'!AE7</f>
        <v>66.504999999999995</v>
      </c>
      <c r="M8" s="468">
        <f t="shared" ref="M8:M37" si="21">IF(AY8=0,0,(CR8+CU8)/AY8)</f>
        <v>0.51674436674436675</v>
      </c>
      <c r="N8" s="403">
        <f>'[1]ноябрь 20'!W7</f>
        <v>0</v>
      </c>
      <c r="O8" s="403">
        <f>'[1]ноябрь 20'!AU7</f>
        <v>6.5640000000000001</v>
      </c>
      <c r="P8" s="401">
        <f t="shared" si="1"/>
        <v>179.06799999999998</v>
      </c>
      <c r="Q8" s="122">
        <f>'[1]ноябрь 20'!S7</f>
        <v>179.06800000000001</v>
      </c>
      <c r="R8" s="123">
        <f t="shared" ref="R8:R37" si="22">IF(Q8=0,0,(CI8*CM8+CG8*CK8+CH8*CL8+CF8*CJ8)/Q8)</f>
        <v>2.4500000000000002</v>
      </c>
      <c r="S8" s="129">
        <v>61.84</v>
      </c>
      <c r="T8" s="125">
        <f t="shared" si="2"/>
        <v>174.680834</v>
      </c>
      <c r="U8" s="147">
        <f t="shared" si="3"/>
        <v>1.3572714374514376</v>
      </c>
      <c r="V8" s="130">
        <v>128.69999999999999</v>
      </c>
      <c r="W8" s="130">
        <v>128.69999999999999</v>
      </c>
      <c r="X8" s="129">
        <v>0.18</v>
      </c>
      <c r="Y8" s="131">
        <v>582</v>
      </c>
      <c r="Z8" s="131">
        <v>1178</v>
      </c>
      <c r="AA8" s="148" t="s">
        <v>110</v>
      </c>
      <c r="AB8" s="149">
        <v>75.400000000000006</v>
      </c>
      <c r="AC8" s="150">
        <v>111</v>
      </c>
      <c r="AD8" s="151">
        <v>4</v>
      </c>
      <c r="AE8" s="149">
        <v>2.9</v>
      </c>
      <c r="AF8" s="134">
        <f t="shared" si="4"/>
        <v>22.533022533022535</v>
      </c>
      <c r="AG8" s="152"/>
      <c r="AH8" s="129">
        <v>82.25</v>
      </c>
      <c r="AI8" s="134">
        <f t="shared" si="5"/>
        <v>639.08313908313914</v>
      </c>
      <c r="AJ8" s="153">
        <v>14.78</v>
      </c>
      <c r="AK8" s="154"/>
      <c r="AL8" s="155">
        <v>8.64</v>
      </c>
      <c r="AM8" s="478">
        <v>31.94</v>
      </c>
      <c r="AN8" s="126">
        <f t="shared" ref="AN8:AN37" si="23">IF(AM8=0,0,AM8/AT8)</f>
        <v>0.19085748431431135</v>
      </c>
      <c r="AO8" s="157" t="s">
        <v>322</v>
      </c>
      <c r="AP8" s="156">
        <v>7.04</v>
      </c>
      <c r="AQ8" s="156">
        <v>7.83</v>
      </c>
      <c r="AR8" s="149"/>
      <c r="AS8" s="149">
        <v>8.68</v>
      </c>
      <c r="AT8" s="149">
        <v>167.35</v>
      </c>
      <c r="AU8" s="149">
        <v>1.93</v>
      </c>
      <c r="AV8" s="149"/>
      <c r="AW8" s="149"/>
      <c r="AX8" s="158">
        <f t="shared" si="6"/>
        <v>0</v>
      </c>
      <c r="AY8" s="125">
        <f t="shared" si="7"/>
        <v>128.69999999999999</v>
      </c>
      <c r="AZ8" s="125">
        <f t="shared" ref="AZ8:AZ37" si="24">IF(AB8=0,0,((D8*0.97)*(E8/100)*0.9)/(AB8/100))+DH8</f>
        <v>127.22825651029031</v>
      </c>
      <c r="BA8" s="159">
        <f t="shared" si="8"/>
        <v>5.5304436619718302</v>
      </c>
      <c r="BB8" s="160">
        <f t="shared" si="9"/>
        <v>5.1479999999999997</v>
      </c>
      <c r="BC8" s="161">
        <f t="shared" si="10"/>
        <v>0.89684316211686421</v>
      </c>
      <c r="BD8" s="160">
        <f t="shared" ref="BD8:BD37" si="25">BA8+BB8</f>
        <v>10.67844366197183</v>
      </c>
      <c r="BE8" s="162">
        <v>0.93100000000000005</v>
      </c>
      <c r="BF8" s="25">
        <f t="shared" ref="BF8:BF37" si="26">BF7+AY8</f>
        <v>255.42999999999998</v>
      </c>
      <c r="BG8" s="25">
        <f t="shared" si="11"/>
        <v>125.66666666666667</v>
      </c>
      <c r="BH8" s="25">
        <f t="shared" ref="BH8:BH37" si="27">BG8+BH7</f>
        <v>251.33333333333334</v>
      </c>
      <c r="BI8" s="26">
        <f t="shared" si="12"/>
        <v>1</v>
      </c>
      <c r="BJ8" s="27">
        <f t="shared" ref="BJ8:BJ37" si="28">BG8*BI8+BJ7</f>
        <v>251.33333333333334</v>
      </c>
      <c r="BK8" s="30">
        <v>210.78100000000001</v>
      </c>
      <c r="BL8" s="31"/>
      <c r="BM8" s="31"/>
      <c r="BN8" s="31">
        <v>55.5</v>
      </c>
      <c r="BO8" s="40"/>
      <c r="BP8" s="40"/>
      <c r="BQ8" s="32">
        <v>11.005000000000001</v>
      </c>
      <c r="BR8" s="33">
        <v>2.09</v>
      </c>
      <c r="BS8" s="34"/>
      <c r="BT8" s="35"/>
      <c r="BU8" s="28"/>
      <c r="BV8" s="287"/>
      <c r="BW8" s="28"/>
      <c r="BX8" s="36"/>
      <c r="BY8" s="33">
        <v>38.5</v>
      </c>
      <c r="BZ8" s="34"/>
      <c r="CA8" s="35"/>
      <c r="CB8" s="35">
        <v>43.27</v>
      </c>
      <c r="CC8" s="235"/>
      <c r="CD8" s="235"/>
      <c r="CE8" s="36">
        <v>43.46</v>
      </c>
      <c r="CF8" s="30">
        <v>70.373999999999995</v>
      </c>
      <c r="CG8" s="30"/>
      <c r="CH8" s="31"/>
      <c r="CI8" s="32">
        <v>108.694</v>
      </c>
      <c r="CJ8" s="33">
        <v>2.4500000000000002</v>
      </c>
      <c r="CK8" s="33"/>
      <c r="CL8" s="35"/>
      <c r="CM8" s="28">
        <v>2.4500000000000002</v>
      </c>
      <c r="CN8" s="286"/>
      <c r="CO8" s="249">
        <f t="shared" si="13"/>
        <v>206.37567709999999</v>
      </c>
      <c r="CP8" s="12">
        <f t="shared" si="13"/>
        <v>0</v>
      </c>
      <c r="CQ8" s="12">
        <f t="shared" si="13"/>
        <v>0</v>
      </c>
      <c r="CR8" s="12">
        <f t="shared" si="13"/>
        <v>55.5</v>
      </c>
      <c r="CS8" s="11">
        <f t="shared" si="13"/>
        <v>0</v>
      </c>
      <c r="CT8" s="11">
        <f t="shared" si="13"/>
        <v>0</v>
      </c>
      <c r="CU8" s="272">
        <f t="shared" si="13"/>
        <v>11.005000000000001</v>
      </c>
      <c r="CV8" s="249">
        <f t="shared" si="14"/>
        <v>68.649836999999991</v>
      </c>
      <c r="CW8" s="12">
        <f t="shared" si="14"/>
        <v>0</v>
      </c>
      <c r="CX8" s="254">
        <f t="shared" si="14"/>
        <v>0</v>
      </c>
      <c r="CY8" s="272">
        <f t="shared" si="14"/>
        <v>106.030997</v>
      </c>
      <c r="CZ8" s="13"/>
      <c r="DA8" s="240">
        <f>(D8+'[2]ноябрь 20'!D8)/(AY8+'[2]ноябрь 20'!BA8)</f>
        <v>2.2072609323786345</v>
      </c>
      <c r="DB8" s="241">
        <f>(T8+'[2]ноябрь 20'!T8)/(AY8+'[2]ноябрь 20'!BA8)</f>
        <v>1.356509162012745</v>
      </c>
      <c r="DD8" s="292">
        <f t="shared" si="15"/>
        <v>11.031000000000001</v>
      </c>
      <c r="DE8" s="291">
        <v>0.54</v>
      </c>
      <c r="DF8" s="291">
        <v>13.4</v>
      </c>
      <c r="DG8" s="145">
        <f t="shared" si="16"/>
        <v>10.9714326</v>
      </c>
      <c r="DH8" s="293">
        <f t="shared" ref="DH8:DH37" si="29">IF(AB8=0,0,(DG8*DF8%)/(AB8/100))</f>
        <v>1.9498301968169762</v>
      </c>
      <c r="DJ8" s="322"/>
    </row>
    <row r="9" spans="1:114" s="76" customFormat="1" ht="16.5" customHeight="1" thickBot="1">
      <c r="A9" s="144">
        <v>3</v>
      </c>
      <c r="B9" s="122">
        <f>'[1]ноябрь 20'!K8</f>
        <v>259.88799999999998</v>
      </c>
      <c r="C9" s="123">
        <f t="shared" si="17"/>
        <v>1.0029314166102321</v>
      </c>
      <c r="D9" s="145">
        <f>B9*((100-C9)/100)</f>
        <v>257.28150159999996</v>
      </c>
      <c r="E9" s="125">
        <f t="shared" si="19"/>
        <v>39.470693837345316</v>
      </c>
      <c r="F9" s="146">
        <f t="shared" si="0"/>
        <v>2.1347618785263855</v>
      </c>
      <c r="G9" s="127"/>
      <c r="H9" s="126">
        <f t="shared" si="20"/>
        <v>1.6167897577165617</v>
      </c>
      <c r="I9" s="230">
        <f>'[1]июль 20'!AI8</f>
        <v>0</v>
      </c>
      <c r="J9" s="247">
        <f>'[1]ноябрь 20'!AA8</f>
        <v>10.334</v>
      </c>
      <c r="K9" s="465">
        <f>'[1]сентябрь 20'!AM8</f>
        <v>0</v>
      </c>
      <c r="L9" s="446">
        <f>'[1]ноябрь 20'!AE8</f>
        <v>62.426000000000002</v>
      </c>
      <c r="M9" s="469">
        <f t="shared" si="21"/>
        <v>0.51797212080982402</v>
      </c>
      <c r="N9" s="403">
        <f>'[1]ноябрь 20'!W8</f>
        <v>0</v>
      </c>
      <c r="O9" s="403">
        <f>'[1]ноябрь 20'!AU8</f>
        <v>5.2</v>
      </c>
      <c r="P9" s="401">
        <f t="shared" si="1"/>
        <v>168.08199999999999</v>
      </c>
      <c r="Q9" s="122">
        <f>'[1]ноябрь 20'!S8</f>
        <v>168.08199999999999</v>
      </c>
      <c r="R9" s="123">
        <f t="shared" si="22"/>
        <v>3.08</v>
      </c>
      <c r="S9" s="129">
        <v>35.270000000000003</v>
      </c>
      <c r="T9" s="125">
        <f t="shared" si="2"/>
        <v>162.90507440000002</v>
      </c>
      <c r="U9" s="147">
        <f>IF(AY9=0,0,T9/AY9)</f>
        <v>1.3516849850647197</v>
      </c>
      <c r="V9" s="130">
        <v>94.02</v>
      </c>
      <c r="W9" s="130">
        <v>120.52</v>
      </c>
      <c r="X9" s="129">
        <v>0.18</v>
      </c>
      <c r="Y9" s="131">
        <v>584</v>
      </c>
      <c r="Z9" s="131">
        <v>1176</v>
      </c>
      <c r="AA9" s="148" t="s">
        <v>188</v>
      </c>
      <c r="AB9" s="149">
        <v>75.2</v>
      </c>
      <c r="AC9" s="150">
        <v>104</v>
      </c>
      <c r="AD9" s="151">
        <v>4</v>
      </c>
      <c r="AE9" s="149"/>
      <c r="AF9" s="134">
        <f t="shared" si="4"/>
        <v>0</v>
      </c>
      <c r="AG9" s="152"/>
      <c r="AH9" s="129">
        <v>77.95</v>
      </c>
      <c r="AI9" s="134">
        <f t="shared" si="5"/>
        <v>646.7806173249254</v>
      </c>
      <c r="AJ9" s="153">
        <v>16.09</v>
      </c>
      <c r="AK9" s="154"/>
      <c r="AL9" s="155">
        <v>7.94</v>
      </c>
      <c r="AM9" s="478">
        <v>38.08</v>
      </c>
      <c r="AN9" s="126">
        <f t="shared" si="23"/>
        <v>0.23155974460322287</v>
      </c>
      <c r="AO9" s="157" t="s">
        <v>339</v>
      </c>
      <c r="AP9" s="156">
        <v>7.84</v>
      </c>
      <c r="AQ9" s="156">
        <v>7.54</v>
      </c>
      <c r="AR9" s="149"/>
      <c r="AS9" s="149">
        <v>9.2100000000000009</v>
      </c>
      <c r="AT9" s="149">
        <v>164.45</v>
      </c>
      <c r="AU9" s="149">
        <v>2.09</v>
      </c>
      <c r="AV9" s="149"/>
      <c r="AW9" s="149"/>
      <c r="AX9" s="158">
        <f t="shared" si="6"/>
        <v>0</v>
      </c>
      <c r="AY9" s="125">
        <f t="shared" si="7"/>
        <v>120.52</v>
      </c>
      <c r="AZ9" s="125">
        <f t="shared" si="24"/>
        <v>120.45107273069783</v>
      </c>
      <c r="BA9" s="159">
        <f t="shared" si="8"/>
        <v>5.5613482394366205</v>
      </c>
      <c r="BB9" s="160">
        <f t="shared" si="9"/>
        <v>4.8208000000000002</v>
      </c>
      <c r="BC9" s="161">
        <f t="shared" si="10"/>
        <v>0.89247003013560133</v>
      </c>
      <c r="BD9" s="160">
        <f t="shared" si="25"/>
        <v>10.382148239436621</v>
      </c>
      <c r="BE9" s="162">
        <v>0.91900000000000004</v>
      </c>
      <c r="BF9" s="25">
        <f t="shared" si="26"/>
        <v>375.95</v>
      </c>
      <c r="BG9" s="25">
        <f t="shared" si="11"/>
        <v>125.66666666666667</v>
      </c>
      <c r="BH9" s="25">
        <f t="shared" si="27"/>
        <v>377</v>
      </c>
      <c r="BI9" s="26">
        <f t="shared" si="12"/>
        <v>1</v>
      </c>
      <c r="BJ9" s="37">
        <f t="shared" si="28"/>
        <v>377</v>
      </c>
      <c r="BK9" s="38">
        <v>197.46199999999999</v>
      </c>
      <c r="BL9" s="31"/>
      <c r="BM9" s="31"/>
      <c r="BN9" s="31">
        <v>52.043999999999997</v>
      </c>
      <c r="BO9" s="40"/>
      <c r="BP9" s="40"/>
      <c r="BQ9" s="32">
        <v>10.382</v>
      </c>
      <c r="BR9" s="33">
        <v>1.32</v>
      </c>
      <c r="BS9" s="34"/>
      <c r="BT9" s="35"/>
      <c r="BU9" s="28"/>
      <c r="BV9" s="287"/>
      <c r="BW9" s="287"/>
      <c r="BX9" s="36"/>
      <c r="BY9" s="33">
        <v>38.15</v>
      </c>
      <c r="BZ9" s="34"/>
      <c r="CA9" s="35"/>
      <c r="CB9" s="35">
        <v>43.6</v>
      </c>
      <c r="CC9" s="235"/>
      <c r="CD9" s="235"/>
      <c r="CE9" s="36">
        <v>43.89</v>
      </c>
      <c r="CF9" s="30">
        <v>63.491</v>
      </c>
      <c r="CG9" s="30"/>
      <c r="CH9" s="31"/>
      <c r="CI9" s="32">
        <v>104.59099999999999</v>
      </c>
      <c r="CJ9" s="33">
        <v>3.08</v>
      </c>
      <c r="CK9" s="33"/>
      <c r="CL9" s="35"/>
      <c r="CM9" s="36">
        <v>3.08</v>
      </c>
      <c r="CN9" s="286"/>
      <c r="CO9" s="249">
        <f t="shared" si="13"/>
        <v>194.85550160000003</v>
      </c>
      <c r="CP9" s="12">
        <f t="shared" si="13"/>
        <v>0</v>
      </c>
      <c r="CQ9" s="12">
        <f t="shared" si="13"/>
        <v>0</v>
      </c>
      <c r="CR9" s="12">
        <f t="shared" si="13"/>
        <v>52.043999999999997</v>
      </c>
      <c r="CS9" s="11">
        <f t="shared" si="13"/>
        <v>0</v>
      </c>
      <c r="CT9" s="11">
        <f t="shared" si="13"/>
        <v>0</v>
      </c>
      <c r="CU9" s="272">
        <f t="shared" si="13"/>
        <v>10.382</v>
      </c>
      <c r="CV9" s="249">
        <f t="shared" si="14"/>
        <v>61.535477200000003</v>
      </c>
      <c r="CW9" s="251">
        <f t="shared" si="14"/>
        <v>0</v>
      </c>
      <c r="CX9" s="249">
        <f t="shared" si="14"/>
        <v>0</v>
      </c>
      <c r="CY9" s="272">
        <f t="shared" si="14"/>
        <v>101.3695972</v>
      </c>
      <c r="CZ9" s="13"/>
      <c r="DA9" s="240">
        <f>(D9+'[2]ноябрь 20'!D9)/(AY9+'[2]ноябрь 20'!BA9)</f>
        <v>2.1953731046970102</v>
      </c>
      <c r="DB9" s="241">
        <f>(T9+'[2]ноябрь 20'!T9)/(AY9+'[2]ноябрь 20'!BA9)</f>
        <v>1.3544546337726853</v>
      </c>
      <c r="DD9" s="292">
        <f t="shared" si="15"/>
        <v>10.334</v>
      </c>
      <c r="DE9" s="291">
        <v>0.1</v>
      </c>
      <c r="DF9" s="291">
        <v>18.649999999999999</v>
      </c>
      <c r="DG9" s="145">
        <f t="shared" si="16"/>
        <v>10.323666000000001</v>
      </c>
      <c r="DH9" s="293">
        <f t="shared" si="29"/>
        <v>2.5603240811170216</v>
      </c>
      <c r="DJ9" s="322"/>
    </row>
    <row r="10" spans="1:114" s="76" customFormat="1" ht="16.5" customHeight="1" thickBot="1">
      <c r="A10" s="144">
        <v>4</v>
      </c>
      <c r="B10" s="122">
        <f>'[1]ноябрь 20'!K9</f>
        <v>255.02</v>
      </c>
      <c r="C10" s="123">
        <f t="shared" si="17"/>
        <v>1.1400870519959219</v>
      </c>
      <c r="D10" s="145">
        <f t="shared" ref="D10:D36" si="30">B10*((100-C10)/100)</f>
        <v>252.11255000000003</v>
      </c>
      <c r="E10" s="125">
        <f>IF(B10=0,0,(BK10*BY10+BL10*BZ10+BM10*CA10+BQ10*CE10+BN10*CB10+BO10*CC10+BP10*CD10)/B10)</f>
        <v>39.235645047447264</v>
      </c>
      <c r="F10" s="146">
        <f t="shared" si="0"/>
        <v>2.2965253233740213</v>
      </c>
      <c r="G10" s="127">
        <v>18.97</v>
      </c>
      <c r="H10" s="126">
        <f t="shared" si="20"/>
        <v>1.7391378210967392</v>
      </c>
      <c r="I10" s="230">
        <f>'[1]июль 20'!AI9</f>
        <v>0</v>
      </c>
      <c r="J10" s="247">
        <f>'[1]ноябрь 20'!AA9</f>
        <v>10.141</v>
      </c>
      <c r="K10" s="464">
        <f>'[1]сентябрь 20'!AM9</f>
        <v>0</v>
      </c>
      <c r="L10" s="446">
        <f>'[1]ноябрь 20'!AE9</f>
        <v>61.19</v>
      </c>
      <c r="M10" s="470">
        <f t="shared" si="21"/>
        <v>0.55738750227728184</v>
      </c>
      <c r="N10" s="403">
        <f>'[1]ноябрь 20'!W9</f>
        <v>0</v>
      </c>
      <c r="O10" s="403">
        <f>'[1]ноябрь 20'!AU9</f>
        <v>5.0890000000000004</v>
      </c>
      <c r="P10" s="401">
        <f t="shared" si="1"/>
        <v>167.27799999999999</v>
      </c>
      <c r="Q10" s="122">
        <f>'[1]ноябрь 20'!S9</f>
        <v>167.27799999999999</v>
      </c>
      <c r="R10" s="123">
        <f t="shared" si="22"/>
        <v>3.6</v>
      </c>
      <c r="S10" s="129"/>
      <c r="T10" s="125">
        <f t="shared" si="2"/>
        <v>161.25599199999999</v>
      </c>
      <c r="U10" s="147">
        <f t="shared" ref="U10:U36" si="31">IF(AY10=0,0,T10/AY10)</f>
        <v>1.468901366369102</v>
      </c>
      <c r="V10" s="130">
        <v>91.68</v>
      </c>
      <c r="W10" s="130">
        <v>109.78</v>
      </c>
      <c r="X10" s="129">
        <v>0.6</v>
      </c>
      <c r="Y10" s="131">
        <v>570</v>
      </c>
      <c r="Z10" s="131">
        <v>1176</v>
      </c>
      <c r="AA10" s="148" t="s">
        <v>399</v>
      </c>
      <c r="AB10" s="149">
        <v>76.08</v>
      </c>
      <c r="AC10" s="150">
        <v>102</v>
      </c>
      <c r="AD10" s="151">
        <v>4</v>
      </c>
      <c r="AE10" s="149"/>
      <c r="AF10" s="134">
        <f t="shared" si="4"/>
        <v>0</v>
      </c>
      <c r="AG10" s="152"/>
      <c r="AH10" s="129">
        <v>74.8</v>
      </c>
      <c r="AI10" s="134">
        <f t="shared" si="5"/>
        <v>681.36272545090185</v>
      </c>
      <c r="AJ10" s="153">
        <v>13.24</v>
      </c>
      <c r="AK10" s="154"/>
      <c r="AL10" s="155">
        <v>6.21</v>
      </c>
      <c r="AM10" s="478">
        <v>38.58</v>
      </c>
      <c r="AN10" s="126">
        <f t="shared" si="23"/>
        <v>0.25306657920629716</v>
      </c>
      <c r="AO10" s="157" t="s">
        <v>440</v>
      </c>
      <c r="AP10" s="156">
        <v>8.2200000000000006</v>
      </c>
      <c r="AQ10" s="156">
        <v>8.84</v>
      </c>
      <c r="AR10" s="149"/>
      <c r="AS10" s="149">
        <v>7.79</v>
      </c>
      <c r="AT10" s="149">
        <v>152.44999999999999</v>
      </c>
      <c r="AU10" s="149">
        <v>2.12</v>
      </c>
      <c r="AV10" s="149"/>
      <c r="AW10" s="149"/>
      <c r="AX10" s="158">
        <f t="shared" si="6"/>
        <v>0</v>
      </c>
      <c r="AY10" s="125">
        <f>AT10-AL10-AM10+AV10+AW10+AU10</f>
        <v>109.77999999999999</v>
      </c>
      <c r="AZ10" s="125">
        <f t="shared" si="24"/>
        <v>115.75213367286197</v>
      </c>
      <c r="BA10" s="159">
        <f t="shared" si="8"/>
        <v>4.5138112676056341</v>
      </c>
      <c r="BB10" s="160">
        <f t="shared" si="9"/>
        <v>4.3911999999999995</v>
      </c>
      <c r="BC10" s="161">
        <f t="shared" si="10"/>
        <v>0.84434214666816287</v>
      </c>
      <c r="BD10" s="160">
        <f t="shared" si="25"/>
        <v>8.9050112676056337</v>
      </c>
      <c r="BE10" s="162">
        <v>0.90100000000000002</v>
      </c>
      <c r="BF10" s="25">
        <f t="shared" si="26"/>
        <v>485.72999999999996</v>
      </c>
      <c r="BG10" s="25">
        <f t="shared" si="11"/>
        <v>125.66666666666667</v>
      </c>
      <c r="BH10" s="25">
        <f t="shared" si="27"/>
        <v>502.66666666666669</v>
      </c>
      <c r="BI10" s="26">
        <f t="shared" si="12"/>
        <v>1</v>
      </c>
      <c r="BJ10" s="37">
        <f t="shared" si="28"/>
        <v>502.66666666666669</v>
      </c>
      <c r="BK10" s="38">
        <v>193.83</v>
      </c>
      <c r="BL10" s="31"/>
      <c r="BM10" s="31"/>
      <c r="BN10" s="31">
        <v>51</v>
      </c>
      <c r="BO10" s="40"/>
      <c r="BP10" s="40"/>
      <c r="BQ10" s="32">
        <v>10.19</v>
      </c>
      <c r="BR10" s="33">
        <v>1.5</v>
      </c>
      <c r="BS10" s="34"/>
      <c r="BT10" s="35"/>
      <c r="BU10" s="28"/>
      <c r="BV10" s="287"/>
      <c r="BW10" s="287"/>
      <c r="BX10" s="36"/>
      <c r="BY10" s="33">
        <v>37.81</v>
      </c>
      <c r="BZ10" s="34"/>
      <c r="CA10" s="35"/>
      <c r="CB10" s="35">
        <v>43.7</v>
      </c>
      <c r="CC10" s="235"/>
      <c r="CD10" s="235"/>
      <c r="CE10" s="36">
        <v>44.01</v>
      </c>
      <c r="CF10" s="30">
        <v>62.26</v>
      </c>
      <c r="CG10" s="30"/>
      <c r="CH10" s="31"/>
      <c r="CI10" s="32">
        <v>105.018</v>
      </c>
      <c r="CJ10" s="33">
        <v>3.6</v>
      </c>
      <c r="CK10" s="33"/>
      <c r="CL10" s="35"/>
      <c r="CM10" s="36">
        <v>3.6</v>
      </c>
      <c r="CN10" s="286"/>
      <c r="CO10" s="249">
        <f t="shared" si="13"/>
        <v>190.92255</v>
      </c>
      <c r="CP10" s="12">
        <f t="shared" si="13"/>
        <v>0</v>
      </c>
      <c r="CQ10" s="12">
        <f t="shared" si="13"/>
        <v>0</v>
      </c>
      <c r="CR10" s="14">
        <f t="shared" si="13"/>
        <v>51</v>
      </c>
      <c r="CS10" s="11">
        <f t="shared" si="13"/>
        <v>0</v>
      </c>
      <c r="CT10" s="11">
        <f t="shared" si="13"/>
        <v>0</v>
      </c>
      <c r="CU10" s="272">
        <f t="shared" si="13"/>
        <v>10.19</v>
      </c>
      <c r="CV10" s="249">
        <f t="shared" si="14"/>
        <v>60.018640000000005</v>
      </c>
      <c r="CW10" s="12">
        <f t="shared" si="14"/>
        <v>0</v>
      </c>
      <c r="CX10" s="249">
        <f t="shared" si="14"/>
        <v>0</v>
      </c>
      <c r="CY10" s="272">
        <f t="shared" si="14"/>
        <v>101.23735200000002</v>
      </c>
      <c r="CZ10" s="13"/>
      <c r="DA10" s="240">
        <f>(D10+'[2]ноябрь 20'!D10)/(AY10+'[2]ноябрь 20'!BA10)</f>
        <v>2.1628860244830093</v>
      </c>
      <c r="DB10" s="241">
        <f>(T10+'[2]ноябрь 20'!T10)/(AY10+'[2]ноябрь 20'!BA10)</f>
        <v>1.3486111928409399</v>
      </c>
      <c r="DD10" s="292">
        <f t="shared" si="15"/>
        <v>10.141</v>
      </c>
      <c r="DE10" s="291">
        <v>0.41</v>
      </c>
      <c r="DF10" s="291">
        <v>16.920000000000002</v>
      </c>
      <c r="DG10" s="145">
        <f t="shared" si="16"/>
        <v>10.099421899999999</v>
      </c>
      <c r="DH10" s="293">
        <f t="shared" si="29"/>
        <v>2.2460859430599371</v>
      </c>
      <c r="DJ10" s="322"/>
    </row>
    <row r="11" spans="1:114" s="76" customFormat="1" ht="16.5" customHeight="1" thickBot="1">
      <c r="A11" s="144">
        <v>5</v>
      </c>
      <c r="B11" s="122">
        <f>'[1]ноябрь 20'!K10</f>
        <v>279.96100000000001</v>
      </c>
      <c r="C11" s="123">
        <f t="shared" si="17"/>
        <v>0.55474169616482294</v>
      </c>
      <c r="D11" s="145">
        <f t="shared" si="30"/>
        <v>278.40793960000002</v>
      </c>
      <c r="E11" s="125">
        <f t="shared" ref="E11:E36" si="32">IF(B11=0,0,(BK11*BY11+BL11*BZ11+BM11*CA11+BQ11*CE11+BN11*CB11+BO11*CC11+BP11*CD11)/B11)</f>
        <v>40.558348662849468</v>
      </c>
      <c r="F11" s="146">
        <f t="shared" si="0"/>
        <v>2.4194658868514818</v>
      </c>
      <c r="G11" s="127"/>
      <c r="H11" s="126">
        <f t="shared" si="20"/>
        <v>1.8353605596593374</v>
      </c>
      <c r="I11" s="230">
        <f>'[1]июль 20'!AI10</f>
        <v>0</v>
      </c>
      <c r="J11" s="247">
        <f>'[1]ноябрь 20'!AA10</f>
        <v>11.196</v>
      </c>
      <c r="K11" s="464">
        <f>'[1]сентябрь 20'!AM10</f>
        <v>0</v>
      </c>
      <c r="L11" s="446">
        <f>'[1]ноябрь 20'!AE10</f>
        <v>67.212999999999994</v>
      </c>
      <c r="M11" s="468">
        <f t="shared" si="21"/>
        <v>0.58410532719214392</v>
      </c>
      <c r="N11" s="403">
        <f>'[1]ноябрь 20'!W10</f>
        <v>0</v>
      </c>
      <c r="O11" s="403">
        <f>'[1]ноябрь 20'!AU10</f>
        <v>5.6120000000000001</v>
      </c>
      <c r="P11" s="401">
        <f t="shared" si="1"/>
        <v>184.24700000000001</v>
      </c>
      <c r="Q11" s="122">
        <f>'[1]ноябрь 20'!S10</f>
        <v>184.24700000000001</v>
      </c>
      <c r="R11" s="123">
        <f t="shared" si="22"/>
        <v>3.0399999999999996</v>
      </c>
      <c r="S11" s="129">
        <v>28.45</v>
      </c>
      <c r="T11" s="125">
        <f t="shared" si="2"/>
        <v>178.64589119999999</v>
      </c>
      <c r="U11" s="147">
        <f t="shared" si="31"/>
        <v>1.5524975336751541</v>
      </c>
      <c r="V11" s="130">
        <v>88.18</v>
      </c>
      <c r="W11" s="130">
        <v>86.66</v>
      </c>
      <c r="X11" s="129">
        <v>0.73</v>
      </c>
      <c r="Y11" s="131">
        <v>564</v>
      </c>
      <c r="Z11" s="131">
        <v>1171</v>
      </c>
      <c r="AA11" s="148" t="s">
        <v>167</v>
      </c>
      <c r="AB11" s="149">
        <v>75.91</v>
      </c>
      <c r="AC11" s="150">
        <v>112</v>
      </c>
      <c r="AD11" s="151">
        <v>4</v>
      </c>
      <c r="AE11" s="149"/>
      <c r="AF11" s="134">
        <f t="shared" si="4"/>
        <v>0</v>
      </c>
      <c r="AG11" s="152"/>
      <c r="AH11" s="129">
        <v>72.900000000000006</v>
      </c>
      <c r="AI11" s="134">
        <f t="shared" si="5"/>
        <v>633.5274180933344</v>
      </c>
      <c r="AJ11" s="163">
        <v>13.13</v>
      </c>
      <c r="AK11" s="154"/>
      <c r="AL11" s="155">
        <v>5.54</v>
      </c>
      <c r="AM11" s="478">
        <v>36.520000000000003</v>
      </c>
      <c r="AN11" s="126">
        <f t="shared" si="23"/>
        <v>0.23515775917578879</v>
      </c>
      <c r="AO11" s="157" t="s">
        <v>441</v>
      </c>
      <c r="AP11" s="156">
        <v>8.1999999999999993</v>
      </c>
      <c r="AQ11" s="156">
        <v>8</v>
      </c>
      <c r="AR11" s="149"/>
      <c r="AS11" s="149">
        <v>7.75</v>
      </c>
      <c r="AT11" s="149">
        <v>155.30000000000001</v>
      </c>
      <c r="AU11" s="149">
        <v>1.83</v>
      </c>
      <c r="AV11" s="149"/>
      <c r="AW11" s="149"/>
      <c r="AX11" s="158">
        <f t="shared" si="6"/>
        <v>0</v>
      </c>
      <c r="AY11" s="125">
        <f t="shared" ref="AY11:AY36" si="33">AT11-AL11-AM11+AV11+AW11+AU11</f>
        <v>115.07000000000001</v>
      </c>
      <c r="AZ11" s="125">
        <f t="shared" si="24"/>
        <v>132.08495185235728</v>
      </c>
      <c r="BA11" s="159">
        <f t="shared" si="8"/>
        <v>4.3765669014084505</v>
      </c>
      <c r="BB11" s="160">
        <f t="shared" si="9"/>
        <v>4.6028000000000002</v>
      </c>
      <c r="BC11" s="161">
        <f t="shared" si="10"/>
        <v>0.77356929639576821</v>
      </c>
      <c r="BD11" s="160">
        <f t="shared" si="25"/>
        <v>8.9793669014084507</v>
      </c>
      <c r="BE11" s="162">
        <v>0.873</v>
      </c>
      <c r="BF11" s="25">
        <f t="shared" si="26"/>
        <v>600.79999999999995</v>
      </c>
      <c r="BG11" s="25">
        <f t="shared" si="11"/>
        <v>125.66666666666667</v>
      </c>
      <c r="BH11" s="25">
        <f t="shared" si="27"/>
        <v>628.33333333333337</v>
      </c>
      <c r="BI11" s="26">
        <f t="shared" si="12"/>
        <v>1</v>
      </c>
      <c r="BJ11" s="37">
        <f t="shared" si="28"/>
        <v>628.33333333333337</v>
      </c>
      <c r="BK11" s="38">
        <v>212.74799999999999</v>
      </c>
      <c r="BL11" s="31"/>
      <c r="BM11" s="31"/>
      <c r="BN11" s="31">
        <v>56.011000000000003</v>
      </c>
      <c r="BO11" s="40"/>
      <c r="BP11" s="40"/>
      <c r="BQ11" s="32">
        <v>11.202</v>
      </c>
      <c r="BR11" s="33">
        <v>0.73</v>
      </c>
      <c r="BS11" s="34"/>
      <c r="BT11" s="35"/>
      <c r="BU11" s="28"/>
      <c r="BV11" s="287"/>
      <c r="BW11" s="287"/>
      <c r="BX11" s="36"/>
      <c r="BY11" s="33">
        <v>39.51</v>
      </c>
      <c r="BZ11" s="34"/>
      <c r="CA11" s="35"/>
      <c r="CB11" s="35">
        <v>43.85</v>
      </c>
      <c r="CC11" s="235"/>
      <c r="CD11" s="235"/>
      <c r="CE11" s="36">
        <v>44.01</v>
      </c>
      <c r="CF11" s="30">
        <v>68.358000000000004</v>
      </c>
      <c r="CG11" s="30"/>
      <c r="CH11" s="31"/>
      <c r="CI11" s="32">
        <v>115.889</v>
      </c>
      <c r="CJ11" s="33">
        <v>3.04</v>
      </c>
      <c r="CK11" s="33"/>
      <c r="CL11" s="35"/>
      <c r="CM11" s="36">
        <v>3.04</v>
      </c>
      <c r="CN11" s="286"/>
      <c r="CO11" s="249">
        <f t="shared" si="13"/>
        <v>211.19493959999997</v>
      </c>
      <c r="CP11" s="12">
        <f t="shared" si="13"/>
        <v>0</v>
      </c>
      <c r="CQ11" s="15">
        <f t="shared" si="13"/>
        <v>0</v>
      </c>
      <c r="CR11" s="16">
        <f t="shared" si="13"/>
        <v>56.011000000000003</v>
      </c>
      <c r="CS11" s="11">
        <f t="shared" si="13"/>
        <v>0</v>
      </c>
      <c r="CT11" s="11">
        <f t="shared" si="13"/>
        <v>0</v>
      </c>
      <c r="CU11" s="272">
        <f t="shared" si="13"/>
        <v>11.202</v>
      </c>
      <c r="CV11" s="249">
        <f t="shared" si="14"/>
        <v>66.279916799999995</v>
      </c>
      <c r="CW11" s="12">
        <f t="shared" si="14"/>
        <v>0</v>
      </c>
      <c r="CX11" s="249">
        <f t="shared" si="14"/>
        <v>0</v>
      </c>
      <c r="CY11" s="272">
        <f t="shared" si="14"/>
        <v>112.36597439999998</v>
      </c>
      <c r="CZ11" s="13"/>
      <c r="DA11" s="240">
        <f>(D11+'[2]ноябрь 20'!D11)/(AY11+'[2]ноябрь 20'!BA11)</f>
        <v>2.1569454811801396</v>
      </c>
      <c r="DB11" s="241">
        <f>(T11+'[2]ноябрь 20'!T11)/(AY11+'[2]ноябрь 20'!BA11)</f>
        <v>1.3499362391699501</v>
      </c>
      <c r="DD11" s="292">
        <f t="shared" si="15"/>
        <v>11.196</v>
      </c>
      <c r="DE11" s="291">
        <v>0.12</v>
      </c>
      <c r="DF11" s="407">
        <v>15.1</v>
      </c>
      <c r="DG11" s="145">
        <f t="shared" si="16"/>
        <v>11.182564799999998</v>
      </c>
      <c r="DH11" s="293">
        <f t="shared" si="29"/>
        <v>2.2244332562244762</v>
      </c>
      <c r="DJ11" s="322"/>
    </row>
    <row r="12" spans="1:114" s="76" customFormat="1" ht="16.5" customHeight="1" thickBot="1">
      <c r="A12" s="144">
        <v>6</v>
      </c>
      <c r="B12" s="122">
        <f>'[1]ноябрь 20'!K11</f>
        <v>259.99900000000002</v>
      </c>
      <c r="C12" s="123">
        <f t="shared" si="17"/>
        <v>0.6156615602367701</v>
      </c>
      <c r="D12" s="145">
        <f t="shared" si="30"/>
        <v>258.39828610000001</v>
      </c>
      <c r="E12" s="125">
        <f t="shared" si="32"/>
        <v>38.660279924153556</v>
      </c>
      <c r="F12" s="146">
        <f t="shared" si="0"/>
        <v>2.1202780512021007</v>
      </c>
      <c r="G12" s="127">
        <v>14.83</v>
      </c>
      <c r="H12" s="126">
        <f t="shared" si="20"/>
        <v>1.6084211545089029</v>
      </c>
      <c r="I12" s="230">
        <f>'[1]июль 20'!AI11</f>
        <v>0</v>
      </c>
      <c r="J12" s="247">
        <f>'[1]ноябрь 20'!AA11</f>
        <v>10.516</v>
      </c>
      <c r="K12" s="464">
        <f>'[1]сентябрь 20'!AM11</f>
        <v>0</v>
      </c>
      <c r="L12" s="446">
        <f>'[1]ноябрь 20'!AE11</f>
        <v>62.38</v>
      </c>
      <c r="M12" s="469">
        <f t="shared" si="21"/>
        <v>0.51185689669319756</v>
      </c>
      <c r="N12" s="403">
        <f>'[1]ноябрь 20'!W11</f>
        <v>0</v>
      </c>
      <c r="O12" s="403">
        <f>'[1]ноябрь 20'!AU11</f>
        <v>5.1890000000000001</v>
      </c>
      <c r="P12" s="401">
        <f t="shared" si="1"/>
        <v>171.149</v>
      </c>
      <c r="Q12" s="122">
        <f>'[1]ноябрь 20'!S11</f>
        <v>171.149</v>
      </c>
      <c r="R12" s="123">
        <f t="shared" si="22"/>
        <v>3.48</v>
      </c>
      <c r="S12" s="129">
        <v>2.69</v>
      </c>
      <c r="T12" s="125">
        <f t="shared" si="2"/>
        <v>165.19301479999999</v>
      </c>
      <c r="U12" s="147">
        <f t="shared" si="31"/>
        <v>1.3554854746861409</v>
      </c>
      <c r="V12" s="130">
        <v>121.87</v>
      </c>
      <c r="W12" s="130">
        <v>71.94</v>
      </c>
      <c r="X12" s="129">
        <v>0.85</v>
      </c>
      <c r="Y12" s="131">
        <v>584</v>
      </c>
      <c r="Z12" s="150">
        <v>1172</v>
      </c>
      <c r="AA12" s="148" t="s">
        <v>116</v>
      </c>
      <c r="AB12" s="149">
        <v>75.849999999999994</v>
      </c>
      <c r="AC12" s="150">
        <v>104</v>
      </c>
      <c r="AD12" s="151">
        <v>5</v>
      </c>
      <c r="AE12" s="149"/>
      <c r="AF12" s="134">
        <f t="shared" si="4"/>
        <v>0</v>
      </c>
      <c r="AG12" s="152"/>
      <c r="AH12" s="129">
        <v>69.3</v>
      </c>
      <c r="AI12" s="134">
        <f t="shared" si="5"/>
        <v>568.6387133831131</v>
      </c>
      <c r="AJ12" s="153">
        <v>16.27</v>
      </c>
      <c r="AK12" s="154"/>
      <c r="AL12" s="155">
        <v>7.58</v>
      </c>
      <c r="AM12" s="478">
        <v>31.13</v>
      </c>
      <c r="AN12" s="126">
        <f t="shared" si="23"/>
        <v>0.19590937696664568</v>
      </c>
      <c r="AO12" s="157" t="s">
        <v>361</v>
      </c>
      <c r="AP12" s="156">
        <v>7.97</v>
      </c>
      <c r="AQ12" s="156">
        <v>8.93</v>
      </c>
      <c r="AR12" s="149"/>
      <c r="AS12" s="149">
        <v>6.85</v>
      </c>
      <c r="AT12" s="149">
        <v>158.9</v>
      </c>
      <c r="AU12" s="149">
        <v>1.68</v>
      </c>
      <c r="AV12" s="164"/>
      <c r="AW12" s="164"/>
      <c r="AX12" s="158">
        <f t="shared" si="6"/>
        <v>0</v>
      </c>
      <c r="AY12" s="125">
        <f t="shared" si="33"/>
        <v>121.87</v>
      </c>
      <c r="AZ12" s="125">
        <f t="shared" si="24"/>
        <v>117.24332344851658</v>
      </c>
      <c r="BA12" s="159">
        <f t="shared" si="8"/>
        <v>3.6772922535211263</v>
      </c>
      <c r="BB12" s="160">
        <f t="shared" si="9"/>
        <v>4.8748000000000005</v>
      </c>
      <c r="BC12" s="161">
        <f t="shared" si="10"/>
        <v>0.92533240900617453</v>
      </c>
      <c r="BD12" s="160">
        <f t="shared" si="25"/>
        <v>8.5520922535211277</v>
      </c>
      <c r="BE12" s="162">
        <v>0.88100000000000001</v>
      </c>
      <c r="BF12" s="25">
        <f t="shared" si="26"/>
        <v>722.67</v>
      </c>
      <c r="BG12" s="25">
        <f t="shared" si="11"/>
        <v>125.66666666666667</v>
      </c>
      <c r="BH12" s="25">
        <f t="shared" si="27"/>
        <v>754</v>
      </c>
      <c r="BI12" s="26">
        <f t="shared" si="12"/>
        <v>1</v>
      </c>
      <c r="BJ12" s="37">
        <f t="shared" si="28"/>
        <v>754</v>
      </c>
      <c r="BK12" s="38">
        <v>197.619</v>
      </c>
      <c r="BL12" s="31"/>
      <c r="BM12" s="31"/>
      <c r="BN12" s="31">
        <v>51.976999999999997</v>
      </c>
      <c r="BO12" s="40"/>
      <c r="BP12" s="40"/>
      <c r="BQ12" s="32">
        <v>10.403</v>
      </c>
      <c r="BR12" s="33">
        <v>0.81</v>
      </c>
      <c r="BS12" s="34"/>
      <c r="BT12" s="33"/>
      <c r="BU12" s="28"/>
      <c r="BV12" s="287"/>
      <c r="BW12" s="287"/>
      <c r="BX12" s="36"/>
      <c r="BY12" s="33">
        <v>37.03</v>
      </c>
      <c r="BZ12" s="34"/>
      <c r="CA12" s="33"/>
      <c r="CB12" s="35">
        <v>43.85</v>
      </c>
      <c r="CC12" s="235"/>
      <c r="CD12" s="235"/>
      <c r="CE12" s="36">
        <v>43.7</v>
      </c>
      <c r="CF12" s="30">
        <v>63.44</v>
      </c>
      <c r="CG12" s="30"/>
      <c r="CH12" s="31"/>
      <c r="CI12" s="32">
        <v>107.709</v>
      </c>
      <c r="CJ12" s="33">
        <v>3.48</v>
      </c>
      <c r="CK12" s="33"/>
      <c r="CL12" s="35"/>
      <c r="CM12" s="36">
        <v>3.48</v>
      </c>
      <c r="CN12" s="286"/>
      <c r="CO12" s="249">
        <f t="shared" si="13"/>
        <v>196.01828610000001</v>
      </c>
      <c r="CP12" s="12">
        <f t="shared" si="13"/>
        <v>0</v>
      </c>
      <c r="CQ12" s="12">
        <f t="shared" si="13"/>
        <v>0</v>
      </c>
      <c r="CR12" s="12">
        <f t="shared" si="13"/>
        <v>51.976999999999997</v>
      </c>
      <c r="CS12" s="11">
        <f t="shared" si="13"/>
        <v>0</v>
      </c>
      <c r="CT12" s="11">
        <f t="shared" si="13"/>
        <v>0</v>
      </c>
      <c r="CU12" s="272">
        <f t="shared" si="13"/>
        <v>10.403</v>
      </c>
      <c r="CV12" s="249">
        <f t="shared" si="14"/>
        <v>61.232287999999997</v>
      </c>
      <c r="CW12" s="12">
        <f t="shared" si="14"/>
        <v>0</v>
      </c>
      <c r="CX12" s="252">
        <f t="shared" si="14"/>
        <v>0</v>
      </c>
      <c r="CY12" s="272">
        <f t="shared" si="14"/>
        <v>103.9607268</v>
      </c>
      <c r="CZ12" s="13"/>
      <c r="DA12" s="240">
        <f>(D12+'[2]ноябрь 20'!D12)/(AY12+'[2]ноябрь 20'!BA12)</f>
        <v>2.2003635288956827</v>
      </c>
      <c r="DB12" s="241">
        <f>(T12+'[2]ноябрь 20'!T12)/(AY12+'[2]ноябрь 20'!BA12)</f>
        <v>1.3697746346301984</v>
      </c>
      <c r="DD12" s="292">
        <f t="shared" si="15"/>
        <v>10.516</v>
      </c>
      <c r="DE12" s="291">
        <v>0.17</v>
      </c>
      <c r="DF12" s="291">
        <v>16.37</v>
      </c>
      <c r="DG12" s="145">
        <f t="shared" si="16"/>
        <v>10.498122799999999</v>
      </c>
      <c r="DH12" s="293">
        <f t="shared" si="29"/>
        <v>2.2657121982333552</v>
      </c>
      <c r="DJ12" s="322"/>
    </row>
    <row r="13" spans="1:114" s="76" customFormat="1" ht="16.5" customHeight="1" thickBot="1">
      <c r="A13" s="144">
        <v>7</v>
      </c>
      <c r="B13" s="122">
        <f>'[1]ноябрь 20'!K12</f>
        <v>258.01600000000002</v>
      </c>
      <c r="C13" s="123">
        <f t="shared" si="17"/>
        <v>0.93369325933275449</v>
      </c>
      <c r="D13" s="145">
        <f t="shared" si="30"/>
        <v>255.60692200000003</v>
      </c>
      <c r="E13" s="125">
        <f t="shared" si="32"/>
        <v>38.832641386580676</v>
      </c>
      <c r="F13" s="146">
        <f t="shared" si="0"/>
        <v>2.060349201999033</v>
      </c>
      <c r="G13" s="127"/>
      <c r="H13" s="126">
        <f t="shared" si="20"/>
        <v>1.5593335644043205</v>
      </c>
      <c r="I13" s="230">
        <f>'[1]июль 20'!AI12</f>
        <v>0</v>
      </c>
      <c r="J13" s="247">
        <f>'[1]ноябрь 20'!AA12</f>
        <v>10.221</v>
      </c>
      <c r="K13" s="464">
        <f>'[1]сентябрь 20'!AM12</f>
        <v>0</v>
      </c>
      <c r="L13" s="446">
        <f>'[1]ноябрь 20'!AE12</f>
        <v>62.155999999999999</v>
      </c>
      <c r="M13" s="468">
        <f t="shared" si="21"/>
        <v>0.50101563759471224</v>
      </c>
      <c r="N13" s="403">
        <f>'[1]ноябрь 20'!W12</f>
        <v>0</v>
      </c>
      <c r="O13" s="403">
        <f>'[1]ноябрь 20'!AU12</f>
        <v>6.149</v>
      </c>
      <c r="P13" s="401">
        <f t="shared" si="1"/>
        <v>169.17400000000001</v>
      </c>
      <c r="Q13" s="122">
        <f>'[1]ноябрь 20'!S12</f>
        <v>169.17400000000001</v>
      </c>
      <c r="R13" s="123">
        <f t="shared" si="22"/>
        <v>3.4099999999999997</v>
      </c>
      <c r="S13" s="129"/>
      <c r="T13" s="125">
        <f t="shared" si="2"/>
        <v>163.4051666</v>
      </c>
      <c r="U13" s="147">
        <f t="shared" si="31"/>
        <v>1.3171462727712397</v>
      </c>
      <c r="V13" s="130">
        <v>124.06</v>
      </c>
      <c r="W13" s="130">
        <v>50.68</v>
      </c>
      <c r="X13" s="129">
        <v>1.01</v>
      </c>
      <c r="Y13" s="165">
        <v>595</v>
      </c>
      <c r="Z13" s="166">
        <v>1164</v>
      </c>
      <c r="AA13" s="148" t="s">
        <v>167</v>
      </c>
      <c r="AB13" s="149">
        <v>76.150000000000006</v>
      </c>
      <c r="AC13" s="150">
        <v>103</v>
      </c>
      <c r="AD13" s="151">
        <v>5</v>
      </c>
      <c r="AE13" s="149">
        <v>2.8</v>
      </c>
      <c r="AF13" s="134">
        <f t="shared" si="4"/>
        <v>22.569724326938577</v>
      </c>
      <c r="AG13" s="152"/>
      <c r="AH13" s="129">
        <v>78.05</v>
      </c>
      <c r="AI13" s="134">
        <f t="shared" si="5"/>
        <v>629.13106561341283</v>
      </c>
      <c r="AJ13" s="136">
        <v>15.12</v>
      </c>
      <c r="AK13" s="154"/>
      <c r="AL13" s="155">
        <v>8.39</v>
      </c>
      <c r="AM13" s="478">
        <v>36.83</v>
      </c>
      <c r="AN13" s="126">
        <f t="shared" si="23"/>
        <v>0.22060497154836778</v>
      </c>
      <c r="AO13" s="157" t="s">
        <v>442</v>
      </c>
      <c r="AP13" s="156">
        <v>8.18</v>
      </c>
      <c r="AQ13" s="156">
        <v>9.5</v>
      </c>
      <c r="AR13" s="149"/>
      <c r="AS13" s="149">
        <v>6.76</v>
      </c>
      <c r="AT13" s="149">
        <v>166.95</v>
      </c>
      <c r="AU13" s="149">
        <v>2.33</v>
      </c>
      <c r="AV13" s="149"/>
      <c r="AW13" s="149"/>
      <c r="AX13" s="158">
        <f t="shared" si="6"/>
        <v>0</v>
      </c>
      <c r="AY13" s="125">
        <f t="shared" si="33"/>
        <v>124.06</v>
      </c>
      <c r="AZ13" s="125">
        <f t="shared" si="24"/>
        <v>115.82740302849085</v>
      </c>
      <c r="BA13" s="159">
        <f t="shared" si="8"/>
        <v>4.0871816901408442</v>
      </c>
      <c r="BB13" s="160">
        <f t="shared" si="9"/>
        <v>4.9624000000000006</v>
      </c>
      <c r="BC13" s="161">
        <f t="shared" si="10"/>
        <v>0.95177028513445705</v>
      </c>
      <c r="BD13" s="160">
        <f t="shared" si="25"/>
        <v>9.0495816901408439</v>
      </c>
      <c r="BE13" s="162">
        <v>0.89100000000000001</v>
      </c>
      <c r="BF13" s="25">
        <f t="shared" si="26"/>
        <v>846.73</v>
      </c>
      <c r="BG13" s="25">
        <f t="shared" si="11"/>
        <v>125.66666666666667</v>
      </c>
      <c r="BH13" s="25">
        <f t="shared" si="27"/>
        <v>879.66666666666663</v>
      </c>
      <c r="BI13" s="26">
        <f t="shared" si="12"/>
        <v>1</v>
      </c>
      <c r="BJ13" s="37">
        <f t="shared" si="28"/>
        <v>879.66666666666663</v>
      </c>
      <c r="BK13" s="39">
        <v>195.86</v>
      </c>
      <c r="BL13" s="40"/>
      <c r="BM13" s="325"/>
      <c r="BN13" s="31">
        <v>51.95</v>
      </c>
      <c r="BO13" s="40"/>
      <c r="BP13" s="40"/>
      <c r="BQ13" s="32">
        <v>10.206</v>
      </c>
      <c r="BR13" s="33">
        <v>1.23</v>
      </c>
      <c r="BS13" s="34"/>
      <c r="BT13" s="33"/>
      <c r="BU13" s="28"/>
      <c r="BV13" s="287"/>
      <c r="BW13" s="287"/>
      <c r="BX13" s="36"/>
      <c r="BY13" s="33">
        <v>37.409999999999997</v>
      </c>
      <c r="BZ13" s="34"/>
      <c r="CA13" s="33"/>
      <c r="CB13" s="35">
        <v>43.24</v>
      </c>
      <c r="CC13" s="235"/>
      <c r="CD13" s="235"/>
      <c r="CE13" s="36">
        <v>43.7</v>
      </c>
      <c r="CF13" s="30">
        <v>62.87</v>
      </c>
      <c r="CG13" s="30"/>
      <c r="CH13" s="30"/>
      <c r="CI13" s="32">
        <v>106.304</v>
      </c>
      <c r="CJ13" s="33">
        <v>3.41</v>
      </c>
      <c r="CK13" s="33"/>
      <c r="CL13" s="33"/>
      <c r="CM13" s="36">
        <v>3.41</v>
      </c>
      <c r="CN13" s="286"/>
      <c r="CO13" s="249">
        <f t="shared" si="13"/>
        <v>193.45092199999999</v>
      </c>
      <c r="CP13" s="12">
        <f t="shared" si="13"/>
        <v>0</v>
      </c>
      <c r="CQ13" s="12">
        <f t="shared" si="13"/>
        <v>0</v>
      </c>
      <c r="CR13" s="12">
        <f t="shared" si="13"/>
        <v>51.95</v>
      </c>
      <c r="CS13" s="11">
        <f t="shared" si="13"/>
        <v>0</v>
      </c>
      <c r="CT13" s="11">
        <f t="shared" si="13"/>
        <v>0</v>
      </c>
      <c r="CU13" s="272">
        <f t="shared" si="13"/>
        <v>10.206</v>
      </c>
      <c r="CV13" s="249">
        <f t="shared" si="14"/>
        <v>60.726132999999997</v>
      </c>
      <c r="CW13" s="251">
        <f t="shared" si="14"/>
        <v>0</v>
      </c>
      <c r="CX13" s="249">
        <f t="shared" si="14"/>
        <v>0</v>
      </c>
      <c r="CY13" s="272">
        <f t="shared" si="14"/>
        <v>102.6790336</v>
      </c>
      <c r="CZ13" s="13"/>
      <c r="DA13" s="240">
        <f>(D13+'[2]ноябрь 20'!D13)/(AY13+'[2]ноябрь 20'!BA13)</f>
        <v>2.163480464165433</v>
      </c>
      <c r="DB13" s="241">
        <f>(T13+'[2]ноябрь 20'!T13)/(AY13+'[2]ноябрь 20'!BA13)</f>
        <v>1.3581274745826843</v>
      </c>
      <c r="DD13" s="292">
        <f t="shared" si="15"/>
        <v>10.221</v>
      </c>
      <c r="DE13" s="291">
        <v>0.13</v>
      </c>
      <c r="DF13" s="291">
        <v>15.18</v>
      </c>
      <c r="DG13" s="145">
        <f t="shared" si="16"/>
        <v>10.2077127</v>
      </c>
      <c r="DH13" s="293">
        <f t="shared" si="29"/>
        <v>2.0348401679054495</v>
      </c>
      <c r="DJ13" s="322"/>
    </row>
    <row r="14" spans="1:114" s="76" customFormat="1" ht="16.5" customHeight="1" thickBot="1">
      <c r="A14" s="144">
        <v>8</v>
      </c>
      <c r="B14" s="122">
        <f>'[1]ноябрь 20'!K13</f>
        <v>262.41699999999997</v>
      </c>
      <c r="C14" s="123">
        <f t="shared" si="17"/>
        <v>0.43272882473315372</v>
      </c>
      <c r="D14" s="145">
        <f t="shared" si="30"/>
        <v>261.28144600000002</v>
      </c>
      <c r="E14" s="125">
        <f t="shared" si="32"/>
        <v>39.340837941139483</v>
      </c>
      <c r="F14" s="146">
        <f t="shared" si="0"/>
        <v>2.2600246172476433</v>
      </c>
      <c r="G14" s="127">
        <v>14.08</v>
      </c>
      <c r="H14" s="126">
        <f t="shared" si="20"/>
        <v>1.7133850531960904</v>
      </c>
      <c r="I14" s="230">
        <f>'[1]июль 20'!AI13</f>
        <v>0</v>
      </c>
      <c r="J14" s="247">
        <f>'[1]ноябрь 20'!AA13</f>
        <v>10.583</v>
      </c>
      <c r="K14" s="464">
        <f>'[1]сентябрь 20'!AM13</f>
        <v>0</v>
      </c>
      <c r="L14" s="446">
        <f>'[1]ноябрь 20'!AE13</f>
        <v>63.197000000000003</v>
      </c>
      <c r="M14" s="471">
        <f t="shared" si="21"/>
        <v>0.54663956405155256</v>
      </c>
      <c r="N14" s="403">
        <f>'[1]ноябрь 20'!W13</f>
        <v>0</v>
      </c>
      <c r="O14" s="403">
        <f>'[1]ноябрь 20'!AU13</f>
        <v>7.423</v>
      </c>
      <c r="P14" s="401">
        <f t="shared" si="1"/>
        <v>173.74099999999999</v>
      </c>
      <c r="Q14" s="122">
        <f>'[1]ноябрь 20'!S13</f>
        <v>173.74100000000001</v>
      </c>
      <c r="R14" s="123">
        <f t="shared" si="22"/>
        <v>3.4999999999999996</v>
      </c>
      <c r="S14" s="129"/>
      <c r="T14" s="125">
        <f t="shared" si="2"/>
        <v>167.660065</v>
      </c>
      <c r="U14" s="147">
        <f t="shared" si="31"/>
        <v>1.4502211313900182</v>
      </c>
      <c r="V14" s="130">
        <v>95.37</v>
      </c>
      <c r="W14" s="130">
        <v>115.61</v>
      </c>
      <c r="X14" s="129">
        <v>0.6</v>
      </c>
      <c r="Y14" s="131">
        <v>560</v>
      </c>
      <c r="Z14" s="150">
        <v>1167</v>
      </c>
      <c r="AA14" s="148" t="s">
        <v>110</v>
      </c>
      <c r="AB14" s="149">
        <v>76.010000000000005</v>
      </c>
      <c r="AC14" s="150">
        <v>105</v>
      </c>
      <c r="AD14" s="151">
        <v>5</v>
      </c>
      <c r="AE14" s="149"/>
      <c r="AF14" s="134">
        <f t="shared" si="4"/>
        <v>0</v>
      </c>
      <c r="AG14" s="152"/>
      <c r="AH14" s="129">
        <v>79.400000000000006</v>
      </c>
      <c r="AI14" s="134">
        <f t="shared" si="5"/>
        <v>686.79180001729958</v>
      </c>
      <c r="AJ14" s="153">
        <v>15.84</v>
      </c>
      <c r="AK14" s="154"/>
      <c r="AL14" s="155">
        <v>7.07</v>
      </c>
      <c r="AM14" s="478">
        <v>34.22</v>
      </c>
      <c r="AN14" s="126">
        <f t="shared" si="23"/>
        <v>0.22048969072164951</v>
      </c>
      <c r="AO14" s="157" t="s">
        <v>348</v>
      </c>
      <c r="AP14" s="156">
        <v>7.28</v>
      </c>
      <c r="AQ14" s="156">
        <v>8.82</v>
      </c>
      <c r="AR14" s="149"/>
      <c r="AS14" s="149">
        <v>9.17</v>
      </c>
      <c r="AT14" s="149">
        <v>155.19999999999999</v>
      </c>
      <c r="AU14" s="149">
        <v>1.7</v>
      </c>
      <c r="AV14" s="149"/>
      <c r="AW14" s="149"/>
      <c r="AX14" s="158">
        <f t="shared" si="6"/>
        <v>0</v>
      </c>
      <c r="AY14" s="125">
        <f t="shared" si="33"/>
        <v>115.61</v>
      </c>
      <c r="AZ14" s="125">
        <f t="shared" si="24"/>
        <v>120.36747487344151</v>
      </c>
      <c r="BA14" s="159">
        <f t="shared" si="8"/>
        <v>5.6401957746478875</v>
      </c>
      <c r="BB14" s="160">
        <f t="shared" si="9"/>
        <v>4.6244000000000005</v>
      </c>
      <c r="BC14" s="161">
        <f t="shared" si="10"/>
        <v>0.85489732246027994</v>
      </c>
      <c r="BD14" s="159">
        <f t="shared" si="25"/>
        <v>10.264595774647887</v>
      </c>
      <c r="BE14" s="167">
        <v>0.88700000000000001</v>
      </c>
      <c r="BF14" s="25">
        <f t="shared" si="26"/>
        <v>962.34</v>
      </c>
      <c r="BG14" s="25">
        <f t="shared" si="11"/>
        <v>125.66666666666667</v>
      </c>
      <c r="BH14" s="25">
        <f t="shared" si="27"/>
        <v>1005.3333333333333</v>
      </c>
      <c r="BI14" s="26">
        <f t="shared" si="12"/>
        <v>1</v>
      </c>
      <c r="BJ14" s="37">
        <f t="shared" si="28"/>
        <v>1005.3333333333333</v>
      </c>
      <c r="BK14" s="39">
        <v>199.22</v>
      </c>
      <c r="BL14" s="40"/>
      <c r="BM14" s="325"/>
      <c r="BN14" s="40">
        <v>52.628999999999998</v>
      </c>
      <c r="BO14" s="40"/>
      <c r="BP14" s="40"/>
      <c r="BQ14" s="32">
        <v>10.568</v>
      </c>
      <c r="BR14" s="33">
        <v>0.56999999999999995</v>
      </c>
      <c r="BS14" s="34"/>
      <c r="BT14" s="33"/>
      <c r="BU14" s="28"/>
      <c r="BV14" s="287"/>
      <c r="BW14" s="287"/>
      <c r="BX14" s="36"/>
      <c r="BY14" s="33">
        <v>38.03</v>
      </c>
      <c r="BZ14" s="34"/>
      <c r="CA14" s="33"/>
      <c r="CB14" s="235">
        <v>43.55</v>
      </c>
      <c r="CC14" s="235"/>
      <c r="CD14" s="235"/>
      <c r="CE14" s="36">
        <v>43.09</v>
      </c>
      <c r="CF14" s="30">
        <v>64.063000000000002</v>
      </c>
      <c r="CG14" s="30"/>
      <c r="CH14" s="30"/>
      <c r="CI14" s="32">
        <v>109.678</v>
      </c>
      <c r="CJ14" s="33">
        <v>3.5</v>
      </c>
      <c r="CK14" s="33"/>
      <c r="CL14" s="33"/>
      <c r="CM14" s="36">
        <v>3.5</v>
      </c>
      <c r="CN14" s="286"/>
      <c r="CO14" s="249">
        <f t="shared" si="13"/>
        <v>198.08444600000001</v>
      </c>
      <c r="CP14" s="12">
        <f t="shared" si="13"/>
        <v>0</v>
      </c>
      <c r="CQ14" s="12">
        <f t="shared" si="13"/>
        <v>0</v>
      </c>
      <c r="CR14" s="12">
        <f t="shared" si="13"/>
        <v>52.628999999999998</v>
      </c>
      <c r="CS14" s="11">
        <f t="shared" si="13"/>
        <v>0</v>
      </c>
      <c r="CT14" s="11">
        <f t="shared" si="13"/>
        <v>0</v>
      </c>
      <c r="CU14" s="272">
        <f t="shared" si="13"/>
        <v>10.568</v>
      </c>
      <c r="CV14" s="249">
        <f t="shared" si="14"/>
        <v>61.820794999999997</v>
      </c>
      <c r="CW14" s="12">
        <f t="shared" si="14"/>
        <v>0</v>
      </c>
      <c r="CX14" s="252">
        <f t="shared" si="14"/>
        <v>0</v>
      </c>
      <c r="CY14" s="272">
        <f t="shared" si="14"/>
        <v>105.83927</v>
      </c>
      <c r="CZ14" s="13"/>
      <c r="DA14" s="240">
        <f>(D14+'[2]ноябрь 20'!D14)/(AY14+'[2]ноябрь 20'!BA14)</f>
        <v>2.1670724999929298</v>
      </c>
      <c r="DB14" s="241">
        <f>(T14+'[2]ноябрь 20'!T14)/(AY14+'[2]ноябрь 20'!BA14)</f>
        <v>1.3496745232459153</v>
      </c>
      <c r="DD14" s="292">
        <f t="shared" si="15"/>
        <v>10.583</v>
      </c>
      <c r="DE14" s="291">
        <v>0.2</v>
      </c>
      <c r="DF14" s="291">
        <v>16.62</v>
      </c>
      <c r="DG14" s="145">
        <f t="shared" si="16"/>
        <v>10.561833999999999</v>
      </c>
      <c r="DH14" s="293">
        <f t="shared" si="29"/>
        <v>2.3094024612550981</v>
      </c>
      <c r="DJ14" s="322"/>
    </row>
    <row r="15" spans="1:114" s="76" customFormat="1" ht="16.5" customHeight="1" thickBot="1">
      <c r="A15" s="144">
        <v>9</v>
      </c>
      <c r="B15" s="122">
        <f>'[1]ноябрь 20'!K14</f>
        <v>268.25599999999997</v>
      </c>
      <c r="C15" s="123">
        <f t="shared" si="17"/>
        <v>0.50850426458308495</v>
      </c>
      <c r="D15" s="145">
        <f t="shared" si="30"/>
        <v>266.89190680000002</v>
      </c>
      <c r="E15" s="125">
        <f t="shared" si="32"/>
        <v>38.952001371823933</v>
      </c>
      <c r="F15" s="146">
        <f t="shared" si="0"/>
        <v>2.2619875141961181</v>
      </c>
      <c r="G15" s="127"/>
      <c r="H15" s="126">
        <f t="shared" si="20"/>
        <v>1.7139749707602336</v>
      </c>
      <c r="I15" s="230">
        <f>'[1]июль 20'!AI14</f>
        <v>0</v>
      </c>
      <c r="J15" s="247">
        <f>'[1]ноябрь 20'!AA14</f>
        <v>10.625</v>
      </c>
      <c r="K15" s="464">
        <f>'[1]сентябрь 20'!AM14</f>
        <v>0</v>
      </c>
      <c r="L15" s="446">
        <f>'[1]ноябрь 20'!AE14</f>
        <v>64.66</v>
      </c>
      <c r="M15" s="469">
        <f t="shared" si="21"/>
        <v>0.54801254343588435</v>
      </c>
      <c r="N15" s="403">
        <f>'[1]ноябрь 20'!W14</f>
        <v>0</v>
      </c>
      <c r="O15" s="403">
        <f>'[1]ноябрь 20'!AU14</f>
        <v>7.4329999999999998</v>
      </c>
      <c r="P15" s="401">
        <f t="shared" si="1"/>
        <v>176.96199999999999</v>
      </c>
      <c r="Q15" s="122">
        <f>'[1]ноябрь 20'!S14</f>
        <v>176.96199999999999</v>
      </c>
      <c r="R15" s="123">
        <f t="shared" si="22"/>
        <v>3.5200000000000005</v>
      </c>
      <c r="S15" s="129">
        <v>29.93</v>
      </c>
      <c r="T15" s="125">
        <f t="shared" si="2"/>
        <v>170.73293759999999</v>
      </c>
      <c r="U15" s="147">
        <f t="shared" si="31"/>
        <v>1.4470119298245612</v>
      </c>
      <c r="V15" s="130">
        <v>92.84</v>
      </c>
      <c r="W15" s="130">
        <v>69.209999999999994</v>
      </c>
      <c r="X15" s="129">
        <v>0.92</v>
      </c>
      <c r="Y15" s="131">
        <v>552</v>
      </c>
      <c r="Z15" s="150">
        <v>1171</v>
      </c>
      <c r="AA15" s="148" t="s">
        <v>122</v>
      </c>
      <c r="AB15" s="149">
        <v>75.510000000000005</v>
      </c>
      <c r="AC15" s="150">
        <v>107</v>
      </c>
      <c r="AD15" s="151">
        <v>5</v>
      </c>
      <c r="AE15" s="149"/>
      <c r="AF15" s="134">
        <f t="shared" si="4"/>
        <v>0</v>
      </c>
      <c r="AG15" s="152"/>
      <c r="AH15" s="129">
        <v>66</v>
      </c>
      <c r="AI15" s="134">
        <f t="shared" si="5"/>
        <v>559.36943808797344</v>
      </c>
      <c r="AJ15" s="136">
        <v>15.14</v>
      </c>
      <c r="AK15" s="154"/>
      <c r="AL15" s="155">
        <v>8.07</v>
      </c>
      <c r="AM15" s="478">
        <v>38.78</v>
      </c>
      <c r="AN15" s="126">
        <f t="shared" si="23"/>
        <v>0.23791411042944785</v>
      </c>
      <c r="AO15" s="157" t="s">
        <v>443</v>
      </c>
      <c r="AP15" s="156">
        <v>7.86</v>
      </c>
      <c r="AQ15" s="156">
        <v>9.19</v>
      </c>
      <c r="AR15" s="149"/>
      <c r="AS15" s="149">
        <v>7.37</v>
      </c>
      <c r="AT15" s="149">
        <v>163</v>
      </c>
      <c r="AU15" s="149">
        <v>1.84</v>
      </c>
      <c r="AV15" s="149"/>
      <c r="AW15" s="149"/>
      <c r="AX15" s="158">
        <f t="shared" si="6"/>
        <v>0</v>
      </c>
      <c r="AY15" s="125">
        <f t="shared" si="33"/>
        <v>117.99000000000001</v>
      </c>
      <c r="AZ15" s="125">
        <f t="shared" si="24"/>
        <v>122.35399625198532</v>
      </c>
      <c r="BA15" s="159">
        <f t="shared" si="8"/>
        <v>3.7680422535211266</v>
      </c>
      <c r="BB15" s="160">
        <f t="shared" si="9"/>
        <v>4.7196000000000007</v>
      </c>
      <c r="BC15" s="161">
        <f t="shared" si="10"/>
        <v>0.8570072384492311</v>
      </c>
      <c r="BD15" s="159">
        <f t="shared" si="25"/>
        <v>8.4876422535211269</v>
      </c>
      <c r="BE15" s="167">
        <v>0.88300000000000001</v>
      </c>
      <c r="BF15" s="25">
        <f t="shared" si="26"/>
        <v>1080.33</v>
      </c>
      <c r="BG15" s="25">
        <f t="shared" si="11"/>
        <v>125.66666666666667</v>
      </c>
      <c r="BH15" s="25">
        <f t="shared" si="27"/>
        <v>1131</v>
      </c>
      <c r="BI15" s="26">
        <f t="shared" si="12"/>
        <v>1</v>
      </c>
      <c r="BJ15" s="37">
        <f t="shared" si="28"/>
        <v>1131</v>
      </c>
      <c r="BK15" s="38">
        <v>203.596</v>
      </c>
      <c r="BL15" s="42"/>
      <c r="BM15" s="31"/>
      <c r="BN15" s="40">
        <v>54.052</v>
      </c>
      <c r="BO15" s="40"/>
      <c r="BP15" s="40"/>
      <c r="BQ15" s="32">
        <v>10.608000000000001</v>
      </c>
      <c r="BR15" s="33">
        <v>0.67</v>
      </c>
      <c r="BS15" s="35"/>
      <c r="BT15" s="35"/>
      <c r="BU15" s="28"/>
      <c r="BV15" s="287"/>
      <c r="BW15" s="287"/>
      <c r="BX15" s="36"/>
      <c r="BY15" s="33">
        <v>37.630000000000003</v>
      </c>
      <c r="BZ15" s="34"/>
      <c r="CA15" s="35"/>
      <c r="CB15" s="59">
        <v>43.09</v>
      </c>
      <c r="CC15" s="35"/>
      <c r="CD15" s="35"/>
      <c r="CE15" s="35">
        <v>43.24</v>
      </c>
      <c r="CF15" s="38">
        <v>65.331000000000003</v>
      </c>
      <c r="CG15" s="30"/>
      <c r="CH15" s="30"/>
      <c r="CI15" s="32">
        <v>111.631</v>
      </c>
      <c r="CJ15" s="33">
        <v>3.52</v>
      </c>
      <c r="CK15" s="33"/>
      <c r="CL15" s="33"/>
      <c r="CM15" s="36">
        <v>3.52</v>
      </c>
      <c r="CN15" s="286"/>
      <c r="CO15" s="249">
        <f t="shared" si="13"/>
        <v>202.23190679999999</v>
      </c>
      <c r="CP15" s="12">
        <f t="shared" si="13"/>
        <v>0</v>
      </c>
      <c r="CQ15" s="12">
        <f t="shared" si="13"/>
        <v>0</v>
      </c>
      <c r="CR15" s="17">
        <f t="shared" si="13"/>
        <v>54.052</v>
      </c>
      <c r="CS15" s="11">
        <f t="shared" si="13"/>
        <v>0</v>
      </c>
      <c r="CT15" s="11">
        <f t="shared" si="13"/>
        <v>0</v>
      </c>
      <c r="CU15" s="272">
        <f t="shared" si="13"/>
        <v>10.608000000000001</v>
      </c>
      <c r="CV15" s="249">
        <f t="shared" si="14"/>
        <v>63.031348800000004</v>
      </c>
      <c r="CW15" s="12">
        <f t="shared" si="14"/>
        <v>0</v>
      </c>
      <c r="CX15" s="249">
        <f t="shared" si="14"/>
        <v>0</v>
      </c>
      <c r="CY15" s="274">
        <f t="shared" si="14"/>
        <v>107.7015888</v>
      </c>
      <c r="CZ15" s="13"/>
      <c r="DA15" s="240">
        <f>(D15+'[2]ноябрь 20'!D15)/(AY15+'[2]ноябрь 20'!BA15)</f>
        <v>2.0948607899395468</v>
      </c>
      <c r="DB15" s="241">
        <f>(T15+'[2]ноябрь 20'!T15)/(AY15+'[2]ноябрь 20'!BA15)</f>
        <v>1.3096780492454239</v>
      </c>
      <c r="DD15" s="292">
        <f t="shared" si="15"/>
        <v>10.625</v>
      </c>
      <c r="DE15" s="291">
        <v>0.22</v>
      </c>
      <c r="DF15" s="291">
        <v>15.4</v>
      </c>
      <c r="DG15" s="145">
        <f t="shared" si="16"/>
        <v>10.601625</v>
      </c>
      <c r="DH15" s="293">
        <f t="shared" si="29"/>
        <v>2.1621642828764398</v>
      </c>
      <c r="DJ15" s="322"/>
    </row>
    <row r="16" spans="1:114" s="76" customFormat="1" ht="16.5" customHeight="1" thickBot="1">
      <c r="A16" s="144">
        <v>10</v>
      </c>
      <c r="B16" s="122">
        <f>'[1]ноябрь 20'!K15</f>
        <v>278.06700000000001</v>
      </c>
      <c r="C16" s="123">
        <f t="shared" si="17"/>
        <v>0.57668734513624409</v>
      </c>
      <c r="D16" s="145">
        <f t="shared" si="30"/>
        <v>276.46342279999999</v>
      </c>
      <c r="E16" s="125">
        <f t="shared" si="32"/>
        <v>39.860476360013948</v>
      </c>
      <c r="F16" s="146">
        <f t="shared" si="0"/>
        <v>2.1441245757716771</v>
      </c>
      <c r="G16" s="127"/>
      <c r="H16" s="126">
        <f t="shared" si="20"/>
        <v>1.6239601582131227</v>
      </c>
      <c r="I16" s="230">
        <f>'[1]июль 20'!AI15</f>
        <v>0</v>
      </c>
      <c r="J16" s="247">
        <f>'[1]ноябрь 20'!AA15</f>
        <v>11.215</v>
      </c>
      <c r="K16" s="467">
        <f>'[1]сентябрь 20'!AM15</f>
        <v>0</v>
      </c>
      <c r="L16" s="446">
        <f>'[1]ноябрь 20'!AE15</f>
        <v>67.069999999999993</v>
      </c>
      <c r="M16" s="468">
        <f t="shared" si="21"/>
        <v>0.52016441755855447</v>
      </c>
      <c r="N16" s="403">
        <f>'[1]ноябрь 20'!W15</f>
        <v>0</v>
      </c>
      <c r="O16" s="403">
        <f>'[1]ноябрь 20'!AU15</f>
        <v>7.8360000000000003</v>
      </c>
      <c r="P16" s="401">
        <f t="shared" si="1"/>
        <v>181.774</v>
      </c>
      <c r="Q16" s="122">
        <f>'[1]ноябрь 20'!S15</f>
        <v>181.774</v>
      </c>
      <c r="R16" s="123">
        <f t="shared" si="22"/>
        <v>3.46</v>
      </c>
      <c r="S16" s="129">
        <v>29.98</v>
      </c>
      <c r="T16" s="125">
        <f t="shared" si="2"/>
        <v>175.4846196</v>
      </c>
      <c r="U16" s="147">
        <f t="shared" si="31"/>
        <v>1.360978901814798</v>
      </c>
      <c r="V16" s="130">
        <v>68.92</v>
      </c>
      <c r="W16" s="130">
        <v>23.56</v>
      </c>
      <c r="X16" s="129">
        <v>1.28</v>
      </c>
      <c r="Y16" s="131">
        <v>571</v>
      </c>
      <c r="Z16" s="150">
        <v>1175</v>
      </c>
      <c r="AA16" s="148" t="s">
        <v>165</v>
      </c>
      <c r="AB16" s="149">
        <v>75.349999999999994</v>
      </c>
      <c r="AC16" s="150">
        <v>111</v>
      </c>
      <c r="AD16" s="151">
        <v>5</v>
      </c>
      <c r="AE16" s="149"/>
      <c r="AF16" s="134">
        <f t="shared" si="4"/>
        <v>0</v>
      </c>
      <c r="AG16" s="152"/>
      <c r="AH16" s="129">
        <v>87.1</v>
      </c>
      <c r="AI16" s="134">
        <f t="shared" si="5"/>
        <v>675.50798821157139</v>
      </c>
      <c r="AJ16" s="153">
        <v>16.48</v>
      </c>
      <c r="AK16" s="154"/>
      <c r="AL16" s="155">
        <v>9.3000000000000007</v>
      </c>
      <c r="AM16" s="478">
        <v>36.369999999999997</v>
      </c>
      <c r="AN16" s="126">
        <f t="shared" si="23"/>
        <v>0.2105964099594673</v>
      </c>
      <c r="AO16" s="157" t="s">
        <v>168</v>
      </c>
      <c r="AP16" s="156">
        <v>8.15</v>
      </c>
      <c r="AQ16" s="156">
        <v>8.3699999999999992</v>
      </c>
      <c r="AR16" s="149"/>
      <c r="AS16" s="149">
        <v>7.42</v>
      </c>
      <c r="AT16" s="149">
        <v>172.7</v>
      </c>
      <c r="AU16" s="149">
        <v>1.91</v>
      </c>
      <c r="AV16" s="149"/>
      <c r="AW16" s="149"/>
      <c r="AX16" s="158">
        <f t="shared" si="6"/>
        <v>0</v>
      </c>
      <c r="AY16" s="125">
        <f t="shared" si="33"/>
        <v>128.93999999999997</v>
      </c>
      <c r="AZ16" s="125">
        <f t="shared" si="24"/>
        <v>130.35921641717445</v>
      </c>
      <c r="BA16" s="159">
        <f t="shared" si="8"/>
        <v>5.0064098591549282</v>
      </c>
      <c r="BB16" s="160">
        <f t="shared" si="9"/>
        <v>5.1575999999999986</v>
      </c>
      <c r="BC16" s="161">
        <f t="shared" si="10"/>
        <v>0.88163892722223747</v>
      </c>
      <c r="BD16" s="160">
        <f t="shared" si="25"/>
        <v>10.164009859154927</v>
      </c>
      <c r="BE16" s="162">
        <v>0.88300000000000001</v>
      </c>
      <c r="BF16" s="25">
        <f t="shared" si="26"/>
        <v>1209.27</v>
      </c>
      <c r="BG16" s="25">
        <f t="shared" si="11"/>
        <v>125.66666666666667</v>
      </c>
      <c r="BH16" s="25">
        <f t="shared" si="27"/>
        <v>1256.6666666666667</v>
      </c>
      <c r="BI16" s="26">
        <f t="shared" si="12"/>
        <v>1</v>
      </c>
      <c r="BJ16" s="37">
        <f t="shared" si="28"/>
        <v>1256.6666666666667</v>
      </c>
      <c r="BK16" s="328">
        <v>210.99700000000001</v>
      </c>
      <c r="BL16" s="31"/>
      <c r="BM16" s="31"/>
      <c r="BN16" s="40">
        <v>55.579000000000001</v>
      </c>
      <c r="BO16" s="42"/>
      <c r="BP16" s="40"/>
      <c r="BQ16" s="32">
        <v>11.491</v>
      </c>
      <c r="BR16" s="33">
        <v>0.76</v>
      </c>
      <c r="BS16" s="34"/>
      <c r="BT16" s="35"/>
      <c r="BU16" s="28"/>
      <c r="BV16" s="287"/>
      <c r="BW16" s="287"/>
      <c r="BX16" s="36"/>
      <c r="BY16" s="33">
        <v>38.64</v>
      </c>
      <c r="BZ16" s="34"/>
      <c r="CA16" s="235"/>
      <c r="CB16" s="305">
        <v>43.7</v>
      </c>
      <c r="CC16" s="404"/>
      <c r="CD16" s="235"/>
      <c r="CE16" s="36">
        <v>43.7</v>
      </c>
      <c r="CF16" s="38">
        <v>67.447999999999993</v>
      </c>
      <c r="CG16" s="30"/>
      <c r="CH16" s="30"/>
      <c r="CI16" s="32">
        <v>114.32599999999999</v>
      </c>
      <c r="CJ16" s="33">
        <v>3.46</v>
      </c>
      <c r="CK16" s="33"/>
      <c r="CL16" s="33"/>
      <c r="CM16" s="36">
        <v>3.46</v>
      </c>
      <c r="CN16" s="286"/>
      <c r="CO16" s="249">
        <f t="shared" si="13"/>
        <v>209.3934228</v>
      </c>
      <c r="CP16" s="12">
        <f t="shared" si="13"/>
        <v>0</v>
      </c>
      <c r="CQ16" s="12">
        <f t="shared" si="13"/>
        <v>0</v>
      </c>
      <c r="CR16" s="11">
        <f t="shared" si="13"/>
        <v>55.579000000000001</v>
      </c>
      <c r="CS16" s="11">
        <f t="shared" si="13"/>
        <v>0</v>
      </c>
      <c r="CT16" s="11">
        <f t="shared" si="13"/>
        <v>0</v>
      </c>
      <c r="CU16" s="272">
        <f t="shared" si="13"/>
        <v>11.491</v>
      </c>
      <c r="CV16" s="249">
        <f t="shared" si="14"/>
        <v>65.114299199999991</v>
      </c>
      <c r="CW16" s="12">
        <f t="shared" si="14"/>
        <v>0</v>
      </c>
      <c r="CX16" s="249">
        <f t="shared" si="14"/>
        <v>0</v>
      </c>
      <c r="CY16" s="272">
        <f t="shared" si="14"/>
        <v>110.3703204</v>
      </c>
      <c r="CZ16" s="13"/>
      <c r="DA16" s="240">
        <f>(D16+'[2]ноябрь 20'!D16)/(AY16+'[2]ноябрь 20'!BA16)</f>
        <v>2.1646907203241055</v>
      </c>
      <c r="DB16" s="241">
        <f>(T16+'[2]ноябрь 20'!T16)/(AY16+'[2]ноябрь 20'!BA16)</f>
        <v>1.3455357720459149</v>
      </c>
      <c r="DD16" s="292">
        <f t="shared" si="15"/>
        <v>11.215</v>
      </c>
      <c r="DE16" s="291">
        <v>0.31</v>
      </c>
      <c r="DF16" s="291">
        <v>18.079999999999998</v>
      </c>
      <c r="DG16" s="145">
        <f t="shared" si="16"/>
        <v>11.1802335</v>
      </c>
      <c r="DH16" s="293">
        <f t="shared" si="29"/>
        <v>2.6826625305905774</v>
      </c>
      <c r="DJ16" s="322"/>
    </row>
    <row r="17" spans="1:114" s="76" customFormat="1" ht="16.5" customHeight="1" thickBot="1">
      <c r="A17" s="144">
        <v>11</v>
      </c>
      <c r="B17" s="122">
        <f>'[1]ноябрь 20'!K16</f>
        <v>282.45999999999998</v>
      </c>
      <c r="C17" s="123">
        <f t="shared" si="17"/>
        <v>0.91985017347589038</v>
      </c>
      <c r="D17" s="145">
        <f t="shared" si="30"/>
        <v>279.86179119999997</v>
      </c>
      <c r="E17" s="125">
        <f t="shared" si="32"/>
        <v>38.499657438221348</v>
      </c>
      <c r="F17" s="146">
        <f t="shared" si="0"/>
        <v>2.1664482984982194</v>
      </c>
      <c r="G17" s="127">
        <v>39.97</v>
      </c>
      <c r="H17" s="126">
        <f t="shared" si="20"/>
        <v>1.6421256479331168</v>
      </c>
      <c r="I17" s="230">
        <f>'[1]июль 20'!AI16</f>
        <v>0</v>
      </c>
      <c r="J17" s="247">
        <f>'[1]ноябрь 20'!AA16</f>
        <v>10.381</v>
      </c>
      <c r="K17" s="465">
        <f>'[1]сентябрь 20'!AM16</f>
        <v>0</v>
      </c>
      <c r="L17" s="446">
        <f>'[1]ноябрь 20'!AE16</f>
        <v>67.731999999999999</v>
      </c>
      <c r="M17" s="469">
        <f t="shared" si="21"/>
        <v>0.52432265056510297</v>
      </c>
      <c r="N17" s="403">
        <f>'[1]ноябрь 20'!W16</f>
        <v>0</v>
      </c>
      <c r="O17" s="403">
        <f>'[1]ноябрь 20'!AU16</f>
        <v>7.8339999999999996</v>
      </c>
      <c r="P17" s="401">
        <f t="shared" si="1"/>
        <v>183.71600000000001</v>
      </c>
      <c r="Q17" s="122">
        <f>'[1]ноябрь 20'!S16</f>
        <v>183.71600000000001</v>
      </c>
      <c r="R17" s="123">
        <f t="shared" si="22"/>
        <v>3.2699999999999996</v>
      </c>
      <c r="S17" s="129">
        <v>4.2</v>
      </c>
      <c r="T17" s="125">
        <f t="shared" si="2"/>
        <v>177.7084868</v>
      </c>
      <c r="U17" s="147">
        <f t="shared" si="31"/>
        <v>1.3756656355472983</v>
      </c>
      <c r="V17" s="130">
        <v>129.18</v>
      </c>
      <c r="W17" s="130">
        <v>51.34</v>
      </c>
      <c r="X17" s="129">
        <v>1.0900000000000001</v>
      </c>
      <c r="Y17" s="131">
        <v>582</v>
      </c>
      <c r="Z17" s="150">
        <v>1182</v>
      </c>
      <c r="AA17" s="148" t="s">
        <v>391</v>
      </c>
      <c r="AB17" s="149">
        <v>76.08</v>
      </c>
      <c r="AC17" s="150">
        <v>113</v>
      </c>
      <c r="AD17" s="151">
        <v>5</v>
      </c>
      <c r="AE17" s="149"/>
      <c r="AF17" s="134">
        <f t="shared" si="4"/>
        <v>0</v>
      </c>
      <c r="AG17" s="152"/>
      <c r="AH17" s="129">
        <v>92.4</v>
      </c>
      <c r="AI17" s="134">
        <f t="shared" si="5"/>
        <v>715.2810032512773</v>
      </c>
      <c r="AJ17" s="136">
        <v>14.84</v>
      </c>
      <c r="AK17" s="154"/>
      <c r="AL17" s="155">
        <v>13.71</v>
      </c>
      <c r="AM17" s="478">
        <v>34.380000000000003</v>
      </c>
      <c r="AN17" s="126">
        <f t="shared" si="23"/>
        <v>0.19901591895803186</v>
      </c>
      <c r="AO17" s="157" t="s">
        <v>428</v>
      </c>
      <c r="AP17" s="156">
        <v>8.2200000000000006</v>
      </c>
      <c r="AQ17" s="156">
        <v>8.93</v>
      </c>
      <c r="AR17" s="149"/>
      <c r="AS17" s="149">
        <v>6.59</v>
      </c>
      <c r="AT17" s="149">
        <v>172.75</v>
      </c>
      <c r="AU17" s="149">
        <v>4.5199999999999996</v>
      </c>
      <c r="AV17" s="149"/>
      <c r="AW17" s="149"/>
      <c r="AX17" s="158">
        <f t="shared" si="6"/>
        <v>0</v>
      </c>
      <c r="AY17" s="125">
        <f t="shared" si="33"/>
        <v>129.18</v>
      </c>
      <c r="AZ17" s="125">
        <f t="shared" si="24"/>
        <v>125.46381738334195</v>
      </c>
      <c r="BA17" s="159">
        <f t="shared" si="8"/>
        <v>4.7169549295774651</v>
      </c>
      <c r="BB17" s="160">
        <f t="shared" si="9"/>
        <v>5.1672000000000002</v>
      </c>
      <c r="BC17" s="161">
        <f t="shared" si="10"/>
        <v>0.91214799837443417</v>
      </c>
      <c r="BD17" s="160">
        <f t="shared" si="25"/>
        <v>9.8841549295774662</v>
      </c>
      <c r="BE17" s="162">
        <v>0.88600000000000001</v>
      </c>
      <c r="BF17" s="25">
        <f t="shared" si="26"/>
        <v>1338.45</v>
      </c>
      <c r="BG17" s="25">
        <f t="shared" si="11"/>
        <v>125.66666666666667</v>
      </c>
      <c r="BH17" s="25">
        <f t="shared" si="27"/>
        <v>1382.3333333333335</v>
      </c>
      <c r="BI17" s="26">
        <f t="shared" si="12"/>
        <v>1</v>
      </c>
      <c r="BJ17" s="37">
        <f t="shared" si="28"/>
        <v>1382.3333333333335</v>
      </c>
      <c r="BK17" s="39">
        <v>214.72800000000001</v>
      </c>
      <c r="BL17" s="31"/>
      <c r="BM17" s="31"/>
      <c r="BN17" s="534">
        <v>56.548000000000002</v>
      </c>
      <c r="BO17" s="42"/>
      <c r="BP17" s="40"/>
      <c r="BQ17" s="32">
        <v>11.183999999999999</v>
      </c>
      <c r="BR17" s="33">
        <v>1.21</v>
      </c>
      <c r="BS17" s="34"/>
      <c r="BT17" s="35"/>
      <c r="BU17" s="28"/>
      <c r="BV17" s="287"/>
      <c r="BW17" s="287"/>
      <c r="BX17" s="36"/>
      <c r="BY17" s="33">
        <v>37.11</v>
      </c>
      <c r="BZ17" s="34"/>
      <c r="CA17" s="35"/>
      <c r="CB17" s="536">
        <v>42.93</v>
      </c>
      <c r="CC17" s="404"/>
      <c r="CD17" s="235"/>
      <c r="CE17" s="36">
        <v>42.78</v>
      </c>
      <c r="CF17" s="38">
        <v>69.108999999999995</v>
      </c>
      <c r="CG17" s="42"/>
      <c r="CH17" s="234"/>
      <c r="CI17" s="233">
        <v>114.607</v>
      </c>
      <c r="CJ17" s="33">
        <v>3.27</v>
      </c>
      <c r="CK17" s="33"/>
      <c r="CL17" s="33"/>
      <c r="CM17" s="36">
        <v>3.27</v>
      </c>
      <c r="CN17" s="286"/>
      <c r="CO17" s="249">
        <f t="shared" si="13"/>
        <v>212.12979120000003</v>
      </c>
      <c r="CP17" s="12">
        <f t="shared" si="13"/>
        <v>0</v>
      </c>
      <c r="CQ17" s="12">
        <f t="shared" si="13"/>
        <v>0</v>
      </c>
      <c r="CR17" s="12">
        <f t="shared" si="13"/>
        <v>56.548000000000002</v>
      </c>
      <c r="CS17" s="11">
        <f t="shared" si="13"/>
        <v>0</v>
      </c>
      <c r="CT17" s="11">
        <f t="shared" si="13"/>
        <v>0</v>
      </c>
      <c r="CU17" s="272">
        <f t="shared" si="13"/>
        <v>11.183999999999999</v>
      </c>
      <c r="CV17" s="249">
        <f t="shared" si="14"/>
        <v>66.849135700000005</v>
      </c>
      <c r="CW17" s="12">
        <f t="shared" si="14"/>
        <v>0</v>
      </c>
      <c r="CX17" s="254">
        <f t="shared" si="14"/>
        <v>0</v>
      </c>
      <c r="CY17" s="272">
        <f t="shared" si="14"/>
        <v>110.8593511</v>
      </c>
      <c r="CZ17" s="13"/>
      <c r="DA17" s="240">
        <f>(D17+'[2]ноябрь 20'!D17)/(AY17+'[2]ноябрь 20'!BA17)</f>
        <v>1.9192857965315011</v>
      </c>
      <c r="DB17" s="241">
        <f>(T17+'[2]ноябрь 20'!T17)/(AY17+'[2]ноябрь 20'!BA17)</f>
        <v>1.2383180492266184</v>
      </c>
      <c r="DD17" s="292">
        <f t="shared" si="15"/>
        <v>10.381</v>
      </c>
      <c r="DE17" s="291">
        <v>0.17</v>
      </c>
      <c r="DF17" s="291">
        <v>13.42</v>
      </c>
      <c r="DG17" s="145">
        <f t="shared" si="16"/>
        <v>10.363352300000001</v>
      </c>
      <c r="DH17" s="293">
        <f t="shared" si="29"/>
        <v>1.8280256028654047</v>
      </c>
      <c r="DJ17" s="322"/>
    </row>
    <row r="18" spans="1:114" s="76" customFormat="1" ht="16.5" customHeight="1" thickBot="1">
      <c r="A18" s="144">
        <v>12</v>
      </c>
      <c r="B18" s="122">
        <f>'[1]ноябрь 20'!K17</f>
        <v>272.64600000000002</v>
      </c>
      <c r="C18" s="123">
        <f t="shared" si="17"/>
        <v>1.2622517110098808</v>
      </c>
      <c r="D18" s="145">
        <f t="shared" si="30"/>
        <v>269.20452120000004</v>
      </c>
      <c r="E18" s="125">
        <f t="shared" si="32"/>
        <v>38.812101699639825</v>
      </c>
      <c r="F18" s="146">
        <f t="shared" si="0"/>
        <v>2.2154927265245661</v>
      </c>
      <c r="G18" s="127"/>
      <c r="H18" s="126">
        <f t="shared" si="20"/>
        <v>1.677857963953584</v>
      </c>
      <c r="I18" s="230">
        <f>'[1]июль 20'!AI17</f>
        <v>0</v>
      </c>
      <c r="J18" s="247">
        <f>'[1]ноябрь 20'!AA17</f>
        <v>10.872999999999999</v>
      </c>
      <c r="K18" s="464">
        <f>'[1]сентябрь 20'!AM17</f>
        <v>0</v>
      </c>
      <c r="L18" s="446">
        <f>'[1]ноябрь 20'!AE17</f>
        <v>65.328000000000003</v>
      </c>
      <c r="M18" s="468">
        <f t="shared" si="21"/>
        <v>0.53763476257098186</v>
      </c>
      <c r="N18" s="403">
        <f>'[1]ноябрь 20'!W17</f>
        <v>0</v>
      </c>
      <c r="O18" s="403">
        <f>'[1]ноябрь 20'!AU17</f>
        <v>7.5519999999999996</v>
      </c>
      <c r="P18" s="401">
        <f t="shared" si="1"/>
        <v>174.73599999999999</v>
      </c>
      <c r="Q18" s="122">
        <f>'[1]ноябрь 20'!S17</f>
        <v>174.73599999999999</v>
      </c>
      <c r="R18" s="123">
        <f t="shared" si="22"/>
        <v>3.0600000000000005</v>
      </c>
      <c r="S18" s="129">
        <v>10.01</v>
      </c>
      <c r="T18" s="125">
        <f t="shared" si="2"/>
        <v>169.38907839999999</v>
      </c>
      <c r="U18" s="147">
        <f t="shared" si="31"/>
        <v>1.3940340581022137</v>
      </c>
      <c r="V18" s="130">
        <v>80.45</v>
      </c>
      <c r="W18" s="130">
        <v>29.04</v>
      </c>
      <c r="X18" s="129">
        <v>1.1200000000000001</v>
      </c>
      <c r="Y18" s="131">
        <v>578</v>
      </c>
      <c r="Z18" s="150">
        <v>1182</v>
      </c>
      <c r="AA18" s="148" t="s">
        <v>188</v>
      </c>
      <c r="AB18" s="149">
        <v>75.2</v>
      </c>
      <c r="AC18" s="150">
        <v>109</v>
      </c>
      <c r="AD18" s="151">
        <v>5</v>
      </c>
      <c r="AE18" s="149"/>
      <c r="AF18" s="134">
        <f t="shared" si="4"/>
        <v>0</v>
      </c>
      <c r="AG18" s="152"/>
      <c r="AH18" s="129">
        <v>74.75</v>
      </c>
      <c r="AI18" s="134">
        <f t="shared" si="5"/>
        <v>615.17570570323437</v>
      </c>
      <c r="AJ18" s="153">
        <v>15.33</v>
      </c>
      <c r="AK18" s="154"/>
      <c r="AL18" s="155">
        <v>5.89</v>
      </c>
      <c r="AM18" s="478">
        <v>37.31</v>
      </c>
      <c r="AN18" s="126">
        <f t="shared" si="23"/>
        <v>0.23102167182662539</v>
      </c>
      <c r="AO18" s="157" t="s">
        <v>407</v>
      </c>
      <c r="AP18" s="156">
        <v>8.0299999999999994</v>
      </c>
      <c r="AQ18" s="156">
        <v>8.65</v>
      </c>
      <c r="AR18" s="151"/>
      <c r="AS18" s="149">
        <v>7.45</v>
      </c>
      <c r="AT18" s="149">
        <v>161.5</v>
      </c>
      <c r="AU18" s="149">
        <v>3.21</v>
      </c>
      <c r="AV18" s="149"/>
      <c r="AW18" s="149"/>
      <c r="AX18" s="158">
        <f t="shared" si="6"/>
        <v>0</v>
      </c>
      <c r="AY18" s="125">
        <f t="shared" si="33"/>
        <v>121.51</v>
      </c>
      <c r="AZ18" s="125">
        <f t="shared" si="24"/>
        <v>123.56930408180128</v>
      </c>
      <c r="BA18" s="159">
        <f t="shared" si="8"/>
        <v>4.3139172535211268</v>
      </c>
      <c r="BB18" s="160">
        <f t="shared" si="9"/>
        <v>4.8604000000000003</v>
      </c>
      <c r="BC18" s="161">
        <f t="shared" si="10"/>
        <v>0.87454135551292733</v>
      </c>
      <c r="BD18" s="160">
        <f t="shared" si="25"/>
        <v>9.1743172535211279</v>
      </c>
      <c r="BE18" s="162">
        <v>0.88500000000000001</v>
      </c>
      <c r="BF18" s="25">
        <f t="shared" si="26"/>
        <v>1459.96</v>
      </c>
      <c r="BG18" s="25">
        <f t="shared" si="11"/>
        <v>125.66666666666667</v>
      </c>
      <c r="BH18" s="25">
        <f t="shared" si="27"/>
        <v>1508.0000000000002</v>
      </c>
      <c r="BI18" s="26">
        <f t="shared" si="12"/>
        <v>1</v>
      </c>
      <c r="BJ18" s="37">
        <f t="shared" si="28"/>
        <v>1508.0000000000002</v>
      </c>
      <c r="BK18" s="38">
        <v>207.31800000000001</v>
      </c>
      <c r="BL18" s="31"/>
      <c r="BM18" s="31"/>
      <c r="BN18" s="234">
        <v>54.537999999999997</v>
      </c>
      <c r="BO18" s="42"/>
      <c r="BP18" s="40"/>
      <c r="BQ18" s="411">
        <v>10.79</v>
      </c>
      <c r="BR18" s="41">
        <v>1.66</v>
      </c>
      <c r="BS18" s="34"/>
      <c r="BT18" s="35"/>
      <c r="BU18" s="28"/>
      <c r="BV18" s="287"/>
      <c r="BW18" s="287"/>
      <c r="BX18" s="36"/>
      <c r="BY18" s="34">
        <v>37.26</v>
      </c>
      <c r="BZ18" s="34"/>
      <c r="CA18" s="35"/>
      <c r="CB18" s="405">
        <v>43.85</v>
      </c>
      <c r="CC18" s="404"/>
      <c r="CD18" s="235"/>
      <c r="CE18" s="405">
        <v>43.17</v>
      </c>
      <c r="CF18" s="38">
        <v>66.488</v>
      </c>
      <c r="CG18" s="42"/>
      <c r="CH18" s="234"/>
      <c r="CI18" s="233">
        <v>108.248</v>
      </c>
      <c r="CJ18" s="33">
        <v>3.06</v>
      </c>
      <c r="CK18" s="33"/>
      <c r="CL18" s="33"/>
      <c r="CM18" s="36">
        <v>3.06</v>
      </c>
      <c r="CN18" s="286"/>
      <c r="CO18" s="249">
        <f t="shared" si="13"/>
        <v>203.87652120000001</v>
      </c>
      <c r="CP18" s="12">
        <f t="shared" si="13"/>
        <v>0</v>
      </c>
      <c r="CQ18" s="12">
        <f t="shared" si="13"/>
        <v>0</v>
      </c>
      <c r="CR18" s="12">
        <f t="shared" si="13"/>
        <v>54.537999999999997</v>
      </c>
      <c r="CS18" s="11">
        <f t="shared" si="13"/>
        <v>0</v>
      </c>
      <c r="CT18" s="11">
        <f t="shared" si="13"/>
        <v>0</v>
      </c>
      <c r="CU18" s="272">
        <f t="shared" si="13"/>
        <v>10.79</v>
      </c>
      <c r="CV18" s="249">
        <f t="shared" si="14"/>
        <v>64.453467199999992</v>
      </c>
      <c r="CW18" s="11">
        <f t="shared" si="14"/>
        <v>0</v>
      </c>
      <c r="CX18" s="249">
        <f t="shared" si="14"/>
        <v>0</v>
      </c>
      <c r="CY18" s="272">
        <f t="shared" si="14"/>
        <v>104.9356112</v>
      </c>
      <c r="CZ18" s="13"/>
      <c r="DA18" s="240">
        <f>(D18+'[2]ноябрь 20'!D18)/(AY18+'[2]ноябрь 20'!BA18)</f>
        <v>2.3969877972302065</v>
      </c>
      <c r="DB18" s="241">
        <f>(T18+'[2]ноябрь 20'!T18)/(AY18+'[2]ноябрь 20'!BA18)</f>
        <v>1.5232066554142334</v>
      </c>
      <c r="DD18" s="292">
        <f t="shared" si="15"/>
        <v>10.872999999999999</v>
      </c>
      <c r="DE18" s="291">
        <v>0.23</v>
      </c>
      <c r="DF18" s="291">
        <v>15.76</v>
      </c>
      <c r="DG18" s="145">
        <f t="shared" si="16"/>
        <v>10.847992099999999</v>
      </c>
      <c r="DH18" s="293">
        <f t="shared" si="29"/>
        <v>2.273462174148936</v>
      </c>
      <c r="DJ18" s="322"/>
    </row>
    <row r="19" spans="1:114" s="76" customFormat="1" ht="16.5" customHeight="1" thickBot="1">
      <c r="A19" s="144">
        <v>13</v>
      </c>
      <c r="B19" s="122">
        <f>'[1]ноябрь 20'!K18</f>
        <v>252.517</v>
      </c>
      <c r="C19" s="123">
        <f t="shared" si="17"/>
        <v>0.91951413172182472</v>
      </c>
      <c r="D19" s="145">
        <f t="shared" si="30"/>
        <v>250.19507050000001</v>
      </c>
      <c r="E19" s="125">
        <f t="shared" si="32"/>
        <v>39.183061853261371</v>
      </c>
      <c r="F19" s="146">
        <f t="shared" si="0"/>
        <v>2.0936825983263603</v>
      </c>
      <c r="G19" s="127"/>
      <c r="H19" s="126">
        <f t="shared" si="20"/>
        <v>1.5863855271966532</v>
      </c>
      <c r="I19" s="230">
        <f>'[1]июль 20'!AI18</f>
        <v>0</v>
      </c>
      <c r="J19" s="247">
        <f>'[1]ноябрь 20'!AA18</f>
        <v>10.138999999999999</v>
      </c>
      <c r="K19" s="464">
        <f>'[1]сентябрь 20'!AM18</f>
        <v>0</v>
      </c>
      <c r="L19" s="446">
        <f>'[1]ноябрь 20'!AE18</f>
        <v>60.622</v>
      </c>
      <c r="M19" s="469">
        <f t="shared" si="21"/>
        <v>0.50729707112970712</v>
      </c>
      <c r="N19" s="403">
        <f>'[1]ноябрь 20'!W18</f>
        <v>0</v>
      </c>
      <c r="O19" s="403">
        <f>'[1]ноябрь 20'!AU18</f>
        <v>7.1420000000000003</v>
      </c>
      <c r="P19" s="401">
        <f t="shared" si="1"/>
        <v>160.482</v>
      </c>
      <c r="Q19" s="122">
        <f>'[1]ноябрь 20'!S18</f>
        <v>160.482</v>
      </c>
      <c r="R19" s="123">
        <f t="shared" si="22"/>
        <v>3.11</v>
      </c>
      <c r="S19" s="501">
        <v>9.65</v>
      </c>
      <c r="T19" s="125">
        <f t="shared" si="2"/>
        <v>155.4910098</v>
      </c>
      <c r="U19" s="147">
        <f t="shared" si="31"/>
        <v>1.3011799983263599</v>
      </c>
      <c r="V19" s="130">
        <v>119.5</v>
      </c>
      <c r="W19" s="130">
        <v>44.73</v>
      </c>
      <c r="X19" s="129">
        <v>1.1100000000000001</v>
      </c>
      <c r="Y19" s="131">
        <v>582</v>
      </c>
      <c r="Z19" s="150">
        <v>1165</v>
      </c>
      <c r="AA19" s="148" t="s">
        <v>249</v>
      </c>
      <c r="AB19" s="149">
        <v>75.92</v>
      </c>
      <c r="AC19" s="150">
        <v>101</v>
      </c>
      <c r="AD19" s="151">
        <v>5</v>
      </c>
      <c r="AE19" s="149">
        <v>3.85</v>
      </c>
      <c r="AF19" s="134">
        <f t="shared" si="4"/>
        <v>32.217573221757327</v>
      </c>
      <c r="AG19" s="152"/>
      <c r="AH19" s="129">
        <v>82.85</v>
      </c>
      <c r="AI19" s="134">
        <f t="shared" si="5"/>
        <v>693.305439330544</v>
      </c>
      <c r="AJ19" s="136">
        <v>18.63</v>
      </c>
      <c r="AK19" s="154"/>
      <c r="AL19" s="155">
        <v>10</v>
      </c>
      <c r="AM19" s="478">
        <v>37.06</v>
      </c>
      <c r="AN19" s="126">
        <f t="shared" si="23"/>
        <v>0.22481043372763121</v>
      </c>
      <c r="AO19" s="157" t="s">
        <v>350</v>
      </c>
      <c r="AP19" s="156">
        <v>7.64</v>
      </c>
      <c r="AQ19" s="156">
        <v>9.0500000000000007</v>
      </c>
      <c r="AR19" s="151"/>
      <c r="AS19" s="149">
        <v>8.3000000000000007</v>
      </c>
      <c r="AT19" s="149">
        <v>164.85</v>
      </c>
      <c r="AU19" s="149">
        <v>1.71</v>
      </c>
      <c r="AV19" s="164"/>
      <c r="AW19" s="149"/>
      <c r="AX19" s="158">
        <f t="shared" si="6"/>
        <v>0</v>
      </c>
      <c r="AY19" s="125">
        <f t="shared" si="33"/>
        <v>119.49999999999999</v>
      </c>
      <c r="AZ19" s="125">
        <f t="shared" si="24"/>
        <v>114.62355979037407</v>
      </c>
      <c r="BA19" s="159">
        <f t="shared" si="8"/>
        <v>5.3269049295774646</v>
      </c>
      <c r="BB19" s="160">
        <f t="shared" si="9"/>
        <v>4.7799999999999994</v>
      </c>
      <c r="BC19" s="161">
        <f t="shared" si="10"/>
        <v>0.92543727100030893</v>
      </c>
      <c r="BD19" s="160">
        <f t="shared" si="25"/>
        <v>10.106904929577464</v>
      </c>
      <c r="BE19" s="162">
        <v>0.88800000000000001</v>
      </c>
      <c r="BF19" s="25">
        <f t="shared" si="26"/>
        <v>1579.46</v>
      </c>
      <c r="BG19" s="25">
        <f t="shared" si="11"/>
        <v>125.66666666666667</v>
      </c>
      <c r="BH19" s="25">
        <f t="shared" si="27"/>
        <v>1633.666666666667</v>
      </c>
      <c r="BI19" s="26">
        <f t="shared" si="12"/>
        <v>1</v>
      </c>
      <c r="BJ19" s="37">
        <f t="shared" si="28"/>
        <v>1633.666666666667</v>
      </c>
      <c r="BK19" s="38">
        <v>191.89500000000001</v>
      </c>
      <c r="BL19" s="31"/>
      <c r="BM19" s="31"/>
      <c r="BN19" s="234">
        <v>50.411999999999999</v>
      </c>
      <c r="BO19" s="42"/>
      <c r="BP19" s="40"/>
      <c r="BQ19" s="411">
        <v>10.210000000000001</v>
      </c>
      <c r="BR19" s="33">
        <v>1.21</v>
      </c>
      <c r="BS19" s="34"/>
      <c r="BT19" s="35"/>
      <c r="BU19" s="28"/>
      <c r="BV19" s="287"/>
      <c r="BW19" s="512"/>
      <c r="BX19" s="36"/>
      <c r="BY19" s="33">
        <v>37.869999999999997</v>
      </c>
      <c r="BZ19" s="34"/>
      <c r="CA19" s="35"/>
      <c r="CB19" s="405">
        <v>43.39</v>
      </c>
      <c r="CC19" s="404"/>
      <c r="CD19" s="235"/>
      <c r="CE19" s="413">
        <v>43.09</v>
      </c>
      <c r="CF19" s="41">
        <v>61.658999999999999</v>
      </c>
      <c r="CG19" s="41"/>
      <c r="CH19" s="30"/>
      <c r="CI19" s="32">
        <v>98.822999999999993</v>
      </c>
      <c r="CJ19" s="33">
        <v>3.11</v>
      </c>
      <c r="CK19" s="33"/>
      <c r="CL19" s="33"/>
      <c r="CM19" s="36">
        <v>3.11</v>
      </c>
      <c r="CN19" s="286"/>
      <c r="CO19" s="249">
        <f t="shared" si="13"/>
        <v>189.57307050000003</v>
      </c>
      <c r="CP19" s="12">
        <f t="shared" si="13"/>
        <v>0</v>
      </c>
      <c r="CQ19" s="12">
        <f t="shared" si="13"/>
        <v>0</v>
      </c>
      <c r="CR19" s="12">
        <f t="shared" si="13"/>
        <v>50.411999999999999</v>
      </c>
      <c r="CS19" s="11">
        <f t="shared" si="13"/>
        <v>0</v>
      </c>
      <c r="CT19" s="11">
        <f t="shared" si="13"/>
        <v>0</v>
      </c>
      <c r="CU19" s="272">
        <f t="shared" si="13"/>
        <v>10.210000000000001</v>
      </c>
      <c r="CV19" s="249">
        <f t="shared" si="14"/>
        <v>59.741405100000001</v>
      </c>
      <c r="CW19" s="251">
        <f t="shared" si="14"/>
        <v>0</v>
      </c>
      <c r="CX19" s="249">
        <f t="shared" si="14"/>
        <v>0</v>
      </c>
      <c r="CY19" s="272">
        <f t="shared" si="14"/>
        <v>95.749604699999992</v>
      </c>
      <c r="CZ19" s="13"/>
      <c r="DA19" s="240">
        <f>(D19+'[2]ноябрь 20'!D19)/(AY19+'[2]ноябрь 20'!BA19)</f>
        <v>2.2052875752287808</v>
      </c>
      <c r="DB19" s="241">
        <f>(T19+'[2]ноябрь 20'!T19)/(AY19+'[2]ноябрь 20'!BA19)</f>
        <v>1.3680827701896718</v>
      </c>
      <c r="DD19" s="292">
        <f t="shared" si="15"/>
        <v>10.138999999999999</v>
      </c>
      <c r="DE19" s="291">
        <v>0.16</v>
      </c>
      <c r="DF19" s="291">
        <v>14.21</v>
      </c>
      <c r="DG19" s="145">
        <f t="shared" si="16"/>
        <v>10.122777599999999</v>
      </c>
      <c r="DH19" s="293">
        <f t="shared" si="29"/>
        <v>1.894687430136986</v>
      </c>
      <c r="DJ19" s="322"/>
    </row>
    <row r="20" spans="1:114" s="76" customFormat="1" ht="16.5" customHeight="1" thickBot="1">
      <c r="A20" s="144">
        <v>14</v>
      </c>
      <c r="B20" s="122">
        <f>'[1]ноябрь 20'!K19</f>
        <v>260.5</v>
      </c>
      <c r="C20" s="123">
        <f t="shared" si="17"/>
        <v>1.3145874856046065</v>
      </c>
      <c r="D20" s="145">
        <f t="shared" si="30"/>
        <v>257.0754996</v>
      </c>
      <c r="E20" s="125">
        <f t="shared" si="32"/>
        <v>39.195478080614201</v>
      </c>
      <c r="F20" s="146">
        <f t="shared" si="0"/>
        <v>2.0951548459657703</v>
      </c>
      <c r="G20" s="127">
        <v>17.100000000000001</v>
      </c>
      <c r="H20" s="126">
        <f t="shared" si="20"/>
        <v>1.5853585949470252</v>
      </c>
      <c r="I20" s="230">
        <f>'[1]июль 20'!AI19</f>
        <v>0</v>
      </c>
      <c r="J20" s="247">
        <f>'[1]ноябрь 20'!AA19</f>
        <v>10.484</v>
      </c>
      <c r="K20" s="464">
        <f>'[1]сентябрь 20'!AM19</f>
        <v>0</v>
      </c>
      <c r="L20" s="446">
        <f>'[1]ноябрь 20'!AE19</f>
        <v>62.552</v>
      </c>
      <c r="M20" s="468">
        <f t="shared" si="21"/>
        <v>0.50979625101874493</v>
      </c>
      <c r="N20" s="403">
        <f>'[1]ноябрь 20'!W19</f>
        <v>0</v>
      </c>
      <c r="O20" s="403">
        <f>'[1]ноябрь 20'!AU19</f>
        <v>7.13</v>
      </c>
      <c r="P20" s="401">
        <f t="shared" si="1"/>
        <v>164.25900000000001</v>
      </c>
      <c r="Q20" s="122">
        <f>'[1]ноябрь 20'!S19</f>
        <v>164.25899999999999</v>
      </c>
      <c r="R20" s="123">
        <f t="shared" si="22"/>
        <v>2.91</v>
      </c>
      <c r="S20" s="501"/>
      <c r="T20" s="125">
        <f t="shared" si="2"/>
        <v>159.47906309999999</v>
      </c>
      <c r="U20" s="147">
        <f t="shared" si="31"/>
        <v>1.2997478655256725</v>
      </c>
      <c r="V20" s="130">
        <v>50.33</v>
      </c>
      <c r="W20" s="130">
        <v>23.52</v>
      </c>
      <c r="X20" s="129">
        <v>1.1200000000000001</v>
      </c>
      <c r="Y20" s="131">
        <v>565</v>
      </c>
      <c r="Z20" s="150">
        <v>1175</v>
      </c>
      <c r="AA20" s="168" t="s">
        <v>433</v>
      </c>
      <c r="AB20" s="149">
        <v>75.209999999999994</v>
      </c>
      <c r="AC20" s="150">
        <v>104</v>
      </c>
      <c r="AD20" s="151">
        <v>5</v>
      </c>
      <c r="AE20" s="149"/>
      <c r="AF20" s="134">
        <f t="shared" si="4"/>
        <v>0</v>
      </c>
      <c r="AG20" s="152"/>
      <c r="AH20" s="129">
        <v>80.650000000000006</v>
      </c>
      <c r="AI20" s="134">
        <f t="shared" si="5"/>
        <v>657.29421352893246</v>
      </c>
      <c r="AJ20" s="153">
        <v>14.74</v>
      </c>
      <c r="AK20" s="154"/>
      <c r="AL20" s="155">
        <v>7.06</v>
      </c>
      <c r="AM20" s="478">
        <v>29.64</v>
      </c>
      <c r="AN20" s="126">
        <f t="shared" si="23"/>
        <v>0.18866963717377466</v>
      </c>
      <c r="AO20" s="157" t="s">
        <v>447</v>
      </c>
      <c r="AP20" s="156">
        <v>7.08</v>
      </c>
      <c r="AQ20" s="156">
        <v>8.59</v>
      </c>
      <c r="AR20" s="149"/>
      <c r="AS20" s="149">
        <v>9.0299999999999994</v>
      </c>
      <c r="AT20" s="149">
        <v>157.1</v>
      </c>
      <c r="AU20" s="149">
        <v>2.2999999999999998</v>
      </c>
      <c r="AV20" s="149"/>
      <c r="AW20" s="149"/>
      <c r="AX20" s="158">
        <f t="shared" si="6"/>
        <v>0</v>
      </c>
      <c r="AY20" s="125">
        <f t="shared" si="33"/>
        <v>122.69999999999999</v>
      </c>
      <c r="AZ20" s="125">
        <f t="shared" si="24"/>
        <v>119.13753270563932</v>
      </c>
      <c r="BA20" s="159">
        <f t="shared" si="8"/>
        <v>5.6415242957746479</v>
      </c>
      <c r="BB20" s="160">
        <f t="shared" si="9"/>
        <v>4.9079999999999995</v>
      </c>
      <c r="BC20" s="161">
        <f t="shared" si="10"/>
        <v>0.91584820141877088</v>
      </c>
      <c r="BD20" s="160">
        <f t="shared" si="25"/>
        <v>10.549524295774647</v>
      </c>
      <c r="BE20" s="162">
        <v>0.89</v>
      </c>
      <c r="BF20" s="25">
        <f t="shared" si="26"/>
        <v>1702.16</v>
      </c>
      <c r="BG20" s="25">
        <f t="shared" si="11"/>
        <v>125.66666666666667</v>
      </c>
      <c r="BH20" s="25">
        <f t="shared" si="27"/>
        <v>1759.3333333333337</v>
      </c>
      <c r="BI20" s="26">
        <f t="shared" si="12"/>
        <v>1</v>
      </c>
      <c r="BJ20" s="37">
        <f t="shared" si="28"/>
        <v>1759.3333333333337</v>
      </c>
      <c r="BK20" s="38">
        <v>197.94800000000001</v>
      </c>
      <c r="BL20" s="31"/>
      <c r="BM20" s="31"/>
      <c r="BN20" s="234">
        <v>54.859000000000002</v>
      </c>
      <c r="BO20" s="42"/>
      <c r="BP20" s="40"/>
      <c r="BQ20" s="411">
        <v>7.6929999999999996</v>
      </c>
      <c r="BR20" s="33">
        <v>1.73</v>
      </c>
      <c r="BS20" s="34"/>
      <c r="BT20" s="35"/>
      <c r="BU20" s="28"/>
      <c r="BV20" s="287"/>
      <c r="BW20" s="287"/>
      <c r="BX20" s="36"/>
      <c r="BY20" s="33">
        <v>37.869999999999997</v>
      </c>
      <c r="BZ20" s="34"/>
      <c r="CA20" s="35"/>
      <c r="CB20" s="405">
        <v>43.39</v>
      </c>
      <c r="CC20" s="404"/>
      <c r="CD20" s="235"/>
      <c r="CE20" s="413">
        <v>43.39</v>
      </c>
      <c r="CF20" s="30">
        <v>63.426000000000002</v>
      </c>
      <c r="CG20" s="30"/>
      <c r="CH20" s="31"/>
      <c r="CI20" s="32">
        <v>100.833</v>
      </c>
      <c r="CJ20" s="33">
        <v>2.91</v>
      </c>
      <c r="CK20" s="33"/>
      <c r="CL20" s="35"/>
      <c r="CM20" s="36">
        <v>2.91</v>
      </c>
      <c r="CN20" s="286"/>
      <c r="CO20" s="249">
        <f t="shared" si="13"/>
        <v>194.52349959999998</v>
      </c>
      <c r="CP20" s="12">
        <f t="shared" si="13"/>
        <v>0</v>
      </c>
      <c r="CQ20" s="12">
        <f t="shared" si="13"/>
        <v>0</v>
      </c>
      <c r="CR20" s="12">
        <f t="shared" si="13"/>
        <v>54.859000000000002</v>
      </c>
      <c r="CS20" s="11">
        <f t="shared" si="13"/>
        <v>0</v>
      </c>
      <c r="CT20" s="11">
        <f t="shared" si="13"/>
        <v>0</v>
      </c>
      <c r="CU20" s="272">
        <f t="shared" si="13"/>
        <v>7.6929999999999996</v>
      </c>
      <c r="CV20" s="249">
        <f t="shared" si="14"/>
        <v>61.580303399999998</v>
      </c>
      <c r="CW20" s="12">
        <f t="shared" si="14"/>
        <v>0</v>
      </c>
      <c r="CX20" s="249">
        <f t="shared" si="14"/>
        <v>0</v>
      </c>
      <c r="CY20" s="272">
        <f t="shared" si="14"/>
        <v>97.898759699999999</v>
      </c>
      <c r="CZ20" s="13"/>
      <c r="DA20" s="240">
        <f>(D20+'[2]ноябрь 20'!D20)/(AY20+'[2]ноябрь 20'!BA20)</f>
        <v>2.0187527750734211</v>
      </c>
      <c r="DB20" s="241">
        <f>(T20+'[2]ноябрь 20'!T20)/(AY20+'[2]ноябрь 20'!BA20)</f>
        <v>1.2394779069751827</v>
      </c>
      <c r="DD20" s="292">
        <f t="shared" si="15"/>
        <v>10.484</v>
      </c>
      <c r="DE20" s="291">
        <v>0.35</v>
      </c>
      <c r="DF20" s="407">
        <v>15.68</v>
      </c>
      <c r="DG20" s="145">
        <f t="shared" si="16"/>
        <v>10.447306000000001</v>
      </c>
      <c r="DH20" s="293">
        <f t="shared" si="29"/>
        <v>2.1780848036165406</v>
      </c>
      <c r="DJ20" s="322"/>
    </row>
    <row r="21" spans="1:114" s="76" customFormat="1" ht="16.5" customHeight="1" thickBot="1">
      <c r="A21" s="144">
        <v>15</v>
      </c>
      <c r="B21" s="122">
        <f>'[1]ноябрь 20'!K20</f>
        <v>232.477</v>
      </c>
      <c r="C21" s="123">
        <f t="shared" si="17"/>
        <v>1.5288405304610775</v>
      </c>
      <c r="D21" s="145">
        <f t="shared" si="30"/>
        <v>228.92279739999998</v>
      </c>
      <c r="E21" s="125">
        <f t="shared" si="32"/>
        <v>38.995395329430437</v>
      </c>
      <c r="F21" s="146">
        <f t="shared" si="0"/>
        <v>2.7285196352800951</v>
      </c>
      <c r="G21" s="127">
        <v>17.010000000000002</v>
      </c>
      <c r="H21" s="126">
        <f t="shared" si="20"/>
        <v>2.0652180858164479</v>
      </c>
      <c r="I21" s="230">
        <f>'[1]июль 20'!AI20</f>
        <v>0</v>
      </c>
      <c r="J21" s="247">
        <f>'[1]ноябрь 20'!AA20</f>
        <v>9.2349999999999994</v>
      </c>
      <c r="K21" s="464">
        <f>'[1]сентябрь 20'!AM20</f>
        <v>0</v>
      </c>
      <c r="L21" s="446">
        <f>'[1]ноябрь 20'!AE20</f>
        <v>55.651000000000003</v>
      </c>
      <c r="M21" s="469">
        <f t="shared" si="21"/>
        <v>0.66330154946364717</v>
      </c>
      <c r="N21" s="403">
        <f>'[1]ноябрь 20'!W20</f>
        <v>0</v>
      </c>
      <c r="O21" s="403">
        <f>'[1]ноябрь 20'!AU20</f>
        <v>5.3120000000000003</v>
      </c>
      <c r="P21" s="401">
        <f t="shared" si="1"/>
        <v>148.07900000000001</v>
      </c>
      <c r="Q21" s="122">
        <f>'[1]ноябрь 20'!S20</f>
        <v>148.07900000000001</v>
      </c>
      <c r="R21" s="123">
        <f t="shared" si="22"/>
        <v>3.1799999999999997</v>
      </c>
      <c r="S21" s="501"/>
      <c r="T21" s="125">
        <f t="shared" si="2"/>
        <v>143.37008779999999</v>
      </c>
      <c r="U21" s="147">
        <f t="shared" si="31"/>
        <v>1.7088210703218114</v>
      </c>
      <c r="V21" s="130">
        <v>83.9</v>
      </c>
      <c r="W21" s="130">
        <v>83.9</v>
      </c>
      <c r="X21" s="129">
        <v>0.63</v>
      </c>
      <c r="Y21" s="131">
        <v>551</v>
      </c>
      <c r="Z21" s="150">
        <v>1163</v>
      </c>
      <c r="AA21" s="168" t="s">
        <v>448</v>
      </c>
      <c r="AB21" s="149">
        <v>75.680000000000007</v>
      </c>
      <c r="AC21" s="150">
        <v>93</v>
      </c>
      <c r="AD21" s="151">
        <v>5</v>
      </c>
      <c r="AE21" s="149"/>
      <c r="AF21" s="134">
        <f t="shared" si="4"/>
        <v>0</v>
      </c>
      <c r="AG21" s="152"/>
      <c r="AH21" s="129">
        <v>66.75</v>
      </c>
      <c r="AI21" s="134">
        <f t="shared" si="5"/>
        <v>795.58998808104889</v>
      </c>
      <c r="AJ21" s="136">
        <v>15.43</v>
      </c>
      <c r="AK21" s="154"/>
      <c r="AL21" s="155">
        <v>6.24</v>
      </c>
      <c r="AM21" s="478">
        <v>33.42</v>
      </c>
      <c r="AN21" s="126">
        <f t="shared" si="23"/>
        <v>0.27506172839506177</v>
      </c>
      <c r="AO21" s="157" t="s">
        <v>331</v>
      </c>
      <c r="AP21" s="156">
        <v>6.63</v>
      </c>
      <c r="AQ21" s="156">
        <v>7.83</v>
      </c>
      <c r="AR21" s="149"/>
      <c r="AS21" s="149">
        <v>12.79</v>
      </c>
      <c r="AT21" s="149">
        <v>121.5</v>
      </c>
      <c r="AU21" s="149">
        <v>2.06</v>
      </c>
      <c r="AV21" s="149"/>
      <c r="AW21" s="149"/>
      <c r="AX21" s="158">
        <f t="shared" si="6"/>
        <v>0</v>
      </c>
      <c r="AY21" s="125">
        <f t="shared" si="33"/>
        <v>83.9</v>
      </c>
      <c r="AZ21" s="125">
        <f t="shared" si="24"/>
        <v>104.42123356588969</v>
      </c>
      <c r="BA21" s="159">
        <f t="shared" si="8"/>
        <v>6.6134207746478868</v>
      </c>
      <c r="BB21" s="160">
        <f t="shared" si="9"/>
        <v>3.3560000000000003</v>
      </c>
      <c r="BC21" s="161">
        <f t="shared" si="10"/>
        <v>0.71128018866520315</v>
      </c>
      <c r="BD21" s="160">
        <f t="shared" si="25"/>
        <v>9.9694207746478867</v>
      </c>
      <c r="BE21" s="162">
        <v>0.879</v>
      </c>
      <c r="BF21" s="25">
        <f t="shared" si="26"/>
        <v>1786.0600000000002</v>
      </c>
      <c r="BG21" s="25">
        <f t="shared" si="11"/>
        <v>125.66666666666667</v>
      </c>
      <c r="BH21" s="25">
        <f t="shared" si="27"/>
        <v>1885.0000000000005</v>
      </c>
      <c r="BI21" s="26">
        <f t="shared" si="12"/>
        <v>1</v>
      </c>
      <c r="BJ21" s="37">
        <f t="shared" si="28"/>
        <v>1885.0000000000005</v>
      </c>
      <c r="BK21" s="38">
        <v>176.82599999999999</v>
      </c>
      <c r="BL21" s="31"/>
      <c r="BM21" s="31"/>
      <c r="BN21" s="234">
        <v>51.066000000000003</v>
      </c>
      <c r="BO21" s="42"/>
      <c r="BP21" s="40"/>
      <c r="BQ21" s="411">
        <v>4.585</v>
      </c>
      <c r="BR21" s="33">
        <v>2.0099999999999998</v>
      </c>
      <c r="BS21" s="34"/>
      <c r="BT21" s="35"/>
      <c r="BU21" s="35"/>
      <c r="BV21" s="235"/>
      <c r="BW21" s="235"/>
      <c r="BX21" s="36"/>
      <c r="BY21" s="33">
        <v>37.57</v>
      </c>
      <c r="BZ21" s="34"/>
      <c r="CA21" s="35"/>
      <c r="CB21" s="405">
        <v>43.55</v>
      </c>
      <c r="CC21" s="404"/>
      <c r="CD21" s="235"/>
      <c r="CE21" s="413">
        <v>43.24</v>
      </c>
      <c r="CF21" s="30">
        <v>56.77</v>
      </c>
      <c r="CG21" s="30"/>
      <c r="CH21" s="31"/>
      <c r="CI21" s="32">
        <v>91.308999999999997</v>
      </c>
      <c r="CJ21" s="33">
        <v>3.18</v>
      </c>
      <c r="CK21" s="33"/>
      <c r="CL21" s="35"/>
      <c r="CM21" s="36">
        <v>3.18</v>
      </c>
      <c r="CN21" s="286"/>
      <c r="CO21" s="249">
        <f t="shared" si="13"/>
        <v>173.2717974</v>
      </c>
      <c r="CP21" s="12">
        <f t="shared" si="13"/>
        <v>0</v>
      </c>
      <c r="CQ21" s="12">
        <f t="shared" si="13"/>
        <v>0</v>
      </c>
      <c r="CR21" s="12">
        <f t="shared" si="13"/>
        <v>51.066000000000003</v>
      </c>
      <c r="CS21" s="11">
        <f t="shared" si="13"/>
        <v>0</v>
      </c>
      <c r="CT21" s="11">
        <f t="shared" si="13"/>
        <v>0</v>
      </c>
      <c r="CU21" s="272">
        <f t="shared" si="13"/>
        <v>4.585</v>
      </c>
      <c r="CV21" s="249">
        <f t="shared" si="14"/>
        <v>54.964714000000001</v>
      </c>
      <c r="CW21" s="12">
        <f t="shared" si="14"/>
        <v>0</v>
      </c>
      <c r="CX21" s="249">
        <f t="shared" si="14"/>
        <v>0</v>
      </c>
      <c r="CY21" s="272">
        <f t="shared" si="14"/>
        <v>88.405373799999992</v>
      </c>
      <c r="CZ21" s="13"/>
      <c r="DA21" s="240">
        <f>(D21+'[2]ноябрь 20'!D21)/(AY21+'[2]ноябрь 20'!BA21)</f>
        <v>2.1473833632382884</v>
      </c>
      <c r="DB21" s="241">
        <f>(T21+'[2]ноябрь 20'!T21)/(AY21+'[2]ноябрь 20'!BA21)</f>
        <v>1.3133391215690653</v>
      </c>
      <c r="DD21" s="292">
        <f t="shared" si="15"/>
        <v>9.2349999999999994</v>
      </c>
      <c r="DE21" s="291">
        <v>0.13</v>
      </c>
      <c r="DF21" s="291">
        <v>11.86</v>
      </c>
      <c r="DG21" s="145">
        <f t="shared" si="16"/>
        <v>9.2229945000000004</v>
      </c>
      <c r="DH21" s="293">
        <f t="shared" si="29"/>
        <v>1.4453582818446089</v>
      </c>
      <c r="DJ21" s="322"/>
    </row>
    <row r="22" spans="1:114" s="76" customFormat="1" ht="16.5" customHeight="1" thickBot="1">
      <c r="A22" s="144">
        <v>16</v>
      </c>
      <c r="B22" s="122">
        <f>'[1]ноябрь 20'!K21</f>
        <v>242.34700000000001</v>
      </c>
      <c r="C22" s="123">
        <f t="shared" si="17"/>
        <v>0.94959912852232542</v>
      </c>
      <c r="D22" s="145">
        <f t="shared" si="30"/>
        <v>240.04567500000002</v>
      </c>
      <c r="E22" s="125">
        <f t="shared" si="32"/>
        <v>38.977991640086316</v>
      </c>
      <c r="F22" s="146">
        <f t="shared" si="0"/>
        <v>2.1003208942164675</v>
      </c>
      <c r="G22" s="127"/>
      <c r="H22" s="126">
        <f t="shared" si="20"/>
        <v>1.5907312538279819</v>
      </c>
      <c r="I22" s="230">
        <f>'[1]июль 20'!AI21</f>
        <v>0</v>
      </c>
      <c r="J22" s="247">
        <f>'[1]ноябрь 20'!AA21</f>
        <v>9.734</v>
      </c>
      <c r="K22" s="464">
        <f>'[1]сентябрь 20'!AM21</f>
        <v>0</v>
      </c>
      <c r="L22" s="446">
        <f>'[1]ноябрь 20'!AE21</f>
        <v>58.241</v>
      </c>
      <c r="M22" s="468">
        <f t="shared" si="21"/>
        <v>0.50958964038848553</v>
      </c>
      <c r="N22" s="403">
        <f>'[1]ноябрь 20'!W21</f>
        <v>0</v>
      </c>
      <c r="O22" s="403">
        <f>'[1]ноябрь 20'!AU21</f>
        <v>5.883</v>
      </c>
      <c r="P22" s="401">
        <f t="shared" si="1"/>
        <v>154.595</v>
      </c>
      <c r="Q22" s="122">
        <f>'[1]ноябрь 20'!S21</f>
        <v>154.595</v>
      </c>
      <c r="R22" s="123">
        <f t="shared" si="22"/>
        <v>2.9400000000000004</v>
      </c>
      <c r="S22" s="501">
        <v>1.86</v>
      </c>
      <c r="T22" s="125">
        <f t="shared" si="2"/>
        <v>150.04990699999999</v>
      </c>
      <c r="U22" s="147">
        <f t="shared" si="31"/>
        <v>1.3128874529705137</v>
      </c>
      <c r="V22" s="130">
        <v>75.38</v>
      </c>
      <c r="W22" s="130">
        <v>65.58</v>
      </c>
      <c r="X22" s="129">
        <v>1.0900000000000001</v>
      </c>
      <c r="Y22" s="131">
        <v>590</v>
      </c>
      <c r="Z22" s="150">
        <v>1159</v>
      </c>
      <c r="AA22" s="148" t="s">
        <v>449</v>
      </c>
      <c r="AB22" s="149">
        <v>75.02</v>
      </c>
      <c r="AC22" s="150">
        <v>97</v>
      </c>
      <c r="AD22" s="151">
        <v>5</v>
      </c>
      <c r="AE22" s="149"/>
      <c r="AF22" s="134">
        <f t="shared" si="4"/>
        <v>0</v>
      </c>
      <c r="AG22" s="152"/>
      <c r="AH22" s="129">
        <v>71.55</v>
      </c>
      <c r="AI22" s="134">
        <f t="shared" si="5"/>
        <v>626.03902353661749</v>
      </c>
      <c r="AJ22" s="153">
        <v>15.76</v>
      </c>
      <c r="AK22" s="154"/>
      <c r="AL22" s="155">
        <v>7.75</v>
      </c>
      <c r="AM22" s="478">
        <v>27.23</v>
      </c>
      <c r="AN22" s="126">
        <f t="shared" si="23"/>
        <v>0.18467277043065447</v>
      </c>
      <c r="AO22" s="157" t="s">
        <v>370</v>
      </c>
      <c r="AP22" s="156">
        <v>7.47</v>
      </c>
      <c r="AQ22" s="156">
        <v>8.34</v>
      </c>
      <c r="AR22" s="151"/>
      <c r="AS22" s="149">
        <v>8.15</v>
      </c>
      <c r="AT22" s="149">
        <v>147.44999999999999</v>
      </c>
      <c r="AU22" s="149">
        <v>1.82</v>
      </c>
      <c r="AV22" s="149"/>
      <c r="AW22" s="149"/>
      <c r="AX22" s="158">
        <f t="shared" si="6"/>
        <v>0</v>
      </c>
      <c r="AY22" s="125">
        <f t="shared" si="33"/>
        <v>114.28999999999998</v>
      </c>
      <c r="AZ22" s="125">
        <f t="shared" si="24"/>
        <v>110.64558915953735</v>
      </c>
      <c r="BA22" s="159">
        <f t="shared" si="8"/>
        <v>4.5172235915492962</v>
      </c>
      <c r="BB22" s="160">
        <f t="shared" si="9"/>
        <v>4.5715999999999992</v>
      </c>
      <c r="BC22" s="161">
        <f t="shared" si="10"/>
        <v>0.91637229151538468</v>
      </c>
      <c r="BD22" s="160">
        <f t="shared" si="25"/>
        <v>9.0888235915492963</v>
      </c>
      <c r="BE22" s="162">
        <v>0.88200000000000001</v>
      </c>
      <c r="BF22" s="25">
        <f t="shared" si="26"/>
        <v>1900.3500000000001</v>
      </c>
      <c r="BG22" s="25">
        <f t="shared" si="11"/>
        <v>125.66666666666667</v>
      </c>
      <c r="BH22" s="25">
        <f t="shared" si="27"/>
        <v>2010.6666666666672</v>
      </c>
      <c r="BI22" s="26">
        <f t="shared" si="12"/>
        <v>1</v>
      </c>
      <c r="BJ22" s="37">
        <f t="shared" si="28"/>
        <v>2010.6666666666672</v>
      </c>
      <c r="BK22" s="38">
        <v>184.10599999999999</v>
      </c>
      <c r="BL22" s="31"/>
      <c r="BM22" s="31"/>
      <c r="BN22" s="234">
        <v>53.32</v>
      </c>
      <c r="BO22" s="42"/>
      <c r="BP22" s="40"/>
      <c r="BQ22" s="411">
        <v>4.9210000000000003</v>
      </c>
      <c r="BR22" s="33">
        <v>1.25</v>
      </c>
      <c r="BS22" s="34"/>
      <c r="BT22" s="35"/>
      <c r="BU22" s="35"/>
      <c r="BV22" s="235"/>
      <c r="BW22" s="235"/>
      <c r="BX22" s="36"/>
      <c r="BY22" s="33">
        <v>37.65</v>
      </c>
      <c r="BZ22" s="34"/>
      <c r="CA22" s="35"/>
      <c r="CB22" s="405">
        <v>43.17</v>
      </c>
      <c r="CC22" s="404"/>
      <c r="CD22" s="235"/>
      <c r="CE22" s="413">
        <v>43.24</v>
      </c>
      <c r="CF22" s="30">
        <v>59.209000000000003</v>
      </c>
      <c r="CG22" s="30"/>
      <c r="CH22" s="31"/>
      <c r="CI22" s="32">
        <v>95.385999999999996</v>
      </c>
      <c r="CJ22" s="33">
        <v>2.94</v>
      </c>
      <c r="CK22" s="33"/>
      <c r="CL22" s="35"/>
      <c r="CM22" s="36">
        <v>2.94</v>
      </c>
      <c r="CN22" s="286"/>
      <c r="CO22" s="249">
        <f t="shared" si="13"/>
        <v>181.804675</v>
      </c>
      <c r="CP22" s="12">
        <f t="shared" si="13"/>
        <v>0</v>
      </c>
      <c r="CQ22" s="12">
        <f t="shared" si="13"/>
        <v>0</v>
      </c>
      <c r="CR22" s="12">
        <f t="shared" si="13"/>
        <v>53.32</v>
      </c>
      <c r="CS22" s="11">
        <f t="shared" si="13"/>
        <v>0</v>
      </c>
      <c r="CT22" s="11">
        <f t="shared" si="13"/>
        <v>0</v>
      </c>
      <c r="CU22" s="272">
        <f t="shared" si="13"/>
        <v>4.9210000000000003</v>
      </c>
      <c r="CV22" s="249">
        <f t="shared" si="14"/>
        <v>57.468255400000004</v>
      </c>
      <c r="CW22" s="12">
        <f t="shared" si="14"/>
        <v>0</v>
      </c>
      <c r="CX22" s="249">
        <f t="shared" si="14"/>
        <v>0</v>
      </c>
      <c r="CY22" s="272">
        <f t="shared" si="14"/>
        <v>92.581651600000001</v>
      </c>
      <c r="CZ22" s="13"/>
      <c r="DA22" s="240">
        <f>(D22+'[2]ноябрь 20'!D22)/(AY22+'[2]ноябрь 20'!BA22)</f>
        <v>2.1800962845282923</v>
      </c>
      <c r="DB22" s="241">
        <f>(T22+'[2]ноябрь 20'!T22)/(AY22+'[2]ноябрь 20'!BA22)</f>
        <v>1.3258748216100233</v>
      </c>
      <c r="DD22" s="292">
        <f t="shared" si="15"/>
        <v>9.734</v>
      </c>
      <c r="DE22" s="291">
        <v>0.2</v>
      </c>
      <c r="DF22" s="291">
        <v>13.63</v>
      </c>
      <c r="DG22" s="145">
        <f t="shared" si="16"/>
        <v>9.7145320000000002</v>
      </c>
      <c r="DH22" s="293">
        <f t="shared" si="29"/>
        <v>1.7649836198347109</v>
      </c>
      <c r="DJ22" s="322"/>
    </row>
    <row r="23" spans="1:114" s="76" customFormat="1" ht="16.5" customHeight="1" thickBot="1">
      <c r="A23" s="144">
        <v>17</v>
      </c>
      <c r="B23" s="122">
        <f>'[1]ноябрь 20'!K22</f>
        <v>90.256</v>
      </c>
      <c r="C23" s="123">
        <f t="shared" si="17"/>
        <v>0.85795415263251185</v>
      </c>
      <c r="D23" s="145">
        <f t="shared" si="30"/>
        <v>89.481644900000006</v>
      </c>
      <c r="E23" s="125">
        <f t="shared" si="32"/>
        <v>39.192659767771673</v>
      </c>
      <c r="F23" s="146">
        <f t="shared" si="0"/>
        <v>2.8911678481421652</v>
      </c>
      <c r="G23" s="127"/>
      <c r="H23" s="126">
        <f t="shared" si="20"/>
        <v>2.1890999967689826</v>
      </c>
      <c r="I23" s="230">
        <f>'[1]июль 20'!AI22</f>
        <v>0</v>
      </c>
      <c r="J23" s="247">
        <f>'[1]ноябрь 20'!AA22</f>
        <v>3.4470000000000001</v>
      </c>
      <c r="K23" s="464">
        <f>'[1]сентябрь 20'!AM22</f>
        <v>0</v>
      </c>
      <c r="L23" s="446">
        <f>'[1]ноябрь 20'!AE22</f>
        <v>21.728999999999999</v>
      </c>
      <c r="M23" s="469">
        <f t="shared" si="21"/>
        <v>0.70206785137318251</v>
      </c>
      <c r="N23" s="403">
        <f>'[1]ноябрь 20'!W22</f>
        <v>0</v>
      </c>
      <c r="O23" s="403">
        <f>'[1]ноябрь 20'!AU22</f>
        <v>2.0409999999999999</v>
      </c>
      <c r="P23" s="401">
        <f t="shared" si="1"/>
        <v>64.081000000000003</v>
      </c>
      <c r="Q23" s="122">
        <f>'[1]ноябрь 20'!S22</f>
        <v>64.081000000000003</v>
      </c>
      <c r="R23" s="123">
        <f t="shared" si="22"/>
        <v>2.8399999999999994</v>
      </c>
      <c r="S23" s="501"/>
      <c r="T23" s="125">
        <f t="shared" si="2"/>
        <v>62.261099600000001</v>
      </c>
      <c r="U23" s="147">
        <f t="shared" si="31"/>
        <v>2.0116671922455573</v>
      </c>
      <c r="V23" s="130">
        <v>30.95</v>
      </c>
      <c r="W23" s="130">
        <v>15.23</v>
      </c>
      <c r="X23" s="129">
        <v>0.99</v>
      </c>
      <c r="Y23" s="131">
        <v>545</v>
      </c>
      <c r="Z23" s="150">
        <v>1076</v>
      </c>
      <c r="AA23" s="148" t="s">
        <v>450</v>
      </c>
      <c r="AB23" s="149">
        <v>75.709999999999994</v>
      </c>
      <c r="AC23" s="150">
        <v>38</v>
      </c>
      <c r="AD23" s="151">
        <v>2</v>
      </c>
      <c r="AE23" s="149">
        <v>4.1500000000000004</v>
      </c>
      <c r="AF23" s="134">
        <f t="shared" si="4"/>
        <v>134.08723747980616</v>
      </c>
      <c r="AG23" s="152"/>
      <c r="AH23" s="129">
        <v>23.05</v>
      </c>
      <c r="AI23" s="134">
        <f t="shared" si="5"/>
        <v>744.74959612277871</v>
      </c>
      <c r="AJ23" s="136">
        <v>7.14</v>
      </c>
      <c r="AK23" s="154"/>
      <c r="AL23" s="155">
        <v>2.77</v>
      </c>
      <c r="AM23" s="478">
        <v>9.9499999999999993</v>
      </c>
      <c r="AN23" s="126">
        <f t="shared" si="23"/>
        <v>0.23302107728337235</v>
      </c>
      <c r="AO23" s="157" t="s">
        <v>331</v>
      </c>
      <c r="AP23" s="156">
        <v>6.29</v>
      </c>
      <c r="AQ23" s="156">
        <v>8.3699999999999992</v>
      </c>
      <c r="AR23" s="151"/>
      <c r="AS23" s="149">
        <v>11.12</v>
      </c>
      <c r="AT23" s="149">
        <v>42.7</v>
      </c>
      <c r="AU23" s="149">
        <v>0.97</v>
      </c>
      <c r="AV23" s="149"/>
      <c r="AW23" s="149"/>
      <c r="AX23" s="158">
        <f t="shared" si="6"/>
        <v>0</v>
      </c>
      <c r="AY23" s="125">
        <f t="shared" si="33"/>
        <v>30.95</v>
      </c>
      <c r="AZ23" s="125">
        <f t="shared" si="24"/>
        <v>41.123434534419843</v>
      </c>
      <c r="BA23" s="159">
        <f t="shared" si="8"/>
        <v>1.9855464788732393</v>
      </c>
      <c r="BB23" s="160">
        <f t="shared" si="9"/>
        <v>1.238</v>
      </c>
      <c r="BC23" s="161">
        <f t="shared" si="10"/>
        <v>0.66815189302425337</v>
      </c>
      <c r="BD23" s="160">
        <f t="shared" si="25"/>
        <v>3.2235464788732395</v>
      </c>
      <c r="BE23" s="162">
        <v>0.877</v>
      </c>
      <c r="BF23" s="25">
        <f t="shared" si="26"/>
        <v>1931.3000000000002</v>
      </c>
      <c r="BG23" s="25">
        <f t="shared" si="11"/>
        <v>125.66666666666667</v>
      </c>
      <c r="BH23" s="25">
        <f t="shared" si="27"/>
        <v>2136.3333333333339</v>
      </c>
      <c r="BI23" s="26">
        <f t="shared" si="12"/>
        <v>1</v>
      </c>
      <c r="BJ23" s="37">
        <f t="shared" si="28"/>
        <v>2136.3333333333339</v>
      </c>
      <c r="BK23" s="38">
        <v>68.527000000000001</v>
      </c>
      <c r="BL23" s="31"/>
      <c r="BM23" s="31"/>
      <c r="BN23" s="234">
        <v>19.841999999999999</v>
      </c>
      <c r="BO23" s="42"/>
      <c r="BP23" s="40"/>
      <c r="BQ23" s="411">
        <v>1.887</v>
      </c>
      <c r="BR23" s="33">
        <v>1.1299999999999999</v>
      </c>
      <c r="BS23" s="34"/>
      <c r="BT23" s="35"/>
      <c r="BU23" s="35"/>
      <c r="BV23" s="235"/>
      <c r="BW23" s="235"/>
      <c r="BX23" s="36"/>
      <c r="BY23" s="33">
        <v>37.869999999999997</v>
      </c>
      <c r="BZ23" s="34"/>
      <c r="CA23" s="35"/>
      <c r="CB23" s="405">
        <v>43.39</v>
      </c>
      <c r="CC23" s="404"/>
      <c r="CD23" s="235"/>
      <c r="CE23" s="413">
        <v>43.09</v>
      </c>
      <c r="CF23" s="30">
        <v>28.096</v>
      </c>
      <c r="CG23" s="30"/>
      <c r="CH23" s="31"/>
      <c r="CI23" s="32">
        <v>35.984999999999999</v>
      </c>
      <c r="CJ23" s="33">
        <v>2.84</v>
      </c>
      <c r="CK23" s="33"/>
      <c r="CL23" s="35"/>
      <c r="CM23" s="36">
        <v>2.84</v>
      </c>
      <c r="CN23" s="286"/>
      <c r="CO23" s="249">
        <f t="shared" ref="CO23:CU36" si="34">BK23*((100-BR23)/100)</f>
        <v>67.752644900000007</v>
      </c>
      <c r="CP23" s="12">
        <f t="shared" si="34"/>
        <v>0</v>
      </c>
      <c r="CQ23" s="12">
        <f t="shared" si="34"/>
        <v>0</v>
      </c>
      <c r="CR23" s="12">
        <f t="shared" si="34"/>
        <v>19.841999999999999</v>
      </c>
      <c r="CS23" s="11">
        <f t="shared" si="34"/>
        <v>0</v>
      </c>
      <c r="CT23" s="11">
        <f t="shared" si="34"/>
        <v>0</v>
      </c>
      <c r="CU23" s="272">
        <f t="shared" si="34"/>
        <v>1.887</v>
      </c>
      <c r="CV23" s="249">
        <f t="shared" si="14"/>
        <v>27.298073600000002</v>
      </c>
      <c r="CW23" s="11">
        <f t="shared" si="14"/>
        <v>0</v>
      </c>
      <c r="CX23" s="249">
        <f t="shared" si="14"/>
        <v>0</v>
      </c>
      <c r="CY23" s="272">
        <f t="shared" si="14"/>
        <v>34.963025999999999</v>
      </c>
      <c r="CZ23" s="13"/>
      <c r="DA23" s="240">
        <f>(D23+'[2]ноябрь 20'!D23)/(AY23+'[2]ноябрь 20'!BA23)</f>
        <v>2.2405886321436341</v>
      </c>
      <c r="DB23" s="241">
        <f>(T23+'[2]ноябрь 20'!T23)/(AY23+'[2]ноябрь 20'!BA23)</f>
        <v>1.3644294194115099</v>
      </c>
      <c r="DD23" s="292">
        <f t="shared" si="15"/>
        <v>3.4470000000000001</v>
      </c>
      <c r="DE23" s="291">
        <v>0.17</v>
      </c>
      <c r="DF23" s="291">
        <v>15.06</v>
      </c>
      <c r="DG23" s="145">
        <f t="shared" si="16"/>
        <v>3.4411401000000001</v>
      </c>
      <c r="DH23" s="293">
        <f t="shared" si="29"/>
        <v>0.68450098938053128</v>
      </c>
      <c r="DJ23" s="322"/>
    </row>
    <row r="24" spans="1:114" s="76" customFormat="1" ht="16.5" customHeight="1" thickBot="1">
      <c r="A24" s="144">
        <v>18</v>
      </c>
      <c r="B24" s="122">
        <f>'[1]ноябрь 20'!K23</f>
        <v>265.108</v>
      </c>
      <c r="C24" s="123">
        <f t="shared" si="17"/>
        <v>1.2846827707952986</v>
      </c>
      <c r="D24" s="145">
        <f t="shared" si="30"/>
        <v>261.70220319999999</v>
      </c>
      <c r="E24" s="125">
        <f t="shared" si="32"/>
        <v>38.772339801137647</v>
      </c>
      <c r="F24" s="146">
        <f t="shared" si="0"/>
        <v>1.9126083695096101</v>
      </c>
      <c r="G24" s="127">
        <v>22.14</v>
      </c>
      <c r="H24" s="126">
        <f t="shared" si="20"/>
        <v>1.4566995775780163</v>
      </c>
      <c r="I24" s="230">
        <f>'[1]июль 20'!AI23</f>
        <v>0</v>
      </c>
      <c r="J24" s="247">
        <f>'[1]ноябрь 20'!AA23</f>
        <v>10.557</v>
      </c>
      <c r="K24" s="464">
        <f>'[1]сентябрь 20'!AM23</f>
        <v>0</v>
      </c>
      <c r="L24" s="446">
        <f>'[1]ноябрь 20'!AE23</f>
        <v>62.381999999999998</v>
      </c>
      <c r="M24" s="468">
        <f t="shared" si="21"/>
        <v>0.45590879193159389</v>
      </c>
      <c r="N24" s="403">
        <f>'[1]ноябрь 20'!W23</f>
        <v>0</v>
      </c>
      <c r="O24" s="403">
        <f>'[1]ноябрь 20'!AU23</f>
        <v>6.6749999999999998</v>
      </c>
      <c r="P24" s="401">
        <f t="shared" si="1"/>
        <v>170.87700000000001</v>
      </c>
      <c r="Q24" s="122">
        <f>'[1]ноябрь 20'!S23</f>
        <v>170.87700000000001</v>
      </c>
      <c r="R24" s="123">
        <f t="shared" si="22"/>
        <v>2.68</v>
      </c>
      <c r="S24" s="129">
        <v>45.34</v>
      </c>
      <c r="T24" s="125">
        <f>Q24*((100-R24)/100)</f>
        <v>166.2974964</v>
      </c>
      <c r="U24" s="147">
        <f t="shared" si="31"/>
        <v>1.2153584477088357</v>
      </c>
      <c r="V24" s="130">
        <v>136.83000000000001</v>
      </c>
      <c r="W24" s="130">
        <v>136.83000000000001</v>
      </c>
      <c r="X24" s="129">
        <v>0.65</v>
      </c>
      <c r="Y24" s="150">
        <v>567</v>
      </c>
      <c r="Z24" s="150">
        <v>1140</v>
      </c>
      <c r="AA24" s="148" t="s">
        <v>174</v>
      </c>
      <c r="AB24" s="149">
        <v>75.62</v>
      </c>
      <c r="AC24" s="150">
        <v>106</v>
      </c>
      <c r="AD24" s="151">
        <v>5</v>
      </c>
      <c r="AE24" s="149">
        <v>18</v>
      </c>
      <c r="AF24" s="134">
        <f t="shared" si="4"/>
        <v>131.55009866257396</v>
      </c>
      <c r="AG24" s="152"/>
      <c r="AH24" s="129">
        <v>91.3</v>
      </c>
      <c r="AI24" s="134">
        <f t="shared" si="5"/>
        <v>667.25133377183352</v>
      </c>
      <c r="AJ24" s="153">
        <v>17.989999999999998</v>
      </c>
      <c r="AK24" s="154"/>
      <c r="AL24" s="155">
        <v>7.03</v>
      </c>
      <c r="AM24" s="478">
        <v>30.95</v>
      </c>
      <c r="AN24" s="126">
        <f t="shared" si="23"/>
        <v>0.17890173410404625</v>
      </c>
      <c r="AO24" s="157" t="s">
        <v>356</v>
      </c>
      <c r="AP24" s="156">
        <v>7.53</v>
      </c>
      <c r="AQ24" s="156">
        <v>8.24</v>
      </c>
      <c r="AR24" s="151"/>
      <c r="AS24" s="149">
        <v>8.91</v>
      </c>
      <c r="AT24" s="149">
        <v>173</v>
      </c>
      <c r="AU24" s="149">
        <v>1.81</v>
      </c>
      <c r="AV24" s="164"/>
      <c r="AW24" s="149"/>
      <c r="AX24" s="158">
        <f t="shared" si="6"/>
        <v>0</v>
      </c>
      <c r="AY24" s="125">
        <f t="shared" si="33"/>
        <v>136.83000000000001</v>
      </c>
      <c r="AZ24" s="125">
        <f t="shared" si="24"/>
        <v>119.23182207601586</v>
      </c>
      <c r="BA24" s="159">
        <f t="shared" si="8"/>
        <v>6.3016288732394354</v>
      </c>
      <c r="BB24" s="160">
        <f t="shared" si="9"/>
        <v>5.4732000000000003</v>
      </c>
      <c r="BC24" s="161">
        <f t="shared" si="10"/>
        <v>1.019738017661515</v>
      </c>
      <c r="BD24" s="160">
        <f t="shared" si="25"/>
        <v>11.774828873239436</v>
      </c>
      <c r="BE24" s="162">
        <v>0.88500000000000001</v>
      </c>
      <c r="BF24" s="25">
        <f t="shared" si="26"/>
        <v>2068.13</v>
      </c>
      <c r="BG24" s="25">
        <f t="shared" si="11"/>
        <v>125.66666666666667</v>
      </c>
      <c r="BH24" s="25">
        <f t="shared" si="27"/>
        <v>2262.0000000000005</v>
      </c>
      <c r="BI24" s="26">
        <f t="shared" si="12"/>
        <v>1</v>
      </c>
      <c r="BJ24" s="37">
        <f t="shared" si="28"/>
        <v>2262.0000000000005</v>
      </c>
      <c r="BK24" s="38">
        <v>202.726</v>
      </c>
      <c r="BL24" s="31"/>
      <c r="BM24" s="31"/>
      <c r="BN24" s="234">
        <v>57.003999999999998</v>
      </c>
      <c r="BO24" s="42"/>
      <c r="BP24" s="40"/>
      <c r="BQ24" s="411">
        <v>5.3780000000000001</v>
      </c>
      <c r="BR24" s="33">
        <v>1.68</v>
      </c>
      <c r="BS24" s="34"/>
      <c r="BT24" s="35"/>
      <c r="BU24" s="35"/>
      <c r="BV24" s="235"/>
      <c r="BW24" s="235"/>
      <c r="BX24" s="36"/>
      <c r="BY24" s="33">
        <v>37.26</v>
      </c>
      <c r="BZ24" s="34"/>
      <c r="CA24" s="35"/>
      <c r="CB24" s="405">
        <v>43.7</v>
      </c>
      <c r="CC24" s="404"/>
      <c r="CD24" s="235"/>
      <c r="CE24" s="413">
        <v>43.55</v>
      </c>
      <c r="CF24" s="30">
        <v>64.703999999999994</v>
      </c>
      <c r="CG24" s="30"/>
      <c r="CH24" s="31"/>
      <c r="CI24" s="32">
        <v>106.173</v>
      </c>
      <c r="CJ24" s="33">
        <v>2.68</v>
      </c>
      <c r="CK24" s="33"/>
      <c r="CL24" s="35"/>
      <c r="CM24" s="36">
        <v>2.68</v>
      </c>
      <c r="CN24" s="286"/>
      <c r="CO24" s="249">
        <f t="shared" si="34"/>
        <v>199.32020319999998</v>
      </c>
      <c r="CP24" s="12">
        <f t="shared" si="34"/>
        <v>0</v>
      </c>
      <c r="CQ24" s="12">
        <f t="shared" si="34"/>
        <v>0</v>
      </c>
      <c r="CR24" s="12">
        <f t="shared" si="34"/>
        <v>57.003999999999998</v>
      </c>
      <c r="CS24" s="11">
        <f t="shared" si="34"/>
        <v>0</v>
      </c>
      <c r="CT24" s="11">
        <f t="shared" si="34"/>
        <v>0</v>
      </c>
      <c r="CU24" s="272">
        <f t="shared" si="34"/>
        <v>5.3780000000000001</v>
      </c>
      <c r="CV24" s="249">
        <f t="shared" si="14"/>
        <v>62.969932799999988</v>
      </c>
      <c r="CW24" s="12">
        <f t="shared" si="14"/>
        <v>0</v>
      </c>
      <c r="CX24" s="249">
        <f t="shared" si="14"/>
        <v>0</v>
      </c>
      <c r="CY24" s="272">
        <f t="shared" si="14"/>
        <v>103.32756359999999</v>
      </c>
      <c r="CZ24" s="13"/>
      <c r="DA24" s="240">
        <f>(D24+'[2]ноябрь 20'!D24)/(AY24+'[2]ноябрь 20'!BA24)</f>
        <v>1.959017175039361</v>
      </c>
      <c r="DB24" s="241">
        <f>(T24+'[2]ноябрь 20'!T24)/(AY24+'[2]ноябрь 20'!BA24)</f>
        <v>1.1965612090526361</v>
      </c>
      <c r="DD24" s="292">
        <f t="shared" si="15"/>
        <v>10.557</v>
      </c>
      <c r="DE24" s="291">
        <v>0.33</v>
      </c>
      <c r="DF24" s="291">
        <v>15.03</v>
      </c>
      <c r="DG24" s="145">
        <f t="shared" si="16"/>
        <v>10.5221619</v>
      </c>
      <c r="DH24" s="293">
        <f t="shared" si="29"/>
        <v>2.0913527288680238</v>
      </c>
      <c r="DJ24" s="322"/>
    </row>
    <row r="25" spans="1:114" s="76" customFormat="1" ht="16.5" customHeight="1" thickBot="1">
      <c r="A25" s="144">
        <v>19</v>
      </c>
      <c r="B25" s="122">
        <f>'[1]ноябрь 20'!K24</f>
        <v>292.67200000000003</v>
      </c>
      <c r="C25" s="123">
        <f t="shared" si="17"/>
        <v>1.560033074568117</v>
      </c>
      <c r="D25" s="145">
        <f t="shared" si="30"/>
        <v>288.10622000000006</v>
      </c>
      <c r="E25" s="125">
        <f t="shared" si="32"/>
        <v>38.583390211567888</v>
      </c>
      <c r="F25" s="146">
        <f t="shared" si="0"/>
        <v>2.1771799289654652</v>
      </c>
      <c r="G25" s="127">
        <v>12.96</v>
      </c>
      <c r="H25" s="126">
        <f t="shared" si="20"/>
        <v>1.6906462631300532</v>
      </c>
      <c r="I25" s="230">
        <f>'[1]июль 20'!AI24</f>
        <v>0</v>
      </c>
      <c r="J25" s="247">
        <f>'[1]ноябрь 20'!AA24</f>
        <v>11.75</v>
      </c>
      <c r="K25" s="465">
        <f>'[1]сентябрь 20'!AM24</f>
        <v>0</v>
      </c>
      <c r="L25" s="446">
        <f>'[1]ноябрь 20'!AE24</f>
        <v>64.382999999999996</v>
      </c>
      <c r="M25" s="469">
        <f t="shared" si="21"/>
        <v>0.48653366583541141</v>
      </c>
      <c r="N25" s="403">
        <f>'[1]ноябрь 20'!W24</f>
        <v>0</v>
      </c>
      <c r="O25" s="403">
        <f>'[1]ноябрь 20'!AU24</f>
        <v>8.4260000000000002</v>
      </c>
      <c r="P25" s="401">
        <f t="shared" si="1"/>
        <v>188.83100000000002</v>
      </c>
      <c r="Q25" s="122">
        <f>'[1]ноябрь 20'!S24</f>
        <v>188.83099999999999</v>
      </c>
      <c r="R25" s="123">
        <f>IF(Q25=0,0,(CI25*CM25+CG25*CK25+CH25*CL25+CF25*CJ25)/Q25)</f>
        <v>2.54</v>
      </c>
      <c r="S25" s="501">
        <v>25.24</v>
      </c>
      <c r="T25" s="125">
        <f t="shared" ref="T25:T36" si="35">Q25*((100-R25)/100)</f>
        <v>184.03469259999997</v>
      </c>
      <c r="U25" s="147">
        <f t="shared" si="31"/>
        <v>1.3907254031587695</v>
      </c>
      <c r="V25" s="130">
        <v>132.33000000000001</v>
      </c>
      <c r="W25" s="130">
        <v>80.430000000000007</v>
      </c>
      <c r="X25" s="129">
        <v>0.77</v>
      </c>
      <c r="Y25" s="150">
        <v>577</v>
      </c>
      <c r="Z25" s="150">
        <v>1166</v>
      </c>
      <c r="AA25" s="148" t="s">
        <v>451</v>
      </c>
      <c r="AB25" s="149">
        <v>76.02</v>
      </c>
      <c r="AC25" s="150">
        <v>117</v>
      </c>
      <c r="AD25" s="151">
        <v>5</v>
      </c>
      <c r="AE25" s="149">
        <v>8</v>
      </c>
      <c r="AF25" s="134">
        <f t="shared" si="4"/>
        <v>60.454923297816059</v>
      </c>
      <c r="AG25" s="152"/>
      <c r="AH25" s="129">
        <v>89.85</v>
      </c>
      <c r="AI25" s="134">
        <f t="shared" si="5"/>
        <v>678.98435728859658</v>
      </c>
      <c r="AJ25" s="136">
        <v>16.54</v>
      </c>
      <c r="AK25" s="154"/>
      <c r="AL25" s="155">
        <v>8.31</v>
      </c>
      <c r="AM25" s="478">
        <v>36.549999999999997</v>
      </c>
      <c r="AN25" s="126">
        <f t="shared" si="23"/>
        <v>0.20873786407766989</v>
      </c>
      <c r="AO25" s="157" t="s">
        <v>349</v>
      </c>
      <c r="AP25" s="156">
        <v>7.42</v>
      </c>
      <c r="AQ25" s="156">
        <v>8.5299999999999994</v>
      </c>
      <c r="AR25" s="152"/>
      <c r="AS25" s="149">
        <v>8.31</v>
      </c>
      <c r="AT25" s="149">
        <v>175.1</v>
      </c>
      <c r="AU25" s="149">
        <v>2.09</v>
      </c>
      <c r="AV25" s="164"/>
      <c r="AW25" s="149"/>
      <c r="AX25" s="158">
        <f t="shared" si="6"/>
        <v>0</v>
      </c>
      <c r="AY25" s="125">
        <f t="shared" si="33"/>
        <v>132.33000000000001</v>
      </c>
      <c r="AZ25" s="125">
        <f t="shared" si="24"/>
        <v>130.55595400411167</v>
      </c>
      <c r="BA25" s="159">
        <f t="shared" si="8"/>
        <v>5.7839355633802816</v>
      </c>
      <c r="BB25" s="160">
        <f t="shared" si="9"/>
        <v>5.2932000000000006</v>
      </c>
      <c r="BC25" s="161">
        <f t="shared" si="10"/>
        <v>0.90496786545223706</v>
      </c>
      <c r="BD25" s="160">
        <f t="shared" si="25"/>
        <v>11.077135563380281</v>
      </c>
      <c r="BE25" s="162">
        <v>0.88600000000000001</v>
      </c>
      <c r="BF25" s="25">
        <f t="shared" si="26"/>
        <v>2200.46</v>
      </c>
      <c r="BG25" s="25">
        <f t="shared" si="11"/>
        <v>125.66666666666667</v>
      </c>
      <c r="BH25" s="25">
        <f t="shared" si="27"/>
        <v>2387.666666666667</v>
      </c>
      <c r="BI25" s="26">
        <f t="shared" si="12"/>
        <v>1</v>
      </c>
      <c r="BJ25" s="37">
        <f t="shared" si="28"/>
        <v>2387.666666666667</v>
      </c>
      <c r="BK25" s="38">
        <v>228.28899999999999</v>
      </c>
      <c r="BL25" s="31"/>
      <c r="BM25" s="31"/>
      <c r="BN25" s="234">
        <v>58.466999999999999</v>
      </c>
      <c r="BO25" s="42"/>
      <c r="BP25" s="40"/>
      <c r="BQ25" s="411">
        <v>5.9160000000000004</v>
      </c>
      <c r="BR25" s="33">
        <v>2</v>
      </c>
      <c r="BS25" s="34"/>
      <c r="BT25" s="35"/>
      <c r="BU25" s="35"/>
      <c r="BV25" s="235"/>
      <c r="BW25" s="235"/>
      <c r="BX25" s="36"/>
      <c r="BY25" s="33">
        <v>37.11</v>
      </c>
      <c r="BZ25" s="34"/>
      <c r="CA25" s="35"/>
      <c r="CB25" s="405">
        <v>43.85</v>
      </c>
      <c r="CC25" s="404"/>
      <c r="CD25" s="235"/>
      <c r="CE25" s="413">
        <v>43.39</v>
      </c>
      <c r="CF25" s="30">
        <v>71.417000000000002</v>
      </c>
      <c r="CG25" s="30"/>
      <c r="CH25" s="31"/>
      <c r="CI25" s="32">
        <v>117.414</v>
      </c>
      <c r="CJ25" s="33">
        <v>2.54</v>
      </c>
      <c r="CK25" s="33"/>
      <c r="CL25" s="35"/>
      <c r="CM25" s="36">
        <v>2.54</v>
      </c>
      <c r="CN25" s="286"/>
      <c r="CO25" s="249">
        <f t="shared" si="34"/>
        <v>223.72321999999997</v>
      </c>
      <c r="CP25" s="12">
        <f t="shared" si="34"/>
        <v>0</v>
      </c>
      <c r="CQ25" s="12">
        <f t="shared" si="34"/>
        <v>0</v>
      </c>
      <c r="CR25" s="12">
        <f t="shared" si="34"/>
        <v>58.466999999999999</v>
      </c>
      <c r="CS25" s="11">
        <f t="shared" si="34"/>
        <v>0</v>
      </c>
      <c r="CT25" s="11">
        <f t="shared" si="34"/>
        <v>0</v>
      </c>
      <c r="CU25" s="272">
        <f t="shared" si="34"/>
        <v>5.9160000000000004</v>
      </c>
      <c r="CV25" s="249">
        <f t="shared" si="14"/>
        <v>69.603008199999991</v>
      </c>
      <c r="CW25" s="251">
        <f t="shared" si="14"/>
        <v>0</v>
      </c>
      <c r="CX25" s="249">
        <f t="shared" si="14"/>
        <v>0</v>
      </c>
      <c r="CY25" s="272">
        <f t="shared" si="14"/>
        <v>114.43168439999999</v>
      </c>
      <c r="CZ25" s="13"/>
      <c r="DA25" s="240">
        <f>(D25+'[2]ноябрь 20'!D25)/(AY25+'[2]ноябрь 20'!BA25)</f>
        <v>2.1915974114679289</v>
      </c>
      <c r="DB25" s="241">
        <f>(T25+'[2]ноябрь 20'!T25)/(AY25+'[2]ноябрь 20'!BA25)</f>
        <v>1.3401218073909769</v>
      </c>
      <c r="DD25" s="292">
        <f t="shared" si="15"/>
        <v>11.75</v>
      </c>
      <c r="DE25" s="291">
        <v>0.13</v>
      </c>
      <c r="DF25" s="291">
        <v>18.79</v>
      </c>
      <c r="DG25" s="145">
        <f t="shared" si="16"/>
        <v>11.734725000000001</v>
      </c>
      <c r="DH25" s="293">
        <f t="shared" si="29"/>
        <v>2.9004930643251776</v>
      </c>
      <c r="DJ25" s="322"/>
    </row>
    <row r="26" spans="1:114" s="76" customFormat="1" ht="16.5" customHeight="1" thickBot="1">
      <c r="A26" s="144">
        <v>20</v>
      </c>
      <c r="B26" s="122">
        <f>'[1]ноябрь 20'!K25</f>
        <v>290.15300000000002</v>
      </c>
      <c r="C26" s="123">
        <f t="shared" si="17"/>
        <v>0.80323549989143661</v>
      </c>
      <c r="D26" s="145">
        <f t="shared" si="30"/>
        <v>287.82238810000001</v>
      </c>
      <c r="E26" s="125">
        <f t="shared" si="32"/>
        <v>39.744280121177447</v>
      </c>
      <c r="F26" s="146">
        <f t="shared" si="0"/>
        <v>2.2528364754226673</v>
      </c>
      <c r="G26" s="127">
        <v>18.23</v>
      </c>
      <c r="H26" s="126">
        <f t="shared" si="20"/>
        <v>1.7528364754226671</v>
      </c>
      <c r="I26" s="230">
        <f>'[1]июль 20'!AI25</f>
        <v>0</v>
      </c>
      <c r="J26" s="247">
        <f>'[1]ноябрь 20'!AA25</f>
        <v>11.617000000000001</v>
      </c>
      <c r="K26" s="464">
        <f>'[1]сентябрь 20'!AM25</f>
        <v>0</v>
      </c>
      <c r="L26" s="446">
        <f>'[1]ноябрь 20'!AE25</f>
        <v>63.88</v>
      </c>
      <c r="M26" s="468">
        <f t="shared" si="21"/>
        <v>0.49999999999999994</v>
      </c>
      <c r="N26" s="403">
        <f>'[1]ноябрь 20'!W25</f>
        <v>0</v>
      </c>
      <c r="O26" s="403">
        <f>'[1]ноябрь 20'!AU25</f>
        <v>8.2449999999999992</v>
      </c>
      <c r="P26" s="401">
        <f t="shared" si="1"/>
        <v>185.65699999999998</v>
      </c>
      <c r="Q26" s="122">
        <f>'[1]ноябрь 20'!S25</f>
        <v>185.65700000000001</v>
      </c>
      <c r="R26" s="123">
        <f t="shared" ref="R26:R30" si="36">IF(Q26=0,0,(CI26*CM26+CG26*CK26+CH26*CL26+CF26*CJ26)/Q26)</f>
        <v>2.12</v>
      </c>
      <c r="S26" s="129">
        <v>2.62</v>
      </c>
      <c r="T26" s="125">
        <f t="shared" si="35"/>
        <v>181.72107160000002</v>
      </c>
      <c r="U26" s="147">
        <f t="shared" si="31"/>
        <v>1.4223628021289918</v>
      </c>
      <c r="V26" s="169">
        <v>127.76</v>
      </c>
      <c r="W26" s="169">
        <v>127.76</v>
      </c>
      <c r="X26" s="170">
        <v>0.66</v>
      </c>
      <c r="Y26" s="166">
        <v>529</v>
      </c>
      <c r="Z26" s="166">
        <v>1159</v>
      </c>
      <c r="AA26" s="148" t="s">
        <v>150</v>
      </c>
      <c r="AB26" s="164">
        <v>75.77</v>
      </c>
      <c r="AC26" s="166">
        <v>116</v>
      </c>
      <c r="AD26" s="171">
        <v>5</v>
      </c>
      <c r="AE26" s="164"/>
      <c r="AF26" s="172">
        <f t="shared" si="4"/>
        <v>0</v>
      </c>
      <c r="AG26" s="173"/>
      <c r="AH26" s="170">
        <v>79.2</v>
      </c>
      <c r="AI26" s="134">
        <f t="shared" si="5"/>
        <v>619.91233562930495</v>
      </c>
      <c r="AJ26" s="174">
        <v>19.850000000000001</v>
      </c>
      <c r="AK26" s="175"/>
      <c r="AL26" s="176">
        <v>7.92</v>
      </c>
      <c r="AM26" s="478">
        <v>34.630000000000003</v>
      </c>
      <c r="AN26" s="126">
        <f t="shared" si="23"/>
        <v>0.20521481481481482</v>
      </c>
      <c r="AO26" s="178" t="s">
        <v>356</v>
      </c>
      <c r="AP26" s="177">
        <v>7.36</v>
      </c>
      <c r="AQ26" s="177">
        <v>8.5399999999999991</v>
      </c>
      <c r="AR26" s="171"/>
      <c r="AS26" s="164">
        <v>8.36</v>
      </c>
      <c r="AT26" s="149">
        <v>168.75</v>
      </c>
      <c r="AU26" s="164">
        <v>1.56</v>
      </c>
      <c r="AV26" s="164"/>
      <c r="AW26" s="164"/>
      <c r="AX26" s="179">
        <f t="shared" si="6"/>
        <v>0</v>
      </c>
      <c r="AY26" s="125">
        <f t="shared" si="33"/>
        <v>127.76000000000002</v>
      </c>
      <c r="AZ26" s="125">
        <f t="shared" si="24"/>
        <v>134.38640103554158</v>
      </c>
      <c r="BA26" s="159">
        <f t="shared" si="8"/>
        <v>5.1290366197183088</v>
      </c>
      <c r="BB26" s="159">
        <f t="shared" si="9"/>
        <v>5.1104000000000012</v>
      </c>
      <c r="BC26" s="180">
        <f t="shared" si="10"/>
        <v>0.84623889581286438</v>
      </c>
      <c r="BD26" s="159">
        <f t="shared" si="25"/>
        <v>10.23943661971831</v>
      </c>
      <c r="BE26" s="167">
        <v>0.88400000000000001</v>
      </c>
      <c r="BF26" s="25">
        <f t="shared" si="26"/>
        <v>2328.2200000000003</v>
      </c>
      <c r="BG26" s="25">
        <f t="shared" si="11"/>
        <v>125.66666666666667</v>
      </c>
      <c r="BH26" s="25">
        <f t="shared" si="27"/>
        <v>2513.3333333333335</v>
      </c>
      <c r="BI26" s="26">
        <f t="shared" si="12"/>
        <v>1</v>
      </c>
      <c r="BJ26" s="37">
        <f t="shared" si="28"/>
        <v>2513.3333333333335</v>
      </c>
      <c r="BK26" s="38">
        <v>226.273</v>
      </c>
      <c r="BL26" s="43"/>
      <c r="BM26" s="31"/>
      <c r="BN26" s="406">
        <v>58.082000000000001</v>
      </c>
      <c r="BO26" s="42"/>
      <c r="BP26" s="40"/>
      <c r="BQ26" s="412">
        <v>5.798</v>
      </c>
      <c r="BR26" s="33">
        <v>1.03</v>
      </c>
      <c r="BS26" s="34"/>
      <c r="BT26" s="35"/>
      <c r="BU26" s="35"/>
      <c r="BV26" s="235"/>
      <c r="BW26" s="235"/>
      <c r="BX26" s="36"/>
      <c r="BY26" s="33">
        <v>38.79</v>
      </c>
      <c r="BZ26" s="34"/>
      <c r="CA26" s="35"/>
      <c r="CB26" s="405">
        <v>43.09</v>
      </c>
      <c r="CC26" s="404"/>
      <c r="CD26" s="235"/>
      <c r="CE26" s="413">
        <v>43.47</v>
      </c>
      <c r="CF26" s="30">
        <v>70.805999999999997</v>
      </c>
      <c r="CG26" s="30"/>
      <c r="CH26" s="43"/>
      <c r="CI26" s="32">
        <v>114.851</v>
      </c>
      <c r="CJ26" s="33">
        <v>2.12</v>
      </c>
      <c r="CK26" s="33"/>
      <c r="CL26" s="35"/>
      <c r="CM26" s="36">
        <v>2.12</v>
      </c>
      <c r="CN26" s="286"/>
      <c r="CO26" s="249">
        <f t="shared" si="34"/>
        <v>223.94238809999999</v>
      </c>
      <c r="CP26" s="12">
        <f t="shared" si="34"/>
        <v>0</v>
      </c>
      <c r="CQ26" s="12">
        <f t="shared" si="34"/>
        <v>0</v>
      </c>
      <c r="CR26" s="12">
        <f t="shared" si="34"/>
        <v>58.082000000000001</v>
      </c>
      <c r="CS26" s="11">
        <f t="shared" si="34"/>
        <v>0</v>
      </c>
      <c r="CT26" s="11">
        <f t="shared" si="34"/>
        <v>0</v>
      </c>
      <c r="CU26" s="272">
        <f t="shared" si="34"/>
        <v>5.798</v>
      </c>
      <c r="CV26" s="249">
        <f t="shared" si="14"/>
        <v>69.304912799999997</v>
      </c>
      <c r="CW26" s="12">
        <f t="shared" si="14"/>
        <v>0</v>
      </c>
      <c r="CX26" s="249">
        <f t="shared" si="14"/>
        <v>0</v>
      </c>
      <c r="CY26" s="274">
        <f t="shared" si="14"/>
        <v>112.41615880000001</v>
      </c>
      <c r="CZ26" s="13"/>
      <c r="DA26" s="240">
        <f>(D26+'[2]ноябрь 20'!D26)/(AY26+'[2]ноябрь 20'!BA26)</f>
        <v>2.3871944668260978</v>
      </c>
      <c r="DB26" s="241">
        <f>(T26+'[2]ноябрь 20'!T26)/(AY26+'[2]ноябрь 20'!BA26)</f>
        <v>1.4471457922492026</v>
      </c>
      <c r="DD26" s="292">
        <f t="shared" si="15"/>
        <v>11.617000000000001</v>
      </c>
      <c r="DE26" s="291">
        <v>0.19</v>
      </c>
      <c r="DF26" s="291">
        <v>16.899999999999999</v>
      </c>
      <c r="DG26" s="145">
        <f t="shared" si="16"/>
        <v>11.594927700000001</v>
      </c>
      <c r="DH26" s="293">
        <f t="shared" si="29"/>
        <v>2.5861723390523954</v>
      </c>
      <c r="DJ26" s="322"/>
    </row>
    <row r="27" spans="1:114" s="76" customFormat="1" ht="16.5" customHeight="1" thickBot="1">
      <c r="A27" s="144">
        <v>21</v>
      </c>
      <c r="B27" s="122">
        <f>'[1]ноябрь 20'!K26</f>
        <v>285.31</v>
      </c>
      <c r="C27" s="123">
        <f t="shared" si="17"/>
        <v>2.595464862780835</v>
      </c>
      <c r="D27" s="145">
        <f t="shared" si="30"/>
        <v>277.90487920000004</v>
      </c>
      <c r="E27" s="125">
        <f t="shared" si="32"/>
        <v>39.269013143598194</v>
      </c>
      <c r="F27" s="146">
        <f t="shared" si="0"/>
        <v>2.2296604557124517</v>
      </c>
      <c r="G27" s="127"/>
      <c r="H27" s="126">
        <f t="shared" si="20"/>
        <v>1.7247342682926827</v>
      </c>
      <c r="I27" s="230">
        <f>'[1]июль 20'!AI26</f>
        <v>0</v>
      </c>
      <c r="J27" s="247">
        <f>'[1]ноябрь 20'!AA26</f>
        <v>11.522</v>
      </c>
      <c r="K27" s="464">
        <f>'[1]сентябрь 20'!AM26</f>
        <v>0</v>
      </c>
      <c r="L27" s="446">
        <f>'[1]ноябрь 20'!AE26</f>
        <v>62.933999999999997</v>
      </c>
      <c r="M27" s="469">
        <f t="shared" si="21"/>
        <v>0.5049261874197688</v>
      </c>
      <c r="N27" s="403">
        <f>'[1]ноябрь 20'!W26</f>
        <v>0</v>
      </c>
      <c r="O27" s="403">
        <f>'[1]ноябрь 20'!AU26</f>
        <v>7.4829999999999997</v>
      </c>
      <c r="P27" s="401">
        <f t="shared" si="1"/>
        <v>184.291</v>
      </c>
      <c r="Q27" s="122">
        <f>'[1]ноябрь 20'!S26</f>
        <v>184.291</v>
      </c>
      <c r="R27" s="123">
        <f t="shared" si="36"/>
        <v>1.7300000000000002</v>
      </c>
      <c r="S27" s="129"/>
      <c r="T27" s="125">
        <f t="shared" si="35"/>
        <v>181.10276569999999</v>
      </c>
      <c r="U27" s="147">
        <f t="shared" si="31"/>
        <v>1.4530067851412063</v>
      </c>
      <c r="V27" s="130">
        <v>124.64</v>
      </c>
      <c r="W27" s="130">
        <v>124.64</v>
      </c>
      <c r="X27" s="129">
        <v>0.47</v>
      </c>
      <c r="Y27" s="150">
        <v>530</v>
      </c>
      <c r="Z27" s="150">
        <v>1156</v>
      </c>
      <c r="AA27" s="148" t="s">
        <v>174</v>
      </c>
      <c r="AB27" s="149">
        <v>76.3</v>
      </c>
      <c r="AC27" s="150">
        <v>114</v>
      </c>
      <c r="AD27" s="151">
        <v>5</v>
      </c>
      <c r="AE27" s="149"/>
      <c r="AF27" s="134">
        <f t="shared" si="4"/>
        <v>0</v>
      </c>
      <c r="AG27" s="152"/>
      <c r="AH27" s="129">
        <v>94.4</v>
      </c>
      <c r="AI27" s="134">
        <f t="shared" si="5"/>
        <v>757.3812580231064</v>
      </c>
      <c r="AJ27" s="136">
        <v>17.899999999999999</v>
      </c>
      <c r="AK27" s="154"/>
      <c r="AL27" s="155">
        <v>9.23</v>
      </c>
      <c r="AM27" s="478">
        <v>35.979999999999997</v>
      </c>
      <c r="AN27" s="126">
        <f t="shared" si="23"/>
        <v>0.21410294555191903</v>
      </c>
      <c r="AO27" s="157" t="s">
        <v>294</v>
      </c>
      <c r="AP27" s="156">
        <v>6.46</v>
      </c>
      <c r="AQ27" s="156">
        <v>8.15</v>
      </c>
      <c r="AR27" s="151"/>
      <c r="AS27" s="149">
        <v>11.09</v>
      </c>
      <c r="AT27" s="149">
        <v>168.05</v>
      </c>
      <c r="AU27" s="149">
        <v>1.8</v>
      </c>
      <c r="AV27" s="164"/>
      <c r="AW27" s="149"/>
      <c r="AX27" s="158">
        <f t="shared" si="6"/>
        <v>0</v>
      </c>
      <c r="AY27" s="125">
        <f t="shared" si="33"/>
        <v>124.64000000000003</v>
      </c>
      <c r="AZ27" s="125">
        <f t="shared" si="24"/>
        <v>127.2520010000008</v>
      </c>
      <c r="BA27" s="159">
        <f t="shared" si="8"/>
        <v>8.1097577464788717</v>
      </c>
      <c r="BB27" s="160">
        <f t="shared" si="9"/>
        <v>4.9856000000000016</v>
      </c>
      <c r="BC27" s="161">
        <f t="shared" si="10"/>
        <v>0.87143664617438088</v>
      </c>
      <c r="BD27" s="160">
        <f t="shared" si="25"/>
        <v>13.095357746478873</v>
      </c>
      <c r="BE27" s="162">
        <v>0.88300000000000001</v>
      </c>
      <c r="BF27" s="25">
        <f t="shared" si="26"/>
        <v>2452.86</v>
      </c>
      <c r="BG27" s="25">
        <f t="shared" si="11"/>
        <v>125.66666666666667</v>
      </c>
      <c r="BH27" s="25">
        <f t="shared" si="27"/>
        <v>2639</v>
      </c>
      <c r="BI27" s="26">
        <f t="shared" si="12"/>
        <v>1</v>
      </c>
      <c r="BJ27" s="37">
        <f t="shared" si="28"/>
        <v>2639</v>
      </c>
      <c r="BK27" s="38">
        <v>222.376</v>
      </c>
      <c r="BL27" s="31"/>
      <c r="BM27" s="31"/>
      <c r="BN27" s="234">
        <v>57.265999999999998</v>
      </c>
      <c r="BO27" s="42"/>
      <c r="BP27" s="40"/>
      <c r="BQ27" s="411">
        <v>5.6680000000000001</v>
      </c>
      <c r="BR27" s="33">
        <v>3.33</v>
      </c>
      <c r="BS27" s="34"/>
      <c r="BT27" s="35"/>
      <c r="BU27" s="35"/>
      <c r="BV27" s="235"/>
      <c r="BW27" s="235"/>
      <c r="BX27" s="36"/>
      <c r="BY27" s="33">
        <v>38.18</v>
      </c>
      <c r="BZ27" s="34"/>
      <c r="CA27" s="35"/>
      <c r="CB27" s="405">
        <v>43.09</v>
      </c>
      <c r="CC27" s="404"/>
      <c r="CD27" s="235"/>
      <c r="CE27" s="413">
        <v>43.39</v>
      </c>
      <c r="CF27" s="30">
        <v>69.578999999999994</v>
      </c>
      <c r="CG27" s="30"/>
      <c r="CH27" s="31"/>
      <c r="CI27" s="32">
        <v>114.712</v>
      </c>
      <c r="CJ27" s="33">
        <v>1.73</v>
      </c>
      <c r="CK27" s="33"/>
      <c r="CL27" s="35"/>
      <c r="CM27" s="36">
        <v>1.73</v>
      </c>
      <c r="CN27" s="286"/>
      <c r="CO27" s="249">
        <f t="shared" si="34"/>
        <v>214.97087920000001</v>
      </c>
      <c r="CP27" s="12">
        <f t="shared" si="34"/>
        <v>0</v>
      </c>
      <c r="CQ27" s="12">
        <f t="shared" si="34"/>
        <v>0</v>
      </c>
      <c r="CR27" s="12">
        <f t="shared" si="34"/>
        <v>57.265999999999998</v>
      </c>
      <c r="CS27" s="11">
        <f t="shared" si="34"/>
        <v>0</v>
      </c>
      <c r="CT27" s="11">
        <f t="shared" si="34"/>
        <v>0</v>
      </c>
      <c r="CU27" s="272">
        <f t="shared" si="34"/>
        <v>5.6680000000000001</v>
      </c>
      <c r="CV27" s="249">
        <f t="shared" si="14"/>
        <v>68.375283299999992</v>
      </c>
      <c r="CW27" s="11">
        <f t="shared" si="14"/>
        <v>0</v>
      </c>
      <c r="CX27" s="249">
        <f t="shared" si="14"/>
        <v>0</v>
      </c>
      <c r="CY27" s="272">
        <f t="shared" si="14"/>
        <v>112.7274824</v>
      </c>
      <c r="CZ27" s="13"/>
      <c r="DA27" s="240">
        <f>(D27+'[2]ноябрь 20'!D27)/(AY27+'[2]ноябрь 20'!BA27)</f>
        <v>2.0857562180241165</v>
      </c>
      <c r="DB27" s="241">
        <f>(T27+'[2]ноябрь 20'!T27)/(AY27+'[2]ноябрь 20'!BA27)</f>
        <v>1.2863767012823426</v>
      </c>
      <c r="DD27" s="292">
        <f t="shared" si="15"/>
        <v>11.522</v>
      </c>
      <c r="DE27" s="291">
        <v>0.15</v>
      </c>
      <c r="DF27" s="291">
        <v>15.84</v>
      </c>
      <c r="DG27" s="145">
        <f t="shared" si="16"/>
        <v>11.504716999999999</v>
      </c>
      <c r="DH27" s="293">
        <f t="shared" si="29"/>
        <v>2.3883973431192658</v>
      </c>
      <c r="DJ27" s="322"/>
    </row>
    <row r="28" spans="1:114" s="76" customFormat="1" ht="16.5" customHeight="1" thickBot="1">
      <c r="A28" s="144">
        <v>22</v>
      </c>
      <c r="B28" s="122">
        <f>'[1]ноябрь 20'!K27</f>
        <v>284.90300000000002</v>
      </c>
      <c r="C28" s="123">
        <f t="shared" si="17"/>
        <v>1.9741517990333548</v>
      </c>
      <c r="D28" s="145">
        <f t="shared" si="30"/>
        <v>279.27858230000004</v>
      </c>
      <c r="E28" s="125">
        <f t="shared" si="32"/>
        <v>38.584787769872548</v>
      </c>
      <c r="F28" s="146">
        <f t="shared" si="0"/>
        <v>2.0905650295680815</v>
      </c>
      <c r="G28" s="127">
        <v>22.11</v>
      </c>
      <c r="H28" s="126">
        <f t="shared" si="20"/>
        <v>1.6220119941612394</v>
      </c>
      <c r="I28" s="230">
        <f>'[1]июль 20'!AI27</f>
        <v>0</v>
      </c>
      <c r="J28" s="247">
        <f>'[1]ноябрь 20'!AA27</f>
        <v>11.241</v>
      </c>
      <c r="K28" s="464">
        <f>'[1]сентябрь 20'!AM27</f>
        <v>0</v>
      </c>
      <c r="L28" s="446">
        <f>'[1]ноябрь 20'!AE27</f>
        <v>62.594000000000001</v>
      </c>
      <c r="M28" s="468">
        <f t="shared" si="21"/>
        <v>0.46855303540684184</v>
      </c>
      <c r="N28" s="403">
        <f>'[1]ноябрь 20'!W27</f>
        <v>0</v>
      </c>
      <c r="O28" s="403">
        <f>'[1]ноябрь 20'!AU27</f>
        <v>8.4420000000000002</v>
      </c>
      <c r="P28" s="401">
        <f t="shared" si="1"/>
        <v>184.06099999999998</v>
      </c>
      <c r="Q28" s="122">
        <f>'[1]ноябрь 20'!S27</f>
        <v>184.06100000000001</v>
      </c>
      <c r="R28" s="123">
        <f t="shared" si="36"/>
        <v>2.06</v>
      </c>
      <c r="S28" s="129"/>
      <c r="T28" s="125">
        <f t="shared" si="35"/>
        <v>180.2693434</v>
      </c>
      <c r="U28" s="147">
        <f t="shared" si="31"/>
        <v>1.3494224373081818</v>
      </c>
      <c r="V28" s="130">
        <v>133.59</v>
      </c>
      <c r="W28" s="130">
        <v>105.8</v>
      </c>
      <c r="X28" s="129">
        <v>0.79</v>
      </c>
      <c r="Y28" s="150">
        <v>570</v>
      </c>
      <c r="Z28" s="150">
        <v>1158</v>
      </c>
      <c r="AA28" s="148" t="s">
        <v>159</v>
      </c>
      <c r="AB28" s="149">
        <v>75.83</v>
      </c>
      <c r="AC28" s="150">
        <v>114</v>
      </c>
      <c r="AD28" s="151">
        <v>5</v>
      </c>
      <c r="AE28" s="149"/>
      <c r="AF28" s="134">
        <f t="shared" si="4"/>
        <v>0</v>
      </c>
      <c r="AG28" s="152"/>
      <c r="AH28" s="129">
        <v>82.85</v>
      </c>
      <c r="AI28" s="134">
        <f t="shared" si="5"/>
        <v>620.18115128377872</v>
      </c>
      <c r="AJ28" s="153">
        <v>15.62</v>
      </c>
      <c r="AK28" s="154"/>
      <c r="AL28" s="155">
        <v>10.77</v>
      </c>
      <c r="AM28" s="478">
        <v>34.01</v>
      </c>
      <c r="AN28" s="126">
        <f t="shared" si="23"/>
        <v>0.19373397892338362</v>
      </c>
      <c r="AO28" s="157" t="s">
        <v>429</v>
      </c>
      <c r="AP28" s="156">
        <v>7.19</v>
      </c>
      <c r="AQ28" s="156">
        <v>8.48</v>
      </c>
      <c r="AR28" s="151"/>
      <c r="AS28" s="149">
        <v>8.31</v>
      </c>
      <c r="AT28" s="149">
        <v>175.55</v>
      </c>
      <c r="AU28" s="149">
        <v>2.82</v>
      </c>
      <c r="AV28" s="164"/>
      <c r="AW28" s="149"/>
      <c r="AX28" s="158">
        <f t="shared" si="6"/>
        <v>0</v>
      </c>
      <c r="AY28" s="125">
        <f t="shared" si="33"/>
        <v>133.59</v>
      </c>
      <c r="AZ28" s="125">
        <f t="shared" si="24"/>
        <v>126.54972737701969</v>
      </c>
      <c r="BA28" s="159">
        <f t="shared" si="8"/>
        <v>5.333322887323944</v>
      </c>
      <c r="BB28" s="160">
        <f t="shared" si="9"/>
        <v>5.3436000000000003</v>
      </c>
      <c r="BC28" s="161">
        <f t="shared" si="10"/>
        <v>0.94007230602897174</v>
      </c>
      <c r="BD28" s="160">
        <f t="shared" si="25"/>
        <v>10.676922887323943</v>
      </c>
      <c r="BE28" s="162">
        <v>0.88600000000000001</v>
      </c>
      <c r="BF28" s="25">
        <f t="shared" si="26"/>
        <v>2586.4500000000003</v>
      </c>
      <c r="BG28" s="25">
        <f t="shared" si="11"/>
        <v>125.66666666666667</v>
      </c>
      <c r="BH28" s="25">
        <f t="shared" si="27"/>
        <v>2764.6666666666665</v>
      </c>
      <c r="BI28" s="26">
        <f t="shared" si="12"/>
        <v>1</v>
      </c>
      <c r="BJ28" s="37">
        <f t="shared" si="28"/>
        <v>2764.6666666666665</v>
      </c>
      <c r="BK28" s="38">
        <v>222.309</v>
      </c>
      <c r="BL28" s="31"/>
      <c r="BM28" s="31"/>
      <c r="BN28" s="234">
        <v>56.887</v>
      </c>
      <c r="BO28" s="42"/>
      <c r="BP28" s="40"/>
      <c r="BQ28" s="411">
        <v>5.7069999999999999</v>
      </c>
      <c r="BR28" s="33">
        <v>2.5299999999999998</v>
      </c>
      <c r="BS28" s="34"/>
      <c r="BT28" s="35"/>
      <c r="BU28" s="35"/>
      <c r="BV28" s="235"/>
      <c r="BW28" s="235"/>
      <c r="BX28" s="36"/>
      <c r="BY28" s="33">
        <v>37.11</v>
      </c>
      <c r="BZ28" s="34"/>
      <c r="CA28" s="35"/>
      <c r="CB28" s="405">
        <v>43.85</v>
      </c>
      <c r="CC28" s="404"/>
      <c r="CD28" s="235"/>
      <c r="CE28" s="36">
        <v>43.55</v>
      </c>
      <c r="CF28" s="30">
        <v>69.472999999999999</v>
      </c>
      <c r="CG28" s="30"/>
      <c r="CH28" s="31"/>
      <c r="CI28" s="32">
        <v>114.58799999999999</v>
      </c>
      <c r="CJ28" s="33">
        <v>2.06</v>
      </c>
      <c r="CK28" s="33"/>
      <c r="CL28" s="35"/>
      <c r="CM28" s="36">
        <v>2.06</v>
      </c>
      <c r="CN28" s="286"/>
      <c r="CO28" s="249">
        <f t="shared" si="34"/>
        <v>216.68458229999999</v>
      </c>
      <c r="CP28" s="12">
        <f t="shared" si="34"/>
        <v>0</v>
      </c>
      <c r="CQ28" s="12">
        <f t="shared" si="34"/>
        <v>0</v>
      </c>
      <c r="CR28" s="12">
        <f t="shared" si="34"/>
        <v>56.887</v>
      </c>
      <c r="CS28" s="11">
        <f t="shared" si="34"/>
        <v>0</v>
      </c>
      <c r="CT28" s="11">
        <f t="shared" si="34"/>
        <v>0</v>
      </c>
      <c r="CU28" s="272">
        <f t="shared" si="34"/>
        <v>5.7069999999999999</v>
      </c>
      <c r="CV28" s="249">
        <f t="shared" si="14"/>
        <v>68.041856199999998</v>
      </c>
      <c r="CW28" s="12">
        <f t="shared" si="14"/>
        <v>0</v>
      </c>
      <c r="CX28" s="249">
        <f t="shared" si="14"/>
        <v>0</v>
      </c>
      <c r="CY28" s="272">
        <f t="shared" si="14"/>
        <v>112.22748719999998</v>
      </c>
      <c r="CZ28" s="13"/>
      <c r="DA28" s="240">
        <f>(D28+'[2]ноябрь 20'!D28)/(AY28+'[2]ноябрь 20'!BA28)</f>
        <v>2.1308129825735698</v>
      </c>
      <c r="DB28" s="241">
        <f>(T28+'[2]ноябрь 20'!T28)/(AY28+'[2]ноябрь 20'!BA28)</f>
        <v>1.2970711074935166</v>
      </c>
      <c r="DD28" s="292">
        <f t="shared" si="15"/>
        <v>11.241</v>
      </c>
      <c r="DE28" s="305">
        <v>0.21</v>
      </c>
      <c r="DF28" s="291">
        <v>16.84</v>
      </c>
      <c r="DG28" s="145">
        <f t="shared" si="16"/>
        <v>11.217393899999999</v>
      </c>
      <c r="DH28" s="293">
        <f t="shared" si="29"/>
        <v>2.4911105535540021</v>
      </c>
      <c r="DJ28" s="322"/>
    </row>
    <row r="29" spans="1:114" s="76" customFormat="1" ht="16.5" customHeight="1" thickBot="1">
      <c r="A29" s="144">
        <v>23</v>
      </c>
      <c r="B29" s="122">
        <f>'[1]ноябрь 20'!K28</f>
        <v>292.87299999999999</v>
      </c>
      <c r="C29" s="123">
        <f t="shared" si="17"/>
        <v>0.8655311346556358</v>
      </c>
      <c r="D29" s="145">
        <f t="shared" si="30"/>
        <v>290.33809299999996</v>
      </c>
      <c r="E29" s="125">
        <f t="shared" si="32"/>
        <v>39.027808367449374</v>
      </c>
      <c r="F29" s="146">
        <f t="shared" si="0"/>
        <v>2.111089166000145</v>
      </c>
      <c r="G29" s="127">
        <v>38.67</v>
      </c>
      <c r="H29" s="126">
        <f t="shared" si="20"/>
        <v>1.6420787682687414</v>
      </c>
      <c r="I29" s="230">
        <f>'[1]июль 20'!AI28</f>
        <v>0</v>
      </c>
      <c r="J29" s="247">
        <f>'[1]ноябрь 20'!AA28</f>
        <v>11.933</v>
      </c>
      <c r="K29" s="464">
        <f>'[1]сентябрь 20'!AM28</f>
        <v>0</v>
      </c>
      <c r="L29" s="446">
        <f>'[1]ноябрь 20'!AE28</f>
        <v>64.503</v>
      </c>
      <c r="M29" s="469">
        <f t="shared" si="21"/>
        <v>0.46901039773140407</v>
      </c>
      <c r="N29" s="403">
        <f>'[1]ноябрь 20'!W28</f>
        <v>0</v>
      </c>
      <c r="O29" s="403">
        <f>'[1]ноябрь 20'!AU28</f>
        <v>9.2959999999999994</v>
      </c>
      <c r="P29" s="401">
        <f t="shared" si="1"/>
        <v>187.67000000000002</v>
      </c>
      <c r="Q29" s="122">
        <f>'[1]ноябрь 20'!S28</f>
        <v>187.67</v>
      </c>
      <c r="R29" s="123">
        <f t="shared" si="36"/>
        <v>2.21</v>
      </c>
      <c r="S29" s="129">
        <v>34.76</v>
      </c>
      <c r="T29" s="125">
        <f t="shared" si="35"/>
        <v>183.522493</v>
      </c>
      <c r="U29" s="147">
        <f t="shared" si="31"/>
        <v>1.3344178942776121</v>
      </c>
      <c r="V29" s="130">
        <v>137.53</v>
      </c>
      <c r="W29" s="130">
        <v>82.34</v>
      </c>
      <c r="X29" s="129">
        <v>0.82</v>
      </c>
      <c r="Y29" s="150">
        <v>558</v>
      </c>
      <c r="Z29" s="150">
        <v>1170</v>
      </c>
      <c r="AA29" s="148" t="s">
        <v>141</v>
      </c>
      <c r="AB29" s="149">
        <v>75.989999999999995</v>
      </c>
      <c r="AC29" s="150">
        <v>117</v>
      </c>
      <c r="AD29" s="151">
        <v>5</v>
      </c>
      <c r="AE29" s="149"/>
      <c r="AF29" s="134">
        <f t="shared" si="4"/>
        <v>0</v>
      </c>
      <c r="AG29" s="152"/>
      <c r="AH29" s="129">
        <v>93.2</v>
      </c>
      <c r="AI29" s="134">
        <f t="shared" si="5"/>
        <v>677.67032647422388</v>
      </c>
      <c r="AJ29" s="136">
        <v>21.32</v>
      </c>
      <c r="AK29" s="154"/>
      <c r="AL29" s="155">
        <v>8.44</v>
      </c>
      <c r="AM29" s="478">
        <v>36.22</v>
      </c>
      <c r="AN29" s="126">
        <f t="shared" si="23"/>
        <v>0.20257270693512303</v>
      </c>
      <c r="AO29" s="157" t="s">
        <v>452</v>
      </c>
      <c r="AP29" s="156">
        <v>6.88</v>
      </c>
      <c r="AQ29" s="156">
        <v>9.6</v>
      </c>
      <c r="AR29" s="149"/>
      <c r="AS29" s="149">
        <v>8.93</v>
      </c>
      <c r="AT29" s="149">
        <v>178.8</v>
      </c>
      <c r="AU29" s="149">
        <v>3.39</v>
      </c>
      <c r="AV29" s="164"/>
      <c r="AW29" s="149"/>
      <c r="AX29" s="158">
        <f t="shared" si="6"/>
        <v>0</v>
      </c>
      <c r="AY29" s="125">
        <f t="shared" si="33"/>
        <v>137.53</v>
      </c>
      <c r="AZ29" s="125">
        <f t="shared" si="24"/>
        <v>132.01545448935528</v>
      </c>
      <c r="BA29" s="159">
        <f t="shared" si="8"/>
        <v>6.447208450704224</v>
      </c>
      <c r="BB29" s="160">
        <f t="shared" si="9"/>
        <v>5.5011999999999999</v>
      </c>
      <c r="BC29" s="161">
        <f t="shared" si="10"/>
        <v>0.92230742232655172</v>
      </c>
      <c r="BD29" s="160">
        <f t="shared" si="25"/>
        <v>11.948408450704225</v>
      </c>
      <c r="BE29" s="162">
        <v>0.88800000000000001</v>
      </c>
      <c r="BF29" s="25">
        <f t="shared" si="26"/>
        <v>2723.9800000000005</v>
      </c>
      <c r="BG29" s="25">
        <f t="shared" si="11"/>
        <v>125.66666666666667</v>
      </c>
      <c r="BH29" s="25">
        <f t="shared" si="27"/>
        <v>2890.333333333333</v>
      </c>
      <c r="BI29" s="26">
        <f t="shared" si="12"/>
        <v>1</v>
      </c>
      <c r="BJ29" s="37">
        <f t="shared" si="28"/>
        <v>2890.333333333333</v>
      </c>
      <c r="BK29" s="328">
        <v>228.37</v>
      </c>
      <c r="BL29" s="31"/>
      <c r="BM29" s="31"/>
      <c r="BN29" s="31">
        <v>58.62</v>
      </c>
      <c r="BO29" s="40"/>
      <c r="BP29" s="40"/>
      <c r="BQ29" s="32">
        <v>5.883</v>
      </c>
      <c r="BR29" s="33">
        <v>1.1100000000000001</v>
      </c>
      <c r="BS29" s="34"/>
      <c r="BT29" s="35"/>
      <c r="BU29" s="35"/>
      <c r="BV29" s="235"/>
      <c r="BW29" s="235"/>
      <c r="BX29" s="36"/>
      <c r="BY29" s="33">
        <v>37.72</v>
      </c>
      <c r="BZ29" s="34"/>
      <c r="CA29" s="35"/>
      <c r="CB29" s="35">
        <v>43.7</v>
      </c>
      <c r="CC29" s="235"/>
      <c r="CD29" s="235"/>
      <c r="CE29" s="36">
        <v>43.24</v>
      </c>
      <c r="CF29" s="30">
        <v>71.405000000000001</v>
      </c>
      <c r="CG29" s="30"/>
      <c r="CH29" s="31"/>
      <c r="CI29" s="32">
        <v>116.265</v>
      </c>
      <c r="CJ29" s="33">
        <v>2.21</v>
      </c>
      <c r="CK29" s="33"/>
      <c r="CL29" s="35"/>
      <c r="CM29" s="36">
        <v>2.21</v>
      </c>
      <c r="CN29" s="286"/>
      <c r="CO29" s="249">
        <f t="shared" si="34"/>
        <v>225.835093</v>
      </c>
      <c r="CP29" s="12">
        <f t="shared" si="34"/>
        <v>0</v>
      </c>
      <c r="CQ29" s="12">
        <f t="shared" si="34"/>
        <v>0</v>
      </c>
      <c r="CR29" s="12">
        <f t="shared" si="34"/>
        <v>58.62</v>
      </c>
      <c r="CS29" s="11">
        <f t="shared" si="34"/>
        <v>0</v>
      </c>
      <c r="CT29" s="11">
        <f t="shared" si="34"/>
        <v>0</v>
      </c>
      <c r="CU29" s="272">
        <f t="shared" si="34"/>
        <v>5.883</v>
      </c>
      <c r="CV29" s="249">
        <f t="shared" si="14"/>
        <v>69.826949500000012</v>
      </c>
      <c r="CW29" s="12">
        <f t="shared" si="14"/>
        <v>0</v>
      </c>
      <c r="CX29" s="249">
        <f t="shared" si="14"/>
        <v>0</v>
      </c>
      <c r="CY29" s="272">
        <f t="shared" si="14"/>
        <v>113.69554350000001</v>
      </c>
      <c r="CZ29" s="13"/>
      <c r="DA29" s="240">
        <f>(D29+'[2]ноябрь 20'!D29)/(AY29+'[2]ноябрь 20'!BA29)</f>
        <v>2.0076485265819399</v>
      </c>
      <c r="DB29" s="241">
        <f>(T29+'[2]ноябрь 20'!T29)/(AY29+'[2]ноябрь 20'!BA29)</f>
        <v>1.2012357893086087</v>
      </c>
      <c r="DD29" s="292">
        <f t="shared" si="15"/>
        <v>11.933</v>
      </c>
      <c r="DE29" s="291">
        <v>0.56000000000000005</v>
      </c>
      <c r="DF29" s="291">
        <v>11.77</v>
      </c>
      <c r="DG29" s="145">
        <f t="shared" si="16"/>
        <v>11.866175199999999</v>
      </c>
      <c r="DH29" s="293">
        <f t="shared" si="29"/>
        <v>1.8379376510593499</v>
      </c>
      <c r="DJ29" s="322"/>
    </row>
    <row r="30" spans="1:114" s="76" customFormat="1" ht="16.5" customHeight="1" thickBot="1">
      <c r="A30" s="144">
        <v>24</v>
      </c>
      <c r="B30" s="122">
        <f>'[1]ноябрь 20'!K29</f>
        <v>280.36399999999998</v>
      </c>
      <c r="C30" s="123">
        <f t="shared" si="17"/>
        <v>1.779140688533478</v>
      </c>
      <c r="D30" s="145">
        <f t="shared" si="30"/>
        <v>275.37592999999998</v>
      </c>
      <c r="E30" s="125">
        <f t="shared" si="32"/>
        <v>38.932774642964148</v>
      </c>
      <c r="F30" s="146">
        <f t="shared" si="0"/>
        <v>2.1032301993431606</v>
      </c>
      <c r="G30" s="127">
        <v>28.02</v>
      </c>
      <c r="H30" s="126">
        <f t="shared" si="20"/>
        <v>1.6328338043229207</v>
      </c>
      <c r="I30" s="230">
        <f>'[1]июль 20'!AI29</f>
        <v>0</v>
      </c>
      <c r="J30" s="247">
        <f>'[1]ноябрь 20'!AA29</f>
        <v>11.246</v>
      </c>
      <c r="K30" s="464">
        <f>'[1]сентябрь 20'!AM29</f>
        <v>0</v>
      </c>
      <c r="L30" s="446">
        <f>'[1]ноябрь 20'!AE29</f>
        <v>61.588999999999999</v>
      </c>
      <c r="M30" s="468">
        <f t="shared" si="21"/>
        <v>0.47039639502023989</v>
      </c>
      <c r="N30" s="403">
        <f>'[1]ноябрь 20'!W29</f>
        <v>0</v>
      </c>
      <c r="O30" s="403">
        <f>'[1]ноябрь 20'!AU29</f>
        <v>8.8689999999999998</v>
      </c>
      <c r="P30" s="401">
        <f t="shared" si="1"/>
        <v>179.51599999999999</v>
      </c>
      <c r="Q30" s="122">
        <f>'[1]ноябрь 20'!S29</f>
        <v>179.51599999999999</v>
      </c>
      <c r="R30" s="123">
        <f t="shared" si="36"/>
        <v>2.25</v>
      </c>
      <c r="S30" s="129">
        <v>2.33</v>
      </c>
      <c r="T30" s="125">
        <f t="shared" si="35"/>
        <v>175.47689</v>
      </c>
      <c r="U30" s="147">
        <f t="shared" si="31"/>
        <v>1.3402344000611015</v>
      </c>
      <c r="V30" s="169">
        <v>104.8</v>
      </c>
      <c r="W30" s="169">
        <v>102.8</v>
      </c>
      <c r="X30" s="170">
        <v>0.8</v>
      </c>
      <c r="Y30" s="166">
        <v>555</v>
      </c>
      <c r="Z30" s="166">
        <v>1169</v>
      </c>
      <c r="AA30" s="148" t="s">
        <v>159</v>
      </c>
      <c r="AB30" s="164">
        <v>75.87</v>
      </c>
      <c r="AC30" s="166">
        <v>112</v>
      </c>
      <c r="AD30" s="171">
        <v>5</v>
      </c>
      <c r="AE30" s="164"/>
      <c r="AF30" s="172">
        <f t="shared" si="4"/>
        <v>0</v>
      </c>
      <c r="AG30" s="173"/>
      <c r="AH30" s="170">
        <v>97.45</v>
      </c>
      <c r="AI30" s="134">
        <f t="shared" si="5"/>
        <v>744.29084243488899</v>
      </c>
      <c r="AJ30" s="174">
        <v>17.63</v>
      </c>
      <c r="AK30" s="175"/>
      <c r="AL30" s="176">
        <v>7.87</v>
      </c>
      <c r="AM30" s="478">
        <v>32.56</v>
      </c>
      <c r="AN30" s="126">
        <f t="shared" si="23"/>
        <v>0.19226454089164455</v>
      </c>
      <c r="AO30" s="178" t="s">
        <v>351</v>
      </c>
      <c r="AP30" s="177">
        <v>7.17</v>
      </c>
      <c r="AQ30" s="177">
        <v>8.8000000000000007</v>
      </c>
      <c r="AR30" s="171"/>
      <c r="AS30" s="164">
        <v>8.7799999999999994</v>
      </c>
      <c r="AT30" s="149">
        <v>169.35</v>
      </c>
      <c r="AU30" s="164">
        <v>2.0099999999999998</v>
      </c>
      <c r="AV30" s="164"/>
      <c r="AW30" s="164"/>
      <c r="AX30" s="179">
        <f t="shared" si="6"/>
        <v>0</v>
      </c>
      <c r="AY30" s="125">
        <f t="shared" si="33"/>
        <v>130.92999999999998</v>
      </c>
      <c r="AZ30" s="125">
        <f t="shared" si="24"/>
        <v>125.59588473423966</v>
      </c>
      <c r="BA30" s="159">
        <f t="shared" si="8"/>
        <v>6.6279725352112679</v>
      </c>
      <c r="BB30" s="159">
        <f t="shared" si="9"/>
        <v>5.2371999999999996</v>
      </c>
      <c r="BC30" s="180">
        <f t="shared" si="10"/>
        <v>0.92654799192082493</v>
      </c>
      <c r="BD30" s="159">
        <f t="shared" si="25"/>
        <v>11.865172535211268</v>
      </c>
      <c r="BE30" s="167">
        <v>0.89</v>
      </c>
      <c r="BF30" s="25">
        <f t="shared" si="26"/>
        <v>2854.9100000000003</v>
      </c>
      <c r="BG30" s="25">
        <f t="shared" si="11"/>
        <v>125.66666666666667</v>
      </c>
      <c r="BH30" s="25">
        <f t="shared" si="27"/>
        <v>3015.9999999999995</v>
      </c>
      <c r="BI30" s="26">
        <f t="shared" si="12"/>
        <v>1</v>
      </c>
      <c r="BJ30" s="37">
        <f t="shared" si="28"/>
        <v>3015.9999999999995</v>
      </c>
      <c r="BK30" s="38">
        <v>218.77500000000001</v>
      </c>
      <c r="BL30" s="31"/>
      <c r="BM30" s="31"/>
      <c r="BN30" s="31">
        <v>55.951999999999998</v>
      </c>
      <c r="BO30" s="40"/>
      <c r="BP30" s="40"/>
      <c r="BQ30" s="44">
        <v>5.6369999999999996</v>
      </c>
      <c r="BR30" s="45">
        <v>2.2799999999999998</v>
      </c>
      <c r="BS30" s="46"/>
      <c r="BT30" s="47"/>
      <c r="BU30" s="47"/>
      <c r="BV30" s="283"/>
      <c r="BW30" s="283"/>
      <c r="BX30" s="48"/>
      <c r="BY30" s="45">
        <v>37.67</v>
      </c>
      <c r="BZ30" s="46"/>
      <c r="CA30" s="47"/>
      <c r="CB30" s="47">
        <v>43.39</v>
      </c>
      <c r="CC30" s="283"/>
      <c r="CD30" s="283"/>
      <c r="CE30" s="48">
        <v>43.7</v>
      </c>
      <c r="CF30" s="49">
        <v>68.364999999999995</v>
      </c>
      <c r="CG30" s="49"/>
      <c r="CH30" s="43"/>
      <c r="CI30" s="32">
        <v>111.151</v>
      </c>
      <c r="CJ30" s="33">
        <v>2.25</v>
      </c>
      <c r="CK30" s="33"/>
      <c r="CL30" s="35"/>
      <c r="CM30" s="36">
        <v>2.25</v>
      </c>
      <c r="CN30" s="286"/>
      <c r="CO30" s="249">
        <f t="shared" si="34"/>
        <v>213.78692999999998</v>
      </c>
      <c r="CP30" s="12">
        <f t="shared" si="34"/>
        <v>0</v>
      </c>
      <c r="CQ30" s="12">
        <f t="shared" si="34"/>
        <v>0</v>
      </c>
      <c r="CR30" s="12">
        <f t="shared" si="34"/>
        <v>55.951999999999998</v>
      </c>
      <c r="CS30" s="11">
        <f t="shared" si="34"/>
        <v>0</v>
      </c>
      <c r="CT30" s="11">
        <f t="shared" si="34"/>
        <v>0</v>
      </c>
      <c r="CU30" s="272">
        <f t="shared" si="34"/>
        <v>5.6369999999999996</v>
      </c>
      <c r="CV30" s="249">
        <f t="shared" si="14"/>
        <v>66.826787499999995</v>
      </c>
      <c r="CW30" s="11">
        <f t="shared" si="14"/>
        <v>0</v>
      </c>
      <c r="CX30" s="252">
        <f t="shared" si="14"/>
        <v>0</v>
      </c>
      <c r="CY30" s="272">
        <f t="shared" si="14"/>
        <v>108.6501025</v>
      </c>
      <c r="CZ30" s="13"/>
      <c r="DA30" s="240">
        <f>(D30+'[2]ноябрь 20'!D30)/(AY30+'[2]ноябрь 20'!BA30)</f>
        <v>2.1179277054444046</v>
      </c>
      <c r="DB30" s="241">
        <f>(T30+'[2]ноябрь 20'!T30)/(AY30+'[2]ноябрь 20'!BA30)</f>
        <v>1.2817901481193399</v>
      </c>
      <c r="DD30" s="292">
        <f t="shared" si="15"/>
        <v>11.246</v>
      </c>
      <c r="DE30" s="291">
        <v>0.18</v>
      </c>
      <c r="DF30" s="291">
        <v>15.09</v>
      </c>
      <c r="DG30" s="145">
        <f t="shared" si="16"/>
        <v>11.2257572</v>
      </c>
      <c r="DH30" s="293">
        <f t="shared" si="29"/>
        <v>2.2327227645709766</v>
      </c>
      <c r="DJ30" s="322"/>
    </row>
    <row r="31" spans="1:114" s="76" customFormat="1" ht="16.5" customHeight="1" thickBot="1">
      <c r="A31" s="144">
        <v>25</v>
      </c>
      <c r="B31" s="122">
        <f>'[1]ноябрь 20'!K30</f>
        <v>283.02800000000002</v>
      </c>
      <c r="C31" s="123">
        <f t="shared" si="17"/>
        <v>1.0849914849414191</v>
      </c>
      <c r="D31" s="145">
        <f t="shared" si="30"/>
        <v>279.95717030000003</v>
      </c>
      <c r="E31" s="125">
        <f t="shared" si="32"/>
        <v>40.0144293850785</v>
      </c>
      <c r="F31" s="146">
        <f t="shared" si="0"/>
        <v>2.0690057667578157</v>
      </c>
      <c r="G31" s="127">
        <v>19.43</v>
      </c>
      <c r="H31" s="126">
        <f t="shared" si="20"/>
        <v>1.6100226908580295</v>
      </c>
      <c r="I31" s="230">
        <f>'[1]июль 20'!AI30</f>
        <v>0</v>
      </c>
      <c r="J31" s="247">
        <f>'[1]ноябрь 20'!AA30</f>
        <v>11.159000000000001</v>
      </c>
      <c r="K31" s="464">
        <f>'[1]сентябрь 20'!AM30</f>
        <v>0</v>
      </c>
      <c r="L31" s="446">
        <f>'[1]ноябрь 20'!AE30</f>
        <v>62.104999999999997</v>
      </c>
      <c r="M31" s="469">
        <f t="shared" si="21"/>
        <v>0.45898307589978565</v>
      </c>
      <c r="N31" s="403">
        <f>'[1]ноябрь 20'!W30</f>
        <v>0</v>
      </c>
      <c r="O31" s="403">
        <f>'[1]ноябрь 20'!AU30</f>
        <v>7.8470000000000004</v>
      </c>
      <c r="P31" s="401">
        <f t="shared" si="1"/>
        <v>181.55500000000001</v>
      </c>
      <c r="Q31" s="122">
        <f>'[1]ноябрь 20'!S30</f>
        <v>181.55500000000001</v>
      </c>
      <c r="R31" s="123">
        <f>IF(Q31=0,0,(CI31*CM31+CG31*CK31+CH31*CL31+CF31*CJ31)/Q31)</f>
        <v>2.7999999999999994</v>
      </c>
      <c r="S31" s="129">
        <v>3.07</v>
      </c>
      <c r="T31" s="125">
        <f t="shared" si="35"/>
        <v>176.47146000000001</v>
      </c>
      <c r="U31" s="147">
        <f t="shared" si="31"/>
        <v>1.3042011676890104</v>
      </c>
      <c r="V31" s="130">
        <v>135.31</v>
      </c>
      <c r="W31" s="130">
        <v>106.31</v>
      </c>
      <c r="X31" s="129">
        <v>0.71</v>
      </c>
      <c r="Y31" s="150">
        <v>550</v>
      </c>
      <c r="Z31" s="150">
        <v>1160</v>
      </c>
      <c r="AA31" s="148" t="s">
        <v>114</v>
      </c>
      <c r="AB31" s="149">
        <v>76.25</v>
      </c>
      <c r="AC31" s="150">
        <v>113</v>
      </c>
      <c r="AD31" s="151">
        <v>5</v>
      </c>
      <c r="AE31" s="149"/>
      <c r="AF31" s="134">
        <f t="shared" si="4"/>
        <v>0</v>
      </c>
      <c r="AG31" s="152"/>
      <c r="AH31" s="129">
        <v>96.1</v>
      </c>
      <c r="AI31" s="134">
        <f t="shared" si="5"/>
        <v>710.22097405956686</v>
      </c>
      <c r="AJ31" s="136">
        <v>14.68</v>
      </c>
      <c r="AK31" s="154"/>
      <c r="AL31" s="155">
        <v>8.42</v>
      </c>
      <c r="AM31" s="478">
        <v>34.69</v>
      </c>
      <c r="AN31" s="126">
        <f t="shared" si="23"/>
        <v>0.19699034639409427</v>
      </c>
      <c r="AO31" s="157" t="s">
        <v>351</v>
      </c>
      <c r="AP31" s="156">
        <v>7.22</v>
      </c>
      <c r="AQ31" s="156">
        <v>8.76</v>
      </c>
      <c r="AR31" s="151"/>
      <c r="AS31" s="149">
        <v>8.76</v>
      </c>
      <c r="AT31" s="149">
        <v>176.1</v>
      </c>
      <c r="AU31" s="149">
        <v>2.3199999999999998</v>
      </c>
      <c r="AV31" s="164"/>
      <c r="AW31" s="149"/>
      <c r="AX31" s="158">
        <f t="shared" si="6"/>
        <v>0</v>
      </c>
      <c r="AY31" s="125">
        <f t="shared" si="33"/>
        <v>135.31</v>
      </c>
      <c r="AZ31" s="125">
        <f t="shared" si="24"/>
        <v>130.24698572177243</v>
      </c>
      <c r="BA31" s="159">
        <f t="shared" si="8"/>
        <v>6.5212647887323936</v>
      </c>
      <c r="BB31" s="160">
        <f t="shared" si="9"/>
        <v>5.4123999999999999</v>
      </c>
      <c r="BC31" s="161">
        <f t="shared" si="10"/>
        <v>0.92100400501699453</v>
      </c>
      <c r="BD31" s="160">
        <f t="shared" si="25"/>
        <v>11.933664788732393</v>
      </c>
      <c r="BE31" s="162">
        <v>0.89100000000000001</v>
      </c>
      <c r="BF31" s="25">
        <f t="shared" si="26"/>
        <v>2990.2200000000003</v>
      </c>
      <c r="BG31" s="25">
        <f t="shared" si="11"/>
        <v>125.66666666666667</v>
      </c>
      <c r="BH31" s="25">
        <f t="shared" si="27"/>
        <v>3141.6666666666661</v>
      </c>
      <c r="BI31" s="26">
        <f t="shared" si="12"/>
        <v>1</v>
      </c>
      <c r="BJ31" s="37">
        <f t="shared" si="28"/>
        <v>3141.6666666666661</v>
      </c>
      <c r="BK31" s="38">
        <v>220.923</v>
      </c>
      <c r="BL31" s="31"/>
      <c r="BM31" s="31"/>
      <c r="BN31" s="31">
        <v>56.491999999999997</v>
      </c>
      <c r="BO31" s="40"/>
      <c r="BP31" s="40"/>
      <c r="BQ31" s="32">
        <v>5.6130000000000004</v>
      </c>
      <c r="BR31" s="33">
        <v>1.39</v>
      </c>
      <c r="BS31" s="34"/>
      <c r="BT31" s="35"/>
      <c r="BU31" s="35"/>
      <c r="BV31" s="235"/>
      <c r="BW31" s="235"/>
      <c r="BX31" s="36"/>
      <c r="BY31" s="33">
        <v>38.94</v>
      </c>
      <c r="BZ31" s="34"/>
      <c r="CA31" s="35"/>
      <c r="CB31" s="35">
        <v>43.85</v>
      </c>
      <c r="CC31" s="235"/>
      <c r="CD31" s="235"/>
      <c r="CE31" s="36">
        <v>43.7</v>
      </c>
      <c r="CF31" s="30">
        <v>68.972999999999999</v>
      </c>
      <c r="CG31" s="30"/>
      <c r="CH31" s="31"/>
      <c r="CI31" s="32">
        <v>112.58199999999999</v>
      </c>
      <c r="CJ31" s="33">
        <v>2.8</v>
      </c>
      <c r="CK31" s="33"/>
      <c r="CL31" s="35"/>
      <c r="CM31" s="36">
        <v>2.8</v>
      </c>
      <c r="CN31" s="286"/>
      <c r="CO31" s="249">
        <f t="shared" si="34"/>
        <v>217.85217029999998</v>
      </c>
      <c r="CP31" s="12">
        <f t="shared" si="34"/>
        <v>0</v>
      </c>
      <c r="CQ31" s="12">
        <f t="shared" si="34"/>
        <v>0</v>
      </c>
      <c r="CR31" s="12">
        <f t="shared" si="34"/>
        <v>56.491999999999997</v>
      </c>
      <c r="CS31" s="11">
        <f t="shared" si="34"/>
        <v>0</v>
      </c>
      <c r="CT31" s="11">
        <f t="shared" si="34"/>
        <v>0</v>
      </c>
      <c r="CU31" s="272">
        <f t="shared" si="34"/>
        <v>5.6130000000000004</v>
      </c>
      <c r="CV31" s="249">
        <f t="shared" si="14"/>
        <v>67.041755999999992</v>
      </c>
      <c r="CW31" s="12">
        <f t="shared" si="14"/>
        <v>0</v>
      </c>
      <c r="CX31" s="249">
        <f t="shared" si="14"/>
        <v>0</v>
      </c>
      <c r="CY31" s="272">
        <f t="shared" si="14"/>
        <v>109.42970399999999</v>
      </c>
      <c r="CZ31" s="13"/>
      <c r="DA31" s="240">
        <f>(D31+'[2]ноябрь 20'!D31)/(AY31+'[2]ноябрь 20'!BA31)</f>
        <v>2.126238647061117</v>
      </c>
      <c r="DB31" s="241">
        <f>(T31+'[2]ноябрь 20'!T31)/(AY31+'[2]ноябрь 20'!BA31)</f>
        <v>1.2841880444149865</v>
      </c>
      <c r="DD31" s="292">
        <f t="shared" si="15"/>
        <v>11.159000000000001</v>
      </c>
      <c r="DE31" s="291">
        <v>0.04</v>
      </c>
      <c r="DF31" s="291">
        <v>13.6</v>
      </c>
      <c r="DG31" s="145">
        <f t="shared" si="16"/>
        <v>11.1545364</v>
      </c>
      <c r="DH31" s="293">
        <f t="shared" si="29"/>
        <v>1.9895304267540985</v>
      </c>
      <c r="DJ31" s="322"/>
    </row>
    <row r="32" spans="1:114" s="76" customFormat="1" ht="16.5" customHeight="1" thickBot="1">
      <c r="A32" s="144">
        <v>26</v>
      </c>
      <c r="B32" s="122">
        <f>'[1]ноябрь 20'!K31</f>
        <v>295.08300000000003</v>
      </c>
      <c r="C32" s="123">
        <f t="shared" si="17"/>
        <v>1.5602389836080015</v>
      </c>
      <c r="D32" s="145">
        <f t="shared" si="30"/>
        <v>290.47900000000004</v>
      </c>
      <c r="E32" s="125">
        <f t="shared" si="32"/>
        <v>40.434704777977707</v>
      </c>
      <c r="F32" s="146">
        <f t="shared" si="0"/>
        <v>2.2113200365408039</v>
      </c>
      <c r="G32" s="127">
        <v>9.8699999999999992</v>
      </c>
      <c r="H32" s="126">
        <f t="shared" si="20"/>
        <v>1.7173873325213151</v>
      </c>
      <c r="I32" s="230">
        <f>'[1]июль 20'!AI31</f>
        <v>0</v>
      </c>
      <c r="J32" s="247">
        <f>'[1]ноябрь 20'!AA31</f>
        <v>11.0801</v>
      </c>
      <c r="K32" s="464">
        <f>'[1]сентябрь 20'!AM31</f>
        <v>0</v>
      </c>
      <c r="L32" s="446">
        <f>'[1]ноябрь 20'!AE31</f>
        <v>64.882999999999996</v>
      </c>
      <c r="M32" s="468">
        <f t="shared" si="21"/>
        <v>0.49393270401948836</v>
      </c>
      <c r="N32" s="403">
        <f>'[1]ноябрь 20'!W31</f>
        <v>0</v>
      </c>
      <c r="O32" s="403">
        <f>'[1]ноябрь 20'!AU31</f>
        <v>8.2750000000000004</v>
      </c>
      <c r="P32" s="401">
        <f t="shared" si="1"/>
        <v>187.005</v>
      </c>
      <c r="Q32" s="122">
        <f>'[1]ноябрь 20'!S31</f>
        <v>187.005</v>
      </c>
      <c r="R32" s="123">
        <f t="shared" ref="R32:R36" si="37">IF(Q32=0,0,(CI32*CM32+CG32*CK32+CH32*CL32+CF32*CJ32)/Q32)</f>
        <v>2.83</v>
      </c>
      <c r="S32" s="129">
        <v>6.03</v>
      </c>
      <c r="T32" s="125">
        <f t="shared" si="35"/>
        <v>181.71275850000001</v>
      </c>
      <c r="U32" s="147">
        <f t="shared" si="31"/>
        <v>1.383318807095006</v>
      </c>
      <c r="V32" s="130">
        <v>131.36000000000001</v>
      </c>
      <c r="W32" s="130">
        <v>55.05</v>
      </c>
      <c r="X32" s="129">
        <v>1.1599999999999999</v>
      </c>
      <c r="Y32" s="150">
        <v>546</v>
      </c>
      <c r="Z32" s="150">
        <v>1174</v>
      </c>
      <c r="AA32" s="148" t="s">
        <v>195</v>
      </c>
      <c r="AB32" s="149">
        <v>75.56</v>
      </c>
      <c r="AC32" s="150">
        <v>118</v>
      </c>
      <c r="AD32" s="151">
        <v>5</v>
      </c>
      <c r="AE32" s="149">
        <v>5.55</v>
      </c>
      <c r="AF32" s="134">
        <f t="shared" si="4"/>
        <v>42.250304506699145</v>
      </c>
      <c r="AG32" s="152"/>
      <c r="AH32" s="129">
        <v>77.2</v>
      </c>
      <c r="AI32" s="134">
        <f t="shared" si="5"/>
        <v>587.69792935444571</v>
      </c>
      <c r="AJ32" s="153">
        <v>24.66</v>
      </c>
      <c r="AK32" s="154"/>
      <c r="AL32" s="155">
        <v>8.91</v>
      </c>
      <c r="AM32" s="478">
        <v>34.86</v>
      </c>
      <c r="AN32" s="126">
        <f t="shared" si="23"/>
        <v>0.20150289017341041</v>
      </c>
      <c r="AO32" s="157" t="s">
        <v>452</v>
      </c>
      <c r="AP32" s="156">
        <v>7.42</v>
      </c>
      <c r="AQ32" s="156">
        <v>8.52</v>
      </c>
      <c r="AR32" s="151"/>
      <c r="AS32" s="149">
        <v>11.01</v>
      </c>
      <c r="AT32" s="149">
        <v>173</v>
      </c>
      <c r="AU32" s="149">
        <v>2.13</v>
      </c>
      <c r="AV32" s="149"/>
      <c r="AW32" s="149"/>
      <c r="AX32" s="158">
        <f t="shared" si="6"/>
        <v>0</v>
      </c>
      <c r="AY32" s="125">
        <f t="shared" si="33"/>
        <v>131.36000000000001</v>
      </c>
      <c r="AZ32" s="125">
        <f t="shared" si="24"/>
        <v>137.70979131384871</v>
      </c>
      <c r="BA32" s="159">
        <f t="shared" si="8"/>
        <v>6.58429014084507</v>
      </c>
      <c r="BB32" s="160">
        <f t="shared" si="9"/>
        <v>5.2544000000000004</v>
      </c>
      <c r="BC32" s="161">
        <f t="shared" si="10"/>
        <v>0.84505713244002834</v>
      </c>
      <c r="BD32" s="160">
        <f t="shared" si="25"/>
        <v>11.83869014084507</v>
      </c>
      <c r="BE32" s="162">
        <v>0.88900000000000001</v>
      </c>
      <c r="BF32" s="25">
        <f t="shared" si="26"/>
        <v>3121.5800000000004</v>
      </c>
      <c r="BG32" s="25">
        <f t="shared" si="11"/>
        <v>125.66666666666667</v>
      </c>
      <c r="BH32" s="25">
        <f t="shared" si="27"/>
        <v>3267.3333333333326</v>
      </c>
      <c r="BI32" s="26">
        <f t="shared" si="12"/>
        <v>1</v>
      </c>
      <c r="BJ32" s="37">
        <f t="shared" si="28"/>
        <v>3267.3333333333326</v>
      </c>
      <c r="BK32" s="38">
        <v>230.2</v>
      </c>
      <c r="BL32" s="31"/>
      <c r="BM32" s="31"/>
      <c r="BN32" s="31">
        <v>58.997999999999998</v>
      </c>
      <c r="BO32" s="40"/>
      <c r="BP32" s="40"/>
      <c r="BQ32" s="32">
        <v>5.8849999999999998</v>
      </c>
      <c r="BR32" s="33">
        <v>2</v>
      </c>
      <c r="BS32" s="34"/>
      <c r="BT32" s="35"/>
      <c r="BU32" s="35"/>
      <c r="BV32" s="235"/>
      <c r="BW32" s="235"/>
      <c r="BX32" s="36"/>
      <c r="BY32" s="33">
        <v>39.51</v>
      </c>
      <c r="BZ32" s="34"/>
      <c r="CA32" s="35"/>
      <c r="CB32" s="35">
        <v>43.73</v>
      </c>
      <c r="CC32" s="235"/>
      <c r="CD32" s="235"/>
      <c r="CE32" s="36">
        <v>43.57</v>
      </c>
      <c r="CF32" s="30">
        <v>71.962000000000003</v>
      </c>
      <c r="CG32" s="30"/>
      <c r="CH32" s="31"/>
      <c r="CI32" s="50">
        <v>115.04300000000001</v>
      </c>
      <c r="CJ32" s="33">
        <v>2.83</v>
      </c>
      <c r="CK32" s="33"/>
      <c r="CL32" s="35"/>
      <c r="CM32" s="36">
        <v>2.83</v>
      </c>
      <c r="CN32" s="286"/>
      <c r="CO32" s="249">
        <f t="shared" si="34"/>
        <v>225.59599999999998</v>
      </c>
      <c r="CP32" s="12">
        <f t="shared" si="34"/>
        <v>0</v>
      </c>
      <c r="CQ32" s="12">
        <f t="shared" si="34"/>
        <v>0</v>
      </c>
      <c r="CR32" s="12">
        <f t="shared" si="34"/>
        <v>58.997999999999998</v>
      </c>
      <c r="CS32" s="11">
        <f t="shared" si="34"/>
        <v>0</v>
      </c>
      <c r="CT32" s="11">
        <f t="shared" si="34"/>
        <v>0</v>
      </c>
      <c r="CU32" s="272">
        <f t="shared" si="34"/>
        <v>5.8849999999999998</v>
      </c>
      <c r="CV32" s="249">
        <f t="shared" si="14"/>
        <v>69.92547540000001</v>
      </c>
      <c r="CW32" s="11">
        <f t="shared" si="14"/>
        <v>0</v>
      </c>
      <c r="CX32" s="249">
        <f t="shared" si="14"/>
        <v>0</v>
      </c>
      <c r="CY32" s="272">
        <f t="shared" si="14"/>
        <v>111.78728310000001</v>
      </c>
      <c r="CZ32" s="13"/>
      <c r="DA32" s="240">
        <f>(D32+'[2]ноябрь 20'!D32)/(AY32+'[2]ноябрь 20'!BA32)</f>
        <v>2.1592479633827115</v>
      </c>
      <c r="DB32" s="241">
        <f>(T32+'[2]ноябрь 20'!T32)/(AY32+'[2]ноябрь 20'!BA32)</f>
        <v>1.3092292145739659</v>
      </c>
      <c r="DD32" s="292">
        <f t="shared" si="15"/>
        <v>11.0801</v>
      </c>
      <c r="DE32" s="291">
        <v>0.21</v>
      </c>
      <c r="DF32" s="291">
        <v>13.71</v>
      </c>
      <c r="DG32" s="145">
        <f t="shared" si="16"/>
        <v>11.05683179</v>
      </c>
      <c r="DH32" s="293">
        <f t="shared" si="29"/>
        <v>2.006209156179195</v>
      </c>
      <c r="DJ32" s="322"/>
    </row>
    <row r="33" spans="1:114" s="76" customFormat="1" ht="16.5" customHeight="1" thickBot="1">
      <c r="A33" s="144">
        <v>27</v>
      </c>
      <c r="B33" s="122">
        <f>'[1]ноябрь 20'!K32</f>
        <v>275.26299999999998</v>
      </c>
      <c r="C33" s="123">
        <f t="shared" si="17"/>
        <v>1.5655652230775658</v>
      </c>
      <c r="D33" s="145">
        <f t="shared" si="30"/>
        <v>270.95357819999998</v>
      </c>
      <c r="E33" s="125">
        <f t="shared" si="32"/>
        <v>39.861368436731425</v>
      </c>
      <c r="F33" s="146">
        <f t="shared" si="0"/>
        <v>2.0214382139659803</v>
      </c>
      <c r="G33" s="127">
        <v>21.42</v>
      </c>
      <c r="H33" s="126">
        <f t="shared" si="20"/>
        <v>1.4915590734109223</v>
      </c>
      <c r="I33" s="230">
        <f>'[1]июль 20'!AI32</f>
        <v>0</v>
      </c>
      <c r="J33" s="247">
        <f>'[1]ноябрь 20'!AA32</f>
        <v>10.952</v>
      </c>
      <c r="K33" s="464">
        <f>'[1]сентябрь 20'!AM32</f>
        <v>0</v>
      </c>
      <c r="L33" s="446">
        <f>'[1]ноябрь 20'!AE32</f>
        <v>71.025000000000006</v>
      </c>
      <c r="M33" s="469">
        <f t="shared" si="21"/>
        <v>0.52987914055505825</v>
      </c>
      <c r="N33" s="403">
        <f>'[1]ноябрь 20'!W32</f>
        <v>0</v>
      </c>
      <c r="O33" s="403">
        <f>'[1]ноябрь 20'!AU32</f>
        <v>6.665</v>
      </c>
      <c r="P33" s="401">
        <f t="shared" si="1"/>
        <v>172.91300000000001</v>
      </c>
      <c r="Q33" s="122">
        <f>'[1]ноябрь 20'!S32</f>
        <v>172.91300000000001</v>
      </c>
      <c r="R33" s="123">
        <f t="shared" si="37"/>
        <v>2.91</v>
      </c>
      <c r="S33" s="129">
        <v>26.77</v>
      </c>
      <c r="T33" s="125">
        <f t="shared" si="35"/>
        <v>167.8812317</v>
      </c>
      <c r="U33" s="147">
        <f t="shared" si="31"/>
        <v>1.2524711407042675</v>
      </c>
      <c r="V33" s="130">
        <v>110.11</v>
      </c>
      <c r="W33" s="130">
        <v>110.7</v>
      </c>
      <c r="X33" s="129">
        <v>0.74</v>
      </c>
      <c r="Y33" s="150">
        <v>547</v>
      </c>
      <c r="Z33" s="150">
        <v>1167</v>
      </c>
      <c r="AA33" s="148" t="s">
        <v>120</v>
      </c>
      <c r="AB33" s="149">
        <v>75.489999999999995</v>
      </c>
      <c r="AC33" s="150">
        <v>110</v>
      </c>
      <c r="AD33" s="151">
        <v>5</v>
      </c>
      <c r="AE33" s="149">
        <v>2.2999999999999998</v>
      </c>
      <c r="AF33" s="134">
        <f t="shared" si="4"/>
        <v>17.159056997911073</v>
      </c>
      <c r="AG33" s="152"/>
      <c r="AH33" s="129">
        <v>92.45</v>
      </c>
      <c r="AI33" s="134">
        <f t="shared" si="5"/>
        <v>689.71948672038206</v>
      </c>
      <c r="AJ33" s="136">
        <v>18.98</v>
      </c>
      <c r="AK33" s="154"/>
      <c r="AL33" s="155">
        <v>9.02</v>
      </c>
      <c r="AM33" s="478">
        <v>37.380000000000003</v>
      </c>
      <c r="AN33" s="126">
        <f t="shared" si="23"/>
        <v>0.21082910321489001</v>
      </c>
      <c r="AO33" s="157" t="s">
        <v>362</v>
      </c>
      <c r="AP33" s="156">
        <v>6.97</v>
      </c>
      <c r="AQ33" s="156">
        <v>9.11</v>
      </c>
      <c r="AR33" s="151"/>
      <c r="AS33" s="149">
        <v>9.8699999999999992</v>
      </c>
      <c r="AT33" s="149">
        <v>177.3</v>
      </c>
      <c r="AU33" s="149">
        <v>3.14</v>
      </c>
      <c r="AV33" s="149"/>
      <c r="AW33" s="149"/>
      <c r="AX33" s="158">
        <f t="shared" si="6"/>
        <v>0</v>
      </c>
      <c r="AY33" s="125">
        <f t="shared" si="33"/>
        <v>134.04</v>
      </c>
      <c r="AZ33" s="125">
        <f t="shared" si="24"/>
        <v>128.01980476187629</v>
      </c>
      <c r="BA33" s="159">
        <f t="shared" si="8"/>
        <v>7.0685186619718303</v>
      </c>
      <c r="BB33" s="160">
        <f t="shared" si="9"/>
        <v>5.3616000000000001</v>
      </c>
      <c r="BC33" s="161">
        <f t="shared" si="10"/>
        <v>0.93686442913224532</v>
      </c>
      <c r="BD33" s="160">
        <f t="shared" si="25"/>
        <v>12.43011866197183</v>
      </c>
      <c r="BE33" s="162">
        <v>0.89100000000000001</v>
      </c>
      <c r="BF33" s="25">
        <f t="shared" si="26"/>
        <v>3255.6200000000003</v>
      </c>
      <c r="BG33" s="25">
        <f t="shared" si="11"/>
        <v>125.66666666666667</v>
      </c>
      <c r="BH33" s="25">
        <f t="shared" si="27"/>
        <v>3392.9999999999991</v>
      </c>
      <c r="BI33" s="26">
        <f t="shared" si="12"/>
        <v>1</v>
      </c>
      <c r="BJ33" s="37">
        <f t="shared" si="28"/>
        <v>3392.9999999999991</v>
      </c>
      <c r="BK33" s="38">
        <v>204.238</v>
      </c>
      <c r="BL33" s="31"/>
      <c r="BM33" s="31"/>
      <c r="BN33" s="31">
        <v>54.991</v>
      </c>
      <c r="BO33" s="40"/>
      <c r="BP33" s="40"/>
      <c r="BQ33" s="32">
        <v>16.033999999999999</v>
      </c>
      <c r="BR33" s="33">
        <v>2.11</v>
      </c>
      <c r="BS33" s="34"/>
      <c r="BT33" s="35"/>
      <c r="BU33" s="35"/>
      <c r="BV33" s="235"/>
      <c r="BW33" s="235"/>
      <c r="BX33" s="36"/>
      <c r="BY33" s="33">
        <v>38.42</v>
      </c>
      <c r="BZ33" s="34"/>
      <c r="CA33" s="35"/>
      <c r="CB33" s="35">
        <v>44.04</v>
      </c>
      <c r="CC33" s="235"/>
      <c r="CD33" s="235"/>
      <c r="CE33" s="36">
        <v>43.89</v>
      </c>
      <c r="CF33" s="30">
        <v>67.156000000000006</v>
      </c>
      <c r="CG33" s="30"/>
      <c r="CH33" s="31"/>
      <c r="CI33" s="32">
        <v>105.75700000000001</v>
      </c>
      <c r="CJ33" s="33">
        <v>2.91</v>
      </c>
      <c r="CK33" s="33"/>
      <c r="CL33" s="35"/>
      <c r="CM33" s="36">
        <v>2.91</v>
      </c>
      <c r="CN33" s="270"/>
      <c r="CO33" s="249">
        <f t="shared" si="34"/>
        <v>199.9285782</v>
      </c>
      <c r="CP33" s="12">
        <f t="shared" si="34"/>
        <v>0</v>
      </c>
      <c r="CQ33" s="12">
        <f t="shared" si="34"/>
        <v>0</v>
      </c>
      <c r="CR33" s="12">
        <f t="shared" si="34"/>
        <v>54.991</v>
      </c>
      <c r="CS33" s="11">
        <f t="shared" si="34"/>
        <v>0</v>
      </c>
      <c r="CT33" s="11">
        <f t="shared" si="34"/>
        <v>0</v>
      </c>
      <c r="CU33" s="272">
        <f t="shared" si="34"/>
        <v>16.033999999999999</v>
      </c>
      <c r="CV33" s="249">
        <f t="shared" si="14"/>
        <v>65.201760399999998</v>
      </c>
      <c r="CW33" s="12">
        <f t="shared" si="14"/>
        <v>0</v>
      </c>
      <c r="CX33" s="254">
        <f t="shared" si="14"/>
        <v>0</v>
      </c>
      <c r="CY33" s="275">
        <f t="shared" si="14"/>
        <v>102.6794713</v>
      </c>
      <c r="CZ33" s="13"/>
      <c r="DA33" s="240">
        <f>(D33+'[2]ноябрь 20'!D33)/(AY33+'[2]ноябрь 20'!BA33)</f>
        <v>2.0390616402663144</v>
      </c>
      <c r="DB33" s="241">
        <f>(T33+'[2]ноябрь 20'!T33)/(AY33+'[2]ноябрь 20'!BA33)</f>
        <v>1.2271683344887574</v>
      </c>
      <c r="DD33" s="292">
        <f t="shared" si="15"/>
        <v>10.952</v>
      </c>
      <c r="DE33" s="291">
        <v>1.08</v>
      </c>
      <c r="DF33" s="291">
        <v>21.72</v>
      </c>
      <c r="DG33" s="145">
        <f t="shared" si="16"/>
        <v>10.8337184</v>
      </c>
      <c r="DH33" s="293">
        <f t="shared" si="29"/>
        <v>3.1170799264538349</v>
      </c>
      <c r="DJ33" s="322">
        <f t="shared" ref="DJ33:DJ37" si="38">CO33+CP33+CQ33+CR33+CS33+CT33+CU33</f>
        <v>270.95357819999998</v>
      </c>
    </row>
    <row r="34" spans="1:114" s="76" customFormat="1" ht="16.5" customHeight="1" thickBot="1">
      <c r="A34" s="144">
        <v>28</v>
      </c>
      <c r="B34" s="122">
        <f>'[1]ноябрь 20'!K33</f>
        <v>305.42899999999997</v>
      </c>
      <c r="C34" s="123">
        <f t="shared" si="17"/>
        <v>0.7772460375406397</v>
      </c>
      <c r="D34" s="145">
        <f t="shared" si="30"/>
        <v>303.0550652</v>
      </c>
      <c r="E34" s="125">
        <f t="shared" si="32"/>
        <v>40.35692331114597</v>
      </c>
      <c r="F34" s="146">
        <f t="shared" si="0"/>
        <v>2.1857559697078979</v>
      </c>
      <c r="G34" s="127">
        <v>20.149999999999999</v>
      </c>
      <c r="H34" s="126">
        <f t="shared" si="20"/>
        <v>1.5253809246303645</v>
      </c>
      <c r="I34" s="230">
        <f>'[1]июль 20'!AI33</f>
        <v>0</v>
      </c>
      <c r="J34" s="247">
        <f>'[1]ноябрь 20'!AA33</f>
        <v>12.154999999999999</v>
      </c>
      <c r="K34" s="464">
        <f>'[1]сентябрь 20'!AM33</f>
        <v>0</v>
      </c>
      <c r="L34" s="446">
        <f>'[1]ноябрь 20'!AE33</f>
        <v>91.561000000000007</v>
      </c>
      <c r="M34" s="468">
        <f t="shared" si="21"/>
        <v>0.66037504507753342</v>
      </c>
      <c r="N34" s="403">
        <f>'[1]ноябрь 20'!W33</f>
        <v>0</v>
      </c>
      <c r="O34" s="403">
        <f>'[1]ноябрь 20'!AU33</f>
        <v>6.1189999999999998</v>
      </c>
      <c r="P34" s="401">
        <f t="shared" si="1"/>
        <v>190.93199999999999</v>
      </c>
      <c r="Q34" s="122">
        <f>'[1]ноябрь 20'!S33</f>
        <v>190.93199999999999</v>
      </c>
      <c r="R34" s="123">
        <f t="shared" si="37"/>
        <v>3.14</v>
      </c>
      <c r="S34" s="129">
        <v>5.66</v>
      </c>
      <c r="T34" s="125">
        <f t="shared" si="35"/>
        <v>184.93673519999999</v>
      </c>
      <c r="U34" s="147">
        <f t="shared" si="31"/>
        <v>1.3338386959971151</v>
      </c>
      <c r="V34" s="169"/>
      <c r="W34" s="169">
        <v>109.89</v>
      </c>
      <c r="X34" s="170">
        <v>0.63</v>
      </c>
      <c r="Y34" s="166">
        <v>521</v>
      </c>
      <c r="Z34" s="166">
        <v>1169</v>
      </c>
      <c r="AA34" s="148" t="s">
        <v>116</v>
      </c>
      <c r="AB34" s="164">
        <v>74.599999999999994</v>
      </c>
      <c r="AC34" s="166">
        <v>122</v>
      </c>
      <c r="AD34" s="171">
        <v>5</v>
      </c>
      <c r="AE34" s="164"/>
      <c r="AF34" s="172">
        <f t="shared" si="4"/>
        <v>0</v>
      </c>
      <c r="AG34" s="173"/>
      <c r="AH34" s="170">
        <v>86.4</v>
      </c>
      <c r="AI34" s="134">
        <f t="shared" si="5"/>
        <v>623.15182113234778</v>
      </c>
      <c r="AJ34" s="174">
        <v>21.6</v>
      </c>
      <c r="AK34" s="175"/>
      <c r="AL34" s="176">
        <v>9.4600000000000009</v>
      </c>
      <c r="AM34" s="525">
        <v>36.06</v>
      </c>
      <c r="AN34" s="126">
        <f t="shared" si="23"/>
        <v>0.19873243317718381</v>
      </c>
      <c r="AO34" s="178" t="s">
        <v>372</v>
      </c>
      <c r="AP34" s="177">
        <v>7.52</v>
      </c>
      <c r="AQ34" s="177">
        <v>8.42</v>
      </c>
      <c r="AR34" s="171"/>
      <c r="AS34" s="164">
        <v>7.89</v>
      </c>
      <c r="AT34" s="149">
        <v>181.45</v>
      </c>
      <c r="AU34" s="164">
        <v>2.72</v>
      </c>
      <c r="AV34" s="164"/>
      <c r="AW34" s="164"/>
      <c r="AX34" s="179">
        <f t="shared" si="6"/>
        <v>0</v>
      </c>
      <c r="AY34" s="125">
        <f t="shared" si="33"/>
        <v>138.64999999999998</v>
      </c>
      <c r="AZ34" s="125">
        <f t="shared" si="24"/>
        <v>146.30609374978198</v>
      </c>
      <c r="BA34" s="159">
        <f t="shared" si="8"/>
        <v>5.2807436619718304</v>
      </c>
      <c r="BB34" s="159">
        <f t="shared" si="9"/>
        <v>5.5459999999999994</v>
      </c>
      <c r="BC34" s="180">
        <f t="shared" si="10"/>
        <v>0.84570540209148637</v>
      </c>
      <c r="BD34" s="159">
        <f t="shared" si="25"/>
        <v>10.826743661971829</v>
      </c>
      <c r="BE34" s="167">
        <v>0.88900000000000001</v>
      </c>
      <c r="BF34" s="25">
        <f t="shared" si="26"/>
        <v>3394.2700000000004</v>
      </c>
      <c r="BG34" s="25">
        <f t="shared" si="11"/>
        <v>125.66666666666667</v>
      </c>
      <c r="BH34" s="25">
        <f t="shared" si="27"/>
        <v>3518.6666666666656</v>
      </c>
      <c r="BI34" s="26">
        <f t="shared" si="12"/>
        <v>1</v>
      </c>
      <c r="BJ34" s="37">
        <f t="shared" si="28"/>
        <v>3518.6666666666656</v>
      </c>
      <c r="BK34" s="38">
        <v>213.86799999999999</v>
      </c>
      <c r="BL34" s="30"/>
      <c r="BM34" s="43"/>
      <c r="BN34" s="43">
        <v>61.070999999999998</v>
      </c>
      <c r="BO34" s="281"/>
      <c r="BP34" s="281"/>
      <c r="BQ34" s="44">
        <v>30.49</v>
      </c>
      <c r="BR34" s="45">
        <v>1.1100000000000001</v>
      </c>
      <c r="BS34" s="46"/>
      <c r="BT34" s="47"/>
      <c r="BU34" s="47"/>
      <c r="BV34" s="283"/>
      <c r="BW34" s="283"/>
      <c r="BX34" s="48"/>
      <c r="BY34" s="45">
        <v>38.89</v>
      </c>
      <c r="BZ34" s="46"/>
      <c r="CA34" s="47"/>
      <c r="CB34" s="47">
        <v>43.81</v>
      </c>
      <c r="CC34" s="283"/>
      <c r="CD34" s="283"/>
      <c r="CE34" s="48">
        <v>43.73</v>
      </c>
      <c r="CF34" s="49">
        <v>74.480999999999995</v>
      </c>
      <c r="CG34" s="49"/>
      <c r="CH34" s="43"/>
      <c r="CI34" s="32">
        <v>116.45099999999999</v>
      </c>
      <c r="CJ34" s="33">
        <v>3.14</v>
      </c>
      <c r="CK34" s="33"/>
      <c r="CL34" s="35"/>
      <c r="CM34" s="36">
        <v>3.14</v>
      </c>
      <c r="CN34" s="270"/>
      <c r="CO34" s="249">
        <f t="shared" si="34"/>
        <v>211.49406519999999</v>
      </c>
      <c r="CP34" s="12">
        <f t="shared" si="34"/>
        <v>0</v>
      </c>
      <c r="CQ34" s="12">
        <f t="shared" si="34"/>
        <v>0</v>
      </c>
      <c r="CR34" s="12">
        <f t="shared" si="34"/>
        <v>61.070999999999998</v>
      </c>
      <c r="CS34" s="11">
        <f t="shared" si="34"/>
        <v>0</v>
      </c>
      <c r="CT34" s="11">
        <f t="shared" si="34"/>
        <v>0</v>
      </c>
      <c r="CU34" s="272">
        <f t="shared" si="34"/>
        <v>30.49</v>
      </c>
      <c r="CV34" s="249">
        <f t="shared" si="14"/>
        <v>72.142296599999995</v>
      </c>
      <c r="CW34" s="12">
        <f t="shared" si="14"/>
        <v>0</v>
      </c>
      <c r="CX34" s="249">
        <f t="shared" si="14"/>
        <v>0</v>
      </c>
      <c r="CY34" s="272">
        <f t="shared" si="14"/>
        <v>112.79443859999999</v>
      </c>
      <c r="CZ34" s="13"/>
      <c r="DA34" s="240">
        <f>(D34+'[2]ноябрь 20'!D34)/(AY34+'[2]ноябрь 20'!BA34)</f>
        <v>2.1136138741489692</v>
      </c>
      <c r="DB34" s="241">
        <f>(T34+'[2]ноябрь 20'!T34)/(AY34+'[2]ноябрь 20'!BA34)</f>
        <v>1.2599171351624088</v>
      </c>
      <c r="DD34" s="292">
        <f t="shared" si="15"/>
        <v>12.154999999999999</v>
      </c>
      <c r="DE34" s="291">
        <v>0.84</v>
      </c>
      <c r="DF34" s="291">
        <v>19.690000000000001</v>
      </c>
      <c r="DG34" s="145">
        <f t="shared" si="16"/>
        <v>12.052897999999999</v>
      </c>
      <c r="DH34" s="293">
        <f t="shared" si="29"/>
        <v>3.1812541772117964</v>
      </c>
      <c r="DJ34" s="322">
        <f t="shared" si="38"/>
        <v>303.0550652</v>
      </c>
    </row>
    <row r="35" spans="1:114" s="76" customFormat="1" ht="16.5" customHeight="1" thickBot="1">
      <c r="A35" s="144">
        <v>29</v>
      </c>
      <c r="B35" s="122">
        <f>'[1]ноябрь 20'!K34</f>
        <v>298.84699999999998</v>
      </c>
      <c r="C35" s="123">
        <f t="shared" si="17"/>
        <v>1.1734766619708412</v>
      </c>
      <c r="D35" s="145">
        <f t="shared" si="30"/>
        <v>295.34010019999999</v>
      </c>
      <c r="E35" s="125">
        <f t="shared" si="32"/>
        <v>40.729080097842711</v>
      </c>
      <c r="F35" s="146">
        <f t="shared" si="0"/>
        <v>2.23201405834341</v>
      </c>
      <c r="G35" s="127">
        <v>13.4</v>
      </c>
      <c r="H35" s="126">
        <f t="shared" si="20"/>
        <v>1.5605131514510278</v>
      </c>
      <c r="I35" s="230">
        <f>'[1]июль 20'!AI34</f>
        <v>0</v>
      </c>
      <c r="J35" s="247">
        <f>'[1]ноябрь 20'!AA34</f>
        <v>12.084</v>
      </c>
      <c r="K35" s="464">
        <f>'[1]сентябрь 20'!AM34</f>
        <v>0</v>
      </c>
      <c r="L35" s="446">
        <f>'[1]ноябрь 20'!AE34</f>
        <v>88.852999999999994</v>
      </c>
      <c r="M35" s="469">
        <f t="shared" si="21"/>
        <v>0.67150090689238207</v>
      </c>
      <c r="N35" s="403">
        <f>'[1]ноябрь 20'!W34</f>
        <v>0</v>
      </c>
      <c r="O35" s="403">
        <f>'[1]ноябрь 20'!AU34</f>
        <v>6.1470000000000002</v>
      </c>
      <c r="P35" s="401">
        <f t="shared" si="1"/>
        <v>188.38900000000001</v>
      </c>
      <c r="Q35" s="122">
        <f>'[1]ноябрь 20'!S34</f>
        <v>188.38900000000001</v>
      </c>
      <c r="R35" s="123">
        <f t="shared" si="37"/>
        <v>3.0299999999999994</v>
      </c>
      <c r="S35" s="129"/>
      <c r="T35" s="125">
        <f t="shared" si="35"/>
        <v>182.68081330000001</v>
      </c>
      <c r="U35" s="147">
        <f t="shared" si="31"/>
        <v>1.3805986494860945</v>
      </c>
      <c r="V35" s="130">
        <v>76.72</v>
      </c>
      <c r="W35" s="130">
        <v>132.32</v>
      </c>
      <c r="X35" s="129">
        <v>0.56999999999999995</v>
      </c>
      <c r="Y35" s="150">
        <v>520</v>
      </c>
      <c r="Z35" s="150">
        <v>1170</v>
      </c>
      <c r="AA35" s="148" t="s">
        <v>120</v>
      </c>
      <c r="AB35" s="149">
        <v>74.680000000000007</v>
      </c>
      <c r="AC35" s="150">
        <v>119</v>
      </c>
      <c r="AD35" s="151">
        <v>5</v>
      </c>
      <c r="AE35" s="181"/>
      <c r="AF35" s="134">
        <f t="shared" si="4"/>
        <v>0</v>
      </c>
      <c r="AG35" s="182"/>
      <c r="AH35" s="129">
        <v>80.5</v>
      </c>
      <c r="AI35" s="134">
        <f t="shared" si="5"/>
        <v>608.37363966142686</v>
      </c>
      <c r="AJ35" s="136">
        <v>19.25</v>
      </c>
      <c r="AK35" s="154"/>
      <c r="AL35" s="526">
        <v>7.09</v>
      </c>
      <c r="AM35" s="528">
        <v>36.6</v>
      </c>
      <c r="AN35" s="527">
        <f t="shared" si="23"/>
        <v>0.2105263157894737</v>
      </c>
      <c r="AO35" s="184" t="s">
        <v>407</v>
      </c>
      <c r="AP35" s="183">
        <v>7.16</v>
      </c>
      <c r="AQ35" s="183">
        <v>7.84</v>
      </c>
      <c r="AR35" s="185"/>
      <c r="AS35" s="181">
        <v>9.59</v>
      </c>
      <c r="AT35" s="149">
        <v>173.85</v>
      </c>
      <c r="AU35" s="181">
        <v>2.16</v>
      </c>
      <c r="AV35" s="149"/>
      <c r="AW35" s="149"/>
      <c r="AX35" s="158">
        <f t="shared" si="6"/>
        <v>0</v>
      </c>
      <c r="AY35" s="125">
        <f t="shared" si="33"/>
        <v>132.32</v>
      </c>
      <c r="AZ35" s="125">
        <f t="shared" si="24"/>
        <v>143.27395345817558</v>
      </c>
      <c r="BA35" s="159">
        <f t="shared" si="8"/>
        <v>5.9802429577464782</v>
      </c>
      <c r="BB35" s="160">
        <f t="shared" si="9"/>
        <v>5.2927999999999997</v>
      </c>
      <c r="BC35" s="161">
        <f t="shared" si="10"/>
        <v>0.8214909480266418</v>
      </c>
      <c r="BD35" s="160">
        <f t="shared" si="25"/>
        <v>11.273042957746478</v>
      </c>
      <c r="BE35" s="162">
        <v>0.88600000000000001</v>
      </c>
      <c r="BF35" s="25">
        <f t="shared" si="26"/>
        <v>3526.5900000000006</v>
      </c>
      <c r="BG35" s="25">
        <f t="shared" si="11"/>
        <v>125.66666666666667</v>
      </c>
      <c r="BH35" s="25">
        <f t="shared" si="27"/>
        <v>3644.3333333333321</v>
      </c>
      <c r="BI35" s="26">
        <f t="shared" si="12"/>
        <v>1</v>
      </c>
      <c r="BJ35" s="37">
        <f t="shared" si="28"/>
        <v>3644.3333333333321</v>
      </c>
      <c r="BK35" s="38">
        <v>209.994</v>
      </c>
      <c r="BL35" s="31"/>
      <c r="BM35" s="31"/>
      <c r="BN35" s="31">
        <v>59.780999999999999</v>
      </c>
      <c r="BO35" s="40"/>
      <c r="BP35" s="40"/>
      <c r="BQ35" s="32">
        <v>29.071999999999999</v>
      </c>
      <c r="BR35" s="33">
        <v>1.67</v>
      </c>
      <c r="BS35" s="34"/>
      <c r="BT35" s="35"/>
      <c r="BU35" s="35"/>
      <c r="BV35" s="235"/>
      <c r="BW35" s="235"/>
      <c r="BX35" s="36"/>
      <c r="BY35" s="33">
        <v>39.36</v>
      </c>
      <c r="BZ35" s="34"/>
      <c r="CA35" s="35"/>
      <c r="CB35" s="35">
        <v>44.04</v>
      </c>
      <c r="CC35" s="235"/>
      <c r="CD35" s="235"/>
      <c r="CE35" s="36">
        <v>43.81</v>
      </c>
      <c r="CF35" s="30">
        <v>73.426000000000002</v>
      </c>
      <c r="CG35" s="30"/>
      <c r="CH35" s="31"/>
      <c r="CI35" s="50">
        <v>114.96299999999999</v>
      </c>
      <c r="CJ35" s="33">
        <v>3.03</v>
      </c>
      <c r="CK35" s="33"/>
      <c r="CL35" s="35"/>
      <c r="CM35" s="36">
        <v>3.03</v>
      </c>
      <c r="CN35" s="270"/>
      <c r="CO35" s="249">
        <f t="shared" si="34"/>
        <v>206.48710019999999</v>
      </c>
      <c r="CP35" s="12">
        <f t="shared" si="34"/>
        <v>0</v>
      </c>
      <c r="CQ35" s="12">
        <f t="shared" si="34"/>
        <v>0</v>
      </c>
      <c r="CR35" s="12">
        <f t="shared" si="34"/>
        <v>59.780999999999999</v>
      </c>
      <c r="CS35" s="11">
        <f t="shared" si="34"/>
        <v>0</v>
      </c>
      <c r="CT35" s="11">
        <f t="shared" si="34"/>
        <v>0</v>
      </c>
      <c r="CU35" s="272">
        <f t="shared" si="34"/>
        <v>29.071999999999999</v>
      </c>
      <c r="CV35" s="249">
        <f t="shared" si="14"/>
        <v>71.201192200000008</v>
      </c>
      <c r="CW35" s="12">
        <f t="shared" si="14"/>
        <v>0</v>
      </c>
      <c r="CX35" s="249">
        <f t="shared" si="14"/>
        <v>0</v>
      </c>
      <c r="CY35" s="272">
        <f t="shared" si="14"/>
        <v>111.47962109999999</v>
      </c>
      <c r="CZ35" s="13"/>
      <c r="DA35" s="240">
        <f>(D35+'[2]ноябрь 20'!D35)/(AY35+'[2]ноябрь 20'!BA35)</f>
        <v>2.1889743276578595</v>
      </c>
      <c r="DB35" s="241">
        <f>(T35+'[2]ноябрь 20'!T35)/(AY35+'[2]ноябрь 20'!BA35)</f>
        <v>1.3186834063623831</v>
      </c>
      <c r="DD35" s="292">
        <f t="shared" si="15"/>
        <v>12.084</v>
      </c>
      <c r="DE35" s="291">
        <v>0.11</v>
      </c>
      <c r="DF35" s="291">
        <v>16.440000000000001</v>
      </c>
      <c r="DG35" s="145">
        <f t="shared" si="16"/>
        <v>12.0707076</v>
      </c>
      <c r="DH35" s="293">
        <f t="shared" si="29"/>
        <v>2.6572366489555441</v>
      </c>
      <c r="DJ35" s="322">
        <f t="shared" si="38"/>
        <v>295.34010019999999</v>
      </c>
    </row>
    <row r="36" spans="1:114" s="76" customFormat="1" ht="16.5" customHeight="1" thickBot="1">
      <c r="A36" s="144">
        <v>30</v>
      </c>
      <c r="B36" s="122">
        <f>'[1]ноябрь 20'!K35</f>
        <v>295.26799999999997</v>
      </c>
      <c r="C36" s="123">
        <f t="shared" si="17"/>
        <v>0.91022366121625098</v>
      </c>
      <c r="D36" s="145">
        <f t="shared" si="30"/>
        <v>292.58040080000001</v>
      </c>
      <c r="E36" s="125">
        <f t="shared" si="32"/>
        <v>40.197296760908742</v>
      </c>
      <c r="F36" s="146">
        <f t="shared" si="0"/>
        <v>2.2018392594822398</v>
      </c>
      <c r="G36" s="127">
        <v>30.51</v>
      </c>
      <c r="H36" s="126">
        <f t="shared" si="20"/>
        <v>1.6241450993377482</v>
      </c>
      <c r="I36" s="230">
        <f>'[1]июль 20'!AI35</f>
        <v>0</v>
      </c>
      <c r="J36" s="247">
        <f>'[1]ноябрь 20'!AA35</f>
        <v>11.685</v>
      </c>
      <c r="K36" s="464">
        <f>'[1]сентябрь 20'!AM35</f>
        <v>0</v>
      </c>
      <c r="L36" s="446">
        <f>'[1]ноябрь 20'!AE35</f>
        <v>76.763999999999996</v>
      </c>
      <c r="M36" s="468">
        <f t="shared" si="21"/>
        <v>0.57769416014449138</v>
      </c>
      <c r="N36" s="403">
        <f>'[1]ноябрь 20'!W35</f>
        <v>0</v>
      </c>
      <c r="O36" s="403">
        <f>'[1]ноябрь 20'!AU35</f>
        <v>6.3959999999999999</v>
      </c>
      <c r="P36" s="401">
        <f t="shared" si="1"/>
        <v>184.96800000000002</v>
      </c>
      <c r="Q36" s="122">
        <f>'[1]ноябрь 20'!S35</f>
        <v>184.96799999999999</v>
      </c>
      <c r="R36" s="123">
        <f t="shared" si="37"/>
        <v>3.15</v>
      </c>
      <c r="S36" s="129">
        <v>18.63</v>
      </c>
      <c r="T36" s="125">
        <f t="shared" si="35"/>
        <v>179.14150799999999</v>
      </c>
      <c r="U36" s="147">
        <f t="shared" si="31"/>
        <v>1.3481450030102347</v>
      </c>
      <c r="V36" s="130">
        <v>79.680000000000007</v>
      </c>
      <c r="W36" s="130">
        <v>129.21</v>
      </c>
      <c r="X36" s="129">
        <v>0.5</v>
      </c>
      <c r="Y36" s="150">
        <v>535</v>
      </c>
      <c r="Z36" s="150">
        <v>1168</v>
      </c>
      <c r="AA36" s="148" t="s">
        <v>171</v>
      </c>
      <c r="AB36" s="149">
        <v>74.75</v>
      </c>
      <c r="AC36" s="150">
        <v>118</v>
      </c>
      <c r="AD36" s="151">
        <v>5</v>
      </c>
      <c r="AE36" s="149"/>
      <c r="AF36" s="134">
        <f t="shared" si="4"/>
        <v>0</v>
      </c>
      <c r="AG36" s="152"/>
      <c r="AH36" s="129">
        <v>95.3</v>
      </c>
      <c r="AI36" s="134">
        <f t="shared" si="5"/>
        <v>717.18844069837451</v>
      </c>
      <c r="AJ36" s="153">
        <v>17.149999999999999</v>
      </c>
      <c r="AK36" s="154"/>
      <c r="AL36" s="155">
        <v>10.35</v>
      </c>
      <c r="AM36" s="478">
        <v>38.020000000000003</v>
      </c>
      <c r="AN36" s="126">
        <f t="shared" si="23"/>
        <v>0.20976551724137932</v>
      </c>
      <c r="AO36" s="157" t="s">
        <v>454</v>
      </c>
      <c r="AP36" s="156">
        <v>7.21</v>
      </c>
      <c r="AQ36" s="156">
        <v>8.32</v>
      </c>
      <c r="AR36" s="151"/>
      <c r="AS36" s="149">
        <v>9.81</v>
      </c>
      <c r="AT36" s="149">
        <v>181.25</v>
      </c>
      <c r="AU36" s="149"/>
      <c r="AV36" s="149"/>
      <c r="AW36" s="149"/>
      <c r="AX36" s="158">
        <f t="shared" si="6"/>
        <v>0</v>
      </c>
      <c r="AY36" s="125">
        <f t="shared" si="33"/>
        <v>132.88</v>
      </c>
      <c r="AZ36" s="125">
        <f t="shared" si="24"/>
        <v>140.20251073117794</v>
      </c>
      <c r="BA36" s="159">
        <f t="shared" si="8"/>
        <v>7.2421288732394373</v>
      </c>
      <c r="BB36" s="160">
        <f t="shared" si="9"/>
        <v>5.3151999999999999</v>
      </c>
      <c r="BC36" s="161">
        <f t="shared" si="10"/>
        <v>0.84455655659684925</v>
      </c>
      <c r="BD36" s="160">
        <f t="shared" si="25"/>
        <v>12.557328873239438</v>
      </c>
      <c r="BE36" s="162">
        <v>0.88500000000000001</v>
      </c>
      <c r="BF36" s="25">
        <f t="shared" si="26"/>
        <v>3659.4700000000007</v>
      </c>
      <c r="BG36" s="25">
        <f t="shared" si="11"/>
        <v>125.66666666666667</v>
      </c>
      <c r="BH36" s="25">
        <f t="shared" si="27"/>
        <v>3769.9999999999986</v>
      </c>
      <c r="BI36" s="26">
        <f t="shared" si="12"/>
        <v>1</v>
      </c>
      <c r="BJ36" s="37">
        <f t="shared" si="28"/>
        <v>3769.9999999999986</v>
      </c>
      <c r="BK36" s="38">
        <v>218.50399999999999</v>
      </c>
      <c r="BL36" s="31"/>
      <c r="BM36" s="31"/>
      <c r="BN36" s="31">
        <v>59.066000000000003</v>
      </c>
      <c r="BO36" s="40"/>
      <c r="BP36" s="40"/>
      <c r="BQ36" s="32">
        <v>17.698</v>
      </c>
      <c r="BR36" s="33">
        <v>1.23</v>
      </c>
      <c r="BS36" s="34"/>
      <c r="BT36" s="35"/>
      <c r="BU36" s="35"/>
      <c r="BV36" s="235"/>
      <c r="BW36" s="235"/>
      <c r="BX36" s="36"/>
      <c r="BY36" s="33">
        <v>39.04</v>
      </c>
      <c r="BZ36" s="34"/>
      <c r="CA36" s="35"/>
      <c r="CB36" s="35">
        <v>43.42</v>
      </c>
      <c r="CC36" s="235"/>
      <c r="CD36" s="235"/>
      <c r="CE36" s="36">
        <v>43.73</v>
      </c>
      <c r="CF36" s="30">
        <v>71.927000000000007</v>
      </c>
      <c r="CG36" s="30"/>
      <c r="CH36" s="34"/>
      <c r="CI36" s="50">
        <v>113.041</v>
      </c>
      <c r="CJ36" s="33">
        <v>3.15</v>
      </c>
      <c r="CK36" s="33"/>
      <c r="CL36" s="35"/>
      <c r="CM36" s="36">
        <v>3.15</v>
      </c>
      <c r="CN36" s="270"/>
      <c r="CO36" s="249">
        <f t="shared" si="34"/>
        <v>215.81640079999997</v>
      </c>
      <c r="CP36" s="12">
        <f t="shared" si="34"/>
        <v>0</v>
      </c>
      <c r="CQ36" s="12">
        <f t="shared" si="34"/>
        <v>0</v>
      </c>
      <c r="CR36" s="12">
        <f t="shared" si="34"/>
        <v>59.066000000000003</v>
      </c>
      <c r="CS36" s="11">
        <f t="shared" si="34"/>
        <v>0</v>
      </c>
      <c r="CT36" s="11">
        <f t="shared" si="34"/>
        <v>0</v>
      </c>
      <c r="CU36" s="272">
        <f t="shared" si="34"/>
        <v>17.698</v>
      </c>
      <c r="CV36" s="249">
        <f t="shared" si="14"/>
        <v>69.661299499999998</v>
      </c>
      <c r="CW36" s="12">
        <f t="shared" si="14"/>
        <v>0</v>
      </c>
      <c r="CX36" s="249">
        <f t="shared" si="14"/>
        <v>0</v>
      </c>
      <c r="CY36" s="274">
        <f t="shared" si="14"/>
        <v>109.48020849999999</v>
      </c>
      <c r="CZ36" s="13"/>
      <c r="DA36" s="240">
        <f>(D36+'[2]ноябрь 20'!D36)/(AY36+'[2]ноябрь 20'!BA36)</f>
        <v>2.3085220072017658</v>
      </c>
      <c r="DB36" s="241">
        <f>(T36+'[2]ноябрь 20'!T36)/(AY36+'[2]ноябрь 20'!BA36)</f>
        <v>1.3876800673713556</v>
      </c>
      <c r="DD36" s="292">
        <f t="shared" si="15"/>
        <v>11.685</v>
      </c>
      <c r="DE36" s="291">
        <v>0.14000000000000001</v>
      </c>
      <c r="DF36" s="291">
        <v>18.239999999999998</v>
      </c>
      <c r="DG36" s="145">
        <f t="shared" si="16"/>
        <v>11.668641000000001</v>
      </c>
      <c r="DH36" s="293">
        <f t="shared" si="29"/>
        <v>2.8473045062207354</v>
      </c>
      <c r="DJ36" s="322">
        <f t="shared" si="38"/>
        <v>292.58040079999995</v>
      </c>
    </row>
    <row r="37" spans="1:114" s="76" customFormat="1" ht="16.5" customHeight="1" thickBot="1">
      <c r="A37" s="186">
        <v>31</v>
      </c>
      <c r="B37" s="122">
        <f>'[1]ноябрь 20'!K36</f>
        <v>0</v>
      </c>
      <c r="C37" s="123">
        <f t="shared" si="17"/>
        <v>0</v>
      </c>
      <c r="D37" s="187">
        <f t="shared" si="18"/>
        <v>0</v>
      </c>
      <c r="E37" s="285">
        <f t="shared" si="19"/>
        <v>0</v>
      </c>
      <c r="F37" s="189">
        <f t="shared" si="0"/>
        <v>0</v>
      </c>
      <c r="G37" s="127"/>
      <c r="H37" s="126">
        <f t="shared" si="20"/>
        <v>0</v>
      </c>
      <c r="I37" s="230">
        <f>'[1]июль 20'!AI36</f>
        <v>0</v>
      </c>
      <c r="J37" s="451">
        <f>'[1]ноябрь 20'!AA36</f>
        <v>0</v>
      </c>
      <c r="K37" s="276">
        <f>'[1]сентябрь 20'!AM36</f>
        <v>0</v>
      </c>
      <c r="L37" s="446">
        <f>'[1]ноябрь 20'!AE36</f>
        <v>0</v>
      </c>
      <c r="M37" s="128">
        <f t="shared" si="21"/>
        <v>0</v>
      </c>
      <c r="N37" s="399">
        <f>'[1]ноябрь 20'!W36</f>
        <v>0</v>
      </c>
      <c r="O37" s="399">
        <f>'[1]ноябрь 20'!AU36</f>
        <v>0</v>
      </c>
      <c r="P37" s="125">
        <f t="shared" si="1"/>
        <v>0</v>
      </c>
      <c r="Q37" s="122">
        <f>'[1]ноябрь 20'!S36</f>
        <v>0</v>
      </c>
      <c r="R37" s="123">
        <f t="shared" si="22"/>
        <v>0</v>
      </c>
      <c r="S37" s="501"/>
      <c r="T37" s="125">
        <f t="shared" si="2"/>
        <v>0</v>
      </c>
      <c r="U37" s="191">
        <f t="shared" si="3"/>
        <v>0</v>
      </c>
      <c r="V37" s="192"/>
      <c r="W37" s="192"/>
      <c r="X37" s="190"/>
      <c r="Y37" s="193"/>
      <c r="Z37" s="194"/>
      <c r="AA37" s="195"/>
      <c r="AB37" s="196"/>
      <c r="AC37" s="194"/>
      <c r="AD37" s="193"/>
      <c r="AE37" s="196"/>
      <c r="AF37" s="134">
        <f t="shared" si="4"/>
        <v>0</v>
      </c>
      <c r="AG37" s="197"/>
      <c r="AH37" s="190"/>
      <c r="AI37" s="134">
        <f t="shared" si="5"/>
        <v>0</v>
      </c>
      <c r="AJ37" s="196"/>
      <c r="AK37" s="198"/>
      <c r="AL37" s="199"/>
      <c r="AM37" s="525">
        <f t="shared" ref="AM37" si="39">AT37*0.2</f>
        <v>0</v>
      </c>
      <c r="AN37" s="126">
        <f t="shared" si="23"/>
        <v>0</v>
      </c>
      <c r="AO37" s="201"/>
      <c r="AP37" s="200"/>
      <c r="AQ37" s="201"/>
      <c r="AR37" s="193"/>
      <c r="AS37" s="196"/>
      <c r="AT37" s="242"/>
      <c r="AU37" s="196"/>
      <c r="AV37" s="196"/>
      <c r="AW37" s="196"/>
      <c r="AX37" s="202">
        <f t="shared" si="6"/>
        <v>0</v>
      </c>
      <c r="AY37" s="188">
        <f t="shared" si="7"/>
        <v>0</v>
      </c>
      <c r="AZ37" s="125">
        <f t="shared" si="24"/>
        <v>0</v>
      </c>
      <c r="BA37" s="203">
        <f t="shared" si="8"/>
        <v>0</v>
      </c>
      <c r="BB37" s="204">
        <f t="shared" si="9"/>
        <v>0</v>
      </c>
      <c r="BC37" s="205">
        <f t="shared" si="10"/>
        <v>0</v>
      </c>
      <c r="BD37" s="206">
        <f t="shared" si="25"/>
        <v>0</v>
      </c>
      <c r="BE37" s="207"/>
      <c r="BF37" s="25">
        <f t="shared" si="26"/>
        <v>3659.4700000000007</v>
      </c>
      <c r="BG37" s="25">
        <f t="shared" si="11"/>
        <v>0</v>
      </c>
      <c r="BH37" s="25">
        <f t="shared" si="27"/>
        <v>3769.9999999999986</v>
      </c>
      <c r="BI37" s="26">
        <f t="shared" si="12"/>
        <v>0</v>
      </c>
      <c r="BJ37" s="37">
        <f t="shared" si="28"/>
        <v>3769.9999999999986</v>
      </c>
      <c r="BK37" s="51"/>
      <c r="BL37" s="53"/>
      <c r="BM37" s="53"/>
      <c r="BN37" s="53"/>
      <c r="BO37" s="282"/>
      <c r="BP37" s="282"/>
      <c r="BQ37" s="54"/>
      <c r="BR37" s="55"/>
      <c r="BS37" s="52"/>
      <c r="BT37" s="56"/>
      <c r="BU37" s="56"/>
      <c r="BV37" s="284"/>
      <c r="BW37" s="284"/>
      <c r="BX37" s="57"/>
      <c r="BY37" s="55"/>
      <c r="BZ37" s="52"/>
      <c r="CA37" s="56"/>
      <c r="CB37" s="56"/>
      <c r="CC37" s="284"/>
      <c r="CD37" s="284"/>
      <c r="CE37" s="57"/>
      <c r="CF37" s="58"/>
      <c r="CG37" s="58"/>
      <c r="CH37" s="52"/>
      <c r="CI37" s="54"/>
      <c r="CJ37" s="33"/>
      <c r="CK37" s="265"/>
      <c r="CL37" s="59"/>
      <c r="CM37" s="60"/>
      <c r="CN37" s="270"/>
      <c r="CO37" s="269">
        <f t="shared" ref="CO37:CU37" si="40">BK37*((100-BR37)/100)</f>
        <v>0</v>
      </c>
      <c r="CP37" s="18">
        <f t="shared" si="40"/>
        <v>0</v>
      </c>
      <c r="CQ37" s="18">
        <f t="shared" si="40"/>
        <v>0</v>
      </c>
      <c r="CR37" s="18">
        <f t="shared" si="40"/>
        <v>0</v>
      </c>
      <c r="CS37" s="251">
        <f t="shared" si="40"/>
        <v>0</v>
      </c>
      <c r="CT37" s="11">
        <f t="shared" si="40"/>
        <v>0</v>
      </c>
      <c r="CU37" s="273">
        <f t="shared" si="40"/>
        <v>0</v>
      </c>
      <c r="CV37" s="269">
        <f t="shared" si="14"/>
        <v>0</v>
      </c>
      <c r="CW37" s="18">
        <f t="shared" si="14"/>
        <v>0</v>
      </c>
      <c r="CX37" s="261">
        <f t="shared" si="14"/>
        <v>0</v>
      </c>
      <c r="CY37" s="273">
        <f t="shared" si="14"/>
        <v>0</v>
      </c>
      <c r="CZ37" s="13"/>
      <c r="DA37" s="240" t="e">
        <f>(D37+'[2]ноябрь 20'!D37)/(AY37+'[2]ноябрь 20'!BA37)</f>
        <v>#DIV/0!</v>
      </c>
      <c r="DB37" s="241" t="e">
        <f>(T37+'[2]ноябрь 20'!T37)/(AY37+'[2]ноябрь 20'!BA37)</f>
        <v>#DIV/0!</v>
      </c>
      <c r="DD37" s="292">
        <f t="shared" si="15"/>
        <v>0</v>
      </c>
      <c r="DE37" s="294"/>
      <c r="DF37" s="294"/>
      <c r="DG37" s="323">
        <f t="shared" si="16"/>
        <v>0</v>
      </c>
      <c r="DH37" s="293">
        <f t="shared" si="29"/>
        <v>0</v>
      </c>
      <c r="DJ37" s="322">
        <f t="shared" si="38"/>
        <v>0</v>
      </c>
    </row>
    <row r="38" spans="1:114" s="214" customFormat="1" ht="16.5" customHeight="1" thickBot="1">
      <c r="A38" s="91" t="s">
        <v>56</v>
      </c>
      <c r="B38" s="329">
        <f>SUM(B7:B37)</f>
        <v>8033.9370000000008</v>
      </c>
      <c r="C38" s="330"/>
      <c r="D38" s="331">
        <f>SUM(D7:D37)</f>
        <v>7937.1282690824428</v>
      </c>
      <c r="E38" s="332"/>
      <c r="F38" s="331"/>
      <c r="G38" s="333">
        <f>SUM(G7:G37)</f>
        <v>395.48999999999995</v>
      </c>
      <c r="H38" s="329"/>
      <c r="I38" s="334">
        <f>SUM(I7:I37)</f>
        <v>0</v>
      </c>
      <c r="J38" s="329">
        <f>SUM(J7:J37)</f>
        <v>319.3381</v>
      </c>
      <c r="K38" s="329">
        <f>SUM(K7:K37)</f>
        <v>0</v>
      </c>
      <c r="L38" s="329">
        <f>SUM(L7:L37)</f>
        <v>1927.864</v>
      </c>
      <c r="M38" s="335"/>
      <c r="N38" s="329">
        <f>SUM(N7:N37)</f>
        <v>0</v>
      </c>
      <c r="O38" s="329">
        <f>SUM(O7:O37)</f>
        <v>204.39999999999998</v>
      </c>
      <c r="P38" s="330">
        <f>SUM(P7:P37)</f>
        <v>5171.3250010000002</v>
      </c>
      <c r="Q38" s="329">
        <f>SUM(Q7:Q37)</f>
        <v>5171.3249999999998</v>
      </c>
      <c r="R38" s="336">
        <f>IF(Q38=0,0,(CA38*CH38+CE38*CI38+CF38*CJ38)/Q38)</f>
        <v>0</v>
      </c>
      <c r="S38" s="329">
        <f>SUM(S7:S37)</f>
        <v>384.33</v>
      </c>
      <c r="T38" s="331">
        <f>SUM(T7:T37)</f>
        <v>5022.3951649999999</v>
      </c>
      <c r="U38" s="337"/>
      <c r="V38" s="332">
        <f>SUM(V7:V37)</f>
        <v>3032.7200000000003</v>
      </c>
      <c r="W38" s="332">
        <f>SUM(W7:W37)</f>
        <v>2593.42</v>
      </c>
      <c r="X38" s="338"/>
      <c r="Y38" s="337"/>
      <c r="Z38" s="339"/>
      <c r="AA38" s="340"/>
      <c r="AB38" s="338"/>
      <c r="AC38" s="339"/>
      <c r="AD38" s="339">
        <f>SUM(AD7:AD37)</f>
        <v>142</v>
      </c>
      <c r="AE38" s="332">
        <f>SUM(AE7:AE37)</f>
        <v>47.55</v>
      </c>
      <c r="AF38" s="341"/>
      <c r="AG38" s="342">
        <f>SUM(AG7:AG37)</f>
        <v>0</v>
      </c>
      <c r="AH38" s="332">
        <f>SUM(AH7:AH37)</f>
        <v>2412.4499999999998</v>
      </c>
      <c r="AI38" s="341"/>
      <c r="AJ38" s="332">
        <f>SUM(AJ7:AJ37)</f>
        <v>495.93000000000006</v>
      </c>
      <c r="AK38" s="343"/>
      <c r="AL38" s="522">
        <f>SUM(AL7:AL37)</f>
        <v>239.93999999999997</v>
      </c>
      <c r="AM38" s="345">
        <f>SUM(AM7:AM37)</f>
        <v>1021.32</v>
      </c>
      <c r="AN38" s="345"/>
      <c r="AO38" s="342"/>
      <c r="AP38" s="332"/>
      <c r="AQ38" s="342"/>
      <c r="AR38" s="342"/>
      <c r="AS38" s="346"/>
      <c r="AT38" s="332">
        <f>SUM(AT7:AT37)</f>
        <v>4854.9500000000007</v>
      </c>
      <c r="AU38" s="332">
        <f>SUM(AU7:AU37)</f>
        <v>65.78</v>
      </c>
      <c r="AV38" s="347">
        <f>SUM(AV7:AV37)</f>
        <v>0</v>
      </c>
      <c r="AW38" s="332">
        <f>SUM(AW7:AW37)</f>
        <v>0</v>
      </c>
      <c r="AX38" s="331"/>
      <c r="AY38" s="332">
        <f>SUM(AY7:AY37)</f>
        <v>3659.4700000000007</v>
      </c>
      <c r="AZ38" s="330">
        <f>SUM(AZ7:AZ37)</f>
        <v>3678.2496572509508</v>
      </c>
      <c r="BA38" s="342">
        <f>SUM(BA7:BA37)</f>
        <v>162.65879718309859</v>
      </c>
      <c r="BB38" s="342">
        <f>SUM(BB7:BB37)</f>
        <v>146.37880000000001</v>
      </c>
      <c r="BC38" s="332"/>
      <c r="BD38" s="342">
        <f>SUM(BD7:BD37)</f>
        <v>309.03759718309857</v>
      </c>
      <c r="BE38" s="348"/>
      <c r="BF38" s="19"/>
      <c r="BG38" s="19">
        <f t="shared" si="11"/>
        <v>0</v>
      </c>
      <c r="BH38" s="19"/>
      <c r="BI38" s="208">
        <f>SUM(BI7:BI37)</f>
        <v>30</v>
      </c>
      <c r="BJ38" s="209"/>
      <c r="BK38" s="278">
        <f t="shared" ref="BK38:BQ38" si="41">SUM(BK7:BK37)</f>
        <v>6106.0730000000003</v>
      </c>
      <c r="BL38" s="61">
        <f>SUM(BL7:BL37)</f>
        <v>9.9999999999999995E-7</v>
      </c>
      <c r="BM38" s="61">
        <f t="shared" si="41"/>
        <v>9.9999999999999995E-7</v>
      </c>
      <c r="BN38" s="61">
        <f t="shared" si="41"/>
        <v>1625.5730000000001</v>
      </c>
      <c r="BO38" s="61">
        <f t="shared" si="41"/>
        <v>9.9999999999999995E-7</v>
      </c>
      <c r="BP38" s="61">
        <f t="shared" si="41"/>
        <v>9.9999999999999995E-7</v>
      </c>
      <c r="BQ38" s="64">
        <f t="shared" si="41"/>
        <v>302.29099999999994</v>
      </c>
      <c r="BR38" s="63"/>
      <c r="BS38" s="24"/>
      <c r="BT38" s="24"/>
      <c r="BU38" s="24"/>
      <c r="BV38" s="62"/>
      <c r="BW38" s="62"/>
      <c r="BX38" s="65"/>
      <c r="BY38" s="63"/>
      <c r="BZ38" s="24"/>
      <c r="CA38" s="24"/>
      <c r="CB38" s="24"/>
      <c r="CC38" s="62"/>
      <c r="CD38" s="62"/>
      <c r="CE38" s="62"/>
      <c r="CF38" s="66">
        <f>SUM(CF7:CF37)</f>
        <v>1968.9349999999997</v>
      </c>
      <c r="CG38" s="66">
        <f>SUM(CG7:CG37)</f>
        <v>9.9999999999999995E-7</v>
      </c>
      <c r="CH38" s="61">
        <f>SUM(CH7:CH37)</f>
        <v>54.366999999999997</v>
      </c>
      <c r="CI38" s="67">
        <f>SUM(CI7:CI37)</f>
        <v>3148.0230000000001</v>
      </c>
      <c r="CJ38" s="210"/>
      <c r="CK38" s="266"/>
      <c r="CL38" s="211"/>
      <c r="CM38" s="212"/>
      <c r="CN38" s="213"/>
      <c r="CO38" s="68">
        <f t="shared" ref="CO38:CY38" si="42">SUM(CO7:CO37)</f>
        <v>6009.2642696999992</v>
      </c>
      <c r="CP38" s="69">
        <f t="shared" si="42"/>
        <v>9.9999998999999992E-7</v>
      </c>
      <c r="CQ38" s="70">
        <f t="shared" si="42"/>
        <v>9.9999998999999992E-7</v>
      </c>
      <c r="CR38" s="69">
        <f t="shared" si="42"/>
        <v>1625.57299948431</v>
      </c>
      <c r="CS38" s="72">
        <f t="shared" si="42"/>
        <v>9.9999998999999992E-7</v>
      </c>
      <c r="CT38" s="72">
        <f t="shared" si="42"/>
        <v>9.9999998999999992E-7</v>
      </c>
      <c r="CU38" s="71">
        <f t="shared" si="42"/>
        <v>302.29099989812994</v>
      </c>
      <c r="CV38" s="72">
        <f t="shared" si="42"/>
        <v>1912.2907521</v>
      </c>
      <c r="CW38" s="72">
        <f t="shared" si="42"/>
        <v>9.9999998999999992E-7</v>
      </c>
      <c r="CX38" s="72">
        <f t="shared" si="42"/>
        <v>53.100248899999997</v>
      </c>
      <c r="CY38" s="72">
        <f t="shared" si="42"/>
        <v>3057.004163999999</v>
      </c>
      <c r="CZ38" s="70"/>
      <c r="DA38" s="240">
        <f>(D38+'[2]ноябрь 20'!D38)/(AY38+'[2]ноябрь 20'!BA38)</f>
        <v>2.1466525600034521</v>
      </c>
      <c r="DB38" s="241">
        <f>(T38+'[2]ноябрь 20'!T38)/(AY38+'[2]ноябрь 20'!BA38)</f>
        <v>1.3172576315774089</v>
      </c>
      <c r="DD38" s="295">
        <f>SUM(DD7:DD37)</f>
        <v>319.3381</v>
      </c>
      <c r="DE38" s="296">
        <f>(SUMPRODUCT(DD7:DD37,DE7:DE37))/DD38</f>
        <v>0.28639063425253669</v>
      </c>
      <c r="DF38" s="296">
        <f>(SUMPRODUCT(DD7:DD37,DF7:DF37))/DD38</f>
        <v>15.883042239557382</v>
      </c>
      <c r="DG38" s="296">
        <f>(SUMPRODUCT(DE7:DE37,DG7:DG37))/DE38</f>
        <v>317.79532958345635</v>
      </c>
      <c r="DH38" s="324">
        <f>IF(J38=0,0,(DG38*DF38%)/(AB39/100))</f>
        <v>66.752248702562071</v>
      </c>
    </row>
    <row r="39" spans="1:114" s="214" customFormat="1" ht="16.5" customHeight="1" thickBot="1">
      <c r="A39" s="93" t="s">
        <v>57</v>
      </c>
      <c r="B39" s="349">
        <f>B38/AU2</f>
        <v>267.79790000000003</v>
      </c>
      <c r="C39" s="349">
        <f>(BK38*BR39+BM38*BT39+BQ38*BX39+BL38*BS39+BN38*BU39+BO38*BV39+BP38*BW39)/B38</f>
        <v>1.2049973869294728</v>
      </c>
      <c r="D39" s="350">
        <f>D38/AU2</f>
        <v>264.57094230274811</v>
      </c>
      <c r="E39" s="349">
        <f>(BK38*BY39+BM38*CA39+BQ38*CE39+BL38*BZ39+BN38*CB39+BO38*CC39+BP38*CD39)/B38</f>
        <v>39.406223385869211</v>
      </c>
      <c r="F39" s="351">
        <f>IF($AY$38=0,0,$D$38/$AY$38)</f>
        <v>2.1689283609600412</v>
      </c>
      <c r="G39" s="352">
        <f>G38/AU2</f>
        <v>13.182999999999998</v>
      </c>
      <c r="H39" s="353">
        <f>IF($AY$38=0,0,(CP38+CO38+CS38+CQ38+CT38)/AY38)</f>
        <v>1.6421132769772671</v>
      </c>
      <c r="I39" s="349">
        <f>I38/AU2</f>
        <v>0</v>
      </c>
      <c r="J39" s="349">
        <f>J38/AU2</f>
        <v>10.644603333333333</v>
      </c>
      <c r="K39" s="349">
        <f>K38/AU2</f>
        <v>0</v>
      </c>
      <c r="L39" s="349">
        <f>L38/AU2</f>
        <v>64.262133333333338</v>
      </c>
      <c r="M39" s="354">
        <f>IF($AY$38=0,0,(CR38+CU38)/$AY$38)</f>
        <v>0.52681508507582775</v>
      </c>
      <c r="N39" s="349">
        <f>N38/AU2</f>
        <v>0</v>
      </c>
      <c r="O39" s="349">
        <f>O38/AU2</f>
        <v>6.8133333333333326</v>
      </c>
      <c r="P39" s="349">
        <f>P38/AU2</f>
        <v>172.37750003333335</v>
      </c>
      <c r="Q39" s="349">
        <f>Q38/AU2</f>
        <v>172.3775</v>
      </c>
      <c r="R39" s="349">
        <f>(SUMPRODUCT(R7:R37,Q7:Q37))/Q38</f>
        <v>2.8799163657283202</v>
      </c>
      <c r="S39" s="355">
        <f>S38/AU2</f>
        <v>12.811</v>
      </c>
      <c r="T39" s="356"/>
      <c r="U39" s="354">
        <f>IF($AY$38=0,0,$T$38/$AY$38)</f>
        <v>1.3724378571213862</v>
      </c>
      <c r="V39" s="349">
        <f>V38/AU2</f>
        <v>101.09066666666668</v>
      </c>
      <c r="W39" s="349">
        <f>W38/AU2</f>
        <v>86.447333333333333</v>
      </c>
      <c r="X39" s="349">
        <f>(SUMPRODUCT(X7:X37,AY7:AY37))/AY38</f>
        <v>0.77542190535787947</v>
      </c>
      <c r="Y39" s="357">
        <f>AVERAGE(Y7:Y37)</f>
        <v>562.5</v>
      </c>
      <c r="Z39" s="357">
        <f>AVERAGE(Z7:Z37)</f>
        <v>1164.9000000000001</v>
      </c>
      <c r="AA39" s="357"/>
      <c r="AB39" s="349">
        <f>(SUMPRODUCT(AB7:AB37,AY7:AY37))/AY38</f>
        <v>75.616278723421686</v>
      </c>
      <c r="AC39" s="358">
        <f>AVERAGE(AC7:AC37)</f>
        <v>107.1</v>
      </c>
      <c r="AD39" s="358">
        <f>AVERAGE(AD7:AD37)</f>
        <v>4.7333333333333334</v>
      </c>
      <c r="AE39" s="349">
        <f>AE38/AU2</f>
        <v>1.585</v>
      </c>
      <c r="AF39" s="355">
        <f>IF(AY38=0,0,AE38/AY38*1000)</f>
        <v>12.993684877864824</v>
      </c>
      <c r="AG39" s="356" t="e">
        <f>AG38/$AW$2</f>
        <v>#DIV/0!</v>
      </c>
      <c r="AH39" s="349">
        <f>AH38/AU2</f>
        <v>80.414999999999992</v>
      </c>
      <c r="AI39" s="355">
        <f>IF(AY38=0,0,AH38/AY38*1000)</f>
        <v>659.23480722618285</v>
      </c>
      <c r="AJ39" s="349">
        <f>AJ38/AU2</f>
        <v>16.531000000000002</v>
      </c>
      <c r="AK39" s="359"/>
      <c r="AL39" s="349">
        <f>AL38/AU2</f>
        <v>7.9979999999999993</v>
      </c>
      <c r="AM39" s="349">
        <f>AM38/AU2</f>
        <v>34.044000000000004</v>
      </c>
      <c r="AN39" s="360">
        <f>IF(AM39=0,0,AM39/AT39)</f>
        <v>0.21036673910132958</v>
      </c>
      <c r="AO39" s="356"/>
      <c r="AP39" s="349">
        <f>AVERAGE(AP7:AP37)</f>
        <v>7.4243333333333332</v>
      </c>
      <c r="AQ39" s="349">
        <f>AVERAGE(AQ7:AQ37)</f>
        <v>8.5250000000000004</v>
      </c>
      <c r="AR39" s="356"/>
      <c r="AS39" s="349">
        <f>AVERAGE(AS7:AS37)</f>
        <v>8.7479999999999993</v>
      </c>
      <c r="AT39" s="349">
        <f>AT38/AU2</f>
        <v>161.83166666666668</v>
      </c>
      <c r="AU39" s="349">
        <f>AU38/AU2</f>
        <v>2.1926666666666668</v>
      </c>
      <c r="AV39" s="349" t="e">
        <f>AV38/$AW$2</f>
        <v>#DIV/0!</v>
      </c>
      <c r="AW39" s="349" t="e">
        <f>AW38/$AW$2</f>
        <v>#DIV/0!</v>
      </c>
      <c r="AX39" s="349" t="e">
        <f>IF(AY39=0,0,AW39/AY39*100)</f>
        <v>#DIV/0!</v>
      </c>
      <c r="AY39" s="349">
        <f>AY38/AU2</f>
        <v>121.98233333333336</v>
      </c>
      <c r="AZ39" s="349">
        <f>AZ38/AU2</f>
        <v>122.60832190836503</v>
      </c>
      <c r="BA39" s="356"/>
      <c r="BB39" s="356"/>
      <c r="BC39" s="351">
        <f>(AY38*AB39)/(D38*E39)</f>
        <v>0.88471884523551458</v>
      </c>
      <c r="BD39" s="349">
        <f>BD38/AU2</f>
        <v>10.301253239436619</v>
      </c>
      <c r="BE39" s="361"/>
      <c r="BF39" s="19"/>
      <c r="BG39" s="19"/>
      <c r="BH39" s="19"/>
      <c r="BI39" s="19"/>
      <c r="BJ39" s="215"/>
      <c r="BK39" s="73"/>
      <c r="BL39" s="216"/>
      <c r="BM39" s="216"/>
      <c r="BN39" s="216"/>
      <c r="BO39" s="219"/>
      <c r="BP39" s="219"/>
      <c r="BQ39" s="217"/>
      <c r="BR39" s="73">
        <f>(SUMPRODUCT(BK7:BK37,BR7:BR37))/BK38</f>
        <v>1.5854499332058427</v>
      </c>
      <c r="BS39" s="29">
        <f>(SUMPRODUCT(BL7:BL37,BS7:BS37))/BL38</f>
        <v>9.9999999999999995E-7</v>
      </c>
      <c r="BT39" s="29">
        <f t="shared" ref="BT39:BX39" si="43">(SUMPRODUCT(BM7:BM37,BT7:BT37))/BM38</f>
        <v>9.9999999999999995E-7</v>
      </c>
      <c r="BU39" s="29">
        <f t="shared" si="43"/>
        <v>3.1723583007345717E-8</v>
      </c>
      <c r="BV39" s="29">
        <f t="shared" si="43"/>
        <v>9.9999999999999995E-7</v>
      </c>
      <c r="BW39" s="29">
        <f t="shared" si="43"/>
        <v>9.9999999999999995E-7</v>
      </c>
      <c r="BX39" s="74">
        <f t="shared" si="43"/>
        <v>3.3699316221786297E-8</v>
      </c>
      <c r="BY39" s="73">
        <f t="shared" ref="BY39:CE39" si="44">(SUMPRODUCT(BK7:BK37,BY7:BY37))/BK38</f>
        <v>38.092354233236314</v>
      </c>
      <c r="BZ39" s="29">
        <f t="shared" si="44"/>
        <v>9.9999999999999995E-7</v>
      </c>
      <c r="CA39" s="29">
        <f t="shared" si="44"/>
        <v>9.9999999999999995E-7</v>
      </c>
      <c r="CB39" s="29">
        <f t="shared" si="44"/>
        <v>43.56421921993045</v>
      </c>
      <c r="CC39" s="29">
        <f t="shared" si="44"/>
        <v>9.9999999999999995E-7</v>
      </c>
      <c r="CD39" s="29">
        <f t="shared" si="44"/>
        <v>9.9999999999999995E-7</v>
      </c>
      <c r="CE39" s="74">
        <f t="shared" si="44"/>
        <v>43.585822502158521</v>
      </c>
      <c r="CF39" s="218"/>
      <c r="CG39" s="218"/>
      <c r="CH39" s="216"/>
      <c r="CI39" s="219"/>
      <c r="CJ39" s="75">
        <f>(SUMPRODUCT(CF7:CF37,CJ7:CJ37))/CF38</f>
        <v>2.8768978102375149</v>
      </c>
      <c r="CK39" s="75">
        <f>(SUMPRODUCT(CG7:CG37,CK7:CK37))/CG38</f>
        <v>9.9999999999999995E-7</v>
      </c>
      <c r="CL39" s="29">
        <f>(SUMPRODUCT(CH7:CH37,CL7:CL37))/CH38</f>
        <v>2.33</v>
      </c>
      <c r="CM39" s="74">
        <f>(SUMPRODUCT(CI7:CI37,CM7:CM37))/CI38</f>
        <v>2.8913014930322931</v>
      </c>
      <c r="CN39" s="19"/>
      <c r="CO39" s="596">
        <f>CO38+CP38</f>
        <v>6009.2642706999995</v>
      </c>
      <c r="CP39" s="596"/>
      <c r="CQ39" s="597">
        <f>CQ38+CR38+CU38+CS38+CT38</f>
        <v>1927.8640023824396</v>
      </c>
      <c r="CR39" s="597"/>
      <c r="CS39" s="597"/>
      <c r="CT39" s="597"/>
      <c r="CU39" s="597"/>
      <c r="CV39" s="597">
        <f>CV38+CX38+CY38+CW38</f>
        <v>5022.3951659999993</v>
      </c>
      <c r="CW39" s="597"/>
      <c r="CX39" s="597"/>
      <c r="CY39" s="597"/>
      <c r="DA39" s="236"/>
      <c r="DB39" s="238"/>
      <c r="DD39" s="297"/>
      <c r="DE39" s="298"/>
      <c r="DF39" s="298"/>
      <c r="DG39" s="299"/>
      <c r="DH39" s="300"/>
    </row>
    <row r="40" spans="1:114" s="214" customFormat="1" ht="16.5" customHeight="1" thickBot="1">
      <c r="A40" s="94" t="s">
        <v>58</v>
      </c>
      <c r="B40" s="362"/>
      <c r="C40" s="362"/>
      <c r="D40" s="363"/>
      <c r="E40" s="364">
        <v>39.299999999999997</v>
      </c>
      <c r="F40" s="363">
        <v>2.16</v>
      </c>
      <c r="G40" s="365">
        <v>13.27</v>
      </c>
      <c r="H40" s="363">
        <v>1.7604</v>
      </c>
      <c r="I40" s="363"/>
      <c r="J40" s="363">
        <v>10.05336</v>
      </c>
      <c r="K40" s="363"/>
      <c r="L40" s="363"/>
      <c r="M40" s="363">
        <v>0.39960000000000001</v>
      </c>
      <c r="N40" s="363"/>
      <c r="O40" s="363">
        <v>5.0266799999999998</v>
      </c>
      <c r="P40" s="366"/>
      <c r="Q40" s="362"/>
      <c r="R40" s="367"/>
      <c r="S40" s="368">
        <v>11.435696999999999</v>
      </c>
      <c r="T40" s="362"/>
      <c r="U40" s="369">
        <v>1.3</v>
      </c>
      <c r="V40" s="370">
        <v>3770</v>
      </c>
      <c r="W40" s="370">
        <v>3770</v>
      </c>
      <c r="X40" s="371"/>
      <c r="Y40" s="371"/>
      <c r="Z40" s="372">
        <v>1190</v>
      </c>
      <c r="AA40" s="372"/>
      <c r="AB40" s="362">
        <v>76</v>
      </c>
      <c r="AC40" s="362"/>
      <c r="AD40" s="362"/>
      <c r="AE40" s="362"/>
      <c r="AF40" s="362"/>
      <c r="AG40" s="362"/>
      <c r="AH40" s="362"/>
      <c r="AI40" s="362">
        <v>644</v>
      </c>
      <c r="AJ40" s="373"/>
      <c r="AK40" s="374"/>
      <c r="AL40" s="375"/>
      <c r="AM40" s="362"/>
      <c r="AN40" s="362"/>
      <c r="AO40" s="362"/>
      <c r="AP40" s="362"/>
      <c r="AQ40" s="362"/>
      <c r="AR40" s="362"/>
      <c r="AS40" s="362"/>
      <c r="AT40" s="376">
        <v>3770</v>
      </c>
      <c r="AU40" s="377">
        <v>45.2</v>
      </c>
      <c r="AV40" s="377"/>
      <c r="AW40" s="378"/>
      <c r="AX40" s="362"/>
      <c r="AY40" s="379">
        <v>125.67</v>
      </c>
      <c r="AZ40" s="362"/>
      <c r="BA40" s="362"/>
      <c r="BB40" s="362"/>
      <c r="BC40" s="363">
        <v>0.9</v>
      </c>
      <c r="BD40" s="362"/>
      <c r="BE40" s="380"/>
      <c r="BF40" s="19"/>
      <c r="BG40" s="19"/>
      <c r="BH40" s="19"/>
      <c r="BI40" s="19"/>
      <c r="BJ40" s="215"/>
      <c r="BK40" s="220"/>
      <c r="BL40" s="221"/>
      <c r="BM40" s="216"/>
      <c r="BN40" s="216"/>
      <c r="BO40" s="219"/>
      <c r="BP40" s="219"/>
      <c r="BQ40" s="217"/>
      <c r="BR40" s="218"/>
      <c r="BS40" s="216"/>
      <c r="BT40" s="216"/>
      <c r="BU40" s="216"/>
      <c r="BV40" s="219"/>
      <c r="BW40" s="219"/>
      <c r="BX40" s="217"/>
      <c r="BY40" s="218"/>
      <c r="BZ40" s="216"/>
      <c r="CA40" s="216"/>
      <c r="CB40" s="216"/>
      <c r="CC40" s="219"/>
      <c r="CD40" s="219"/>
      <c r="CE40" s="217"/>
      <c r="CF40" s="218"/>
      <c r="CG40" s="218"/>
      <c r="CH40" s="216"/>
      <c r="CI40" s="219"/>
      <c r="CJ40" s="220"/>
      <c r="CK40" s="218"/>
      <c r="CL40" s="216"/>
      <c r="CM40" s="217"/>
      <c r="CN40" s="213"/>
      <c r="CO40" s="604">
        <f>CO39+CQ39</f>
        <v>7937.1282730824387</v>
      </c>
      <c r="CP40" s="604"/>
      <c r="CQ40" s="604"/>
      <c r="CR40" s="604"/>
      <c r="CS40" s="604"/>
      <c r="CT40" s="604"/>
      <c r="CU40" s="604"/>
      <c r="DA40" s="237"/>
      <c r="DB40" s="239"/>
      <c r="DD40" s="301"/>
      <c r="DE40" s="302"/>
      <c r="DF40" s="302"/>
      <c r="DG40" s="303"/>
      <c r="DH40" s="304"/>
    </row>
    <row r="41" spans="1:114" s="214" customFormat="1" ht="16.5" customHeight="1" thickBot="1">
      <c r="A41" s="95" t="s">
        <v>59</v>
      </c>
      <c r="B41" s="381"/>
      <c r="C41" s="381"/>
      <c r="D41" s="382"/>
      <c r="E41" s="381"/>
      <c r="F41" s="383">
        <f>F39-F40</f>
        <v>8.9283609600410152E-3</v>
      </c>
      <c r="G41" s="384">
        <f>G39-G40</f>
        <v>-8.7000000000001521E-2</v>
      </c>
      <c r="H41" s="383"/>
      <c r="I41" s="385">
        <f>I39-I40</f>
        <v>0</v>
      </c>
      <c r="J41" s="385"/>
      <c r="K41" s="385"/>
      <c r="L41" s="385"/>
      <c r="M41" s="385"/>
      <c r="N41" s="385"/>
      <c r="O41" s="385"/>
      <c r="P41" s="383"/>
      <c r="Q41" s="386"/>
      <c r="R41" s="385">
        <f>R39-R40</f>
        <v>2.8799163657283202</v>
      </c>
      <c r="S41" s="386"/>
      <c r="T41" s="386"/>
      <c r="U41" s="383">
        <f>U39-U40</f>
        <v>7.2437857121386173E-2</v>
      </c>
      <c r="V41" s="383"/>
      <c r="W41" s="383"/>
      <c r="X41" s="383"/>
      <c r="Y41" s="383"/>
      <c r="Z41" s="387">
        <f>Z39-Z40</f>
        <v>-25.099999999999909</v>
      </c>
      <c r="AA41" s="388"/>
      <c r="AB41" s="381"/>
      <c r="AC41" s="381"/>
      <c r="AD41" s="381"/>
      <c r="AE41" s="381"/>
      <c r="AF41" s="381"/>
      <c r="AG41" s="381"/>
      <c r="AH41" s="381"/>
      <c r="AI41" s="381"/>
      <c r="AJ41" s="381"/>
      <c r="AK41" s="389"/>
      <c r="AL41" s="390"/>
      <c r="AM41" s="381"/>
      <c r="AN41" s="381"/>
      <c r="AO41" s="381"/>
      <c r="AP41" s="381"/>
      <c r="AQ41" s="381"/>
      <c r="AR41" s="381"/>
      <c r="AS41" s="381"/>
      <c r="AT41" s="391">
        <f>AT38+AV38-AT40</f>
        <v>1084.9500000000007</v>
      </c>
      <c r="AU41" s="392"/>
      <c r="AV41" s="393"/>
      <c r="AW41" s="390"/>
      <c r="AX41" s="381"/>
      <c r="AY41" s="385"/>
      <c r="AZ41" s="381"/>
      <c r="BA41" s="381"/>
      <c r="BB41" s="381"/>
      <c r="BC41" s="394"/>
      <c r="BD41" s="381"/>
      <c r="BE41" s="395"/>
      <c r="BF41" s="222"/>
      <c r="BG41" s="222"/>
      <c r="BH41" s="222"/>
      <c r="BI41" s="222"/>
      <c r="BJ41" s="222"/>
      <c r="BK41" s="223"/>
      <c r="BL41" s="224"/>
      <c r="BM41" s="225"/>
      <c r="BN41" s="225"/>
      <c r="BO41" s="224"/>
      <c r="BP41" s="224"/>
      <c r="BQ41" s="226"/>
      <c r="BR41" s="227"/>
      <c r="BS41" s="225"/>
      <c r="BT41" s="225"/>
      <c r="BU41" s="225"/>
      <c r="BV41" s="224"/>
      <c r="BW41" s="224"/>
      <c r="BX41" s="224"/>
      <c r="BY41" s="228"/>
      <c r="BZ41" s="225"/>
      <c r="CA41" s="225"/>
      <c r="CB41" s="225"/>
      <c r="CC41" s="224"/>
      <c r="CD41" s="224"/>
      <c r="CE41" s="226"/>
      <c r="CF41" s="227"/>
      <c r="CG41" s="227"/>
      <c r="CH41" s="225"/>
      <c r="CI41" s="224"/>
      <c r="CJ41" s="228"/>
      <c r="CK41" s="227"/>
      <c r="CL41" s="225"/>
      <c r="CM41" s="226"/>
      <c r="CN41" s="213"/>
      <c r="CO41" s="213"/>
      <c r="CP41" s="213"/>
      <c r="CQ41" s="213"/>
      <c r="DA41" s="21"/>
      <c r="DH41" s="309"/>
    </row>
    <row r="42" spans="1:114" ht="15" hidden="1" customHeight="1">
      <c r="A42" s="96"/>
      <c r="B42" s="96"/>
      <c r="C42" s="96"/>
      <c r="D42" s="97"/>
      <c r="E42" s="96"/>
      <c r="F42" s="98"/>
      <c r="G42" s="99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1"/>
      <c r="AF42" s="101"/>
      <c r="AG42" s="100"/>
      <c r="AH42" s="100"/>
      <c r="AI42" s="100"/>
      <c r="AJ42" s="100"/>
      <c r="AK42" s="100"/>
      <c r="AL42" s="100"/>
      <c r="AM42" s="100"/>
      <c r="AN42" s="100"/>
      <c r="AO42" s="100"/>
      <c r="AP42" s="100"/>
      <c r="AQ42" s="100"/>
      <c r="AR42" s="100"/>
      <c r="AS42" s="96"/>
      <c r="AT42" s="612"/>
      <c r="AU42" s="612"/>
      <c r="AV42" s="612"/>
      <c r="AW42" s="96"/>
      <c r="AX42" s="96"/>
      <c r="AY42" s="100"/>
      <c r="AZ42" s="100"/>
      <c r="BA42" s="100"/>
      <c r="BB42" s="100"/>
      <c r="BC42" s="100"/>
      <c r="BD42" s="100"/>
      <c r="BE42" s="100"/>
      <c r="BK42" s="20"/>
      <c r="BL42" s="20"/>
      <c r="BM42" s="20"/>
    </row>
    <row r="43" spans="1:114" ht="13.5" thickBot="1">
      <c r="A43" s="100"/>
      <c r="B43" s="100"/>
      <c r="C43" s="100"/>
      <c r="D43" s="102"/>
      <c r="E43" s="100"/>
      <c r="F43" s="100"/>
      <c r="G43" s="96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1"/>
      <c r="AF43" s="101"/>
      <c r="AG43" s="100"/>
      <c r="AH43" s="100"/>
      <c r="AI43" s="100"/>
      <c r="AJ43" s="100"/>
      <c r="AK43" s="100"/>
      <c r="AL43" s="100"/>
      <c r="AM43" s="100"/>
      <c r="AN43" s="100"/>
      <c r="AO43" s="100"/>
      <c r="AP43" s="100"/>
      <c r="AQ43" s="100"/>
      <c r="AR43" s="100"/>
      <c r="AS43" s="96" t="s">
        <v>60</v>
      </c>
      <c r="AT43" s="103">
        <f>AT40/BE43</f>
        <v>125.66666666666667</v>
      </c>
      <c r="AU43" s="104"/>
      <c r="AV43" s="96"/>
      <c r="AW43" s="96" t="s">
        <v>61</v>
      </c>
      <c r="AX43" s="96"/>
      <c r="AY43" s="100"/>
      <c r="AZ43" s="100"/>
      <c r="BA43" s="100"/>
      <c r="BB43" s="100"/>
      <c r="BC43" s="100"/>
      <c r="BD43" s="105" t="s">
        <v>62</v>
      </c>
      <c r="BE43" s="100">
        <v>30</v>
      </c>
    </row>
    <row r="44" spans="1:114" ht="16.5" customHeight="1" thickBot="1">
      <c r="A44" s="100"/>
      <c r="B44" s="100"/>
      <c r="C44" s="100"/>
      <c r="D44" s="102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489" t="s">
        <v>343</v>
      </c>
      <c r="AG44" s="488"/>
      <c r="AH44" s="488"/>
      <c r="AI44" s="488"/>
      <c r="AJ44" s="488"/>
      <c r="AK44" s="488"/>
      <c r="AL44" s="488"/>
      <c r="AM44" s="490">
        <f>AM38/AT38</f>
        <v>0.21036673910132955</v>
      </c>
      <c r="AN44" s="479"/>
      <c r="AO44" s="480" t="s">
        <v>88</v>
      </c>
      <c r="AP44" s="100"/>
      <c r="AQ44" s="100"/>
      <c r="AR44" s="100"/>
      <c r="AS44" s="100"/>
      <c r="AT44" s="100"/>
      <c r="AU44" s="100"/>
      <c r="AV44" s="100"/>
      <c r="AW44" s="100"/>
      <c r="AX44" s="100"/>
      <c r="AY44" s="100"/>
      <c r="AZ44" s="100"/>
      <c r="BA44" s="100"/>
      <c r="BB44" s="100"/>
      <c r="BC44" s="100"/>
      <c r="BD44" s="96"/>
      <c r="BE44" s="96"/>
    </row>
    <row r="45" spans="1:114" ht="13.5" thickBot="1">
      <c r="A45" s="100"/>
      <c r="B45" s="100"/>
      <c r="C45" s="100"/>
      <c r="D45" s="102"/>
      <c r="E45" s="100"/>
      <c r="F45" s="100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101"/>
      <c r="AE45" s="101"/>
      <c r="AF45" s="101"/>
      <c r="AG45" s="100"/>
      <c r="AH45" s="100"/>
      <c r="AI45" s="100"/>
      <c r="AJ45" s="100"/>
      <c r="AK45" s="100"/>
      <c r="AL45" s="100"/>
      <c r="AM45" s="106" t="s">
        <v>63</v>
      </c>
      <c r="AN45" s="106"/>
      <c r="AO45" s="106"/>
      <c r="AP45" s="106"/>
      <c r="AQ45" s="106"/>
      <c r="AR45" s="106"/>
      <c r="AS45" s="107" t="s">
        <v>64</v>
      </c>
      <c r="AT45" s="108">
        <v>29</v>
      </c>
      <c r="AU45" s="108"/>
      <c r="AV45" s="100"/>
      <c r="AW45" s="100"/>
      <c r="AX45" s="100"/>
      <c r="AY45" s="100"/>
      <c r="AZ45" s="100"/>
      <c r="BA45" s="100"/>
      <c r="BB45" s="100"/>
      <c r="BC45" s="100"/>
      <c r="BD45" s="96"/>
      <c r="BE45" s="96"/>
      <c r="BM45" s="1"/>
      <c r="BS45" s="1"/>
    </row>
    <row r="46" spans="1:114" ht="12.75" customHeight="1" thickBot="1">
      <c r="A46" s="100"/>
      <c r="B46" s="100"/>
      <c r="C46" s="109" t="s">
        <v>65</v>
      </c>
      <c r="D46" s="102"/>
      <c r="E46" s="100"/>
      <c r="F46" s="100"/>
      <c r="G46" s="100"/>
      <c r="H46" s="100"/>
      <c r="I46" s="100"/>
      <c r="J46" s="100"/>
      <c r="K46" s="100"/>
      <c r="L46" s="110">
        <f>AT38/AD38</f>
        <v>34.189788732394369</v>
      </c>
      <c r="M46" s="109" t="s">
        <v>88</v>
      </c>
      <c r="N46" s="606"/>
      <c r="O46" s="606"/>
      <c r="P46" s="111"/>
      <c r="Q46" s="100"/>
      <c r="R46" s="100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101"/>
      <c r="AE46" s="101"/>
      <c r="AF46" s="101"/>
      <c r="AG46" s="100"/>
      <c r="AH46" s="100"/>
      <c r="AI46" s="100"/>
      <c r="AJ46" s="100"/>
      <c r="AK46" s="100"/>
      <c r="AL46" s="100"/>
      <c r="AM46" s="100"/>
      <c r="AN46" s="100"/>
      <c r="AO46" s="106"/>
      <c r="AP46" s="106"/>
      <c r="AQ46" s="106"/>
      <c r="AR46" s="106"/>
      <c r="AS46" s="107" t="s">
        <v>66</v>
      </c>
      <c r="AT46" s="112">
        <f>AT40/AT45</f>
        <v>130</v>
      </c>
      <c r="AU46" s="112"/>
      <c r="AV46" s="100"/>
      <c r="AW46" s="100"/>
      <c r="AX46" s="100">
        <v>0</v>
      </c>
      <c r="AY46" s="100"/>
      <c r="AZ46" s="607" t="s">
        <v>67</v>
      </c>
      <c r="BA46" s="607"/>
      <c r="BB46" s="607"/>
      <c r="BC46" s="607"/>
      <c r="BD46" s="607"/>
      <c r="BE46" s="607"/>
    </row>
    <row r="47" spans="1:114">
      <c r="A47" s="100"/>
      <c r="B47" s="100"/>
      <c r="C47" s="100"/>
      <c r="D47" s="102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100"/>
      <c r="AI47" s="100"/>
      <c r="AJ47" s="100"/>
      <c r="AK47" s="100"/>
      <c r="AL47" s="100"/>
      <c r="AM47" s="100"/>
      <c r="AN47" s="100"/>
      <c r="AO47" s="100"/>
      <c r="AP47" s="100"/>
      <c r="AQ47" s="100"/>
      <c r="AR47" s="100"/>
      <c r="AS47" s="100"/>
      <c r="AT47" s="100"/>
      <c r="AU47" s="100"/>
      <c r="AV47" s="100"/>
      <c r="AW47" s="100"/>
      <c r="AX47" s="100"/>
      <c r="AY47" s="100"/>
      <c r="AZ47" s="607"/>
      <c r="BA47" s="607"/>
      <c r="BB47" s="607"/>
      <c r="BC47" s="607"/>
      <c r="BD47" s="607"/>
      <c r="BE47" s="607"/>
    </row>
    <row r="48" spans="1:114">
      <c r="A48" s="100"/>
      <c r="B48" s="100"/>
      <c r="C48" s="100"/>
      <c r="D48" s="102"/>
      <c r="E48" s="100"/>
      <c r="F48" s="100"/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13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  <c r="AE48" s="100"/>
      <c r="AF48" s="100"/>
      <c r="AG48" s="100"/>
      <c r="AH48" s="100"/>
      <c r="AI48" s="100"/>
      <c r="AJ48" s="100"/>
      <c r="AK48" s="100"/>
      <c r="AL48" s="100"/>
      <c r="AM48" s="100"/>
      <c r="AN48" s="100"/>
      <c r="AO48" s="100"/>
      <c r="AP48" s="100"/>
      <c r="AQ48" s="100"/>
      <c r="AR48" s="100"/>
      <c r="AS48" s="100"/>
      <c r="AT48" s="100"/>
      <c r="AU48" s="100"/>
      <c r="AV48" s="100"/>
      <c r="AW48" s="100"/>
      <c r="AX48" s="100"/>
      <c r="AY48" s="100"/>
      <c r="AZ48" s="608">
        <f>BF37-BJ37</f>
        <v>-110.52999999999793</v>
      </c>
      <c r="BA48" s="608"/>
      <c r="BB48" s="608"/>
      <c r="BC48" s="608"/>
      <c r="BD48" s="609" t="s">
        <v>68</v>
      </c>
      <c r="BE48" s="114"/>
    </row>
    <row r="49" spans="1:57" ht="12" customHeight="1">
      <c r="A49" s="100"/>
      <c r="B49" s="100"/>
      <c r="C49" s="100"/>
      <c r="D49" s="102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15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100"/>
      <c r="AI49" s="100"/>
      <c r="AJ49" s="100"/>
      <c r="AK49" s="100"/>
      <c r="AL49" s="100"/>
      <c r="AM49" s="100"/>
      <c r="AN49" s="100"/>
      <c r="AO49" s="100"/>
      <c r="AP49" s="100"/>
      <c r="AQ49" s="100"/>
      <c r="AR49" s="100"/>
      <c r="AS49" s="100"/>
      <c r="AT49" s="100"/>
      <c r="AU49" s="100"/>
      <c r="AV49" s="100"/>
      <c r="AW49" s="100"/>
      <c r="AX49" s="100"/>
      <c r="AY49" s="100"/>
      <c r="AZ49" s="608"/>
      <c r="BA49" s="608"/>
      <c r="BB49" s="608"/>
      <c r="BC49" s="608"/>
      <c r="BD49" s="609"/>
      <c r="BE49" s="114"/>
    </row>
    <row r="50" spans="1:57" ht="13.5" customHeight="1">
      <c r="A50" s="100"/>
      <c r="B50" s="100"/>
      <c r="C50" s="100"/>
      <c r="D50" s="102"/>
      <c r="E50" s="100"/>
      <c r="F50" s="100"/>
      <c r="G50" s="100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100"/>
      <c r="AC50" s="100"/>
      <c r="AD50" s="100"/>
      <c r="AE50" s="100"/>
      <c r="AF50" s="100"/>
      <c r="AG50" s="100"/>
      <c r="AH50" s="100"/>
      <c r="AI50" s="100"/>
      <c r="AJ50" s="100"/>
      <c r="AK50" s="100"/>
      <c r="AL50" s="100"/>
      <c r="AM50" s="100"/>
      <c r="AN50" s="100"/>
      <c r="AO50" s="100"/>
      <c r="AP50" s="100"/>
      <c r="AQ50" s="100"/>
      <c r="AR50" s="100"/>
      <c r="AS50" s="100"/>
      <c r="AT50" s="100"/>
      <c r="AU50" s="100"/>
      <c r="AV50" s="100"/>
      <c r="AW50" s="100"/>
      <c r="AX50" s="100"/>
      <c r="AY50" s="100"/>
      <c r="AZ50" s="116"/>
      <c r="BA50" s="96"/>
      <c r="BB50" s="96"/>
      <c r="BC50" s="96"/>
      <c r="BD50" s="96"/>
      <c r="BE50" s="114"/>
    </row>
    <row r="51" spans="1:57" ht="13.5" customHeight="1" thickBot="1">
      <c r="A51" s="100"/>
      <c r="B51" s="100"/>
      <c r="C51" s="100"/>
      <c r="D51" s="102"/>
      <c r="E51" s="100"/>
      <c r="F51" s="100"/>
      <c r="G51" s="100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0"/>
      <c r="AC51" s="100"/>
      <c r="AD51" s="100"/>
      <c r="AE51" s="100"/>
      <c r="AF51" s="100"/>
      <c r="AG51" s="100"/>
      <c r="AH51" s="100"/>
      <c r="AI51" s="100"/>
      <c r="AJ51" s="100"/>
      <c r="AK51" s="100"/>
      <c r="AL51" s="100"/>
      <c r="AM51" s="100"/>
      <c r="AN51" s="100"/>
      <c r="AO51" s="100"/>
      <c r="AP51" s="100"/>
      <c r="AQ51" s="100"/>
      <c r="AR51" s="100"/>
      <c r="AS51" s="100"/>
      <c r="AT51" s="100"/>
      <c r="AU51" s="100"/>
      <c r="AV51" s="100"/>
      <c r="AW51" s="100"/>
      <c r="AX51" s="100"/>
      <c r="AY51" s="100"/>
      <c r="AZ51" s="610">
        <f>AZ48/AT40*100</f>
        <v>-2.9318302387267354</v>
      </c>
      <c r="BA51" s="610"/>
      <c r="BB51" s="610"/>
      <c r="BC51" s="610"/>
      <c r="BD51" s="611" t="s">
        <v>69</v>
      </c>
      <c r="BE51" s="114"/>
    </row>
    <row r="52" spans="1:57" ht="13.5" thickBot="1">
      <c r="A52" s="100"/>
      <c r="B52" s="100"/>
      <c r="C52" s="100"/>
      <c r="D52" s="102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  <c r="AF52" s="100"/>
      <c r="AG52" s="100"/>
      <c r="AH52" s="100"/>
      <c r="AI52" s="100"/>
      <c r="AJ52" s="100"/>
      <c r="AK52" s="100"/>
      <c r="AL52" s="100"/>
      <c r="AM52" s="100"/>
      <c r="AN52" s="100"/>
      <c r="AO52" s="100"/>
      <c r="AP52" s="100"/>
      <c r="AQ52" s="100"/>
      <c r="AR52" s="100"/>
      <c r="AS52" s="100"/>
      <c r="AT52" s="100"/>
      <c r="AU52" s="100"/>
      <c r="AV52" s="100"/>
      <c r="AW52" s="100"/>
      <c r="AX52" s="100"/>
      <c r="AY52" s="100"/>
      <c r="AZ52" s="610"/>
      <c r="BA52" s="610"/>
      <c r="BB52" s="610"/>
      <c r="BC52" s="610"/>
      <c r="BD52" s="611"/>
      <c r="BE52" s="117"/>
    </row>
    <row r="53" spans="1:57">
      <c r="A53" s="100"/>
      <c r="B53" s="100"/>
      <c r="C53" s="100"/>
      <c r="D53" s="102"/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100"/>
      <c r="AI53" s="100"/>
      <c r="AJ53" s="100"/>
      <c r="AK53" s="100"/>
      <c r="AL53" s="100"/>
      <c r="AM53" s="100"/>
      <c r="AN53" s="100"/>
      <c r="AO53" s="100"/>
      <c r="AP53" s="100"/>
      <c r="AQ53" s="100"/>
      <c r="AR53" s="100"/>
      <c r="AS53" s="100"/>
      <c r="AT53" s="100"/>
      <c r="AU53" s="100"/>
      <c r="AV53" s="100"/>
      <c r="AW53" s="100"/>
      <c r="AX53" s="100"/>
      <c r="AY53" s="100"/>
      <c r="AZ53" s="100"/>
      <c r="BA53" s="100"/>
      <c r="BB53" s="100"/>
      <c r="BC53" s="100"/>
      <c r="BD53" s="100"/>
      <c r="BE53" s="100"/>
    </row>
    <row r="54" spans="1:57">
      <c r="A54" s="100"/>
      <c r="B54" s="100"/>
      <c r="C54" s="100"/>
      <c r="D54" s="102"/>
      <c r="E54" s="100"/>
      <c r="F54" s="100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100"/>
      <c r="AI54" s="100"/>
      <c r="AJ54" s="100"/>
      <c r="AK54" s="100"/>
      <c r="AL54" s="100"/>
      <c r="AM54" s="100"/>
      <c r="AN54" s="100"/>
      <c r="AO54" s="100"/>
      <c r="AP54" s="100"/>
      <c r="AQ54" s="100"/>
      <c r="AR54" s="100"/>
      <c r="AS54" s="100"/>
      <c r="AT54" s="100"/>
      <c r="AU54" s="100"/>
      <c r="AV54" s="100"/>
      <c r="AW54" s="100"/>
      <c r="AX54" s="100"/>
      <c r="AY54" s="100"/>
      <c r="AZ54" s="100"/>
      <c r="BA54" s="100"/>
      <c r="BB54" s="100"/>
      <c r="BC54" s="100"/>
      <c r="BD54" s="100"/>
      <c r="BE54" s="100"/>
    </row>
    <row r="55" spans="1:57">
      <c r="A55" s="100"/>
      <c r="B55" s="100"/>
      <c r="C55" s="100"/>
      <c r="D55" s="102"/>
      <c r="E55" s="100"/>
      <c r="F55" s="100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  <c r="AH55" s="100"/>
      <c r="AI55" s="100"/>
      <c r="AJ55" s="100"/>
      <c r="AK55" s="100"/>
      <c r="AL55" s="100"/>
      <c r="AM55" s="100"/>
      <c r="AN55" s="100"/>
      <c r="AO55" s="100"/>
      <c r="AP55" s="100"/>
      <c r="AQ55" s="100"/>
      <c r="AR55" s="100"/>
      <c r="AS55" s="100"/>
      <c r="AT55" s="100"/>
      <c r="AU55" s="100"/>
      <c r="AV55" s="100"/>
      <c r="AW55" s="100"/>
      <c r="AX55" s="100"/>
      <c r="AY55" s="100"/>
      <c r="AZ55" s="100"/>
      <c r="BA55" s="100"/>
      <c r="BB55" s="100"/>
      <c r="BC55" s="100"/>
      <c r="BD55" s="100"/>
      <c r="BE55" s="100"/>
    </row>
    <row r="56" spans="1:57" ht="13.5" thickBot="1">
      <c r="A56" s="100"/>
      <c r="B56" s="100"/>
      <c r="C56" s="100"/>
      <c r="D56" s="102"/>
      <c r="E56" s="100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/>
      <c r="AE56" s="100"/>
      <c r="AF56" s="100"/>
      <c r="AG56" s="100"/>
      <c r="AH56" s="100"/>
      <c r="AI56" s="100"/>
      <c r="AJ56" s="100"/>
      <c r="AK56" s="100"/>
      <c r="AL56" s="100"/>
      <c r="AM56" s="100"/>
      <c r="AN56" s="100"/>
      <c r="AO56" s="100"/>
      <c r="AP56" s="100"/>
      <c r="AQ56" s="100"/>
      <c r="AR56" s="100"/>
      <c r="AS56" s="100"/>
      <c r="AT56" s="100"/>
      <c r="AU56" s="100"/>
      <c r="AV56" s="100"/>
      <c r="AW56" s="100"/>
      <c r="AX56" s="100"/>
      <c r="AY56" s="100"/>
      <c r="AZ56" s="100"/>
      <c r="BA56" s="100"/>
      <c r="BB56" s="100"/>
      <c r="BC56" s="100"/>
      <c r="BD56" s="100"/>
      <c r="BE56" s="100"/>
    </row>
    <row r="57" spans="1:57" ht="15.75">
      <c r="A57" s="100"/>
      <c r="B57" s="100"/>
      <c r="C57" s="100"/>
      <c r="D57" s="102"/>
      <c r="E57" s="100"/>
      <c r="F57" s="100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100"/>
      <c r="AI57" s="100"/>
      <c r="AJ57" s="100"/>
      <c r="AK57" s="100"/>
      <c r="AL57" s="100"/>
      <c r="AM57" s="100"/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X57" s="100"/>
      <c r="AY57" s="100"/>
      <c r="AZ57" s="481" t="s">
        <v>344</v>
      </c>
      <c r="BA57" s="482"/>
      <c r="BB57" s="482"/>
      <c r="BC57" s="482"/>
      <c r="BD57" s="482"/>
      <c r="BE57" s="483"/>
    </row>
    <row r="58" spans="1:57" ht="15.75">
      <c r="A58" s="100"/>
      <c r="B58" s="100"/>
      <c r="C58" s="100"/>
      <c r="D58" s="102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  <c r="AA58" s="100"/>
      <c r="AB58" s="100"/>
      <c r="AC58" s="100"/>
      <c r="AD58" s="100"/>
      <c r="AE58" s="100"/>
      <c r="AF58" s="100"/>
      <c r="AG58" s="100"/>
      <c r="AH58" s="100"/>
      <c r="AI58" s="100"/>
      <c r="AJ58" s="100"/>
      <c r="AK58" s="100"/>
      <c r="AL58" s="100"/>
      <c r="AM58" s="100"/>
      <c r="AN58" s="100"/>
      <c r="AO58" s="100"/>
      <c r="AP58" s="100"/>
      <c r="AQ58" s="100"/>
      <c r="AR58" s="100"/>
      <c r="AS58" s="100"/>
      <c r="AT58" s="100"/>
      <c r="AU58" s="100"/>
      <c r="AV58" s="100"/>
      <c r="AW58" s="100"/>
      <c r="AX58" s="100"/>
      <c r="AY58" s="100"/>
      <c r="AZ58" s="484" t="s">
        <v>340</v>
      </c>
      <c r="BA58" s="485"/>
      <c r="BB58" s="485"/>
      <c r="BC58" s="485"/>
      <c r="BD58" s="617">
        <f>'[5]ноябрь 20'!$F$38</f>
        <v>1021.3199999999999</v>
      </c>
      <c r="BE58" s="618"/>
    </row>
    <row r="59" spans="1:57" ht="16.5" thickBot="1">
      <c r="A59" s="100"/>
      <c r="B59" s="100"/>
      <c r="C59" s="100"/>
      <c r="D59" s="102"/>
      <c r="E59" s="100"/>
      <c r="F59" s="100"/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  <c r="AE59" s="100"/>
      <c r="AF59" s="100"/>
      <c r="AG59" s="100"/>
      <c r="AH59" s="100"/>
      <c r="AI59" s="100"/>
      <c r="AJ59" s="100"/>
      <c r="AK59" s="100"/>
      <c r="AL59" s="100"/>
      <c r="AM59" s="100"/>
      <c r="AN59" s="100"/>
      <c r="AO59" s="100"/>
      <c r="AP59" s="100"/>
      <c r="AQ59" s="100"/>
      <c r="AR59" s="100"/>
      <c r="AS59" s="100"/>
      <c r="AT59" s="100"/>
      <c r="AU59" s="100"/>
      <c r="AV59" s="100"/>
      <c r="AW59" s="100"/>
      <c r="AX59" s="100"/>
      <c r="AY59" s="100"/>
      <c r="AZ59" s="484" t="s">
        <v>341</v>
      </c>
      <c r="BA59" s="485"/>
      <c r="BB59" s="485"/>
      <c r="BC59" s="485"/>
      <c r="BD59" s="619">
        <f>'[5]ноябрь 20'!$B$38</f>
        <v>1021.32</v>
      </c>
      <c r="BE59" s="620"/>
    </row>
    <row r="60" spans="1:57" ht="16.5" thickBot="1">
      <c r="A60" s="100"/>
      <c r="B60" s="100"/>
      <c r="C60" s="100"/>
      <c r="D60" s="102"/>
      <c r="E60" s="100"/>
      <c r="F60" s="100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  <c r="AE60" s="100"/>
      <c r="AF60" s="100"/>
      <c r="AG60" s="100"/>
      <c r="AH60" s="100"/>
      <c r="AI60" s="100"/>
      <c r="AJ60" s="100"/>
      <c r="AK60" s="100"/>
      <c r="AL60" s="100"/>
      <c r="AM60" s="100"/>
      <c r="AN60" s="100"/>
      <c r="AO60" s="100"/>
      <c r="AP60" s="100"/>
      <c r="AQ60" s="100"/>
      <c r="AR60" s="100"/>
      <c r="AS60" s="100"/>
      <c r="AT60" s="100"/>
      <c r="AU60" s="100"/>
      <c r="AV60" s="100"/>
      <c r="AW60" s="100"/>
      <c r="AX60" s="100"/>
      <c r="AY60" s="100"/>
      <c r="AZ60" s="486" t="s">
        <v>342</v>
      </c>
      <c r="BA60" s="487"/>
      <c r="BB60" s="487"/>
      <c r="BC60" s="487"/>
      <c r="BD60" s="621">
        <f>BD59-BD58</f>
        <v>0</v>
      </c>
      <c r="BE60" s="622"/>
    </row>
    <row r="61" spans="1:57">
      <c r="A61" s="100"/>
      <c r="B61" s="100"/>
      <c r="C61" s="100"/>
      <c r="D61" s="102"/>
      <c r="E61" s="100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/>
      <c r="AE61" s="100"/>
      <c r="AF61" s="100"/>
      <c r="AG61" s="100"/>
      <c r="AH61" s="100"/>
      <c r="AI61" s="100"/>
      <c r="AJ61" s="100"/>
      <c r="AK61" s="100"/>
      <c r="AL61" s="100"/>
      <c r="AM61" s="100"/>
      <c r="AN61" s="100"/>
      <c r="AO61" s="100"/>
      <c r="AP61" s="100"/>
      <c r="AQ61" s="100"/>
      <c r="AR61" s="100"/>
      <c r="AS61" s="100"/>
      <c r="AT61" s="100"/>
      <c r="AU61" s="100"/>
      <c r="AV61" s="100"/>
      <c r="AW61" s="100"/>
      <c r="AX61" s="100"/>
      <c r="AY61" s="100"/>
      <c r="AZ61" s="100"/>
      <c r="BA61" s="100"/>
      <c r="BB61" s="100"/>
      <c r="BC61" s="100"/>
      <c r="BD61" s="100"/>
      <c r="BE61" s="100"/>
    </row>
    <row r="62" spans="1:57">
      <c r="A62" s="100"/>
      <c r="B62" s="100"/>
      <c r="C62" s="100"/>
      <c r="D62" s="102"/>
      <c r="E62" s="100"/>
      <c r="F62" s="100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100"/>
      <c r="AC62" s="100"/>
      <c r="AD62" s="100"/>
      <c r="AE62" s="100"/>
      <c r="AF62" s="100"/>
      <c r="AG62" s="100"/>
      <c r="AH62" s="100"/>
      <c r="AI62" s="100"/>
      <c r="AJ62" s="100"/>
      <c r="AK62" s="100"/>
      <c r="AL62" s="100"/>
      <c r="AM62" s="100"/>
      <c r="AN62" s="100"/>
      <c r="AO62" s="100"/>
      <c r="AP62" s="100"/>
      <c r="AQ62" s="100"/>
      <c r="AR62" s="100"/>
      <c r="AS62" s="100"/>
      <c r="AT62" s="100"/>
      <c r="AU62" s="100"/>
      <c r="AV62" s="100"/>
      <c r="AW62" s="100"/>
      <c r="AX62" s="100"/>
      <c r="AY62" s="100"/>
      <c r="AZ62" s="100"/>
      <c r="BA62" s="100"/>
      <c r="BB62" s="100"/>
      <c r="BC62" s="100"/>
      <c r="BD62" s="100"/>
      <c r="BE62" s="100"/>
    </row>
    <row r="63" spans="1:57">
      <c r="A63" s="100"/>
      <c r="B63" s="100"/>
      <c r="C63" s="100"/>
      <c r="D63" s="102"/>
      <c r="E63" s="100"/>
      <c r="F63" s="100"/>
      <c r="G63" s="100"/>
      <c r="H63" s="100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  <c r="AA63" s="100"/>
      <c r="AB63" s="100"/>
      <c r="AC63" s="100"/>
      <c r="AD63" s="100"/>
      <c r="AE63" s="100"/>
      <c r="AF63" s="100"/>
      <c r="AG63" s="100"/>
      <c r="AH63" s="100"/>
      <c r="AI63" s="100"/>
      <c r="AJ63" s="100"/>
      <c r="AK63" s="100"/>
      <c r="AL63" s="100"/>
      <c r="AM63" s="100"/>
      <c r="AN63" s="100"/>
      <c r="AO63" s="100"/>
      <c r="AP63" s="100"/>
      <c r="AQ63" s="100"/>
      <c r="AR63" s="100"/>
      <c r="AS63" s="100"/>
      <c r="AT63" s="100"/>
      <c r="AU63" s="100"/>
      <c r="AV63" s="100"/>
      <c r="AW63" s="100"/>
      <c r="AX63" s="100"/>
      <c r="AY63" s="100"/>
      <c r="AZ63" s="100"/>
      <c r="BA63" s="100"/>
      <c r="BB63" s="100"/>
      <c r="BC63" s="100"/>
      <c r="BD63" s="100"/>
      <c r="BE63" s="100"/>
    </row>
    <row r="64" spans="1:57">
      <c r="A64" s="100"/>
      <c r="B64" s="100"/>
      <c r="C64" s="100"/>
      <c r="D64" s="102"/>
      <c r="E64" s="100"/>
      <c r="F64" s="100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  <c r="AE64" s="100"/>
      <c r="AF64" s="100"/>
      <c r="AG64" s="100"/>
      <c r="AH64" s="100"/>
      <c r="AI64" s="100"/>
      <c r="AJ64" s="100"/>
      <c r="AK64" s="100"/>
      <c r="AL64" s="100"/>
      <c r="AM64" s="100"/>
      <c r="AN64" s="100"/>
      <c r="AO64" s="100"/>
      <c r="AP64" s="100"/>
      <c r="AQ64" s="100"/>
      <c r="AR64" s="100"/>
      <c r="AS64" s="100"/>
      <c r="AT64" s="100"/>
      <c r="AU64" s="100"/>
      <c r="AV64" s="100"/>
      <c r="AW64" s="100"/>
      <c r="AX64" s="100"/>
      <c r="AY64" s="100"/>
      <c r="AZ64" s="100"/>
      <c r="BA64" s="100"/>
      <c r="BB64" s="100"/>
      <c r="BC64" s="100"/>
      <c r="BD64" s="100"/>
      <c r="BE64" s="100"/>
    </row>
    <row r="65" spans="1:57">
      <c r="A65" s="100"/>
      <c r="B65" s="100"/>
      <c r="C65" s="100"/>
      <c r="D65" s="102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/>
      <c r="AE65" s="100"/>
      <c r="AF65" s="100"/>
      <c r="AG65" s="100"/>
      <c r="AH65" s="100"/>
      <c r="AI65" s="100"/>
      <c r="AJ65" s="100"/>
      <c r="AK65" s="100"/>
      <c r="AL65" s="100"/>
      <c r="AM65" s="100"/>
      <c r="AN65" s="100"/>
      <c r="AO65" s="100"/>
      <c r="AP65" s="100"/>
      <c r="AQ65" s="100"/>
      <c r="AR65" s="100"/>
      <c r="AS65" s="100"/>
      <c r="AT65" s="100"/>
      <c r="AU65" s="100"/>
      <c r="AV65" s="100"/>
      <c r="AW65" s="100"/>
      <c r="AX65" s="100"/>
      <c r="AY65" s="100"/>
      <c r="AZ65" s="100"/>
      <c r="BA65" s="100"/>
      <c r="BB65" s="100"/>
      <c r="BC65" s="100"/>
      <c r="BD65" s="100"/>
      <c r="BE65" s="100"/>
    </row>
    <row r="66" spans="1:57">
      <c r="A66" s="100"/>
      <c r="B66" s="100"/>
      <c r="C66" s="100"/>
      <c r="D66" s="102"/>
      <c r="E66" s="100"/>
      <c r="F66" s="100"/>
      <c r="G66" s="100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/>
      <c r="AE66" s="100"/>
      <c r="AF66" s="100"/>
      <c r="AG66" s="100"/>
      <c r="AH66" s="100"/>
      <c r="AI66" s="100"/>
      <c r="AJ66" s="100"/>
      <c r="AK66" s="100"/>
      <c r="AL66" s="100"/>
      <c r="AM66" s="100"/>
      <c r="AN66" s="100"/>
      <c r="AO66" s="100"/>
      <c r="AP66" s="100"/>
      <c r="AQ66" s="100"/>
      <c r="AR66" s="100"/>
      <c r="AS66" s="100"/>
      <c r="AT66" s="100"/>
      <c r="AU66" s="100"/>
      <c r="AV66" s="100"/>
      <c r="AW66" s="100"/>
      <c r="AX66" s="100"/>
      <c r="AY66" s="100"/>
      <c r="AZ66" s="100"/>
      <c r="BA66" s="100"/>
      <c r="BB66" s="100"/>
      <c r="BC66" s="100"/>
      <c r="BD66" s="100"/>
      <c r="BE66" s="100"/>
    </row>
    <row r="67" spans="1:57">
      <c r="A67" s="100"/>
      <c r="B67" s="100"/>
      <c r="C67" s="100"/>
      <c r="D67" s="102"/>
      <c r="E67" s="100"/>
      <c r="F67" s="100"/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  <c r="AD67" s="100"/>
      <c r="AE67" s="100"/>
      <c r="AF67" s="100"/>
      <c r="AG67" s="100"/>
      <c r="AH67" s="100"/>
      <c r="AI67" s="100"/>
      <c r="AJ67" s="100"/>
      <c r="AK67" s="100"/>
      <c r="AL67" s="100"/>
      <c r="AM67" s="100"/>
      <c r="AN67" s="100"/>
      <c r="AO67" s="100"/>
      <c r="AP67" s="100"/>
      <c r="AQ67" s="100"/>
      <c r="AR67" s="100"/>
      <c r="AS67" s="100"/>
      <c r="AT67" s="100"/>
      <c r="AU67" s="100"/>
      <c r="AV67" s="100"/>
      <c r="AW67" s="100"/>
      <c r="AX67" s="100"/>
      <c r="AY67" s="100"/>
      <c r="AZ67" s="100"/>
      <c r="BA67" s="100"/>
      <c r="BB67" s="100"/>
      <c r="BC67" s="100"/>
      <c r="BD67" s="100"/>
      <c r="BE67" s="100"/>
    </row>
    <row r="68" spans="1:57">
      <c r="A68" s="100"/>
      <c r="B68" s="100"/>
      <c r="C68" s="100"/>
      <c r="D68" s="102"/>
      <c r="E68" s="100"/>
      <c r="F68" s="100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  <c r="AI68" s="100"/>
      <c r="AJ68" s="100"/>
      <c r="AK68" s="100"/>
      <c r="AL68" s="100"/>
      <c r="AM68" s="100"/>
      <c r="AN68" s="100"/>
      <c r="AO68" s="100"/>
      <c r="AP68" s="100"/>
      <c r="AQ68" s="100"/>
      <c r="AR68" s="100"/>
      <c r="AS68" s="100"/>
      <c r="AT68" s="100"/>
      <c r="AU68" s="100"/>
      <c r="AV68" s="100"/>
      <c r="AW68" s="100"/>
      <c r="AX68" s="100"/>
      <c r="AY68" s="100"/>
      <c r="AZ68" s="100"/>
      <c r="BA68" s="100"/>
      <c r="BB68" s="100"/>
      <c r="BC68" s="100"/>
      <c r="BD68" s="100"/>
      <c r="BE68" s="100"/>
    </row>
    <row r="69" spans="1:57">
      <c r="A69" s="100"/>
      <c r="B69" s="100"/>
      <c r="C69" s="100"/>
      <c r="D69" s="102"/>
      <c r="E69" s="100"/>
      <c r="F69" s="100"/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100"/>
      <c r="AC69" s="100"/>
      <c r="AD69" s="100"/>
      <c r="AE69" s="100"/>
      <c r="AF69" s="100"/>
      <c r="AG69" s="100"/>
      <c r="AH69" s="100"/>
      <c r="AI69" s="100"/>
      <c r="AJ69" s="100"/>
      <c r="AK69" s="100"/>
      <c r="AL69" s="100"/>
      <c r="AM69" s="100"/>
      <c r="AN69" s="100"/>
      <c r="AO69" s="100"/>
      <c r="AP69" s="100"/>
      <c r="AQ69" s="100"/>
      <c r="AR69" s="100"/>
      <c r="AS69" s="100"/>
      <c r="AT69" s="100"/>
      <c r="AU69" s="100"/>
      <c r="AV69" s="100"/>
      <c r="AW69" s="100"/>
      <c r="AX69" s="100"/>
      <c r="AY69" s="100"/>
      <c r="AZ69" s="100"/>
      <c r="BA69" s="100"/>
      <c r="BB69" s="100"/>
      <c r="BC69" s="100"/>
      <c r="BD69" s="100"/>
      <c r="BE69" s="100"/>
    </row>
    <row r="70" spans="1:57">
      <c r="A70" s="100"/>
      <c r="B70" s="100"/>
      <c r="C70" s="100"/>
      <c r="D70" s="102"/>
      <c r="E70" s="100"/>
      <c r="F70" s="100"/>
      <c r="G70" s="100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  <c r="AE70" s="100"/>
      <c r="AF70" s="100"/>
      <c r="AG70" s="100"/>
      <c r="AH70" s="100"/>
      <c r="AI70" s="100"/>
      <c r="AJ70" s="100"/>
      <c r="AK70" s="100"/>
      <c r="AL70" s="100"/>
      <c r="AM70" s="100"/>
      <c r="AN70" s="100"/>
      <c r="AO70" s="100"/>
      <c r="AP70" s="100"/>
      <c r="AQ70" s="100"/>
      <c r="AR70" s="100"/>
      <c r="AS70" s="100"/>
      <c r="AT70" s="100"/>
      <c r="AU70" s="100"/>
      <c r="AV70" s="100"/>
      <c r="AW70" s="100"/>
      <c r="AX70" s="100"/>
      <c r="AY70" s="100"/>
      <c r="AZ70" s="100"/>
      <c r="BA70" s="100"/>
      <c r="BB70" s="100"/>
      <c r="BC70" s="100"/>
      <c r="BD70" s="100"/>
      <c r="BE70" s="100"/>
    </row>
    <row r="71" spans="1:57" ht="18" customHeight="1">
      <c r="A71" s="318" t="s">
        <v>70</v>
      </c>
      <c r="B71" s="319"/>
      <c r="C71" s="318"/>
      <c r="D71" s="318"/>
      <c r="E71" s="318"/>
      <c r="F71" s="318"/>
      <c r="G71" s="318"/>
      <c r="H71" s="318"/>
      <c r="I71" s="318"/>
      <c r="J71" s="320"/>
      <c r="K71" s="320"/>
      <c r="L71" s="605" t="s">
        <v>194</v>
      </c>
      <c r="M71" s="605"/>
      <c r="N71" s="605"/>
      <c r="O71" s="605"/>
      <c r="P71" s="605"/>
      <c r="Q71" s="605"/>
      <c r="R71" s="109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/>
      <c r="AE71" s="100"/>
      <c r="AF71" s="100"/>
      <c r="AG71" s="100"/>
      <c r="AH71" s="100"/>
      <c r="AI71" s="100"/>
      <c r="AJ71" s="100"/>
      <c r="AK71" s="100"/>
      <c r="AL71" s="100"/>
      <c r="AM71" s="100"/>
      <c r="AN71" s="100"/>
      <c r="AO71" s="100"/>
      <c r="AP71" s="100"/>
      <c r="AQ71" s="100"/>
      <c r="AR71" s="100"/>
      <c r="AS71" s="100"/>
      <c r="AT71" s="100"/>
      <c r="AU71" s="100"/>
      <c r="AV71" s="100"/>
      <c r="AW71" s="100"/>
      <c r="AX71" s="100"/>
      <c r="AY71" s="100"/>
      <c r="AZ71" s="100"/>
      <c r="BA71" s="100"/>
      <c r="BB71" s="100"/>
      <c r="BC71" s="100"/>
      <c r="BD71" s="100"/>
      <c r="BE71" s="100"/>
    </row>
    <row r="72" spans="1:57" ht="15">
      <c r="A72" s="118"/>
      <c r="B72" s="118"/>
      <c r="C72" s="119"/>
      <c r="D72" s="120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  <c r="AE72" s="100"/>
      <c r="AF72" s="100"/>
      <c r="AG72" s="100"/>
      <c r="AH72" s="100"/>
      <c r="AI72" s="100"/>
      <c r="AJ72" s="100"/>
      <c r="AK72" s="100"/>
      <c r="AL72" s="100"/>
      <c r="AM72" s="100"/>
      <c r="AN72" s="100"/>
      <c r="AO72" s="100"/>
      <c r="AP72" s="100"/>
      <c r="AQ72" s="100"/>
      <c r="AR72" s="100"/>
      <c r="AS72" s="100"/>
      <c r="AT72" s="100"/>
      <c r="AU72" s="100"/>
      <c r="AV72" s="100"/>
      <c r="AW72" s="100"/>
      <c r="AX72" s="100"/>
      <c r="AY72" s="100"/>
      <c r="AZ72" s="100"/>
      <c r="BA72" s="100"/>
      <c r="BB72" s="100"/>
      <c r="BC72" s="100"/>
      <c r="BD72" s="100"/>
      <c r="BE72" s="100"/>
    </row>
    <row r="73" spans="1:57" ht="15.75">
      <c r="A73" s="100"/>
      <c r="B73" s="100"/>
      <c r="C73" s="100"/>
      <c r="D73" s="102"/>
      <c r="E73" s="100"/>
      <c r="F73" s="100"/>
      <c r="G73" s="100"/>
      <c r="H73" s="100"/>
      <c r="I73" s="100"/>
      <c r="J73" s="100"/>
      <c r="K73" s="100"/>
      <c r="L73" s="111"/>
      <c r="M73" s="111"/>
      <c r="N73" s="111"/>
      <c r="O73" s="111"/>
      <c r="P73" s="111"/>
      <c r="Q73" s="111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00"/>
      <c r="AK73" s="100"/>
      <c r="AL73" s="100"/>
      <c r="AM73" s="100"/>
      <c r="AN73" s="100"/>
      <c r="AO73" s="100"/>
      <c r="AP73" s="100"/>
      <c r="AQ73" s="100"/>
      <c r="AR73" s="100"/>
      <c r="AS73" s="100"/>
      <c r="AT73" s="100"/>
      <c r="AU73" s="100"/>
      <c r="AV73" s="100"/>
      <c r="AW73" s="100"/>
      <c r="AX73" s="100"/>
      <c r="AY73" s="100"/>
      <c r="AZ73" s="100"/>
      <c r="BA73" s="100"/>
      <c r="BB73" s="100"/>
      <c r="BC73" s="100"/>
      <c r="BD73" s="100"/>
      <c r="BE73" s="100"/>
    </row>
    <row r="74" spans="1:57">
      <c r="A74" s="100"/>
      <c r="B74" s="100"/>
      <c r="C74" s="100"/>
      <c r="D74" s="102"/>
      <c r="E74" s="100"/>
      <c r="F74" s="100"/>
      <c r="G74" s="100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00"/>
      <c r="AK74" s="100"/>
      <c r="AL74" s="100"/>
      <c r="AM74" s="100"/>
      <c r="AN74" s="100"/>
      <c r="AO74" s="100"/>
      <c r="AP74" s="100"/>
      <c r="AQ74" s="100"/>
      <c r="AR74" s="100"/>
      <c r="AS74" s="100"/>
      <c r="AT74" s="100"/>
      <c r="AU74" s="100"/>
      <c r="AV74" s="100"/>
      <c r="AW74" s="100"/>
      <c r="AX74" s="100"/>
      <c r="AY74" s="100"/>
      <c r="AZ74" s="100"/>
      <c r="BA74" s="100"/>
      <c r="BB74" s="100"/>
      <c r="BC74" s="100"/>
      <c r="BD74" s="100"/>
      <c r="BE74" s="100"/>
    </row>
    <row r="75" spans="1:57">
      <c r="A75" s="100"/>
      <c r="B75" s="100"/>
      <c r="C75" s="100"/>
      <c r="D75" s="102"/>
      <c r="E75" s="100"/>
      <c r="F75" s="100"/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  <c r="AD75" s="100"/>
      <c r="AE75" s="100"/>
      <c r="AF75" s="100"/>
      <c r="AG75" s="100"/>
      <c r="AH75" s="100"/>
      <c r="AI75" s="100"/>
      <c r="AJ75" s="100"/>
      <c r="AK75" s="100"/>
      <c r="AL75" s="100"/>
      <c r="AM75" s="100"/>
      <c r="AN75" s="100"/>
      <c r="AO75" s="100"/>
      <c r="AP75" s="100"/>
      <c r="AQ75" s="100"/>
      <c r="AR75" s="100"/>
      <c r="AS75" s="100"/>
      <c r="AT75" s="100"/>
      <c r="AU75" s="100"/>
      <c r="AV75" s="100"/>
      <c r="AW75" s="100"/>
      <c r="AX75" s="100"/>
      <c r="AY75" s="100"/>
      <c r="AZ75" s="100"/>
      <c r="BA75" s="100"/>
      <c r="BB75" s="100"/>
      <c r="BC75" s="100"/>
      <c r="BD75" s="100"/>
      <c r="BE75" s="100"/>
    </row>
    <row r="77" spans="1:57">
      <c r="AY77" t="s">
        <v>302</v>
      </c>
    </row>
  </sheetData>
  <sheetProtection selectLockedCells="1" selectUnlockedCells="1"/>
  <mergeCells count="81">
    <mergeCell ref="AE3:AF4"/>
    <mergeCell ref="AG3:AI4"/>
    <mergeCell ref="AI5:AI6"/>
    <mergeCell ref="AY2:BC2"/>
    <mergeCell ref="A3:A6"/>
    <mergeCell ref="B3:G3"/>
    <mergeCell ref="H3:P3"/>
    <mergeCell ref="Q3:U3"/>
    <mergeCell ref="V3:V6"/>
    <mergeCell ref="W3:W6"/>
    <mergeCell ref="X3:X6"/>
    <mergeCell ref="Y3:Y6"/>
    <mergeCell ref="Z3:Z6"/>
    <mergeCell ref="P4:P6"/>
    <mergeCell ref="L4:L6"/>
    <mergeCell ref="M4:M6"/>
    <mergeCell ref="CJ3:CM5"/>
    <mergeCell ref="B4:B6"/>
    <mergeCell ref="C4:C6"/>
    <mergeCell ref="D4:D6"/>
    <mergeCell ref="E4:E6"/>
    <mergeCell ref="F4:F6"/>
    <mergeCell ref="G4:G6"/>
    <mergeCell ref="H4:H6"/>
    <mergeCell ref="I4:I6"/>
    <mergeCell ref="J4:J6"/>
    <mergeCell ref="BD3:BD6"/>
    <mergeCell ref="BE3:BE6"/>
    <mergeCell ref="BK3:BQ5"/>
    <mergeCell ref="BR3:BX5"/>
    <mergeCell ref="BY3:CE5"/>
    <mergeCell ref="K4:K6"/>
    <mergeCell ref="AA3:AA6"/>
    <mergeCell ref="AB3:AB6"/>
    <mergeCell ref="N4:N6"/>
    <mergeCell ref="O4:O6"/>
    <mergeCell ref="DD4:DH4"/>
    <mergeCell ref="AE5:AE6"/>
    <mergeCell ref="AF5:AF6"/>
    <mergeCell ref="AG5:AG6"/>
    <mergeCell ref="AH5:AH6"/>
    <mergeCell ref="CF3:CI5"/>
    <mergeCell ref="AQ3:AQ6"/>
    <mergeCell ref="AS3:AS6"/>
    <mergeCell ref="AT3:AY4"/>
    <mergeCell ref="AZ3:AZ6"/>
    <mergeCell ref="BA3:BB4"/>
    <mergeCell ref="BC3:BC6"/>
    <mergeCell ref="Q4:Q6"/>
    <mergeCell ref="R4:R6"/>
    <mergeCell ref="S4:S6"/>
    <mergeCell ref="T4:T6"/>
    <mergeCell ref="U4:U6"/>
    <mergeCell ref="AC3:AC6"/>
    <mergeCell ref="AD3:AD6"/>
    <mergeCell ref="DA5:DB5"/>
    <mergeCell ref="CO39:CP39"/>
    <mergeCell ref="CQ39:CU39"/>
    <mergeCell ref="CV39:CY39"/>
    <mergeCell ref="AX5:AX6"/>
    <mergeCell ref="AY5:AY6"/>
    <mergeCell ref="AJ3:AK6"/>
    <mergeCell ref="AL3:AL6"/>
    <mergeCell ref="AM3:AM6"/>
    <mergeCell ref="AN3:AN6"/>
    <mergeCell ref="AO3:AO6"/>
    <mergeCell ref="AP3:AP6"/>
    <mergeCell ref="AT5:AT6"/>
    <mergeCell ref="AW5:AW6"/>
    <mergeCell ref="CO40:CU40"/>
    <mergeCell ref="BD58:BE58"/>
    <mergeCell ref="BD59:BE59"/>
    <mergeCell ref="BD60:BE60"/>
    <mergeCell ref="L71:Q71"/>
    <mergeCell ref="N46:O46"/>
    <mergeCell ref="AZ46:BE47"/>
    <mergeCell ref="AZ48:BC49"/>
    <mergeCell ref="BD48:BD49"/>
    <mergeCell ref="AZ51:BC52"/>
    <mergeCell ref="BD51:BD52"/>
    <mergeCell ref="AT42:AV42"/>
  </mergeCells>
  <printOptions horizontalCentered="1" verticalCentered="1"/>
  <pageMargins left="0" right="0" top="0" bottom="0" header="0" footer="0"/>
  <pageSetup paperSize="9" scale="46" firstPageNumber="0" orientation="landscape" r:id="rId1"/>
  <headerFooter alignWithMargins="0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K77"/>
  <sheetViews>
    <sheetView showZeros="0" zoomScale="90" zoomScaleNormal="90" workbookViewId="0">
      <pane xSplit="1" ySplit="6" topLeftCell="CS19" activePane="bottomRight" state="frozen"/>
      <selection pane="topRight" activeCell="B1" sqref="B1"/>
      <selection pane="bottomLeft" activeCell="A7" sqref="A7"/>
      <selection pane="bottomRight" activeCell="CT43" sqref="CT43"/>
    </sheetView>
  </sheetViews>
  <sheetFormatPr defaultColWidth="8.7109375" defaultRowHeight="12.75"/>
  <cols>
    <col min="1" max="1" width="3.5703125" customWidth="1"/>
    <col min="2" max="2" width="9.7109375" customWidth="1"/>
    <col min="3" max="3" width="6" customWidth="1"/>
    <col min="4" max="4" width="12" style="1" hidden="1" customWidth="1"/>
    <col min="5" max="5" width="7.140625" customWidth="1"/>
    <col min="6" max="6" width="7.5703125" customWidth="1"/>
    <col min="7" max="7" width="7.7109375" customWidth="1"/>
    <col min="8" max="8" width="7.28515625" customWidth="1"/>
    <col min="9" max="9" width="7.42578125" hidden="1" customWidth="1"/>
    <col min="10" max="10" width="9.140625" customWidth="1"/>
    <col min="11" max="11" width="5.5703125" hidden="1" customWidth="1"/>
    <col min="12" max="12" width="10.140625" customWidth="1"/>
    <col min="13" max="13" width="7.42578125" customWidth="1"/>
    <col min="14" max="14" width="3.28515625" customWidth="1"/>
    <col min="15" max="15" width="8.42578125" customWidth="1"/>
    <col min="16" max="16" width="9.85546875" hidden="1" customWidth="1"/>
    <col min="17" max="17" width="9.28515625" customWidth="1"/>
    <col min="18" max="18" width="6" customWidth="1"/>
    <col min="19" max="19" width="8.28515625" customWidth="1"/>
    <col min="20" max="20" width="11.140625" hidden="1" customWidth="1"/>
    <col min="21" max="21" width="9.42578125" customWidth="1"/>
    <col min="22" max="22" width="8.42578125" customWidth="1"/>
    <col min="23" max="23" width="9" customWidth="1"/>
    <col min="24" max="24" width="6" customWidth="1"/>
    <col min="25" max="25" width="5.42578125" customWidth="1"/>
    <col min="26" max="26" width="6.85546875" customWidth="1"/>
    <col min="27" max="27" width="6.5703125" customWidth="1"/>
    <col min="28" max="28" width="7.5703125" customWidth="1"/>
    <col min="29" max="29" width="6.5703125" customWidth="1"/>
    <col min="30" max="30" width="4.28515625" customWidth="1"/>
    <col min="31" max="32" width="6.85546875" customWidth="1"/>
    <col min="33" max="33" width="0" hidden="1" customWidth="1"/>
    <col min="34" max="34" width="8.42578125" customWidth="1"/>
    <col min="35" max="35" width="7" customWidth="1"/>
    <col min="36" max="36" width="7.85546875" customWidth="1"/>
    <col min="37" max="37" width="0" hidden="1" customWidth="1"/>
    <col min="38" max="38" width="7.28515625" customWidth="1"/>
    <col min="39" max="39" width="7.7109375" customWidth="1"/>
    <col min="40" max="40" width="7" hidden="1" customWidth="1"/>
    <col min="41" max="41" width="9.42578125" customWidth="1"/>
    <col min="42" max="42" width="6.28515625" customWidth="1"/>
    <col min="43" max="43" width="6.85546875" customWidth="1"/>
    <col min="44" max="44" width="0" hidden="1" customWidth="1"/>
    <col min="45" max="45" width="6.7109375" customWidth="1"/>
    <col min="46" max="46" width="9.7109375" customWidth="1"/>
    <col min="47" max="47" width="7" customWidth="1"/>
    <col min="48" max="48" width="0" hidden="1" customWidth="1"/>
    <col min="49" max="49" width="6.140625" hidden="1" customWidth="1"/>
    <col min="50" max="50" width="5.140625" hidden="1" customWidth="1"/>
    <col min="51" max="51" width="8.42578125" customWidth="1"/>
    <col min="52" max="52" width="10" customWidth="1"/>
    <col min="53" max="53" width="8.7109375" hidden="1" customWidth="1"/>
    <col min="54" max="54" width="3.85546875" hidden="1" customWidth="1"/>
    <col min="55" max="55" width="6.5703125" customWidth="1"/>
    <col min="56" max="56" width="6.140625" customWidth="1"/>
    <col min="57" max="57" width="6.7109375" customWidth="1"/>
    <col min="58" max="58" width="8.85546875" customWidth="1"/>
    <col min="59" max="59" width="7.85546875" customWidth="1"/>
    <col min="60" max="60" width="9.85546875" customWidth="1"/>
    <col min="61" max="62" width="8.7109375" customWidth="1"/>
    <col min="63" max="63" width="10.28515625" customWidth="1"/>
    <col min="64" max="64" width="10.85546875" customWidth="1"/>
    <col min="65" max="65" width="10.7109375" customWidth="1"/>
    <col min="66" max="66" width="11.28515625" customWidth="1"/>
    <col min="67" max="68" width="8.85546875" customWidth="1"/>
    <col min="69" max="69" width="11.28515625" customWidth="1"/>
    <col min="70" max="70" width="7.7109375" customWidth="1"/>
    <col min="71" max="71" width="10" customWidth="1"/>
    <col min="72" max="72" width="8.85546875" customWidth="1"/>
    <col min="73" max="73" width="10.140625" customWidth="1"/>
    <col min="74" max="75" width="8.85546875" customWidth="1"/>
    <col min="76" max="76" width="9.7109375" customWidth="1"/>
    <col min="77" max="78" width="8.7109375" customWidth="1"/>
    <col min="79" max="79" width="9" customWidth="1"/>
    <col min="80" max="80" width="10.42578125" customWidth="1"/>
    <col min="81" max="81" width="8.42578125" customWidth="1"/>
    <col min="82" max="82" width="10.42578125" customWidth="1"/>
    <col min="83" max="83" width="9.85546875" customWidth="1"/>
    <col min="84" max="85" width="11.42578125" customWidth="1"/>
    <col min="86" max="86" width="11.140625" customWidth="1"/>
    <col min="87" max="87" width="11.28515625" customWidth="1"/>
    <col min="88" max="89" width="10" customWidth="1"/>
    <col min="90" max="90" width="8.7109375" customWidth="1"/>
    <col min="91" max="91" width="11.85546875" customWidth="1"/>
    <col min="92" max="92" width="8.7109375" customWidth="1"/>
    <col min="93" max="93" width="12.140625" customWidth="1"/>
    <col min="94" max="94" width="12.5703125" customWidth="1"/>
    <col min="95" max="95" width="11.7109375" customWidth="1"/>
    <col min="96" max="98" width="12.28515625" customWidth="1"/>
    <col min="99" max="99" width="13.28515625" customWidth="1"/>
    <col min="100" max="100" width="12.85546875" customWidth="1"/>
    <col min="101" max="101" width="13.42578125" customWidth="1"/>
    <col min="102" max="102" width="12.5703125" customWidth="1"/>
    <col min="103" max="103" width="14" customWidth="1"/>
    <col min="104" max="104" width="9.5703125" customWidth="1"/>
    <col min="105" max="105" width="19.140625" customWidth="1"/>
    <col min="106" max="106" width="19.42578125" customWidth="1"/>
    <col min="111" max="111" width="8.7109375" hidden="1" customWidth="1"/>
    <col min="112" max="112" width="9" bestFit="1" customWidth="1"/>
    <col min="114" max="114" width="9.7109375" bestFit="1" customWidth="1"/>
    <col min="115" max="115" width="13.28515625" customWidth="1"/>
  </cols>
  <sheetData>
    <row r="1" spans="1:115" ht="17.25" customHeight="1">
      <c r="A1" s="310" t="s">
        <v>0</v>
      </c>
      <c r="B1" s="310"/>
      <c r="C1" s="310"/>
      <c r="D1" s="311"/>
      <c r="E1" s="310"/>
      <c r="F1" s="310"/>
      <c r="G1" s="310"/>
      <c r="H1" s="310"/>
      <c r="I1" s="310"/>
      <c r="J1" s="310"/>
      <c r="K1" s="310"/>
      <c r="L1" s="310"/>
      <c r="M1" s="310"/>
      <c r="N1" s="310"/>
      <c r="O1" s="310"/>
      <c r="P1" s="77"/>
      <c r="Q1" s="77"/>
      <c r="R1" s="77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</row>
    <row r="2" spans="1:115" ht="19.5" customHeight="1" thickBot="1">
      <c r="A2" s="22"/>
      <c r="B2" s="78"/>
      <c r="C2" s="78"/>
      <c r="D2" s="79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80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80"/>
      <c r="AT2" s="312" t="s">
        <v>1</v>
      </c>
      <c r="AU2" s="313">
        <v>30</v>
      </c>
      <c r="AV2" s="314"/>
      <c r="AW2" s="314"/>
      <c r="AX2" s="315" t="s">
        <v>81</v>
      </c>
      <c r="AY2" s="556" t="s">
        <v>438</v>
      </c>
      <c r="AZ2" s="556"/>
      <c r="BA2" s="556"/>
      <c r="BB2" s="556"/>
      <c r="BC2" s="556"/>
      <c r="BD2" s="316" t="s">
        <v>107</v>
      </c>
      <c r="BE2" s="317"/>
    </row>
    <row r="3" spans="1:115" ht="39.75" customHeight="1" thickBot="1">
      <c r="A3" s="557" t="s">
        <v>3</v>
      </c>
      <c r="B3" s="558" t="s">
        <v>71</v>
      </c>
      <c r="C3" s="558"/>
      <c r="D3" s="558"/>
      <c r="E3" s="558"/>
      <c r="F3" s="558"/>
      <c r="G3" s="558"/>
      <c r="H3" s="554" t="s">
        <v>4</v>
      </c>
      <c r="I3" s="554"/>
      <c r="J3" s="554"/>
      <c r="K3" s="554"/>
      <c r="L3" s="554"/>
      <c r="M3" s="554"/>
      <c r="N3" s="554"/>
      <c r="O3" s="554"/>
      <c r="P3" s="559"/>
      <c r="Q3" s="560" t="s">
        <v>5</v>
      </c>
      <c r="R3" s="561"/>
      <c r="S3" s="561"/>
      <c r="T3" s="561"/>
      <c r="U3" s="562"/>
      <c r="V3" s="563" t="s">
        <v>6</v>
      </c>
      <c r="W3" s="563" t="s">
        <v>7</v>
      </c>
      <c r="X3" s="564" t="s">
        <v>8</v>
      </c>
      <c r="Y3" s="564" t="s">
        <v>9</v>
      </c>
      <c r="Z3" s="564" t="s">
        <v>10</v>
      </c>
      <c r="AA3" s="564" t="s">
        <v>11</v>
      </c>
      <c r="AB3" s="564" t="s">
        <v>12</v>
      </c>
      <c r="AC3" s="564" t="s">
        <v>13</v>
      </c>
      <c r="AD3" s="564" t="s">
        <v>14</v>
      </c>
      <c r="AE3" s="554" t="s">
        <v>15</v>
      </c>
      <c r="AF3" s="554"/>
      <c r="AG3" s="554" t="s">
        <v>16</v>
      </c>
      <c r="AH3" s="554"/>
      <c r="AI3" s="554"/>
      <c r="AJ3" s="593" t="s">
        <v>17</v>
      </c>
      <c r="AK3" s="593"/>
      <c r="AL3" s="564" t="s">
        <v>18</v>
      </c>
      <c r="AM3" s="599" t="s">
        <v>19</v>
      </c>
      <c r="AN3" s="600" t="s">
        <v>95</v>
      </c>
      <c r="AO3" s="603" t="s">
        <v>20</v>
      </c>
      <c r="AP3" s="564" t="s">
        <v>105</v>
      </c>
      <c r="AQ3" s="564" t="s">
        <v>21</v>
      </c>
      <c r="AR3" s="81"/>
      <c r="AS3" s="593" t="s">
        <v>22</v>
      </c>
      <c r="AT3" s="554" t="s">
        <v>23</v>
      </c>
      <c r="AU3" s="554"/>
      <c r="AV3" s="554"/>
      <c r="AW3" s="554"/>
      <c r="AX3" s="554"/>
      <c r="AY3" s="554"/>
      <c r="AZ3" s="564" t="s">
        <v>24</v>
      </c>
      <c r="BA3" s="594" t="s">
        <v>25</v>
      </c>
      <c r="BB3" s="594"/>
      <c r="BC3" s="564" t="s">
        <v>26</v>
      </c>
      <c r="BD3" s="564" t="s">
        <v>27</v>
      </c>
      <c r="BE3" s="572" t="s">
        <v>28</v>
      </c>
      <c r="BF3" s="3"/>
      <c r="BG3" s="3"/>
      <c r="BH3" s="3"/>
      <c r="BI3" s="3"/>
      <c r="BJ3" s="3"/>
      <c r="BK3" s="573" t="s">
        <v>29</v>
      </c>
      <c r="BL3" s="574"/>
      <c r="BM3" s="574"/>
      <c r="BN3" s="574"/>
      <c r="BO3" s="575"/>
      <c r="BP3" s="575"/>
      <c r="BQ3" s="576"/>
      <c r="BR3" s="573" t="s">
        <v>30</v>
      </c>
      <c r="BS3" s="585"/>
      <c r="BT3" s="585"/>
      <c r="BU3" s="585"/>
      <c r="BV3" s="585"/>
      <c r="BW3" s="585"/>
      <c r="BX3" s="586"/>
      <c r="BY3" s="566" t="s">
        <v>31</v>
      </c>
      <c r="BZ3" s="566"/>
      <c r="CA3" s="566"/>
      <c r="CB3" s="566"/>
      <c r="CC3" s="566"/>
      <c r="CD3" s="566"/>
      <c r="CE3" s="566"/>
      <c r="CF3" s="566" t="s">
        <v>87</v>
      </c>
      <c r="CG3" s="566"/>
      <c r="CH3" s="566"/>
      <c r="CI3" s="566"/>
      <c r="CJ3" s="566" t="s">
        <v>32</v>
      </c>
      <c r="CK3" s="566"/>
      <c r="CL3" s="566"/>
      <c r="CM3" s="566"/>
      <c r="CN3" s="4"/>
      <c r="CO3" s="5"/>
      <c r="CP3" s="6"/>
      <c r="CQ3" s="6"/>
    </row>
    <row r="4" spans="1:115" s="7" customFormat="1" ht="30.75" customHeight="1" thickBot="1">
      <c r="A4" s="557"/>
      <c r="B4" s="565" t="s">
        <v>72</v>
      </c>
      <c r="C4" s="613" t="s">
        <v>73</v>
      </c>
      <c r="D4" s="615" t="s">
        <v>33</v>
      </c>
      <c r="E4" s="613" t="s">
        <v>74</v>
      </c>
      <c r="F4" s="569" t="s">
        <v>75</v>
      </c>
      <c r="G4" s="569" t="s">
        <v>34</v>
      </c>
      <c r="H4" s="555" t="s">
        <v>76</v>
      </c>
      <c r="I4" s="570" t="s">
        <v>101</v>
      </c>
      <c r="J4" s="555" t="s">
        <v>89</v>
      </c>
      <c r="K4" s="565" t="s">
        <v>35</v>
      </c>
      <c r="L4" s="565" t="s">
        <v>77</v>
      </c>
      <c r="M4" s="565" t="s">
        <v>78</v>
      </c>
      <c r="N4" s="565" t="s">
        <v>101</v>
      </c>
      <c r="O4" s="565" t="s">
        <v>96</v>
      </c>
      <c r="P4" s="555" t="s">
        <v>79</v>
      </c>
      <c r="Q4" s="555" t="s">
        <v>36</v>
      </c>
      <c r="R4" s="555" t="s">
        <v>32</v>
      </c>
      <c r="S4" s="555" t="s">
        <v>37</v>
      </c>
      <c r="T4" s="555" t="s">
        <v>38</v>
      </c>
      <c r="U4" s="555" t="s">
        <v>39</v>
      </c>
      <c r="V4" s="563"/>
      <c r="W4" s="563"/>
      <c r="X4" s="564"/>
      <c r="Y4" s="564"/>
      <c r="Z4" s="564"/>
      <c r="AA4" s="564"/>
      <c r="AB4" s="564"/>
      <c r="AC4" s="564"/>
      <c r="AD4" s="564"/>
      <c r="AE4" s="554"/>
      <c r="AF4" s="554"/>
      <c r="AG4" s="554"/>
      <c r="AH4" s="554"/>
      <c r="AI4" s="554"/>
      <c r="AJ4" s="593"/>
      <c r="AK4" s="593"/>
      <c r="AL4" s="564"/>
      <c r="AM4" s="599"/>
      <c r="AN4" s="601"/>
      <c r="AO4" s="603"/>
      <c r="AP4" s="564"/>
      <c r="AQ4" s="564"/>
      <c r="AR4" s="82"/>
      <c r="AS4" s="593"/>
      <c r="AT4" s="554"/>
      <c r="AU4" s="554"/>
      <c r="AV4" s="554"/>
      <c r="AW4" s="554"/>
      <c r="AX4" s="554"/>
      <c r="AY4" s="554"/>
      <c r="AZ4" s="564"/>
      <c r="BA4" s="594"/>
      <c r="BB4" s="594"/>
      <c r="BC4" s="564"/>
      <c r="BD4" s="564"/>
      <c r="BE4" s="572"/>
      <c r="BF4" s="3"/>
      <c r="BG4" s="3"/>
      <c r="BH4" s="3"/>
      <c r="BI4" s="3"/>
      <c r="BJ4" s="3"/>
      <c r="BK4" s="577"/>
      <c r="BL4" s="578"/>
      <c r="BM4" s="578"/>
      <c r="BN4" s="578"/>
      <c r="BO4" s="579"/>
      <c r="BP4" s="579"/>
      <c r="BQ4" s="580"/>
      <c r="BR4" s="577"/>
      <c r="BS4" s="566"/>
      <c r="BT4" s="566"/>
      <c r="BU4" s="566"/>
      <c r="BV4" s="566"/>
      <c r="BW4" s="566"/>
      <c r="BX4" s="587"/>
      <c r="BY4" s="566"/>
      <c r="BZ4" s="566"/>
      <c r="CA4" s="566"/>
      <c r="CB4" s="566"/>
      <c r="CC4" s="566"/>
      <c r="CD4" s="566"/>
      <c r="CE4" s="566"/>
      <c r="CF4" s="566"/>
      <c r="CG4" s="566"/>
      <c r="CH4" s="566"/>
      <c r="CI4" s="566"/>
      <c r="CJ4" s="566"/>
      <c r="CK4" s="566"/>
      <c r="CL4" s="566"/>
      <c r="CM4" s="566"/>
      <c r="CN4" s="4"/>
      <c r="CO4" s="6"/>
      <c r="CP4" s="6"/>
      <c r="CQ4" s="262"/>
      <c r="CR4" s="231"/>
      <c r="CS4" s="231"/>
      <c r="CT4" s="231"/>
      <c r="CU4" s="231"/>
      <c r="CV4" s="231"/>
      <c r="CW4" s="231"/>
      <c r="CX4" s="231"/>
      <c r="CY4" s="231"/>
      <c r="DD4" s="590" t="s">
        <v>90</v>
      </c>
      <c r="DE4" s="591"/>
      <c r="DF4" s="591"/>
      <c r="DG4" s="591"/>
      <c r="DH4" s="592"/>
    </row>
    <row r="5" spans="1:115" s="7" customFormat="1" ht="8.25" hidden="1" customHeight="1">
      <c r="A5" s="557"/>
      <c r="B5" s="565"/>
      <c r="C5" s="614"/>
      <c r="D5" s="616"/>
      <c r="E5" s="614"/>
      <c r="F5" s="569"/>
      <c r="G5" s="569"/>
      <c r="H5" s="555"/>
      <c r="I5" s="570"/>
      <c r="J5" s="565"/>
      <c r="K5" s="565"/>
      <c r="L5" s="565"/>
      <c r="M5" s="565"/>
      <c r="N5" s="565"/>
      <c r="O5" s="565"/>
      <c r="P5" s="555"/>
      <c r="Q5" s="555"/>
      <c r="R5" s="555"/>
      <c r="S5" s="555"/>
      <c r="T5" s="555"/>
      <c r="U5" s="555"/>
      <c r="V5" s="563"/>
      <c r="W5" s="563"/>
      <c r="X5" s="564"/>
      <c r="Y5" s="564"/>
      <c r="Z5" s="564"/>
      <c r="AA5" s="564"/>
      <c r="AB5" s="564"/>
      <c r="AC5" s="564"/>
      <c r="AD5" s="564"/>
      <c r="AE5" s="555" t="s">
        <v>40</v>
      </c>
      <c r="AF5" s="555" t="s">
        <v>41</v>
      </c>
      <c r="AG5" s="555" t="s">
        <v>42</v>
      </c>
      <c r="AH5" s="555" t="s">
        <v>40</v>
      </c>
      <c r="AI5" s="555" t="s">
        <v>41</v>
      </c>
      <c r="AJ5" s="593"/>
      <c r="AK5" s="593"/>
      <c r="AL5" s="564"/>
      <c r="AM5" s="599"/>
      <c r="AN5" s="601"/>
      <c r="AO5" s="603"/>
      <c r="AP5" s="564"/>
      <c r="AQ5" s="564"/>
      <c r="AR5" s="83"/>
      <c r="AS5" s="593"/>
      <c r="AT5" s="555" t="s">
        <v>43</v>
      </c>
      <c r="AU5" s="84"/>
      <c r="AV5" s="85"/>
      <c r="AW5" s="598" t="s">
        <v>44</v>
      </c>
      <c r="AX5" s="598" t="s">
        <v>45</v>
      </c>
      <c r="AY5" s="555" t="s">
        <v>46</v>
      </c>
      <c r="AZ5" s="564"/>
      <c r="BA5" s="86" t="s">
        <v>47</v>
      </c>
      <c r="BB5" s="86" t="s">
        <v>48</v>
      </c>
      <c r="BC5" s="564"/>
      <c r="BD5" s="564"/>
      <c r="BE5" s="572"/>
      <c r="BF5" s="3"/>
      <c r="BG5" s="3"/>
      <c r="BH5" s="3"/>
      <c r="BI5" s="3"/>
      <c r="BJ5" s="3"/>
      <c r="BK5" s="581"/>
      <c r="BL5" s="582"/>
      <c r="BM5" s="582"/>
      <c r="BN5" s="582"/>
      <c r="BO5" s="583"/>
      <c r="BP5" s="583"/>
      <c r="BQ5" s="584"/>
      <c r="BR5" s="581"/>
      <c r="BS5" s="588"/>
      <c r="BT5" s="588"/>
      <c r="BU5" s="588"/>
      <c r="BV5" s="588"/>
      <c r="BW5" s="588"/>
      <c r="BX5" s="589"/>
      <c r="BY5" s="567"/>
      <c r="BZ5" s="566"/>
      <c r="CA5" s="566"/>
      <c r="CB5" s="566"/>
      <c r="CC5" s="566"/>
      <c r="CD5" s="566"/>
      <c r="CE5" s="566"/>
      <c r="CF5" s="567"/>
      <c r="CG5" s="567"/>
      <c r="CH5" s="567"/>
      <c r="CI5" s="567"/>
      <c r="CJ5" s="567"/>
      <c r="CK5" s="567"/>
      <c r="CL5" s="567"/>
      <c r="CM5" s="567"/>
      <c r="CN5" s="4"/>
      <c r="CO5"/>
      <c r="CP5"/>
      <c r="CQ5" s="255"/>
      <c r="CR5" s="256"/>
      <c r="CS5" s="256"/>
      <c r="CT5" s="256"/>
      <c r="CU5" s="256"/>
      <c r="CV5" s="257"/>
      <c r="CW5" s="257"/>
      <c r="CX5" s="257"/>
      <c r="CY5" s="258"/>
      <c r="DA5" s="595" t="s">
        <v>49</v>
      </c>
      <c r="DB5" s="595"/>
    </row>
    <row r="6" spans="1:115" s="7" customFormat="1" ht="106.5" customHeight="1" thickBot="1">
      <c r="A6" s="557"/>
      <c r="B6" s="565"/>
      <c r="C6" s="565"/>
      <c r="D6" s="568"/>
      <c r="E6" s="565"/>
      <c r="F6" s="569"/>
      <c r="G6" s="569"/>
      <c r="H6" s="555"/>
      <c r="I6" s="570"/>
      <c r="J6" s="571"/>
      <c r="K6" s="565"/>
      <c r="L6" s="565"/>
      <c r="M6" s="565"/>
      <c r="N6" s="565"/>
      <c r="O6" s="565"/>
      <c r="P6" s="565"/>
      <c r="Q6" s="565"/>
      <c r="R6" s="565"/>
      <c r="S6" s="565"/>
      <c r="T6" s="555"/>
      <c r="U6" s="555"/>
      <c r="V6" s="563"/>
      <c r="W6" s="563"/>
      <c r="X6" s="564"/>
      <c r="Y6" s="564"/>
      <c r="Z6" s="564"/>
      <c r="AA6" s="564"/>
      <c r="AB6" s="564"/>
      <c r="AC6" s="564"/>
      <c r="AD6" s="564"/>
      <c r="AE6" s="555"/>
      <c r="AF6" s="555"/>
      <c r="AG6" s="555"/>
      <c r="AH6" s="555"/>
      <c r="AI6" s="555"/>
      <c r="AJ6" s="593"/>
      <c r="AK6" s="593"/>
      <c r="AL6" s="564"/>
      <c r="AM6" s="599"/>
      <c r="AN6" s="602"/>
      <c r="AO6" s="603"/>
      <c r="AP6" s="564"/>
      <c r="AQ6" s="564"/>
      <c r="AR6" s="524"/>
      <c r="AS6" s="593"/>
      <c r="AT6" s="555"/>
      <c r="AU6" s="523" t="s">
        <v>50</v>
      </c>
      <c r="AV6" s="523" t="s">
        <v>51</v>
      </c>
      <c r="AW6" s="598"/>
      <c r="AX6" s="598"/>
      <c r="AY6" s="555"/>
      <c r="AZ6" s="555"/>
      <c r="BA6" s="87"/>
      <c r="BB6" s="88">
        <v>0.04</v>
      </c>
      <c r="BC6" s="564"/>
      <c r="BD6" s="564"/>
      <c r="BE6" s="572"/>
      <c r="BF6" s="8" t="s">
        <v>52</v>
      </c>
      <c r="BG6" s="8" t="s">
        <v>53</v>
      </c>
      <c r="BH6" s="8" t="s">
        <v>54</v>
      </c>
      <c r="BI6" s="3"/>
      <c r="BJ6" s="3"/>
      <c r="BK6" s="308" t="s">
        <v>100</v>
      </c>
      <c r="BL6" s="280" t="s">
        <v>82</v>
      </c>
      <c r="BM6" s="279" t="s">
        <v>262</v>
      </c>
      <c r="BN6" s="307" t="s">
        <v>444</v>
      </c>
      <c r="BO6" s="308" t="s">
        <v>97</v>
      </c>
      <c r="BP6" s="495" t="s">
        <v>99</v>
      </c>
      <c r="BQ6" s="495" t="s">
        <v>420</v>
      </c>
      <c r="BR6" s="308" t="s">
        <v>100</v>
      </c>
      <c r="BS6" s="280" t="s">
        <v>82</v>
      </c>
      <c r="BT6" s="279" t="s">
        <v>262</v>
      </c>
      <c r="BU6" s="327"/>
      <c r="BV6" s="308" t="s">
        <v>97</v>
      </c>
      <c r="BW6" s="495" t="s">
        <v>99</v>
      </c>
      <c r="BX6" s="306"/>
      <c r="BY6" s="308" t="s">
        <v>100</v>
      </c>
      <c r="BZ6" s="280" t="s">
        <v>82</v>
      </c>
      <c r="CA6" s="279" t="s">
        <v>262</v>
      </c>
      <c r="CB6" s="307" t="s">
        <v>444</v>
      </c>
      <c r="CC6" s="308" t="s">
        <v>97</v>
      </c>
      <c r="CD6" s="495" t="s">
        <v>99</v>
      </c>
      <c r="CE6" s="495" t="s">
        <v>420</v>
      </c>
      <c r="CF6" s="267" t="s">
        <v>106</v>
      </c>
      <c r="CG6" s="268" t="s">
        <v>85</v>
      </c>
      <c r="CH6" s="244" t="s">
        <v>430</v>
      </c>
      <c r="CI6" s="245" t="s">
        <v>408</v>
      </c>
      <c r="CJ6" s="267" t="s">
        <v>106</v>
      </c>
      <c r="CK6" s="268" t="s">
        <v>85</v>
      </c>
      <c r="CL6" s="244" t="s">
        <v>430</v>
      </c>
      <c r="CM6" s="245" t="s">
        <v>408</v>
      </c>
      <c r="CN6" s="243"/>
      <c r="CO6" s="248" t="s">
        <v>100</v>
      </c>
      <c r="CP6" s="10" t="s">
        <v>82</v>
      </c>
      <c r="CQ6" s="264" t="s">
        <v>263</v>
      </c>
      <c r="CR6" s="23" t="s">
        <v>446</v>
      </c>
      <c r="CS6" s="248" t="s">
        <v>98</v>
      </c>
      <c r="CT6" s="248" t="s">
        <v>99</v>
      </c>
      <c r="CU6" s="496" t="s">
        <v>423</v>
      </c>
      <c r="CV6" s="259" t="s">
        <v>106</v>
      </c>
      <c r="CW6" s="248" t="s">
        <v>84</v>
      </c>
      <c r="CX6" s="232" t="s">
        <v>430</v>
      </c>
      <c r="CY6" s="263" t="s">
        <v>408</v>
      </c>
      <c r="CZ6" s="253"/>
      <c r="DA6" s="321" t="s">
        <v>80</v>
      </c>
      <c r="DB6" s="321" t="s">
        <v>55</v>
      </c>
      <c r="DD6" s="288" t="s">
        <v>91</v>
      </c>
      <c r="DE6" s="289" t="s">
        <v>92</v>
      </c>
      <c r="DF6" s="290" t="s">
        <v>93</v>
      </c>
      <c r="DG6" s="290"/>
      <c r="DH6" s="289" t="s">
        <v>94</v>
      </c>
    </row>
    <row r="7" spans="1:115" s="76" customFormat="1" ht="16.5" customHeight="1" thickBot="1">
      <c r="A7" s="121">
        <v>1</v>
      </c>
      <c r="B7" s="122">
        <f>'[1]ноябрь 20'!K6</f>
        <v>257.52300000000002</v>
      </c>
      <c r="C7" s="123">
        <f>IF(B7=0,0,(BK7*BR7+BL7*BS7+BM7*BT7+BN7*BU7+BQ7*BX7+BO7*BV7+BP7*BW7)/B7)</f>
        <v>2.8735271092523931</v>
      </c>
      <c r="D7" s="124">
        <f>B7*((100-C7)/100)</f>
        <v>250.12300678243997</v>
      </c>
      <c r="E7" s="125">
        <f>IF(B7=0,0,(BK7*BY7+BL7*BZ7+BM7*CA7+BQ7*CE7+BN7*CB7+BO7*CC7+BP7*CD7)/B7)</f>
        <v>39.584801784694974</v>
      </c>
      <c r="F7" s="126">
        <f t="shared" ref="F7:F37" si="0">IF(AY7=0,0,D7/AY7)</f>
        <v>1.9811723309500195</v>
      </c>
      <c r="G7" s="127">
        <v>16.62</v>
      </c>
      <c r="H7" s="126">
        <f>IF(AY7=0,0,(CP7+CO7+CS7+CQ7+CT7)/AY7)</f>
        <v>1.4920159318811879</v>
      </c>
      <c r="I7" s="230">
        <f>'[1]июль 20'!AI6</f>
        <v>0</v>
      </c>
      <c r="J7" s="246">
        <f>'[1]ноябрь 20'!AA6</f>
        <v>10.202</v>
      </c>
      <c r="K7" s="445">
        <f>'[1]сентябрь 20'!AM6</f>
        <v>0</v>
      </c>
      <c r="L7" s="446">
        <f>'[1]ноябрь 20'!AE6</f>
        <v>61.756</v>
      </c>
      <c r="M7" s="399">
        <f>IF(AY7=0,0,(CR7+CU7)/AY7)</f>
        <v>0.48915643075200005</v>
      </c>
      <c r="N7" s="399">
        <f>'[1]ноябрь 20'!W6</f>
        <v>0</v>
      </c>
      <c r="O7" s="402">
        <f>'[1]ноябрь 20'!AU6</f>
        <v>6.1260000000000003</v>
      </c>
      <c r="P7" s="125">
        <f t="shared" ref="P7:P37" si="1">CF7+CH7+CI7+CG7</f>
        <v>163.23700099999999</v>
      </c>
      <c r="Q7" s="122">
        <f>'[1]ноябрь 20'!S6</f>
        <v>163.23699999999999</v>
      </c>
      <c r="R7" s="123">
        <f>IF(Q7=0,0,(CI7*CM7+CG7*CK7+CH7*CL7+CF7*CJ7)/Q7)</f>
        <v>2.3300000000000063</v>
      </c>
      <c r="S7" s="129"/>
      <c r="T7" s="125">
        <f t="shared" ref="T7:T37" si="2">Q7*((100-R7)/100)</f>
        <v>159.43357789999999</v>
      </c>
      <c r="U7" s="128">
        <f t="shared" ref="U7:U37" si="3">IF(AY7=0,0,T7/AY7)</f>
        <v>1.2628402209900988</v>
      </c>
      <c r="V7" s="130">
        <v>126.25</v>
      </c>
      <c r="W7" s="130">
        <v>99.34</v>
      </c>
      <c r="X7" s="129">
        <v>0.65</v>
      </c>
      <c r="Y7" s="131">
        <v>615</v>
      </c>
      <c r="Z7" s="131">
        <v>1169</v>
      </c>
      <c r="AA7" s="132" t="s">
        <v>171</v>
      </c>
      <c r="AB7" s="129">
        <v>75.7</v>
      </c>
      <c r="AC7" s="131">
        <v>103</v>
      </c>
      <c r="AD7" s="133">
        <v>4</v>
      </c>
      <c r="AE7" s="129"/>
      <c r="AF7" s="134">
        <f t="shared" ref="AF7:AF37" si="4">IF(AY7=0,0,AE7/AY7*1000)</f>
        <v>0</v>
      </c>
      <c r="AG7" s="135"/>
      <c r="AH7" s="129">
        <v>76.5</v>
      </c>
      <c r="AI7" s="134">
        <f t="shared" ref="AI7:AI37" si="5">IF(AY7=0,0,AH7/AY7*1000)</f>
        <v>605.94059405940595</v>
      </c>
      <c r="AJ7" s="136">
        <v>14.8</v>
      </c>
      <c r="AK7" s="127"/>
      <c r="AL7" s="137">
        <v>4.96</v>
      </c>
      <c r="AM7" s="478">
        <f>AT7*0.2</f>
        <v>31.85</v>
      </c>
      <c r="AN7" s="126">
        <f>IF(AM7=0,0,AM7/AT7)</f>
        <v>0.2</v>
      </c>
      <c r="AO7" s="139" t="s">
        <v>347</v>
      </c>
      <c r="AP7" s="138">
        <v>7.12</v>
      </c>
      <c r="AQ7" s="138">
        <v>7.66</v>
      </c>
      <c r="AR7" s="129"/>
      <c r="AS7" s="129">
        <v>8.39</v>
      </c>
      <c r="AT7" s="129">
        <v>159.25</v>
      </c>
      <c r="AU7" s="129">
        <v>3.81</v>
      </c>
      <c r="AV7" s="129"/>
      <c r="AW7" s="129"/>
      <c r="AX7" s="140">
        <f t="shared" ref="AX7:AX37" si="6">IF(AY7=0,0,AW7/AY7*100)</f>
        <v>0</v>
      </c>
      <c r="AY7" s="125">
        <f t="shared" ref="AY7:AY37" si="7">AT7-AL7-AM7+AV7+AW7+AU7</f>
        <v>126.25</v>
      </c>
      <c r="AZ7" s="125">
        <f>IF(AB7=0,0,((D7*0.97)*(E7/100)*0.9)/(AB7/100))+DH7</f>
        <v>116.25097279121402</v>
      </c>
      <c r="BA7" s="141">
        <f t="shared" ref="BA7:BA37" si="8">(AH7*AS7)/100*(55/71)</f>
        <v>4.9719612676056339</v>
      </c>
      <c r="BB7" s="142">
        <f t="shared" ref="BB7:BB37" si="9">AY7*$BB$6</f>
        <v>5.05</v>
      </c>
      <c r="BC7" s="122">
        <f t="shared" ref="BC7:BC37" si="10">IF((D7*E7)=0,0,(AY7*AB7)/(D7*E7))</f>
        <v>0.96526186991938312</v>
      </c>
      <c r="BD7" s="142">
        <f>BA7+BB7</f>
        <v>10.021961267605633</v>
      </c>
      <c r="BE7" s="143">
        <v>0.96499999999999997</v>
      </c>
      <c r="BF7" s="25">
        <f>AY7</f>
        <v>126.25</v>
      </c>
      <c r="BG7" s="25">
        <f t="shared" ref="BG7:BG38" si="11">IF(A7&lt;=$BE$43,$AT$43,0)</f>
        <v>125.66666666666667</v>
      </c>
      <c r="BH7" s="25">
        <f>BG7</f>
        <v>125.66666666666667</v>
      </c>
      <c r="BI7" s="26">
        <f t="shared" ref="BI7:BI37" si="12">IF(AY7&lt;&gt;0,1,0)</f>
        <v>1</v>
      </c>
      <c r="BJ7" s="27">
        <f>BG7*BI7</f>
        <v>125.66666666666667</v>
      </c>
      <c r="BK7" s="28">
        <v>195.767</v>
      </c>
      <c r="BL7" s="28">
        <v>9.9999999999999995E-7</v>
      </c>
      <c r="BM7" s="28">
        <v>9.9999999999999995E-7</v>
      </c>
      <c r="BN7" s="28">
        <v>51.569000000000003</v>
      </c>
      <c r="BO7" s="28">
        <v>9.9999999999999995E-7</v>
      </c>
      <c r="BP7" s="28">
        <v>9.9999999999999995E-7</v>
      </c>
      <c r="BQ7" s="28">
        <v>10.186999999999999</v>
      </c>
      <c r="BR7" s="28">
        <v>3.78</v>
      </c>
      <c r="BS7" s="28">
        <v>9.9999999999999995E-7</v>
      </c>
      <c r="BT7" s="28">
        <v>9.9999999999999995E-7</v>
      </c>
      <c r="BU7" s="28">
        <v>9.9999999999999995E-7</v>
      </c>
      <c r="BV7" s="28">
        <v>9.9999999999999995E-7</v>
      </c>
      <c r="BW7" s="28">
        <v>9.9999999999999995E-7</v>
      </c>
      <c r="BX7" s="28">
        <v>9.9999999999999995E-7</v>
      </c>
      <c r="BY7" s="28">
        <v>38.28</v>
      </c>
      <c r="BZ7" s="28">
        <v>9.9999999999999995E-7</v>
      </c>
      <c r="CA7" s="28">
        <v>9.9999999999999995E-7</v>
      </c>
      <c r="CB7" s="28">
        <v>43.66</v>
      </c>
      <c r="CC7" s="28">
        <v>9.9999999999999995E-7</v>
      </c>
      <c r="CD7" s="28">
        <v>9.9999999999999995E-7</v>
      </c>
      <c r="CE7" s="28">
        <v>44.03</v>
      </c>
      <c r="CF7" s="28">
        <v>62.869</v>
      </c>
      <c r="CG7" s="28">
        <v>9.9999999999999995E-7</v>
      </c>
      <c r="CH7" s="28">
        <v>54.366999999999997</v>
      </c>
      <c r="CI7" s="28">
        <v>46.000999999999998</v>
      </c>
      <c r="CJ7" s="28">
        <v>2.33</v>
      </c>
      <c r="CK7" s="28">
        <v>9.9999999999999995E-7</v>
      </c>
      <c r="CL7" s="28">
        <v>2.33</v>
      </c>
      <c r="CM7" s="28">
        <v>2.33</v>
      </c>
      <c r="CN7" s="286"/>
      <c r="CO7" s="252">
        <f t="shared" ref="CO7:CU22" si="13">BK7*((100-BR7)/100)</f>
        <v>188.36700739999998</v>
      </c>
      <c r="CP7" s="11">
        <f t="shared" si="13"/>
        <v>9.9999998999999992E-7</v>
      </c>
      <c r="CQ7" s="11">
        <f t="shared" si="13"/>
        <v>9.9999998999999992E-7</v>
      </c>
      <c r="CR7" s="11">
        <f t="shared" si="13"/>
        <v>51.568999484310005</v>
      </c>
      <c r="CS7" s="11">
        <f t="shared" si="13"/>
        <v>9.9999998999999992E-7</v>
      </c>
      <c r="CT7" s="11">
        <f t="shared" si="13"/>
        <v>9.9999998999999992E-7</v>
      </c>
      <c r="CU7" s="271">
        <f t="shared" si="13"/>
        <v>10.186999898130001</v>
      </c>
      <c r="CV7" s="260">
        <f t="shared" ref="CV7:CY37" si="14">CF7*((100-CJ7)/100)</f>
        <v>61.4041523</v>
      </c>
      <c r="CW7" s="250">
        <f t="shared" si="14"/>
        <v>9.9999998999999992E-7</v>
      </c>
      <c r="CX7" s="260">
        <f t="shared" si="14"/>
        <v>53.100248899999997</v>
      </c>
      <c r="CY7" s="271">
        <f t="shared" si="14"/>
        <v>44.929176699999999</v>
      </c>
      <c r="CZ7" s="13"/>
      <c r="DA7" s="240">
        <f>(D7+'[2]ноябрь 20'!D7)/(AY7+'[2]ноябрь 20'!BA7)</f>
        <v>2.019692905638252</v>
      </c>
      <c r="DB7" s="241">
        <f>(T7+'[2]ноябрь 20'!T7)/(AY7+'[2]ноябрь 20'!BA7)</f>
        <v>1.2432336022366544</v>
      </c>
      <c r="DD7" s="292">
        <f t="shared" ref="DD7:DD37" si="15">J7</f>
        <v>10.202</v>
      </c>
      <c r="DE7" s="291">
        <v>0.67</v>
      </c>
      <c r="DF7" s="291">
        <v>15.45</v>
      </c>
      <c r="DG7" s="145">
        <f t="shared" ref="DG7:DG37" si="16">DD7*((100-DE7)/100)</f>
        <v>10.133646599999999</v>
      </c>
      <c r="DH7" s="293">
        <f>IF(AB7=0,0,(DG7*DF7%)/(AB7/100))</f>
        <v>2.0682277406869218</v>
      </c>
      <c r="DJ7" s="322"/>
      <c r="DK7" s="537"/>
    </row>
    <row r="8" spans="1:115" s="76" customFormat="1" ht="16.5" customHeight="1" thickBot="1">
      <c r="A8" s="144">
        <v>2</v>
      </c>
      <c r="B8" s="122">
        <f>'[1]ноябрь 20'!K7</f>
        <v>277.286</v>
      </c>
      <c r="C8" s="123">
        <f t="shared" ref="C8:C37" si="17">IF(B8=0,0,(BK8*BR8+BL8*BS8+BM8*BT8+BN8*BU8+BQ8*BX8+BO8*BV8+BP8*BW8)/B8)</f>
        <v>1.5887289296971359</v>
      </c>
      <c r="D8" s="145">
        <f t="shared" ref="D8:D37" si="18">B8*((100-C8)/100)</f>
        <v>272.88067710000001</v>
      </c>
      <c r="E8" s="125">
        <f t="shared" ref="E8:E37" si="19">IF(B8=0,0,(BK8*BY8+BL8*BZ8+BM8*CA8+BQ8*CE8+BN8*CB8+BO8*CC8+BP8*CD8)/B8)</f>
        <v>39.651590055033438</v>
      </c>
      <c r="F8" s="146">
        <f t="shared" si="0"/>
        <v>2.1457944255720691</v>
      </c>
      <c r="G8" s="127"/>
      <c r="H8" s="126">
        <f t="shared" ref="H8:H37" si="20">IF(AY8=0,0,(CP8+CO8+CS8+CQ8+CT8)/AY8)</f>
        <v>1.6228330353070695</v>
      </c>
      <c r="I8" s="230">
        <f>'[1]июль 20'!AI7</f>
        <v>0</v>
      </c>
      <c r="J8" s="247">
        <f>'[1]ноябрь 20'!AA7</f>
        <v>11.031000000000001</v>
      </c>
      <c r="K8" s="464">
        <f>'[1]сентябрь 20'!AM7</f>
        <v>0</v>
      </c>
      <c r="L8" s="446">
        <f>'[1]ноябрь 20'!AE7</f>
        <v>66.504999999999995</v>
      </c>
      <c r="M8" s="468">
        <f t="shared" ref="M8:M37" si="21">IF(AY8=0,0,(CR8+CU8)/AY8)</f>
        <v>0.52296139026499966</v>
      </c>
      <c r="N8" s="403">
        <f>'[1]ноябрь 20'!W7</f>
        <v>0</v>
      </c>
      <c r="O8" s="403">
        <f>'[1]ноябрь 20'!AU7</f>
        <v>6.5640000000000001</v>
      </c>
      <c r="P8" s="401">
        <f t="shared" si="1"/>
        <v>179.06799999999998</v>
      </c>
      <c r="Q8" s="122">
        <f>'[1]ноябрь 20'!S7</f>
        <v>179.06800000000001</v>
      </c>
      <c r="R8" s="123">
        <f t="shared" ref="R8:R37" si="22">IF(Q8=0,0,(CI8*CM8+CG8*CK8+CH8*CL8+CF8*CJ8)/Q8)</f>
        <v>2.4500000000000002</v>
      </c>
      <c r="S8" s="129">
        <v>61.84</v>
      </c>
      <c r="T8" s="125">
        <f t="shared" si="2"/>
        <v>174.680834</v>
      </c>
      <c r="U8" s="147">
        <f t="shared" si="3"/>
        <v>1.3736009593457579</v>
      </c>
      <c r="V8" s="130">
        <v>127.17</v>
      </c>
      <c r="W8" s="130">
        <v>127.17</v>
      </c>
      <c r="X8" s="129">
        <v>0.18</v>
      </c>
      <c r="Y8" s="131">
        <v>582</v>
      </c>
      <c r="Z8" s="131">
        <v>1178</v>
      </c>
      <c r="AA8" s="148" t="s">
        <v>110</v>
      </c>
      <c r="AB8" s="149">
        <v>75.400000000000006</v>
      </c>
      <c r="AC8" s="150">
        <v>111</v>
      </c>
      <c r="AD8" s="151">
        <v>4</v>
      </c>
      <c r="AE8" s="149">
        <v>2.9</v>
      </c>
      <c r="AF8" s="134">
        <f t="shared" si="4"/>
        <v>22.804120468663992</v>
      </c>
      <c r="AG8" s="152"/>
      <c r="AH8" s="129">
        <v>82.25</v>
      </c>
      <c r="AI8" s="134">
        <f t="shared" si="5"/>
        <v>646.77203743021164</v>
      </c>
      <c r="AJ8" s="153">
        <v>14.78</v>
      </c>
      <c r="AK8" s="154"/>
      <c r="AL8" s="155">
        <v>8.64</v>
      </c>
      <c r="AM8" s="478">
        <f t="shared" ref="AM8:AM15" si="23">AT8*0.2</f>
        <v>33.47</v>
      </c>
      <c r="AN8" s="126">
        <f t="shared" ref="AN8:AN37" si="24">IF(AM8=0,0,AM8/AT8)</f>
        <v>0.2</v>
      </c>
      <c r="AO8" s="157" t="s">
        <v>322</v>
      </c>
      <c r="AP8" s="156">
        <v>7.04</v>
      </c>
      <c r="AQ8" s="156">
        <v>7.83</v>
      </c>
      <c r="AR8" s="149"/>
      <c r="AS8" s="149">
        <v>8.68</v>
      </c>
      <c r="AT8" s="149">
        <v>167.35</v>
      </c>
      <c r="AU8" s="149">
        <v>1.93</v>
      </c>
      <c r="AV8" s="149"/>
      <c r="AW8" s="149"/>
      <c r="AX8" s="158">
        <f t="shared" si="6"/>
        <v>0</v>
      </c>
      <c r="AY8" s="125">
        <f t="shared" si="7"/>
        <v>127.16999999999999</v>
      </c>
      <c r="AZ8" s="125">
        <f t="shared" ref="AZ8:AZ37" si="25">IF(AB8=0,0,((D8*0.97)*(E8/100)*0.9)/(AB8/100))+DH8</f>
        <v>127.22825651029031</v>
      </c>
      <c r="BA8" s="159">
        <f t="shared" si="8"/>
        <v>5.5304436619718302</v>
      </c>
      <c r="BB8" s="160">
        <f t="shared" si="9"/>
        <v>5.0867999999999993</v>
      </c>
      <c r="BC8" s="161">
        <f t="shared" si="10"/>
        <v>0.88618139025953091</v>
      </c>
      <c r="BD8" s="160">
        <f t="shared" ref="BD8:BD37" si="26">BA8+BB8</f>
        <v>10.61724366197183</v>
      </c>
      <c r="BE8" s="162">
        <v>0.92400000000000004</v>
      </c>
      <c r="BF8" s="25">
        <f t="shared" ref="BF8:BF37" si="27">BF7+AY8</f>
        <v>253.42</v>
      </c>
      <c r="BG8" s="25">
        <f t="shared" si="11"/>
        <v>125.66666666666667</v>
      </c>
      <c r="BH8" s="25">
        <f t="shared" ref="BH8:BH37" si="28">BG8+BH7</f>
        <v>251.33333333333334</v>
      </c>
      <c r="BI8" s="26">
        <f t="shared" si="12"/>
        <v>1</v>
      </c>
      <c r="BJ8" s="27">
        <f t="shared" ref="BJ8:BJ37" si="29">BG8*BI8+BJ7</f>
        <v>251.33333333333334</v>
      </c>
      <c r="BK8" s="30">
        <v>210.78100000000001</v>
      </c>
      <c r="BL8" s="31"/>
      <c r="BM8" s="31"/>
      <c r="BN8" s="31">
        <v>55.5</v>
      </c>
      <c r="BO8" s="40"/>
      <c r="BP8" s="40"/>
      <c r="BQ8" s="32">
        <v>11.005000000000001</v>
      </c>
      <c r="BR8" s="33">
        <v>2.09</v>
      </c>
      <c r="BS8" s="34"/>
      <c r="BT8" s="35"/>
      <c r="BU8" s="28"/>
      <c r="BV8" s="287"/>
      <c r="BW8" s="28"/>
      <c r="BX8" s="36"/>
      <c r="BY8" s="33">
        <v>38.5</v>
      </c>
      <c r="BZ8" s="34"/>
      <c r="CA8" s="35"/>
      <c r="CB8" s="35">
        <v>43.27</v>
      </c>
      <c r="CC8" s="235"/>
      <c r="CD8" s="235"/>
      <c r="CE8" s="36">
        <v>43.46</v>
      </c>
      <c r="CF8" s="30">
        <v>70.373999999999995</v>
      </c>
      <c r="CG8" s="30"/>
      <c r="CH8" s="31"/>
      <c r="CI8" s="32">
        <v>108.694</v>
      </c>
      <c r="CJ8" s="33">
        <v>2.4500000000000002</v>
      </c>
      <c r="CK8" s="33"/>
      <c r="CL8" s="35"/>
      <c r="CM8" s="28">
        <v>2.4500000000000002</v>
      </c>
      <c r="CN8" s="286"/>
      <c r="CO8" s="249">
        <f t="shared" si="13"/>
        <v>206.37567709999999</v>
      </c>
      <c r="CP8" s="12">
        <f t="shared" si="13"/>
        <v>0</v>
      </c>
      <c r="CQ8" s="12">
        <f t="shared" si="13"/>
        <v>0</v>
      </c>
      <c r="CR8" s="12">
        <f t="shared" si="13"/>
        <v>55.5</v>
      </c>
      <c r="CS8" s="11">
        <f t="shared" si="13"/>
        <v>0</v>
      </c>
      <c r="CT8" s="11">
        <f t="shared" si="13"/>
        <v>0</v>
      </c>
      <c r="CU8" s="272">
        <f t="shared" si="13"/>
        <v>11.005000000000001</v>
      </c>
      <c r="CV8" s="249">
        <f t="shared" si="14"/>
        <v>68.649836999999991</v>
      </c>
      <c r="CW8" s="12">
        <f t="shared" si="14"/>
        <v>0</v>
      </c>
      <c r="CX8" s="254">
        <f t="shared" si="14"/>
        <v>0</v>
      </c>
      <c r="CY8" s="272">
        <f t="shared" si="14"/>
        <v>106.030997</v>
      </c>
      <c r="CZ8" s="13"/>
      <c r="DA8" s="240">
        <f>(D8+'[2]ноябрь 20'!D8)/(AY8+'[2]ноябрь 20'!BA8)</f>
        <v>2.2168033497690058</v>
      </c>
      <c r="DB8" s="241">
        <f>(T8+'[2]ноябрь 20'!T8)/(AY8+'[2]ноябрь 20'!BA8)</f>
        <v>1.3623736143880423</v>
      </c>
      <c r="DD8" s="292">
        <f t="shared" si="15"/>
        <v>11.031000000000001</v>
      </c>
      <c r="DE8" s="291">
        <v>0.54</v>
      </c>
      <c r="DF8" s="291">
        <v>13.4</v>
      </c>
      <c r="DG8" s="145">
        <f t="shared" si="16"/>
        <v>10.9714326</v>
      </c>
      <c r="DH8" s="293">
        <f t="shared" ref="DH8:DH37" si="30">IF(AB8=0,0,(DG8*DF8%)/(AB8/100))</f>
        <v>1.9498301968169762</v>
      </c>
      <c r="DJ8" s="322"/>
      <c r="DK8" s="537"/>
    </row>
    <row r="9" spans="1:115" s="76" customFormat="1" ht="16.5" customHeight="1" thickBot="1">
      <c r="A9" s="144">
        <v>3</v>
      </c>
      <c r="B9" s="122">
        <f>'[1]ноябрь 20'!K8</f>
        <v>259.88799999999998</v>
      </c>
      <c r="C9" s="123">
        <f t="shared" si="17"/>
        <v>1.0029314166102321</v>
      </c>
      <c r="D9" s="145">
        <f>B9*((100-C9)/100)</f>
        <v>257.28150159999996</v>
      </c>
      <c r="E9" s="125">
        <f t="shared" si="19"/>
        <v>39.470693837345316</v>
      </c>
      <c r="F9" s="146">
        <f t="shared" si="0"/>
        <v>2.0466271704717203</v>
      </c>
      <c r="G9" s="127"/>
      <c r="H9" s="126">
        <f t="shared" si="20"/>
        <v>1.5500397868109144</v>
      </c>
      <c r="I9" s="230">
        <f>'[1]июль 20'!AI8</f>
        <v>0</v>
      </c>
      <c r="J9" s="247">
        <f>'[1]ноябрь 20'!AA8</f>
        <v>10.334</v>
      </c>
      <c r="K9" s="465">
        <f>'[1]сентябрь 20'!AM8</f>
        <v>0</v>
      </c>
      <c r="L9" s="446">
        <f>'[1]ноябрь 20'!AE8</f>
        <v>62.426000000000002</v>
      </c>
      <c r="M9" s="469">
        <f t="shared" si="21"/>
        <v>0.49658738366080662</v>
      </c>
      <c r="N9" s="403">
        <f>'[1]ноябрь 20'!W8</f>
        <v>0</v>
      </c>
      <c r="O9" s="403">
        <f>'[1]ноябрь 20'!AU8</f>
        <v>5.2</v>
      </c>
      <c r="P9" s="401">
        <f t="shared" si="1"/>
        <v>168.08199999999999</v>
      </c>
      <c r="Q9" s="122">
        <f>'[1]ноябрь 20'!S8</f>
        <v>168.08199999999999</v>
      </c>
      <c r="R9" s="123">
        <f t="shared" si="22"/>
        <v>3.08</v>
      </c>
      <c r="S9" s="129">
        <v>35.270000000000003</v>
      </c>
      <c r="T9" s="125">
        <f t="shared" si="2"/>
        <v>162.90507440000002</v>
      </c>
      <c r="U9" s="147">
        <f>IF(AY9=0,0,T9/AY9)</f>
        <v>1.2958799968180736</v>
      </c>
      <c r="V9" s="130">
        <v>94.02</v>
      </c>
      <c r="W9" s="130">
        <v>125.71</v>
      </c>
      <c r="X9" s="129">
        <v>0.18</v>
      </c>
      <c r="Y9" s="131">
        <v>584</v>
      </c>
      <c r="Z9" s="131">
        <v>1176</v>
      </c>
      <c r="AA9" s="148" t="s">
        <v>188</v>
      </c>
      <c r="AB9" s="149">
        <v>75.2</v>
      </c>
      <c r="AC9" s="150">
        <v>104</v>
      </c>
      <c r="AD9" s="151">
        <v>4</v>
      </c>
      <c r="AE9" s="149"/>
      <c r="AF9" s="134">
        <f t="shared" si="4"/>
        <v>0</v>
      </c>
      <c r="AG9" s="152"/>
      <c r="AH9" s="129">
        <v>77.95</v>
      </c>
      <c r="AI9" s="134">
        <f t="shared" si="5"/>
        <v>620.07795720308661</v>
      </c>
      <c r="AJ9" s="153">
        <v>16.09</v>
      </c>
      <c r="AK9" s="154"/>
      <c r="AL9" s="155">
        <v>7.94</v>
      </c>
      <c r="AM9" s="478">
        <f t="shared" si="23"/>
        <v>32.89</v>
      </c>
      <c r="AN9" s="126">
        <f t="shared" si="24"/>
        <v>0.2</v>
      </c>
      <c r="AO9" s="157" t="s">
        <v>339</v>
      </c>
      <c r="AP9" s="156">
        <v>7.84</v>
      </c>
      <c r="AQ9" s="156">
        <v>7.54</v>
      </c>
      <c r="AR9" s="149"/>
      <c r="AS9" s="149">
        <v>9.2100000000000009</v>
      </c>
      <c r="AT9" s="149">
        <v>164.45</v>
      </c>
      <c r="AU9" s="149">
        <v>2.09</v>
      </c>
      <c r="AV9" s="149"/>
      <c r="AW9" s="149"/>
      <c r="AX9" s="158">
        <f t="shared" si="6"/>
        <v>0</v>
      </c>
      <c r="AY9" s="125">
        <f t="shared" si="7"/>
        <v>125.71</v>
      </c>
      <c r="AZ9" s="125">
        <f t="shared" si="25"/>
        <v>120.45107273069783</v>
      </c>
      <c r="BA9" s="159">
        <f t="shared" si="8"/>
        <v>5.5613482394366205</v>
      </c>
      <c r="BB9" s="160">
        <f t="shared" si="9"/>
        <v>5.0283999999999995</v>
      </c>
      <c r="BC9" s="161">
        <f t="shared" si="10"/>
        <v>0.9309028168631468</v>
      </c>
      <c r="BD9" s="160">
        <f t="shared" si="26"/>
        <v>10.58974823943662</v>
      </c>
      <c r="BE9" s="162">
        <v>0.92600000000000005</v>
      </c>
      <c r="BF9" s="25">
        <f t="shared" si="27"/>
        <v>379.13</v>
      </c>
      <c r="BG9" s="25">
        <f t="shared" si="11"/>
        <v>125.66666666666667</v>
      </c>
      <c r="BH9" s="25">
        <f t="shared" si="28"/>
        <v>377</v>
      </c>
      <c r="BI9" s="26">
        <f t="shared" si="12"/>
        <v>1</v>
      </c>
      <c r="BJ9" s="37">
        <f t="shared" si="29"/>
        <v>377</v>
      </c>
      <c r="BK9" s="38">
        <v>197.46199999999999</v>
      </c>
      <c r="BL9" s="31"/>
      <c r="BM9" s="31"/>
      <c r="BN9" s="31">
        <v>52.043999999999997</v>
      </c>
      <c r="BO9" s="40"/>
      <c r="BP9" s="40"/>
      <c r="BQ9" s="32">
        <v>10.382</v>
      </c>
      <c r="BR9" s="33">
        <v>1.32</v>
      </c>
      <c r="BS9" s="34"/>
      <c r="BT9" s="35"/>
      <c r="BU9" s="28"/>
      <c r="BV9" s="287"/>
      <c r="BW9" s="287"/>
      <c r="BX9" s="36"/>
      <c r="BY9" s="33">
        <v>38.15</v>
      </c>
      <c r="BZ9" s="34"/>
      <c r="CA9" s="35"/>
      <c r="CB9" s="35">
        <v>43.6</v>
      </c>
      <c r="CC9" s="235"/>
      <c r="CD9" s="235"/>
      <c r="CE9" s="36">
        <v>43.89</v>
      </c>
      <c r="CF9" s="30">
        <v>63.491</v>
      </c>
      <c r="CG9" s="30"/>
      <c r="CH9" s="31"/>
      <c r="CI9" s="32">
        <v>104.59099999999999</v>
      </c>
      <c r="CJ9" s="33">
        <v>3.08</v>
      </c>
      <c r="CK9" s="33"/>
      <c r="CL9" s="35"/>
      <c r="CM9" s="36">
        <v>3.08</v>
      </c>
      <c r="CN9" s="286"/>
      <c r="CO9" s="249">
        <f t="shared" si="13"/>
        <v>194.85550160000003</v>
      </c>
      <c r="CP9" s="12">
        <f t="shared" si="13"/>
        <v>0</v>
      </c>
      <c r="CQ9" s="12">
        <f t="shared" si="13"/>
        <v>0</v>
      </c>
      <c r="CR9" s="12">
        <f t="shared" si="13"/>
        <v>52.043999999999997</v>
      </c>
      <c r="CS9" s="11">
        <f t="shared" si="13"/>
        <v>0</v>
      </c>
      <c r="CT9" s="11">
        <f t="shared" si="13"/>
        <v>0</v>
      </c>
      <c r="CU9" s="272">
        <f t="shared" si="13"/>
        <v>10.382</v>
      </c>
      <c r="CV9" s="249">
        <f t="shared" si="14"/>
        <v>61.535477200000003</v>
      </c>
      <c r="CW9" s="251">
        <f t="shared" si="14"/>
        <v>0</v>
      </c>
      <c r="CX9" s="249">
        <f t="shared" si="14"/>
        <v>0</v>
      </c>
      <c r="CY9" s="272">
        <f t="shared" si="14"/>
        <v>101.3695972</v>
      </c>
      <c r="CZ9" s="13"/>
      <c r="DA9" s="240">
        <f>(D9+'[2]ноябрь 20'!D9)/(AY9+'[2]ноябрь 20'!BA9)</f>
        <v>2.1632829276054992</v>
      </c>
      <c r="DB9" s="241">
        <f>(T9+'[2]ноябрь 20'!T9)/(AY9+'[2]ноябрь 20'!BA9)</f>
        <v>1.3346563184124443</v>
      </c>
      <c r="DD9" s="292">
        <f t="shared" si="15"/>
        <v>10.334</v>
      </c>
      <c r="DE9" s="291">
        <v>0.1</v>
      </c>
      <c r="DF9" s="291">
        <v>18.649999999999999</v>
      </c>
      <c r="DG9" s="145">
        <f t="shared" si="16"/>
        <v>10.323666000000001</v>
      </c>
      <c r="DH9" s="293">
        <f t="shared" si="30"/>
        <v>2.5603240811170216</v>
      </c>
      <c r="DJ9" s="322"/>
      <c r="DK9" s="537"/>
    </row>
    <row r="10" spans="1:115" s="76" customFormat="1" ht="16.5" customHeight="1" thickBot="1">
      <c r="A10" s="144">
        <v>4</v>
      </c>
      <c r="B10" s="122">
        <f>'[1]ноябрь 20'!K9</f>
        <v>255.02</v>
      </c>
      <c r="C10" s="123">
        <f t="shared" si="17"/>
        <v>1.1400870519959219</v>
      </c>
      <c r="D10" s="145">
        <f t="shared" si="18"/>
        <v>252.11255000000003</v>
      </c>
      <c r="E10" s="125">
        <f>IF(B10=0,0,(BK10*BY10+BL10*BZ10+BM10*CA10+BQ10*CE10+BN10*CB10+BO10*CC10+BP10*CD10)/B10)</f>
        <v>39.235645047447264</v>
      </c>
      <c r="F10" s="146">
        <f t="shared" si="0"/>
        <v>2.1389034529566477</v>
      </c>
      <c r="G10" s="127">
        <v>18.97</v>
      </c>
      <c r="H10" s="126">
        <f t="shared" si="20"/>
        <v>1.6197722066683635</v>
      </c>
      <c r="I10" s="230">
        <f>'[1]июль 20'!AI9</f>
        <v>0</v>
      </c>
      <c r="J10" s="247">
        <f>'[1]ноябрь 20'!AA9</f>
        <v>10.141</v>
      </c>
      <c r="K10" s="464">
        <f>'[1]сентябрь 20'!AM9</f>
        <v>0</v>
      </c>
      <c r="L10" s="446">
        <f>'[1]ноябрь 20'!AE9</f>
        <v>61.19</v>
      </c>
      <c r="M10" s="470">
        <f t="shared" si="21"/>
        <v>0.51913124628828378</v>
      </c>
      <c r="N10" s="403">
        <f>'[1]ноябрь 20'!W9</f>
        <v>0</v>
      </c>
      <c r="O10" s="403">
        <f>'[1]ноябрь 20'!AU9</f>
        <v>5.0890000000000004</v>
      </c>
      <c r="P10" s="401">
        <f t="shared" si="1"/>
        <v>167.27799999999999</v>
      </c>
      <c r="Q10" s="122">
        <f>'[1]ноябрь 20'!S9</f>
        <v>167.27799999999999</v>
      </c>
      <c r="R10" s="123">
        <f t="shared" si="22"/>
        <v>3.6</v>
      </c>
      <c r="S10" s="129"/>
      <c r="T10" s="125">
        <f t="shared" si="2"/>
        <v>161.25599199999999</v>
      </c>
      <c r="U10" s="147">
        <f t="shared" si="3"/>
        <v>1.3680834139306015</v>
      </c>
      <c r="V10" s="130">
        <v>91.68</v>
      </c>
      <c r="W10" s="130">
        <v>117.87</v>
      </c>
      <c r="X10" s="129">
        <v>0.6</v>
      </c>
      <c r="Y10" s="131">
        <v>570</v>
      </c>
      <c r="Z10" s="131">
        <v>1176</v>
      </c>
      <c r="AA10" s="148" t="s">
        <v>399</v>
      </c>
      <c r="AB10" s="149">
        <v>76.08</v>
      </c>
      <c r="AC10" s="150">
        <v>102</v>
      </c>
      <c r="AD10" s="151">
        <v>4</v>
      </c>
      <c r="AE10" s="149"/>
      <c r="AF10" s="134">
        <f t="shared" si="4"/>
        <v>0</v>
      </c>
      <c r="AG10" s="152"/>
      <c r="AH10" s="129">
        <v>74.8</v>
      </c>
      <c r="AI10" s="134">
        <f t="shared" si="5"/>
        <v>634.59743785526439</v>
      </c>
      <c r="AJ10" s="153">
        <v>13.24</v>
      </c>
      <c r="AK10" s="154"/>
      <c r="AL10" s="155">
        <v>6.21</v>
      </c>
      <c r="AM10" s="478">
        <f t="shared" si="23"/>
        <v>30.49</v>
      </c>
      <c r="AN10" s="126">
        <f t="shared" si="24"/>
        <v>0.2</v>
      </c>
      <c r="AO10" s="157" t="s">
        <v>440</v>
      </c>
      <c r="AP10" s="156">
        <v>8.2200000000000006</v>
      </c>
      <c r="AQ10" s="156">
        <v>8.84</v>
      </c>
      <c r="AR10" s="149"/>
      <c r="AS10" s="149">
        <v>7.79</v>
      </c>
      <c r="AT10" s="149">
        <v>152.44999999999999</v>
      </c>
      <c r="AU10" s="149">
        <v>2.12</v>
      </c>
      <c r="AV10" s="149"/>
      <c r="AW10" s="149"/>
      <c r="AX10" s="158">
        <f t="shared" si="6"/>
        <v>0</v>
      </c>
      <c r="AY10" s="125">
        <f>AT10-AL10-AM10+AV10+AW10+AU10</f>
        <v>117.86999999999999</v>
      </c>
      <c r="AZ10" s="125">
        <f t="shared" si="25"/>
        <v>115.75213367286197</v>
      </c>
      <c r="BA10" s="159">
        <f t="shared" si="8"/>
        <v>4.5138112676056341</v>
      </c>
      <c r="BB10" s="160">
        <f t="shared" si="9"/>
        <v>4.7147999999999994</v>
      </c>
      <c r="BC10" s="161">
        <f t="shared" si="10"/>
        <v>0.90656411757857847</v>
      </c>
      <c r="BD10" s="160">
        <f t="shared" si="26"/>
        <v>9.2286112676056327</v>
      </c>
      <c r="BE10" s="162">
        <v>0.92100000000000004</v>
      </c>
      <c r="BF10" s="25">
        <f t="shared" si="27"/>
        <v>497</v>
      </c>
      <c r="BG10" s="25">
        <f t="shared" si="11"/>
        <v>125.66666666666667</v>
      </c>
      <c r="BH10" s="25">
        <f t="shared" si="28"/>
        <v>502.66666666666669</v>
      </c>
      <c r="BI10" s="26">
        <f t="shared" si="12"/>
        <v>1</v>
      </c>
      <c r="BJ10" s="37">
        <f t="shared" si="29"/>
        <v>502.66666666666669</v>
      </c>
      <c r="BK10" s="38">
        <v>193.83</v>
      </c>
      <c r="BL10" s="31"/>
      <c r="BM10" s="31"/>
      <c r="BN10" s="31">
        <v>51</v>
      </c>
      <c r="BO10" s="40"/>
      <c r="BP10" s="40"/>
      <c r="BQ10" s="32">
        <v>10.19</v>
      </c>
      <c r="BR10" s="33">
        <v>1.5</v>
      </c>
      <c r="BS10" s="34"/>
      <c r="BT10" s="35"/>
      <c r="BU10" s="28"/>
      <c r="BV10" s="287"/>
      <c r="BW10" s="287"/>
      <c r="BX10" s="36"/>
      <c r="BY10" s="33">
        <v>37.81</v>
      </c>
      <c r="BZ10" s="34"/>
      <c r="CA10" s="35"/>
      <c r="CB10" s="35">
        <v>43.7</v>
      </c>
      <c r="CC10" s="235"/>
      <c r="CD10" s="235"/>
      <c r="CE10" s="36">
        <v>44.01</v>
      </c>
      <c r="CF10" s="30">
        <v>62.26</v>
      </c>
      <c r="CG10" s="30"/>
      <c r="CH10" s="31"/>
      <c r="CI10" s="32">
        <v>105.018</v>
      </c>
      <c r="CJ10" s="33">
        <v>3.6</v>
      </c>
      <c r="CK10" s="33"/>
      <c r="CL10" s="35"/>
      <c r="CM10" s="36">
        <v>3.6</v>
      </c>
      <c r="CN10" s="286"/>
      <c r="CO10" s="249">
        <f t="shared" si="13"/>
        <v>190.92255</v>
      </c>
      <c r="CP10" s="12">
        <f t="shared" si="13"/>
        <v>0</v>
      </c>
      <c r="CQ10" s="12">
        <f t="shared" si="13"/>
        <v>0</v>
      </c>
      <c r="CR10" s="14">
        <f t="shared" si="13"/>
        <v>51</v>
      </c>
      <c r="CS10" s="11">
        <f t="shared" si="13"/>
        <v>0</v>
      </c>
      <c r="CT10" s="11">
        <f t="shared" si="13"/>
        <v>0</v>
      </c>
      <c r="CU10" s="272">
        <f t="shared" si="13"/>
        <v>10.19</v>
      </c>
      <c r="CV10" s="249">
        <f t="shared" si="14"/>
        <v>60.018640000000005</v>
      </c>
      <c r="CW10" s="12">
        <f t="shared" si="14"/>
        <v>0</v>
      </c>
      <c r="CX10" s="249">
        <f t="shared" si="14"/>
        <v>0</v>
      </c>
      <c r="CY10" s="272">
        <f t="shared" si="14"/>
        <v>101.23735200000002</v>
      </c>
      <c r="CZ10" s="13"/>
      <c r="DA10" s="240">
        <f>(D10+'[2]ноябрь 20'!D10)/(AY10+'[2]ноябрь 20'!BA10)</f>
        <v>2.1143537652705606</v>
      </c>
      <c r="DB10" s="241">
        <f>(T10+'[2]ноябрь 20'!T10)/(AY10+'[2]ноябрь 20'!BA10)</f>
        <v>1.3183501678738887</v>
      </c>
      <c r="DD10" s="292">
        <f t="shared" si="15"/>
        <v>10.141</v>
      </c>
      <c r="DE10" s="291">
        <v>0.41</v>
      </c>
      <c r="DF10" s="291">
        <v>16.920000000000002</v>
      </c>
      <c r="DG10" s="145">
        <f t="shared" si="16"/>
        <v>10.099421899999999</v>
      </c>
      <c r="DH10" s="293">
        <f t="shared" si="30"/>
        <v>2.2460859430599371</v>
      </c>
      <c r="DJ10" s="322"/>
      <c r="DK10" s="537"/>
    </row>
    <row r="11" spans="1:115" s="76" customFormat="1" ht="16.5" customHeight="1" thickBot="1">
      <c r="A11" s="144">
        <v>5</v>
      </c>
      <c r="B11" s="122">
        <f>'[1]ноябрь 20'!K10</f>
        <v>279.96100000000001</v>
      </c>
      <c r="C11" s="123">
        <f t="shared" si="17"/>
        <v>0.55474169616482294</v>
      </c>
      <c r="D11" s="145">
        <f t="shared" si="18"/>
        <v>278.40793960000002</v>
      </c>
      <c r="E11" s="125">
        <f t="shared" si="19"/>
        <v>40.558348662849468</v>
      </c>
      <c r="F11" s="146">
        <f t="shared" si="0"/>
        <v>2.309864262839127</v>
      </c>
      <c r="G11" s="127"/>
      <c r="H11" s="126">
        <f t="shared" si="20"/>
        <v>1.7522188633535214</v>
      </c>
      <c r="I11" s="230">
        <f>'[1]июль 20'!AI10</f>
        <v>0</v>
      </c>
      <c r="J11" s="247">
        <f>'[1]ноябрь 20'!AA10</f>
        <v>11.196</v>
      </c>
      <c r="K11" s="464">
        <f>'[1]сентябрь 20'!AM10</f>
        <v>0</v>
      </c>
      <c r="L11" s="446">
        <f>'[1]ноябрь 20'!AE10</f>
        <v>67.212999999999994</v>
      </c>
      <c r="M11" s="468">
        <f t="shared" si="21"/>
        <v>0.55764539948560521</v>
      </c>
      <c r="N11" s="403">
        <f>'[1]ноябрь 20'!W10</f>
        <v>0</v>
      </c>
      <c r="O11" s="403">
        <f>'[1]ноябрь 20'!AU10</f>
        <v>5.6120000000000001</v>
      </c>
      <c r="P11" s="401">
        <f t="shared" si="1"/>
        <v>184.24700000000001</v>
      </c>
      <c r="Q11" s="122">
        <f>'[1]ноябрь 20'!S10</f>
        <v>184.24700000000001</v>
      </c>
      <c r="R11" s="123">
        <f t="shared" si="22"/>
        <v>3.0399999999999996</v>
      </c>
      <c r="S11" s="129">
        <v>28.45</v>
      </c>
      <c r="T11" s="125">
        <f t="shared" si="2"/>
        <v>178.64589119999999</v>
      </c>
      <c r="U11" s="147">
        <f t="shared" si="3"/>
        <v>1.4821695113249811</v>
      </c>
      <c r="V11" s="130">
        <v>88.18</v>
      </c>
      <c r="W11" s="130">
        <v>86.66</v>
      </c>
      <c r="X11" s="129">
        <v>0.73</v>
      </c>
      <c r="Y11" s="131">
        <v>564</v>
      </c>
      <c r="Z11" s="131">
        <v>1171</v>
      </c>
      <c r="AA11" s="148" t="s">
        <v>167</v>
      </c>
      <c r="AB11" s="149">
        <v>75.91</v>
      </c>
      <c r="AC11" s="150">
        <v>112</v>
      </c>
      <c r="AD11" s="151">
        <v>4</v>
      </c>
      <c r="AE11" s="149"/>
      <c r="AF11" s="134">
        <f t="shared" si="4"/>
        <v>0</v>
      </c>
      <c r="AG11" s="152"/>
      <c r="AH11" s="129">
        <v>72.900000000000006</v>
      </c>
      <c r="AI11" s="134">
        <f t="shared" si="5"/>
        <v>604.82867335932951</v>
      </c>
      <c r="AJ11" s="163">
        <v>13.13</v>
      </c>
      <c r="AK11" s="154"/>
      <c r="AL11" s="155">
        <v>5.54</v>
      </c>
      <c r="AM11" s="478">
        <f t="shared" si="23"/>
        <v>31.060000000000002</v>
      </c>
      <c r="AN11" s="126">
        <f t="shared" si="24"/>
        <v>0.2</v>
      </c>
      <c r="AO11" s="157" t="s">
        <v>441</v>
      </c>
      <c r="AP11" s="156">
        <v>8.1999999999999993</v>
      </c>
      <c r="AQ11" s="156">
        <v>8</v>
      </c>
      <c r="AR11" s="149"/>
      <c r="AS11" s="149">
        <v>7.75</v>
      </c>
      <c r="AT11" s="149">
        <v>155.30000000000001</v>
      </c>
      <c r="AU11" s="149">
        <v>1.83</v>
      </c>
      <c r="AV11" s="149"/>
      <c r="AW11" s="149"/>
      <c r="AX11" s="158">
        <f t="shared" si="6"/>
        <v>0</v>
      </c>
      <c r="AY11" s="125">
        <f t="shared" si="7"/>
        <v>120.53000000000002</v>
      </c>
      <c r="AZ11" s="125">
        <f t="shared" si="25"/>
        <v>132.08495185235728</v>
      </c>
      <c r="BA11" s="159">
        <f t="shared" si="8"/>
        <v>4.3765669014084505</v>
      </c>
      <c r="BB11" s="160">
        <f t="shared" si="9"/>
        <v>4.821200000000001</v>
      </c>
      <c r="BC11" s="161">
        <f t="shared" si="10"/>
        <v>0.81027467884402493</v>
      </c>
      <c r="BD11" s="160">
        <f t="shared" si="26"/>
        <v>9.1977669014084515</v>
      </c>
      <c r="BE11" s="162">
        <v>0.89700000000000002</v>
      </c>
      <c r="BF11" s="25">
        <f t="shared" si="27"/>
        <v>617.53</v>
      </c>
      <c r="BG11" s="25">
        <f t="shared" si="11"/>
        <v>125.66666666666667</v>
      </c>
      <c r="BH11" s="25">
        <f t="shared" si="28"/>
        <v>628.33333333333337</v>
      </c>
      <c r="BI11" s="26">
        <f t="shared" si="12"/>
        <v>1</v>
      </c>
      <c r="BJ11" s="37">
        <f t="shared" si="29"/>
        <v>628.33333333333337</v>
      </c>
      <c r="BK11" s="38">
        <v>212.74799999999999</v>
      </c>
      <c r="BL11" s="31"/>
      <c r="BM11" s="31"/>
      <c r="BN11" s="31">
        <v>56.011000000000003</v>
      </c>
      <c r="BO11" s="40"/>
      <c r="BP11" s="40"/>
      <c r="BQ11" s="32">
        <v>11.202</v>
      </c>
      <c r="BR11" s="33">
        <v>0.73</v>
      </c>
      <c r="BS11" s="34"/>
      <c r="BT11" s="35"/>
      <c r="BU11" s="28"/>
      <c r="BV11" s="287"/>
      <c r="BW11" s="287"/>
      <c r="BX11" s="36"/>
      <c r="BY11" s="33">
        <v>39.51</v>
      </c>
      <c r="BZ11" s="34"/>
      <c r="CA11" s="35"/>
      <c r="CB11" s="35">
        <v>43.85</v>
      </c>
      <c r="CC11" s="235"/>
      <c r="CD11" s="235"/>
      <c r="CE11" s="36">
        <v>44.01</v>
      </c>
      <c r="CF11" s="30">
        <v>68.358000000000004</v>
      </c>
      <c r="CG11" s="30"/>
      <c r="CH11" s="31"/>
      <c r="CI11" s="32">
        <v>115.889</v>
      </c>
      <c r="CJ11" s="33">
        <v>3.04</v>
      </c>
      <c r="CK11" s="33"/>
      <c r="CL11" s="35"/>
      <c r="CM11" s="36">
        <v>3.04</v>
      </c>
      <c r="CN11" s="286"/>
      <c r="CO11" s="249">
        <f t="shared" si="13"/>
        <v>211.19493959999997</v>
      </c>
      <c r="CP11" s="12">
        <f t="shared" si="13"/>
        <v>0</v>
      </c>
      <c r="CQ11" s="15">
        <f t="shared" si="13"/>
        <v>0</v>
      </c>
      <c r="CR11" s="16">
        <f t="shared" si="13"/>
        <v>56.011000000000003</v>
      </c>
      <c r="CS11" s="11">
        <f t="shared" si="13"/>
        <v>0</v>
      </c>
      <c r="CT11" s="11">
        <f t="shared" si="13"/>
        <v>0</v>
      </c>
      <c r="CU11" s="272">
        <f t="shared" si="13"/>
        <v>11.202</v>
      </c>
      <c r="CV11" s="249">
        <f t="shared" si="14"/>
        <v>66.279916799999995</v>
      </c>
      <c r="CW11" s="12">
        <f t="shared" si="14"/>
        <v>0</v>
      </c>
      <c r="CX11" s="249">
        <f t="shared" si="14"/>
        <v>0</v>
      </c>
      <c r="CY11" s="272">
        <f t="shared" si="14"/>
        <v>112.36597439999998</v>
      </c>
      <c r="CZ11" s="13"/>
      <c r="DA11" s="240">
        <f>(D11+'[2]ноябрь 20'!D11)/(AY11+'[2]ноябрь 20'!BA11)</f>
        <v>2.1249674363224869</v>
      </c>
      <c r="DB11" s="241">
        <f>(T11+'[2]ноябрь 20'!T11)/(AY11+'[2]ноябрь 20'!BA11)</f>
        <v>1.3299226032260647</v>
      </c>
      <c r="DD11" s="292">
        <f t="shared" si="15"/>
        <v>11.196</v>
      </c>
      <c r="DE11" s="291">
        <v>0.12</v>
      </c>
      <c r="DF11" s="407">
        <v>15.1</v>
      </c>
      <c r="DG11" s="145">
        <f t="shared" si="16"/>
        <v>11.182564799999998</v>
      </c>
      <c r="DH11" s="293">
        <f t="shared" si="30"/>
        <v>2.2244332562244762</v>
      </c>
      <c r="DJ11" s="322"/>
      <c r="DK11" s="537"/>
    </row>
    <row r="12" spans="1:115" s="76" customFormat="1" ht="16.5" customHeight="1" thickBot="1">
      <c r="A12" s="144">
        <v>6</v>
      </c>
      <c r="B12" s="122">
        <f>'[1]ноябрь 20'!K11</f>
        <v>259.99900000000002</v>
      </c>
      <c r="C12" s="123">
        <f t="shared" si="17"/>
        <v>0.6156615602367701</v>
      </c>
      <c r="D12" s="145">
        <f t="shared" si="18"/>
        <v>258.39828610000001</v>
      </c>
      <c r="E12" s="125">
        <f t="shared" si="19"/>
        <v>38.660279924153556</v>
      </c>
      <c r="F12" s="146">
        <f t="shared" si="0"/>
        <v>2.1316473032502889</v>
      </c>
      <c r="G12" s="127">
        <v>14.83</v>
      </c>
      <c r="H12" s="126">
        <f t="shared" si="20"/>
        <v>1.6170457523510973</v>
      </c>
      <c r="I12" s="230">
        <f>'[1]июль 20'!AI11</f>
        <v>0</v>
      </c>
      <c r="J12" s="247">
        <f>'[1]ноябрь 20'!AA11</f>
        <v>10.516</v>
      </c>
      <c r="K12" s="464">
        <f>'[1]сентябрь 20'!AM11</f>
        <v>0</v>
      </c>
      <c r="L12" s="446">
        <f>'[1]ноябрь 20'!AE11</f>
        <v>62.38</v>
      </c>
      <c r="M12" s="469">
        <f t="shared" si="21"/>
        <v>0.51460155089919157</v>
      </c>
      <c r="N12" s="403">
        <f>'[1]ноябрь 20'!W11</f>
        <v>0</v>
      </c>
      <c r="O12" s="403">
        <f>'[1]ноябрь 20'!AU11</f>
        <v>5.1890000000000001</v>
      </c>
      <c r="P12" s="401">
        <f t="shared" si="1"/>
        <v>171.149</v>
      </c>
      <c r="Q12" s="122">
        <f>'[1]ноябрь 20'!S11</f>
        <v>171.149</v>
      </c>
      <c r="R12" s="123">
        <f t="shared" si="22"/>
        <v>3.48</v>
      </c>
      <c r="S12" s="129">
        <v>2.69</v>
      </c>
      <c r="T12" s="125">
        <f t="shared" si="2"/>
        <v>165.19301479999999</v>
      </c>
      <c r="U12" s="147">
        <f t="shared" si="3"/>
        <v>1.3627537931034481</v>
      </c>
      <c r="V12" s="130">
        <v>121.22</v>
      </c>
      <c r="W12" s="130">
        <v>71.94</v>
      </c>
      <c r="X12" s="129">
        <v>0.85</v>
      </c>
      <c r="Y12" s="131">
        <v>584</v>
      </c>
      <c r="Z12" s="150">
        <v>1172</v>
      </c>
      <c r="AA12" s="148" t="s">
        <v>116</v>
      </c>
      <c r="AB12" s="149">
        <v>75.849999999999994</v>
      </c>
      <c r="AC12" s="150">
        <v>104</v>
      </c>
      <c r="AD12" s="151">
        <v>5</v>
      </c>
      <c r="AE12" s="149"/>
      <c r="AF12" s="134">
        <f t="shared" si="4"/>
        <v>0</v>
      </c>
      <c r="AG12" s="152"/>
      <c r="AH12" s="129">
        <v>69.3</v>
      </c>
      <c r="AI12" s="134">
        <f t="shared" si="5"/>
        <v>571.68784029038113</v>
      </c>
      <c r="AJ12" s="153">
        <v>16.27</v>
      </c>
      <c r="AK12" s="154"/>
      <c r="AL12" s="155">
        <v>7.58</v>
      </c>
      <c r="AM12" s="478">
        <f t="shared" si="23"/>
        <v>31.78</v>
      </c>
      <c r="AN12" s="126">
        <f t="shared" si="24"/>
        <v>0.2</v>
      </c>
      <c r="AO12" s="157" t="s">
        <v>361</v>
      </c>
      <c r="AP12" s="156">
        <v>7.97</v>
      </c>
      <c r="AQ12" s="156">
        <v>8.93</v>
      </c>
      <c r="AR12" s="149"/>
      <c r="AS12" s="149">
        <v>6.85</v>
      </c>
      <c r="AT12" s="149">
        <v>158.9</v>
      </c>
      <c r="AU12" s="149">
        <v>1.68</v>
      </c>
      <c r="AV12" s="164"/>
      <c r="AW12" s="164"/>
      <c r="AX12" s="158">
        <f t="shared" si="6"/>
        <v>0</v>
      </c>
      <c r="AY12" s="125">
        <f t="shared" si="7"/>
        <v>121.22</v>
      </c>
      <c r="AZ12" s="125">
        <f t="shared" si="25"/>
        <v>117.24332344851658</v>
      </c>
      <c r="BA12" s="159">
        <f t="shared" si="8"/>
        <v>3.6772922535211263</v>
      </c>
      <c r="BB12" s="160">
        <f t="shared" si="9"/>
        <v>4.8487999999999998</v>
      </c>
      <c r="BC12" s="161">
        <f t="shared" si="10"/>
        <v>0.92039710035060684</v>
      </c>
      <c r="BD12" s="160">
        <f t="shared" si="26"/>
        <v>8.5260922535211261</v>
      </c>
      <c r="BE12" s="162">
        <v>0.90100000000000002</v>
      </c>
      <c r="BF12" s="25">
        <f t="shared" si="27"/>
        <v>738.75</v>
      </c>
      <c r="BG12" s="25">
        <f t="shared" si="11"/>
        <v>125.66666666666667</v>
      </c>
      <c r="BH12" s="25">
        <f t="shared" si="28"/>
        <v>754</v>
      </c>
      <c r="BI12" s="26">
        <f t="shared" si="12"/>
        <v>1</v>
      </c>
      <c r="BJ12" s="37">
        <f t="shared" si="29"/>
        <v>754</v>
      </c>
      <c r="BK12" s="38">
        <v>197.619</v>
      </c>
      <c r="BL12" s="31"/>
      <c r="BM12" s="31"/>
      <c r="BN12" s="31">
        <v>51.976999999999997</v>
      </c>
      <c r="BO12" s="40"/>
      <c r="BP12" s="40"/>
      <c r="BQ12" s="32">
        <v>10.403</v>
      </c>
      <c r="BR12" s="33">
        <v>0.81</v>
      </c>
      <c r="BS12" s="34"/>
      <c r="BT12" s="33"/>
      <c r="BU12" s="28"/>
      <c r="BV12" s="287"/>
      <c r="BW12" s="287"/>
      <c r="BX12" s="36"/>
      <c r="BY12" s="33">
        <v>37.03</v>
      </c>
      <c r="BZ12" s="34"/>
      <c r="CA12" s="33"/>
      <c r="CB12" s="35">
        <v>43.85</v>
      </c>
      <c r="CC12" s="235"/>
      <c r="CD12" s="235"/>
      <c r="CE12" s="36">
        <v>43.7</v>
      </c>
      <c r="CF12" s="30">
        <v>63.44</v>
      </c>
      <c r="CG12" s="30"/>
      <c r="CH12" s="31"/>
      <c r="CI12" s="32">
        <v>107.709</v>
      </c>
      <c r="CJ12" s="33">
        <v>3.48</v>
      </c>
      <c r="CK12" s="33"/>
      <c r="CL12" s="35"/>
      <c r="CM12" s="36">
        <v>3.48</v>
      </c>
      <c r="CN12" s="286"/>
      <c r="CO12" s="249">
        <f t="shared" si="13"/>
        <v>196.01828610000001</v>
      </c>
      <c r="CP12" s="12">
        <f t="shared" si="13"/>
        <v>0</v>
      </c>
      <c r="CQ12" s="12">
        <f t="shared" si="13"/>
        <v>0</v>
      </c>
      <c r="CR12" s="12">
        <f t="shared" si="13"/>
        <v>51.976999999999997</v>
      </c>
      <c r="CS12" s="11">
        <f t="shared" si="13"/>
        <v>0</v>
      </c>
      <c r="CT12" s="11">
        <f t="shared" si="13"/>
        <v>0</v>
      </c>
      <c r="CU12" s="272">
        <f t="shared" si="13"/>
        <v>10.403</v>
      </c>
      <c r="CV12" s="249">
        <f t="shared" si="14"/>
        <v>61.232287999999997</v>
      </c>
      <c r="CW12" s="12">
        <f t="shared" si="14"/>
        <v>0</v>
      </c>
      <c r="CX12" s="252">
        <f t="shared" si="14"/>
        <v>0</v>
      </c>
      <c r="CY12" s="272">
        <f t="shared" si="14"/>
        <v>103.9607268</v>
      </c>
      <c r="CZ12" s="13"/>
      <c r="DA12" s="240">
        <f>(D12+'[2]ноябрь 20'!D12)/(AY12+'[2]ноябрь 20'!BA12)</f>
        <v>2.2046840341414566</v>
      </c>
      <c r="DB12" s="241">
        <f>(T12+'[2]ноябрь 20'!T12)/(AY12+'[2]ноябрь 20'!BA12)</f>
        <v>1.3724642440591541</v>
      </c>
      <c r="DD12" s="292">
        <f t="shared" si="15"/>
        <v>10.516</v>
      </c>
      <c r="DE12" s="291">
        <v>0.17</v>
      </c>
      <c r="DF12" s="291">
        <v>16.37</v>
      </c>
      <c r="DG12" s="145">
        <f t="shared" si="16"/>
        <v>10.498122799999999</v>
      </c>
      <c r="DH12" s="293">
        <f t="shared" si="30"/>
        <v>2.2657121982333552</v>
      </c>
      <c r="DJ12" s="322"/>
      <c r="DK12" s="537"/>
    </row>
    <row r="13" spans="1:115" s="76" customFormat="1" ht="16.5" customHeight="1" thickBot="1">
      <c r="A13" s="144">
        <v>7</v>
      </c>
      <c r="B13" s="122">
        <f>'[1]ноябрь 20'!K12</f>
        <v>258.01600000000002</v>
      </c>
      <c r="C13" s="123">
        <f t="shared" si="17"/>
        <v>0.93369325933275449</v>
      </c>
      <c r="D13" s="145">
        <f t="shared" si="18"/>
        <v>255.60692200000003</v>
      </c>
      <c r="E13" s="125">
        <f t="shared" si="19"/>
        <v>38.832641386580676</v>
      </c>
      <c r="F13" s="146">
        <f t="shared" si="0"/>
        <v>2.0047601725490196</v>
      </c>
      <c r="G13" s="127"/>
      <c r="H13" s="126">
        <f t="shared" si="20"/>
        <v>1.5172621333333334</v>
      </c>
      <c r="I13" s="230">
        <f>'[1]июль 20'!AI12</f>
        <v>0</v>
      </c>
      <c r="J13" s="247">
        <f>'[1]ноябрь 20'!AA12</f>
        <v>10.221</v>
      </c>
      <c r="K13" s="464">
        <f>'[1]сентябрь 20'!AM12</f>
        <v>0</v>
      </c>
      <c r="L13" s="446">
        <f>'[1]ноябрь 20'!AE12</f>
        <v>62.155999999999999</v>
      </c>
      <c r="M13" s="468">
        <f t="shared" si="21"/>
        <v>0.4874980392156863</v>
      </c>
      <c r="N13" s="403">
        <f>'[1]ноябрь 20'!W12</f>
        <v>0</v>
      </c>
      <c r="O13" s="403">
        <f>'[1]ноябрь 20'!AU12</f>
        <v>6.149</v>
      </c>
      <c r="P13" s="401">
        <f t="shared" si="1"/>
        <v>169.17400000000001</v>
      </c>
      <c r="Q13" s="122">
        <f>'[1]ноябрь 20'!S12</f>
        <v>169.17400000000001</v>
      </c>
      <c r="R13" s="123">
        <f t="shared" si="22"/>
        <v>3.4099999999999997</v>
      </c>
      <c r="S13" s="129"/>
      <c r="T13" s="125">
        <f t="shared" si="2"/>
        <v>163.4051666</v>
      </c>
      <c r="U13" s="147">
        <f t="shared" si="3"/>
        <v>1.2816091498039215</v>
      </c>
      <c r="V13" s="130">
        <v>127.5</v>
      </c>
      <c r="W13" s="130">
        <v>50.68</v>
      </c>
      <c r="X13" s="129">
        <v>1.01</v>
      </c>
      <c r="Y13" s="165">
        <v>595</v>
      </c>
      <c r="Z13" s="166">
        <v>1164</v>
      </c>
      <c r="AA13" s="148" t="s">
        <v>167</v>
      </c>
      <c r="AB13" s="149">
        <v>76.150000000000006</v>
      </c>
      <c r="AC13" s="150">
        <v>103</v>
      </c>
      <c r="AD13" s="151">
        <v>5</v>
      </c>
      <c r="AE13" s="149">
        <v>2.8</v>
      </c>
      <c r="AF13" s="134">
        <f t="shared" si="4"/>
        <v>21.960784313725487</v>
      </c>
      <c r="AG13" s="152"/>
      <c r="AH13" s="129">
        <v>78.05</v>
      </c>
      <c r="AI13" s="134">
        <f t="shared" si="5"/>
        <v>612.15686274509801</v>
      </c>
      <c r="AJ13" s="136">
        <v>15.12</v>
      </c>
      <c r="AK13" s="154"/>
      <c r="AL13" s="155">
        <v>8.39</v>
      </c>
      <c r="AM13" s="478">
        <f t="shared" si="23"/>
        <v>33.39</v>
      </c>
      <c r="AN13" s="126">
        <f t="shared" si="24"/>
        <v>0.2</v>
      </c>
      <c r="AO13" s="157" t="s">
        <v>442</v>
      </c>
      <c r="AP13" s="156">
        <v>8.18</v>
      </c>
      <c r="AQ13" s="156">
        <v>9.5</v>
      </c>
      <c r="AR13" s="149"/>
      <c r="AS13" s="149">
        <v>6.76</v>
      </c>
      <c r="AT13" s="149">
        <v>166.95</v>
      </c>
      <c r="AU13" s="149">
        <v>2.33</v>
      </c>
      <c r="AV13" s="149"/>
      <c r="AW13" s="149"/>
      <c r="AX13" s="158">
        <f t="shared" si="6"/>
        <v>0</v>
      </c>
      <c r="AY13" s="125">
        <f t="shared" si="7"/>
        <v>127.5</v>
      </c>
      <c r="AZ13" s="125">
        <f t="shared" si="25"/>
        <v>115.82740302849085</v>
      </c>
      <c r="BA13" s="159">
        <f t="shared" si="8"/>
        <v>4.0871816901408442</v>
      </c>
      <c r="BB13" s="160">
        <f t="shared" si="9"/>
        <v>5.1000000000000005</v>
      </c>
      <c r="BC13" s="161">
        <f t="shared" si="10"/>
        <v>0.97816146505435475</v>
      </c>
      <c r="BD13" s="160">
        <f t="shared" si="26"/>
        <v>9.1871816901408447</v>
      </c>
      <c r="BE13" s="162">
        <v>0.91200000000000003</v>
      </c>
      <c r="BF13" s="25">
        <f t="shared" si="27"/>
        <v>866.25</v>
      </c>
      <c r="BG13" s="25">
        <f t="shared" si="11"/>
        <v>125.66666666666667</v>
      </c>
      <c r="BH13" s="25">
        <f t="shared" si="28"/>
        <v>879.66666666666663</v>
      </c>
      <c r="BI13" s="26">
        <f t="shared" si="12"/>
        <v>1</v>
      </c>
      <c r="BJ13" s="37">
        <f t="shared" si="29"/>
        <v>879.66666666666663</v>
      </c>
      <c r="BK13" s="39">
        <v>195.86</v>
      </c>
      <c r="BL13" s="40"/>
      <c r="BM13" s="325"/>
      <c r="BN13" s="31">
        <v>51.95</v>
      </c>
      <c r="BO13" s="40"/>
      <c r="BP13" s="40"/>
      <c r="BQ13" s="32">
        <v>10.206</v>
      </c>
      <c r="BR13" s="33">
        <v>1.23</v>
      </c>
      <c r="BS13" s="34"/>
      <c r="BT13" s="33"/>
      <c r="BU13" s="28"/>
      <c r="BV13" s="287"/>
      <c r="BW13" s="287"/>
      <c r="BX13" s="36"/>
      <c r="BY13" s="33">
        <v>37.409999999999997</v>
      </c>
      <c r="BZ13" s="34"/>
      <c r="CA13" s="33"/>
      <c r="CB13" s="35">
        <v>43.24</v>
      </c>
      <c r="CC13" s="235"/>
      <c r="CD13" s="235"/>
      <c r="CE13" s="36">
        <v>43.7</v>
      </c>
      <c r="CF13" s="30">
        <v>62.87</v>
      </c>
      <c r="CG13" s="30"/>
      <c r="CH13" s="30"/>
      <c r="CI13" s="32">
        <v>106.304</v>
      </c>
      <c r="CJ13" s="33">
        <v>3.41</v>
      </c>
      <c r="CK13" s="33"/>
      <c r="CL13" s="33"/>
      <c r="CM13" s="36">
        <v>3.41</v>
      </c>
      <c r="CN13" s="286"/>
      <c r="CO13" s="249">
        <f t="shared" si="13"/>
        <v>193.45092199999999</v>
      </c>
      <c r="CP13" s="12">
        <f t="shared" si="13"/>
        <v>0</v>
      </c>
      <c r="CQ13" s="12">
        <f t="shared" si="13"/>
        <v>0</v>
      </c>
      <c r="CR13" s="12">
        <f t="shared" si="13"/>
        <v>51.95</v>
      </c>
      <c r="CS13" s="11">
        <f t="shared" si="13"/>
        <v>0</v>
      </c>
      <c r="CT13" s="11">
        <f t="shared" si="13"/>
        <v>0</v>
      </c>
      <c r="CU13" s="272">
        <f t="shared" si="13"/>
        <v>10.206</v>
      </c>
      <c r="CV13" s="249">
        <f t="shared" si="14"/>
        <v>60.726132999999997</v>
      </c>
      <c r="CW13" s="251">
        <f t="shared" si="14"/>
        <v>0</v>
      </c>
      <c r="CX13" s="249">
        <f t="shared" si="14"/>
        <v>0</v>
      </c>
      <c r="CY13" s="272">
        <f t="shared" si="14"/>
        <v>102.6790336</v>
      </c>
      <c r="CZ13" s="13"/>
      <c r="DA13" s="240">
        <f>(D13+'[2]ноябрь 20'!D13)/(AY13+'[2]ноябрь 20'!BA13)</f>
        <v>2.1422764281450819</v>
      </c>
      <c r="DB13" s="241">
        <f>(T13+'[2]ноябрь 20'!T13)/(AY13+'[2]ноябрь 20'!BA13)</f>
        <v>1.3448166153591929</v>
      </c>
      <c r="DD13" s="292">
        <f t="shared" si="15"/>
        <v>10.221</v>
      </c>
      <c r="DE13" s="291">
        <v>0.13</v>
      </c>
      <c r="DF13" s="291">
        <v>15.18</v>
      </c>
      <c r="DG13" s="145">
        <f t="shared" si="16"/>
        <v>10.2077127</v>
      </c>
      <c r="DH13" s="293">
        <f t="shared" si="30"/>
        <v>2.0348401679054495</v>
      </c>
      <c r="DJ13" s="322"/>
      <c r="DK13" s="537"/>
    </row>
    <row r="14" spans="1:115" s="76" customFormat="1" ht="16.5" customHeight="1" thickBot="1">
      <c r="A14" s="144">
        <v>8</v>
      </c>
      <c r="B14" s="122">
        <f>'[1]ноябрь 20'!K13</f>
        <v>262.41699999999997</v>
      </c>
      <c r="C14" s="123">
        <f t="shared" si="17"/>
        <v>0.43272882473315372</v>
      </c>
      <c r="D14" s="145">
        <f t="shared" si="18"/>
        <v>261.28144600000002</v>
      </c>
      <c r="E14" s="125">
        <f t="shared" si="19"/>
        <v>39.340837941139483</v>
      </c>
      <c r="F14" s="146">
        <f t="shared" si="0"/>
        <v>2.1995239161545586</v>
      </c>
      <c r="G14" s="127">
        <v>14.08</v>
      </c>
      <c r="H14" s="126">
        <f t="shared" si="20"/>
        <v>1.667517855038303</v>
      </c>
      <c r="I14" s="230">
        <f>'[1]июль 20'!AI13</f>
        <v>0</v>
      </c>
      <c r="J14" s="247">
        <f>'[1]ноябрь 20'!AA13</f>
        <v>10.583</v>
      </c>
      <c r="K14" s="464">
        <f>'[1]сентябрь 20'!AM13</f>
        <v>0</v>
      </c>
      <c r="L14" s="446">
        <f>'[1]ноябрь 20'!AE13</f>
        <v>63.197000000000003</v>
      </c>
      <c r="M14" s="471">
        <f t="shared" si="21"/>
        <v>0.53200606111625548</v>
      </c>
      <c r="N14" s="403">
        <f>'[1]ноябрь 20'!W13</f>
        <v>0</v>
      </c>
      <c r="O14" s="403">
        <f>'[1]ноябрь 20'!AU13</f>
        <v>7.423</v>
      </c>
      <c r="P14" s="401">
        <f t="shared" si="1"/>
        <v>173.74099999999999</v>
      </c>
      <c r="Q14" s="122">
        <f>'[1]ноябрь 20'!S13</f>
        <v>173.74100000000001</v>
      </c>
      <c r="R14" s="123">
        <f t="shared" si="22"/>
        <v>3.4999999999999996</v>
      </c>
      <c r="S14" s="129"/>
      <c r="T14" s="125">
        <f t="shared" si="2"/>
        <v>167.660065</v>
      </c>
      <c r="U14" s="147">
        <f t="shared" si="3"/>
        <v>1.4113988130313999</v>
      </c>
      <c r="V14" s="130">
        <v>95.37</v>
      </c>
      <c r="W14" s="130">
        <v>118.79</v>
      </c>
      <c r="X14" s="129">
        <v>0.6</v>
      </c>
      <c r="Y14" s="131">
        <v>560</v>
      </c>
      <c r="Z14" s="150">
        <v>1167</v>
      </c>
      <c r="AA14" s="148" t="s">
        <v>110</v>
      </c>
      <c r="AB14" s="149">
        <v>76.010000000000005</v>
      </c>
      <c r="AC14" s="150">
        <v>105</v>
      </c>
      <c r="AD14" s="151">
        <v>5</v>
      </c>
      <c r="AE14" s="149"/>
      <c r="AF14" s="134">
        <f t="shared" si="4"/>
        <v>0</v>
      </c>
      <c r="AG14" s="152"/>
      <c r="AH14" s="129">
        <v>79.400000000000006</v>
      </c>
      <c r="AI14" s="134">
        <f t="shared" si="5"/>
        <v>668.40643151780455</v>
      </c>
      <c r="AJ14" s="153">
        <v>15.84</v>
      </c>
      <c r="AK14" s="154"/>
      <c r="AL14" s="155">
        <v>7.07</v>
      </c>
      <c r="AM14" s="478">
        <f t="shared" si="23"/>
        <v>31.04</v>
      </c>
      <c r="AN14" s="126">
        <f t="shared" si="24"/>
        <v>0.2</v>
      </c>
      <c r="AO14" s="157" t="s">
        <v>348</v>
      </c>
      <c r="AP14" s="156">
        <v>7.28</v>
      </c>
      <c r="AQ14" s="156">
        <v>8.82</v>
      </c>
      <c r="AR14" s="149"/>
      <c r="AS14" s="149">
        <v>9.17</v>
      </c>
      <c r="AT14" s="149">
        <v>155.19999999999999</v>
      </c>
      <c r="AU14" s="149">
        <v>1.7</v>
      </c>
      <c r="AV14" s="149"/>
      <c r="AW14" s="149"/>
      <c r="AX14" s="158">
        <f t="shared" si="6"/>
        <v>0</v>
      </c>
      <c r="AY14" s="125">
        <f t="shared" si="7"/>
        <v>118.79</v>
      </c>
      <c r="AZ14" s="125">
        <f t="shared" si="25"/>
        <v>120.36747487344151</v>
      </c>
      <c r="BA14" s="159">
        <f t="shared" si="8"/>
        <v>5.6401957746478875</v>
      </c>
      <c r="BB14" s="160">
        <f t="shared" si="9"/>
        <v>4.7516000000000007</v>
      </c>
      <c r="BC14" s="161">
        <f t="shared" si="10"/>
        <v>0.87841235996070122</v>
      </c>
      <c r="BD14" s="159">
        <f t="shared" si="26"/>
        <v>10.391795774647889</v>
      </c>
      <c r="BE14" s="167">
        <v>0.90800000000000003</v>
      </c>
      <c r="BF14" s="25">
        <f t="shared" si="27"/>
        <v>985.04</v>
      </c>
      <c r="BG14" s="25">
        <f t="shared" si="11"/>
        <v>125.66666666666667</v>
      </c>
      <c r="BH14" s="25">
        <f t="shared" si="28"/>
        <v>1005.3333333333333</v>
      </c>
      <c r="BI14" s="26">
        <f t="shared" si="12"/>
        <v>1</v>
      </c>
      <c r="BJ14" s="37">
        <f t="shared" si="29"/>
        <v>1005.3333333333333</v>
      </c>
      <c r="BK14" s="39">
        <v>199.22</v>
      </c>
      <c r="BL14" s="40"/>
      <c r="BM14" s="325"/>
      <c r="BN14" s="40">
        <v>52.628999999999998</v>
      </c>
      <c r="BO14" s="40"/>
      <c r="BP14" s="40"/>
      <c r="BQ14" s="32">
        <v>10.568</v>
      </c>
      <c r="BR14" s="33">
        <v>0.56999999999999995</v>
      </c>
      <c r="BS14" s="34"/>
      <c r="BT14" s="33"/>
      <c r="BU14" s="28"/>
      <c r="BV14" s="287"/>
      <c r="BW14" s="287"/>
      <c r="BX14" s="36"/>
      <c r="BY14" s="33">
        <v>38.03</v>
      </c>
      <c r="BZ14" s="34"/>
      <c r="CA14" s="33"/>
      <c r="CB14" s="235">
        <v>43.55</v>
      </c>
      <c r="CC14" s="235"/>
      <c r="CD14" s="235"/>
      <c r="CE14" s="36">
        <v>43.09</v>
      </c>
      <c r="CF14" s="30">
        <v>64.063000000000002</v>
      </c>
      <c r="CG14" s="30"/>
      <c r="CH14" s="30"/>
      <c r="CI14" s="32">
        <v>109.678</v>
      </c>
      <c r="CJ14" s="33">
        <v>3.5</v>
      </c>
      <c r="CK14" s="33"/>
      <c r="CL14" s="33"/>
      <c r="CM14" s="36">
        <v>3.5</v>
      </c>
      <c r="CN14" s="286"/>
      <c r="CO14" s="249">
        <f t="shared" si="13"/>
        <v>198.08444600000001</v>
      </c>
      <c r="CP14" s="12">
        <f t="shared" si="13"/>
        <v>0</v>
      </c>
      <c r="CQ14" s="12">
        <f t="shared" si="13"/>
        <v>0</v>
      </c>
      <c r="CR14" s="12">
        <f t="shared" si="13"/>
        <v>52.628999999999998</v>
      </c>
      <c r="CS14" s="11">
        <f t="shared" si="13"/>
        <v>0</v>
      </c>
      <c r="CT14" s="11">
        <f t="shared" si="13"/>
        <v>0</v>
      </c>
      <c r="CU14" s="272">
        <f t="shared" si="13"/>
        <v>10.568</v>
      </c>
      <c r="CV14" s="249">
        <f t="shared" si="14"/>
        <v>61.820794999999997</v>
      </c>
      <c r="CW14" s="12">
        <f t="shared" si="14"/>
        <v>0</v>
      </c>
      <c r="CX14" s="252">
        <f t="shared" si="14"/>
        <v>0</v>
      </c>
      <c r="CY14" s="272">
        <f t="shared" si="14"/>
        <v>105.83927</v>
      </c>
      <c r="CZ14" s="13"/>
      <c r="DA14" s="240">
        <f>(D14+'[2]ноябрь 20'!D14)/(AY14+'[2]ноябрь 20'!BA14)</f>
        <v>2.1477566666386374</v>
      </c>
      <c r="DB14" s="241">
        <f>(T14+'[2]ноябрь 20'!T14)/(AY14+'[2]ноябрь 20'!BA14)</f>
        <v>1.3376444281874265</v>
      </c>
      <c r="DD14" s="292">
        <f t="shared" si="15"/>
        <v>10.583</v>
      </c>
      <c r="DE14" s="291">
        <v>0.2</v>
      </c>
      <c r="DF14" s="291">
        <v>16.62</v>
      </c>
      <c r="DG14" s="145">
        <f t="shared" si="16"/>
        <v>10.561833999999999</v>
      </c>
      <c r="DH14" s="293">
        <f t="shared" si="30"/>
        <v>2.3094024612550981</v>
      </c>
      <c r="DJ14" s="322"/>
      <c r="DK14" s="537"/>
    </row>
    <row r="15" spans="1:115" s="76" customFormat="1" ht="16.5" customHeight="1" thickBot="1">
      <c r="A15" s="144">
        <v>9</v>
      </c>
      <c r="B15" s="122">
        <f>'[1]ноябрь 20'!K14</f>
        <v>268.25599999999997</v>
      </c>
      <c r="C15" s="123">
        <f t="shared" si="17"/>
        <v>0.50850426458308495</v>
      </c>
      <c r="D15" s="145">
        <f t="shared" si="18"/>
        <v>266.89190680000002</v>
      </c>
      <c r="E15" s="125">
        <f t="shared" si="19"/>
        <v>38.952001371823933</v>
      </c>
      <c r="F15" s="146">
        <f t="shared" si="0"/>
        <v>2.1494073189981475</v>
      </c>
      <c r="G15" s="127"/>
      <c r="H15" s="126">
        <f t="shared" si="20"/>
        <v>1.6286696206813236</v>
      </c>
      <c r="I15" s="230">
        <f>'[1]июль 20'!AI14</f>
        <v>0</v>
      </c>
      <c r="J15" s="247">
        <f>'[1]ноябрь 20'!AA14</f>
        <v>10.625</v>
      </c>
      <c r="K15" s="464">
        <f>'[1]сентябрь 20'!AM14</f>
        <v>0</v>
      </c>
      <c r="L15" s="446">
        <f>'[1]ноябрь 20'!AE14</f>
        <v>64.66</v>
      </c>
      <c r="M15" s="469">
        <f t="shared" si="21"/>
        <v>0.52073769831682359</v>
      </c>
      <c r="N15" s="403">
        <f>'[1]ноябрь 20'!W14</f>
        <v>0</v>
      </c>
      <c r="O15" s="403">
        <f>'[1]ноябрь 20'!AU14</f>
        <v>7.4329999999999998</v>
      </c>
      <c r="P15" s="401">
        <f t="shared" si="1"/>
        <v>176.96199999999999</v>
      </c>
      <c r="Q15" s="122">
        <f>'[1]ноябрь 20'!S14</f>
        <v>176.96199999999999</v>
      </c>
      <c r="R15" s="123">
        <f t="shared" si="22"/>
        <v>3.5200000000000005</v>
      </c>
      <c r="S15" s="129">
        <v>29.93</v>
      </c>
      <c r="T15" s="125">
        <f t="shared" si="2"/>
        <v>170.73293759999999</v>
      </c>
      <c r="U15" s="147">
        <f t="shared" si="3"/>
        <v>1.3749934573568492</v>
      </c>
      <c r="V15" s="130">
        <v>92.84</v>
      </c>
      <c r="W15" s="130">
        <v>69.209999999999994</v>
      </c>
      <c r="X15" s="129">
        <v>0.92</v>
      </c>
      <c r="Y15" s="131">
        <v>552</v>
      </c>
      <c r="Z15" s="150">
        <v>1171</v>
      </c>
      <c r="AA15" s="148" t="s">
        <v>122</v>
      </c>
      <c r="AB15" s="149">
        <v>75.510000000000005</v>
      </c>
      <c r="AC15" s="150">
        <v>107</v>
      </c>
      <c r="AD15" s="151">
        <v>5</v>
      </c>
      <c r="AE15" s="149"/>
      <c r="AF15" s="134">
        <f t="shared" si="4"/>
        <v>0</v>
      </c>
      <c r="AG15" s="152"/>
      <c r="AH15" s="129">
        <v>66</v>
      </c>
      <c r="AI15" s="134">
        <f t="shared" si="5"/>
        <v>531.52935491664641</v>
      </c>
      <c r="AJ15" s="136">
        <v>15.14</v>
      </c>
      <c r="AK15" s="154"/>
      <c r="AL15" s="155">
        <v>8.07</v>
      </c>
      <c r="AM15" s="478">
        <f t="shared" si="23"/>
        <v>32.6</v>
      </c>
      <c r="AN15" s="126">
        <f t="shared" si="24"/>
        <v>0.2</v>
      </c>
      <c r="AO15" s="157" t="s">
        <v>443</v>
      </c>
      <c r="AP15" s="156">
        <v>7.86</v>
      </c>
      <c r="AQ15" s="156">
        <v>9.19</v>
      </c>
      <c r="AR15" s="149"/>
      <c r="AS15" s="149">
        <v>7.37</v>
      </c>
      <c r="AT15" s="149">
        <v>163</v>
      </c>
      <c r="AU15" s="149">
        <v>1.84</v>
      </c>
      <c r="AV15" s="149"/>
      <c r="AW15" s="149"/>
      <c r="AX15" s="158">
        <f t="shared" si="6"/>
        <v>0</v>
      </c>
      <c r="AY15" s="125">
        <f t="shared" si="7"/>
        <v>124.17000000000002</v>
      </c>
      <c r="AZ15" s="125">
        <f t="shared" si="25"/>
        <v>122.35399625198532</v>
      </c>
      <c r="BA15" s="159">
        <f t="shared" si="8"/>
        <v>3.7680422535211266</v>
      </c>
      <c r="BB15" s="160">
        <f t="shared" si="9"/>
        <v>4.966800000000001</v>
      </c>
      <c r="BC15" s="161">
        <f t="shared" si="10"/>
        <v>0.90189498091567943</v>
      </c>
      <c r="BD15" s="159">
        <f t="shared" si="26"/>
        <v>8.7348422535211281</v>
      </c>
      <c r="BE15" s="167">
        <v>0.90700000000000003</v>
      </c>
      <c r="BF15" s="25">
        <f t="shared" si="27"/>
        <v>1109.21</v>
      </c>
      <c r="BG15" s="25">
        <f t="shared" si="11"/>
        <v>125.66666666666667</v>
      </c>
      <c r="BH15" s="25">
        <f t="shared" si="28"/>
        <v>1131</v>
      </c>
      <c r="BI15" s="26">
        <f t="shared" si="12"/>
        <v>1</v>
      </c>
      <c r="BJ15" s="37">
        <f t="shared" si="29"/>
        <v>1131</v>
      </c>
      <c r="BK15" s="38">
        <v>203.596</v>
      </c>
      <c r="BL15" s="42"/>
      <c r="BM15" s="31"/>
      <c r="BN15" s="533">
        <v>54.052</v>
      </c>
      <c r="BO15" s="40"/>
      <c r="BP15" s="40"/>
      <c r="BQ15" s="32">
        <v>10.608000000000001</v>
      </c>
      <c r="BR15" s="33">
        <v>0.67</v>
      </c>
      <c r="BS15" s="35"/>
      <c r="BT15" s="35"/>
      <c r="BU15" s="28"/>
      <c r="BV15" s="287"/>
      <c r="BW15" s="287"/>
      <c r="BX15" s="36"/>
      <c r="BY15" s="33">
        <v>37.630000000000003</v>
      </c>
      <c r="BZ15" s="34"/>
      <c r="CA15" s="35"/>
      <c r="CB15" s="59">
        <v>43.09</v>
      </c>
      <c r="CC15" s="35"/>
      <c r="CD15" s="35"/>
      <c r="CE15" s="35">
        <v>43.24</v>
      </c>
      <c r="CF15" s="38">
        <v>65.331000000000003</v>
      </c>
      <c r="CG15" s="30"/>
      <c r="CH15" s="30"/>
      <c r="CI15" s="32">
        <v>111.631</v>
      </c>
      <c r="CJ15" s="33">
        <v>3.52</v>
      </c>
      <c r="CK15" s="33"/>
      <c r="CL15" s="33"/>
      <c r="CM15" s="36">
        <v>3.52</v>
      </c>
      <c r="CN15" s="286"/>
      <c r="CO15" s="249">
        <f t="shared" si="13"/>
        <v>202.23190679999999</v>
      </c>
      <c r="CP15" s="12">
        <f t="shared" si="13"/>
        <v>0</v>
      </c>
      <c r="CQ15" s="12">
        <f t="shared" si="13"/>
        <v>0</v>
      </c>
      <c r="CR15" s="17">
        <f t="shared" si="13"/>
        <v>54.052</v>
      </c>
      <c r="CS15" s="11">
        <f t="shared" si="13"/>
        <v>0</v>
      </c>
      <c r="CT15" s="11">
        <f t="shared" si="13"/>
        <v>0</v>
      </c>
      <c r="CU15" s="272">
        <f t="shared" si="13"/>
        <v>10.608000000000001</v>
      </c>
      <c r="CV15" s="249">
        <f t="shared" si="14"/>
        <v>63.031348800000004</v>
      </c>
      <c r="CW15" s="12">
        <f t="shared" si="14"/>
        <v>0</v>
      </c>
      <c r="CX15" s="249">
        <f t="shared" si="14"/>
        <v>0</v>
      </c>
      <c r="CY15" s="274">
        <f t="shared" si="14"/>
        <v>107.7015888</v>
      </c>
      <c r="CZ15" s="13"/>
      <c r="DA15" s="240">
        <f>(D15+'[2]ноябрь 20'!D15)/(AY15+'[2]ноябрь 20'!BA15)</f>
        <v>2.0591867342144674</v>
      </c>
      <c r="DB15" s="241">
        <f>(T15+'[2]ноябрь 20'!T15)/(AY15+'[2]ноябрь 20'!BA15)</f>
        <v>1.2873751220365746</v>
      </c>
      <c r="DD15" s="292">
        <f t="shared" si="15"/>
        <v>10.625</v>
      </c>
      <c r="DE15" s="291">
        <v>0.22</v>
      </c>
      <c r="DF15" s="291">
        <v>15.4</v>
      </c>
      <c r="DG15" s="145">
        <f t="shared" si="16"/>
        <v>10.601625</v>
      </c>
      <c r="DH15" s="293">
        <f t="shared" si="30"/>
        <v>2.1621642828764398</v>
      </c>
      <c r="DJ15" s="322"/>
      <c r="DK15" s="537"/>
    </row>
    <row r="16" spans="1:115" s="76" customFormat="1" ht="16.5" customHeight="1" thickBot="1">
      <c r="A16" s="144">
        <v>10</v>
      </c>
      <c r="B16" s="122">
        <f>'[1]ноябрь 20'!K15</f>
        <v>278.06700000000001</v>
      </c>
      <c r="C16" s="123">
        <f t="shared" si="17"/>
        <v>0.57668734513624409</v>
      </c>
      <c r="D16" s="145">
        <f t="shared" si="18"/>
        <v>276.46342279999999</v>
      </c>
      <c r="E16" s="125">
        <f t="shared" si="19"/>
        <v>39.860476360013948</v>
      </c>
      <c r="F16" s="146">
        <f t="shared" si="0"/>
        <v>2.7629764421347196</v>
      </c>
      <c r="G16" s="127"/>
      <c r="H16" s="126">
        <f t="shared" si="20"/>
        <v>2.0926786208275039</v>
      </c>
      <c r="I16" s="230">
        <f>'[1]июль 20'!AI15</f>
        <v>0</v>
      </c>
      <c r="J16" s="247">
        <f>'[1]ноябрь 20'!AA15</f>
        <v>11.215</v>
      </c>
      <c r="K16" s="467">
        <f>'[1]сентябрь 20'!AM15</f>
        <v>0</v>
      </c>
      <c r="L16" s="446">
        <f>'[1]ноябрь 20'!AE15</f>
        <v>67.069999999999993</v>
      </c>
      <c r="M16" s="468">
        <f t="shared" si="21"/>
        <v>0.67029782130721582</v>
      </c>
      <c r="N16" s="403">
        <f>'[1]ноябрь 20'!W15</f>
        <v>0</v>
      </c>
      <c r="O16" s="403">
        <f>'[1]ноябрь 20'!AU15</f>
        <v>7.8360000000000003</v>
      </c>
      <c r="P16" s="401">
        <f t="shared" si="1"/>
        <v>181.774</v>
      </c>
      <c r="Q16" s="122">
        <f>'[1]ноябрь 20'!S15</f>
        <v>181.774</v>
      </c>
      <c r="R16" s="123">
        <f t="shared" si="22"/>
        <v>3.46</v>
      </c>
      <c r="S16" s="129">
        <v>29.98</v>
      </c>
      <c r="T16" s="125">
        <f t="shared" si="2"/>
        <v>175.4846196</v>
      </c>
      <c r="U16" s="147">
        <f t="shared" si="3"/>
        <v>1.7537939196482115</v>
      </c>
      <c r="V16" s="130">
        <v>68.92</v>
      </c>
      <c r="W16" s="130">
        <v>23.56</v>
      </c>
      <c r="X16" s="129">
        <v>1.28</v>
      </c>
      <c r="Y16" s="131">
        <v>571</v>
      </c>
      <c r="Z16" s="150">
        <v>1175</v>
      </c>
      <c r="AA16" s="148" t="s">
        <v>165</v>
      </c>
      <c r="AB16" s="149">
        <v>75.349999999999994</v>
      </c>
      <c r="AC16" s="150">
        <v>111</v>
      </c>
      <c r="AD16" s="151">
        <v>5</v>
      </c>
      <c r="AE16" s="149"/>
      <c r="AF16" s="134">
        <f t="shared" si="4"/>
        <v>0</v>
      </c>
      <c r="AG16" s="152"/>
      <c r="AH16" s="129">
        <v>87.1</v>
      </c>
      <c r="AI16" s="134">
        <f t="shared" si="5"/>
        <v>870.47771337197696</v>
      </c>
      <c r="AJ16" s="153">
        <v>16.48</v>
      </c>
      <c r="AK16" s="154"/>
      <c r="AL16" s="155">
        <v>9.3000000000000007</v>
      </c>
      <c r="AM16" s="478">
        <v>65.25</v>
      </c>
      <c r="AN16" s="126">
        <f t="shared" si="24"/>
        <v>0.37782281412854662</v>
      </c>
      <c r="AO16" s="157" t="s">
        <v>168</v>
      </c>
      <c r="AP16" s="156">
        <v>8.15</v>
      </c>
      <c r="AQ16" s="156">
        <v>8.3699999999999992</v>
      </c>
      <c r="AR16" s="149"/>
      <c r="AS16" s="149">
        <v>7.42</v>
      </c>
      <c r="AT16" s="149">
        <v>172.7</v>
      </c>
      <c r="AU16" s="149">
        <v>1.91</v>
      </c>
      <c r="AV16" s="149"/>
      <c r="AW16" s="149"/>
      <c r="AX16" s="158">
        <f t="shared" si="6"/>
        <v>0</v>
      </c>
      <c r="AY16" s="125">
        <f t="shared" si="7"/>
        <v>100.05999999999997</v>
      </c>
      <c r="AZ16" s="125">
        <f t="shared" si="25"/>
        <v>130.35921641717445</v>
      </c>
      <c r="BA16" s="159">
        <f t="shared" si="8"/>
        <v>5.0064098591549282</v>
      </c>
      <c r="BB16" s="160">
        <f t="shared" si="9"/>
        <v>4.0023999999999988</v>
      </c>
      <c r="BC16" s="161">
        <f t="shared" si="10"/>
        <v>0.68416931175629814</v>
      </c>
      <c r="BD16" s="160">
        <f t="shared" si="26"/>
        <v>9.0088098591549262</v>
      </c>
      <c r="BE16" s="162">
        <v>0.88300000000000001</v>
      </c>
      <c r="BF16" s="25">
        <f t="shared" si="27"/>
        <v>1209.27</v>
      </c>
      <c r="BG16" s="25">
        <f t="shared" si="11"/>
        <v>125.66666666666667</v>
      </c>
      <c r="BH16" s="25">
        <f t="shared" si="28"/>
        <v>1256.6666666666667</v>
      </c>
      <c r="BI16" s="26">
        <f t="shared" si="12"/>
        <v>1</v>
      </c>
      <c r="BJ16" s="37">
        <f t="shared" si="29"/>
        <v>1256.6666666666667</v>
      </c>
      <c r="BK16" s="328">
        <v>210.99700000000001</v>
      </c>
      <c r="BL16" s="31"/>
      <c r="BM16" s="40"/>
      <c r="BN16" s="535">
        <v>55.579000000000001</v>
      </c>
      <c r="BO16" s="42"/>
      <c r="BP16" s="40"/>
      <c r="BQ16" s="32">
        <v>11.491</v>
      </c>
      <c r="BR16" s="33">
        <v>0.76</v>
      </c>
      <c r="BS16" s="34"/>
      <c r="BT16" s="35"/>
      <c r="BU16" s="28"/>
      <c r="BV16" s="287"/>
      <c r="BW16" s="287"/>
      <c r="BX16" s="36"/>
      <c r="BY16" s="33">
        <v>38.64</v>
      </c>
      <c r="BZ16" s="34"/>
      <c r="CA16" s="235"/>
      <c r="CB16" s="305">
        <v>43.7</v>
      </c>
      <c r="CC16" s="404"/>
      <c r="CD16" s="235"/>
      <c r="CE16" s="36">
        <v>43.7</v>
      </c>
      <c r="CF16" s="38">
        <v>67.447999999999993</v>
      </c>
      <c r="CG16" s="30"/>
      <c r="CH16" s="30"/>
      <c r="CI16" s="32">
        <v>114.32599999999999</v>
      </c>
      <c r="CJ16" s="33">
        <v>3.46</v>
      </c>
      <c r="CK16" s="33"/>
      <c r="CL16" s="33"/>
      <c r="CM16" s="36">
        <v>3.46</v>
      </c>
      <c r="CN16" s="286"/>
      <c r="CO16" s="249">
        <f t="shared" si="13"/>
        <v>209.3934228</v>
      </c>
      <c r="CP16" s="12">
        <f t="shared" si="13"/>
        <v>0</v>
      </c>
      <c r="CQ16" s="12">
        <f t="shared" si="13"/>
        <v>0</v>
      </c>
      <c r="CR16" s="11">
        <f t="shared" si="13"/>
        <v>55.579000000000001</v>
      </c>
      <c r="CS16" s="11">
        <f t="shared" si="13"/>
        <v>0</v>
      </c>
      <c r="CT16" s="11">
        <f t="shared" si="13"/>
        <v>0</v>
      </c>
      <c r="CU16" s="272">
        <f t="shared" si="13"/>
        <v>11.491</v>
      </c>
      <c r="CV16" s="249">
        <f t="shared" si="14"/>
        <v>65.114299199999991</v>
      </c>
      <c r="CW16" s="12">
        <f t="shared" si="14"/>
        <v>0</v>
      </c>
      <c r="CX16" s="249">
        <f t="shared" si="14"/>
        <v>0</v>
      </c>
      <c r="CY16" s="272">
        <f t="shared" si="14"/>
        <v>110.3703204</v>
      </c>
      <c r="CZ16" s="13"/>
      <c r="DA16" s="240">
        <f>(D16+'[2]ноябрь 20'!D16)/(AY16+'[2]ноябрь 20'!BA16)</f>
        <v>2.3478241766997687</v>
      </c>
      <c r="DB16" s="241">
        <f>(T16+'[2]ноябрь 20'!T16)/(AY16+'[2]ноябрь 20'!BA16)</f>
        <v>1.4593684846354396</v>
      </c>
      <c r="DD16" s="292">
        <f t="shared" si="15"/>
        <v>11.215</v>
      </c>
      <c r="DE16" s="291">
        <v>0.31</v>
      </c>
      <c r="DF16" s="291">
        <v>18.079999999999998</v>
      </c>
      <c r="DG16" s="145">
        <f t="shared" si="16"/>
        <v>11.1802335</v>
      </c>
      <c r="DH16" s="293">
        <f t="shared" si="30"/>
        <v>2.6826625305905774</v>
      </c>
      <c r="DJ16" s="322"/>
      <c r="DK16" s="537"/>
    </row>
    <row r="17" spans="1:115" s="76" customFormat="1" ht="16.5" customHeight="1" thickBot="1">
      <c r="A17" s="144">
        <v>11</v>
      </c>
      <c r="B17" s="122">
        <f>'[1]ноябрь 20'!K16</f>
        <v>282.45999999999998</v>
      </c>
      <c r="C17" s="123">
        <f t="shared" si="17"/>
        <v>0.91985017347589038</v>
      </c>
      <c r="D17" s="145">
        <f t="shared" si="18"/>
        <v>279.86179119999997</v>
      </c>
      <c r="E17" s="125">
        <f t="shared" si="19"/>
        <v>38.499657438221348</v>
      </c>
      <c r="F17" s="146">
        <f t="shared" si="0"/>
        <v>2.1693030865824352</v>
      </c>
      <c r="G17" s="127">
        <v>39.97</v>
      </c>
      <c r="H17" s="126">
        <f t="shared" si="20"/>
        <v>1.6442895217425009</v>
      </c>
      <c r="I17" s="230">
        <f>'[1]июль 20'!AI16</f>
        <v>0</v>
      </c>
      <c r="J17" s="247">
        <f>'[1]ноябрь 20'!AA16</f>
        <v>10.381</v>
      </c>
      <c r="K17" s="465">
        <f>'[1]сентябрь 20'!AM16</f>
        <v>0</v>
      </c>
      <c r="L17" s="446">
        <f>'[1]ноябрь 20'!AE16</f>
        <v>67.731999999999999</v>
      </c>
      <c r="M17" s="469">
        <f t="shared" si="21"/>
        <v>0.52501356483993489</v>
      </c>
      <c r="N17" s="403">
        <f>'[1]ноябрь 20'!W16</f>
        <v>0</v>
      </c>
      <c r="O17" s="403">
        <f>'[1]ноябрь 20'!AU16</f>
        <v>7.8339999999999996</v>
      </c>
      <c r="P17" s="401">
        <f t="shared" si="1"/>
        <v>183.71600000000001</v>
      </c>
      <c r="Q17" s="122">
        <f>'[1]ноябрь 20'!S16</f>
        <v>183.71600000000001</v>
      </c>
      <c r="R17" s="123">
        <f t="shared" si="22"/>
        <v>3.2699999999999996</v>
      </c>
      <c r="S17" s="129">
        <v>4.2</v>
      </c>
      <c r="T17" s="125">
        <f t="shared" si="2"/>
        <v>177.7084868</v>
      </c>
      <c r="U17" s="147">
        <f t="shared" si="3"/>
        <v>1.3774783877218821</v>
      </c>
      <c r="V17" s="130">
        <v>129.01</v>
      </c>
      <c r="W17" s="130">
        <v>51.34</v>
      </c>
      <c r="X17" s="129">
        <v>1.0900000000000001</v>
      </c>
      <c r="Y17" s="131">
        <v>582</v>
      </c>
      <c r="Z17" s="150">
        <v>1182</v>
      </c>
      <c r="AA17" s="148" t="s">
        <v>391</v>
      </c>
      <c r="AB17" s="149">
        <v>76.08</v>
      </c>
      <c r="AC17" s="150">
        <v>113</v>
      </c>
      <c r="AD17" s="151">
        <v>5</v>
      </c>
      <c r="AE17" s="149"/>
      <c r="AF17" s="134">
        <f t="shared" si="4"/>
        <v>0</v>
      </c>
      <c r="AG17" s="152"/>
      <c r="AH17" s="129">
        <v>92.4</v>
      </c>
      <c r="AI17" s="134">
        <f t="shared" si="5"/>
        <v>716.22354856212712</v>
      </c>
      <c r="AJ17" s="136">
        <v>14.84</v>
      </c>
      <c r="AK17" s="154"/>
      <c r="AL17" s="155">
        <v>13.71</v>
      </c>
      <c r="AM17" s="478">
        <f>AT17*0.2</f>
        <v>34.550000000000004</v>
      </c>
      <c r="AN17" s="126">
        <f t="shared" si="24"/>
        <v>0.2</v>
      </c>
      <c r="AO17" s="157" t="s">
        <v>428</v>
      </c>
      <c r="AP17" s="156">
        <v>8.2200000000000006</v>
      </c>
      <c r="AQ17" s="156">
        <v>8.93</v>
      </c>
      <c r="AR17" s="149"/>
      <c r="AS17" s="149">
        <v>6.59</v>
      </c>
      <c r="AT17" s="149">
        <v>172.75</v>
      </c>
      <c r="AU17" s="149">
        <v>4.5199999999999996</v>
      </c>
      <c r="AV17" s="149"/>
      <c r="AW17" s="149"/>
      <c r="AX17" s="158">
        <f t="shared" si="6"/>
        <v>0</v>
      </c>
      <c r="AY17" s="125">
        <f t="shared" si="7"/>
        <v>129.01</v>
      </c>
      <c r="AZ17" s="125">
        <f t="shared" si="25"/>
        <v>125.46381738334195</v>
      </c>
      <c r="BA17" s="159">
        <f t="shared" si="8"/>
        <v>4.7169549295774651</v>
      </c>
      <c r="BB17" s="160">
        <f t="shared" si="9"/>
        <v>5.1604000000000001</v>
      </c>
      <c r="BC17" s="161">
        <f t="shared" si="10"/>
        <v>0.91094761782230804</v>
      </c>
      <c r="BD17" s="160">
        <f t="shared" si="26"/>
        <v>9.8773549295774643</v>
      </c>
      <c r="BE17" s="162">
        <v>0.88600000000000001</v>
      </c>
      <c r="BF17" s="25">
        <f t="shared" si="27"/>
        <v>1338.28</v>
      </c>
      <c r="BG17" s="25">
        <f t="shared" si="11"/>
        <v>125.66666666666667</v>
      </c>
      <c r="BH17" s="25">
        <f t="shared" si="28"/>
        <v>1382.3333333333335</v>
      </c>
      <c r="BI17" s="26">
        <f t="shared" si="12"/>
        <v>1</v>
      </c>
      <c r="BJ17" s="37">
        <f t="shared" si="29"/>
        <v>1382.3333333333335</v>
      </c>
      <c r="BK17" s="39">
        <v>214.72800000000001</v>
      </c>
      <c r="BL17" s="31"/>
      <c r="BM17" s="31"/>
      <c r="BN17" s="534">
        <v>56.548000000000002</v>
      </c>
      <c r="BO17" s="42"/>
      <c r="BP17" s="40"/>
      <c r="BQ17" s="32">
        <v>11.183999999999999</v>
      </c>
      <c r="BR17" s="33">
        <v>1.21</v>
      </c>
      <c r="BS17" s="34"/>
      <c r="BT17" s="35"/>
      <c r="BU17" s="28"/>
      <c r="BV17" s="287"/>
      <c r="BW17" s="287"/>
      <c r="BX17" s="36"/>
      <c r="BY17" s="33">
        <v>37.11</v>
      </c>
      <c r="BZ17" s="34"/>
      <c r="CA17" s="35"/>
      <c r="CB17" s="536">
        <v>42.93</v>
      </c>
      <c r="CC17" s="404"/>
      <c r="CD17" s="235"/>
      <c r="CE17" s="36">
        <v>42.78</v>
      </c>
      <c r="CF17" s="38">
        <v>69.108999999999995</v>
      </c>
      <c r="CG17" s="42"/>
      <c r="CH17" s="234"/>
      <c r="CI17" s="233">
        <v>114.607</v>
      </c>
      <c r="CJ17" s="33">
        <v>3.27</v>
      </c>
      <c r="CK17" s="33"/>
      <c r="CL17" s="33"/>
      <c r="CM17" s="36">
        <v>3.27</v>
      </c>
      <c r="CN17" s="286"/>
      <c r="CO17" s="249">
        <f t="shared" si="13"/>
        <v>212.12979120000003</v>
      </c>
      <c r="CP17" s="12">
        <f t="shared" si="13"/>
        <v>0</v>
      </c>
      <c r="CQ17" s="12">
        <f t="shared" si="13"/>
        <v>0</v>
      </c>
      <c r="CR17" s="12">
        <f t="shared" si="13"/>
        <v>56.548000000000002</v>
      </c>
      <c r="CS17" s="11">
        <f t="shared" si="13"/>
        <v>0</v>
      </c>
      <c r="CT17" s="11">
        <f t="shared" si="13"/>
        <v>0</v>
      </c>
      <c r="CU17" s="272">
        <f t="shared" si="13"/>
        <v>11.183999999999999</v>
      </c>
      <c r="CV17" s="249">
        <f t="shared" si="14"/>
        <v>66.849135700000005</v>
      </c>
      <c r="CW17" s="12">
        <f t="shared" si="14"/>
        <v>0</v>
      </c>
      <c r="CX17" s="254">
        <f t="shared" si="14"/>
        <v>0</v>
      </c>
      <c r="CY17" s="272">
        <f t="shared" si="14"/>
        <v>110.8593511</v>
      </c>
      <c r="CZ17" s="13"/>
      <c r="DA17" s="240">
        <f>(D17+'[2]ноябрь 20'!D17)/(AY17+'[2]ноябрь 20'!BA17)</f>
        <v>1.920778976946399</v>
      </c>
      <c r="DB17" s="241">
        <f>(T17+'[2]ноябрь 20'!T17)/(AY17+'[2]ноябрь 20'!BA17)</f>
        <v>1.2392814452262455</v>
      </c>
      <c r="DD17" s="292">
        <f t="shared" si="15"/>
        <v>10.381</v>
      </c>
      <c r="DE17" s="291">
        <v>0.17</v>
      </c>
      <c r="DF17" s="291">
        <v>13.42</v>
      </c>
      <c r="DG17" s="145">
        <f t="shared" si="16"/>
        <v>10.363352300000001</v>
      </c>
      <c r="DH17" s="293">
        <f t="shared" si="30"/>
        <v>1.8280256028654047</v>
      </c>
      <c r="DJ17" s="322"/>
      <c r="DK17" s="537"/>
    </row>
    <row r="18" spans="1:115" s="76" customFormat="1" ht="16.5" customHeight="1" thickBot="1">
      <c r="A18" s="144">
        <v>12</v>
      </c>
      <c r="B18" s="122">
        <f>'[1]ноябрь 20'!K17</f>
        <v>272.64600000000002</v>
      </c>
      <c r="C18" s="123">
        <f t="shared" si="17"/>
        <v>1.2622517110098808</v>
      </c>
      <c r="D18" s="145">
        <f t="shared" si="18"/>
        <v>269.20452120000004</v>
      </c>
      <c r="E18" s="125">
        <f t="shared" si="19"/>
        <v>38.812101699639825</v>
      </c>
      <c r="F18" s="146">
        <f t="shared" si="0"/>
        <v>2.1277625766677208</v>
      </c>
      <c r="G18" s="127"/>
      <c r="H18" s="126">
        <f t="shared" si="20"/>
        <v>1.611417334808726</v>
      </c>
      <c r="I18" s="230">
        <f>'[1]июль 20'!AI17</f>
        <v>0</v>
      </c>
      <c r="J18" s="247">
        <f>'[1]ноябрь 20'!AA17</f>
        <v>10.872999999999999</v>
      </c>
      <c r="K18" s="464">
        <f>'[1]сентябрь 20'!AM17</f>
        <v>0</v>
      </c>
      <c r="L18" s="446">
        <f>'[1]ноябрь 20'!AE17</f>
        <v>65.328000000000003</v>
      </c>
      <c r="M18" s="468">
        <f t="shared" si="21"/>
        <v>0.51634524185899466</v>
      </c>
      <c r="N18" s="403">
        <f>'[1]ноябрь 20'!W17</f>
        <v>0</v>
      </c>
      <c r="O18" s="403">
        <f>'[1]ноябрь 20'!AU17</f>
        <v>7.5519999999999996</v>
      </c>
      <c r="P18" s="401">
        <f t="shared" si="1"/>
        <v>174.73599999999999</v>
      </c>
      <c r="Q18" s="122">
        <f>'[1]ноябрь 20'!S17</f>
        <v>174.73599999999999</v>
      </c>
      <c r="R18" s="123">
        <f t="shared" si="22"/>
        <v>3.0600000000000005</v>
      </c>
      <c r="S18" s="129">
        <v>10.01</v>
      </c>
      <c r="T18" s="125">
        <f t="shared" si="2"/>
        <v>169.38907839999999</v>
      </c>
      <c r="U18" s="147">
        <f t="shared" si="3"/>
        <v>1.3388324249130572</v>
      </c>
      <c r="V18" s="130">
        <v>80.45</v>
      </c>
      <c r="W18" s="130">
        <v>29.04</v>
      </c>
      <c r="X18" s="129">
        <v>1.1200000000000001</v>
      </c>
      <c r="Y18" s="131">
        <v>578</v>
      </c>
      <c r="Z18" s="150">
        <v>1182</v>
      </c>
      <c r="AA18" s="148" t="s">
        <v>188</v>
      </c>
      <c r="AB18" s="149">
        <v>75.2</v>
      </c>
      <c r="AC18" s="150">
        <v>109</v>
      </c>
      <c r="AD18" s="151">
        <v>5</v>
      </c>
      <c r="AE18" s="149"/>
      <c r="AF18" s="134">
        <f t="shared" si="4"/>
        <v>0</v>
      </c>
      <c r="AG18" s="152"/>
      <c r="AH18" s="129">
        <v>74.75</v>
      </c>
      <c r="AI18" s="134">
        <f t="shared" si="5"/>
        <v>590.81568131520714</v>
      </c>
      <c r="AJ18" s="153">
        <v>15.33</v>
      </c>
      <c r="AK18" s="154"/>
      <c r="AL18" s="155">
        <v>5.89</v>
      </c>
      <c r="AM18" s="478">
        <f>AT18*0.2</f>
        <v>32.300000000000004</v>
      </c>
      <c r="AN18" s="126">
        <f t="shared" si="24"/>
        <v>0.20000000000000004</v>
      </c>
      <c r="AO18" s="157" t="s">
        <v>407</v>
      </c>
      <c r="AP18" s="156">
        <v>8.0299999999999994</v>
      </c>
      <c r="AQ18" s="156">
        <v>8.65</v>
      </c>
      <c r="AR18" s="151"/>
      <c r="AS18" s="149">
        <v>7.45</v>
      </c>
      <c r="AT18" s="149">
        <v>161.5</v>
      </c>
      <c r="AU18" s="149">
        <v>3.21</v>
      </c>
      <c r="AV18" s="149"/>
      <c r="AW18" s="149"/>
      <c r="AX18" s="158">
        <f t="shared" si="6"/>
        <v>0</v>
      </c>
      <c r="AY18" s="125">
        <f t="shared" si="7"/>
        <v>126.52</v>
      </c>
      <c r="AZ18" s="125">
        <f t="shared" si="25"/>
        <v>123.56930408180128</v>
      </c>
      <c r="BA18" s="159">
        <f t="shared" si="8"/>
        <v>4.3139172535211268</v>
      </c>
      <c r="BB18" s="160">
        <f t="shared" si="9"/>
        <v>5.0607999999999995</v>
      </c>
      <c r="BC18" s="161">
        <f t="shared" si="10"/>
        <v>0.91059972265241995</v>
      </c>
      <c r="BD18" s="160">
        <f t="shared" si="26"/>
        <v>9.3747172535211263</v>
      </c>
      <c r="BE18" s="162">
        <v>0.88800000000000001</v>
      </c>
      <c r="BF18" s="25">
        <f t="shared" si="27"/>
        <v>1464.8</v>
      </c>
      <c r="BG18" s="25">
        <f t="shared" si="11"/>
        <v>125.66666666666667</v>
      </c>
      <c r="BH18" s="25">
        <f t="shared" si="28"/>
        <v>1508.0000000000002</v>
      </c>
      <c r="BI18" s="26">
        <f t="shared" si="12"/>
        <v>1</v>
      </c>
      <c r="BJ18" s="37">
        <f t="shared" si="29"/>
        <v>1508.0000000000002</v>
      </c>
      <c r="BK18" s="38">
        <v>207.31800000000001</v>
      </c>
      <c r="BL18" s="31"/>
      <c r="BM18" s="31"/>
      <c r="BN18" s="234">
        <v>54.537999999999997</v>
      </c>
      <c r="BO18" s="42"/>
      <c r="BP18" s="40"/>
      <c r="BQ18" s="411">
        <v>10.79</v>
      </c>
      <c r="BR18" s="41">
        <v>1.66</v>
      </c>
      <c r="BS18" s="34"/>
      <c r="BT18" s="35"/>
      <c r="BU18" s="28"/>
      <c r="BV18" s="287"/>
      <c r="BW18" s="287"/>
      <c r="BX18" s="36"/>
      <c r="BY18" s="34">
        <v>37.26</v>
      </c>
      <c r="BZ18" s="34"/>
      <c r="CA18" s="35"/>
      <c r="CB18" s="405">
        <v>43.85</v>
      </c>
      <c r="CC18" s="404"/>
      <c r="CD18" s="235"/>
      <c r="CE18" s="405">
        <v>43.17</v>
      </c>
      <c r="CF18" s="38">
        <v>66.488</v>
      </c>
      <c r="CG18" s="42"/>
      <c r="CH18" s="234"/>
      <c r="CI18" s="233">
        <v>108.248</v>
      </c>
      <c r="CJ18" s="33">
        <v>3.06</v>
      </c>
      <c r="CK18" s="33"/>
      <c r="CL18" s="33"/>
      <c r="CM18" s="36">
        <v>3.06</v>
      </c>
      <c r="CN18" s="286"/>
      <c r="CO18" s="249">
        <f t="shared" si="13"/>
        <v>203.87652120000001</v>
      </c>
      <c r="CP18" s="12">
        <f t="shared" si="13"/>
        <v>0</v>
      </c>
      <c r="CQ18" s="12">
        <f t="shared" si="13"/>
        <v>0</v>
      </c>
      <c r="CR18" s="12">
        <f t="shared" si="13"/>
        <v>54.537999999999997</v>
      </c>
      <c r="CS18" s="11">
        <f t="shared" si="13"/>
        <v>0</v>
      </c>
      <c r="CT18" s="11">
        <f t="shared" si="13"/>
        <v>0</v>
      </c>
      <c r="CU18" s="272">
        <f t="shared" si="13"/>
        <v>10.79</v>
      </c>
      <c r="CV18" s="249">
        <f t="shared" si="14"/>
        <v>64.453467199999992</v>
      </c>
      <c r="CW18" s="11">
        <f t="shared" si="14"/>
        <v>0</v>
      </c>
      <c r="CX18" s="249">
        <f t="shared" si="14"/>
        <v>0</v>
      </c>
      <c r="CY18" s="272">
        <f t="shared" si="14"/>
        <v>104.9356112</v>
      </c>
      <c r="CZ18" s="13"/>
      <c r="DA18" s="240">
        <f>(D18+'[2]ноябрь 20'!D18)/(AY18+'[2]ноябрь 20'!BA18)</f>
        <v>2.3553202902070729</v>
      </c>
      <c r="DB18" s="241">
        <f>(T18+'[2]ноябрь 20'!T18)/(AY18+'[2]ноябрь 20'!BA18)</f>
        <v>1.4967283295397771</v>
      </c>
      <c r="DD18" s="292">
        <f t="shared" si="15"/>
        <v>10.872999999999999</v>
      </c>
      <c r="DE18" s="291">
        <v>0.23</v>
      </c>
      <c r="DF18" s="291">
        <v>15.76</v>
      </c>
      <c r="DG18" s="145">
        <f t="shared" si="16"/>
        <v>10.847992099999999</v>
      </c>
      <c r="DH18" s="293">
        <f t="shared" si="30"/>
        <v>2.273462174148936</v>
      </c>
      <c r="DJ18" s="322"/>
      <c r="DK18" s="537"/>
    </row>
    <row r="19" spans="1:115" s="76" customFormat="1" ht="16.5" customHeight="1" thickBot="1">
      <c r="A19" s="144">
        <v>13</v>
      </c>
      <c r="B19" s="122">
        <f>'[1]ноябрь 20'!K18</f>
        <v>252.517</v>
      </c>
      <c r="C19" s="123">
        <f t="shared" si="17"/>
        <v>0.91951413172182472</v>
      </c>
      <c r="D19" s="145">
        <f t="shared" si="18"/>
        <v>250.19507050000001</v>
      </c>
      <c r="E19" s="125">
        <f t="shared" si="19"/>
        <v>39.183061853261371</v>
      </c>
      <c r="F19" s="146">
        <f t="shared" si="0"/>
        <v>2.0243957480378674</v>
      </c>
      <c r="G19" s="127"/>
      <c r="H19" s="126">
        <f t="shared" si="20"/>
        <v>1.5338868071850478</v>
      </c>
      <c r="I19" s="230">
        <f>'[1]июль 20'!AI18</f>
        <v>0</v>
      </c>
      <c r="J19" s="247">
        <f>'[1]ноябрь 20'!AA18</f>
        <v>10.138999999999999</v>
      </c>
      <c r="K19" s="464">
        <f>'[1]сентябрь 20'!AM18</f>
        <v>0</v>
      </c>
      <c r="L19" s="446">
        <f>'[1]ноябрь 20'!AE18</f>
        <v>60.622</v>
      </c>
      <c r="M19" s="469">
        <f t="shared" si="21"/>
        <v>0.49050894085281987</v>
      </c>
      <c r="N19" s="403">
        <f>'[1]ноябрь 20'!W18</f>
        <v>0</v>
      </c>
      <c r="O19" s="403">
        <f>'[1]ноябрь 20'!AU18</f>
        <v>7.1420000000000003</v>
      </c>
      <c r="P19" s="401">
        <f t="shared" si="1"/>
        <v>160.482</v>
      </c>
      <c r="Q19" s="122">
        <f>'[1]ноябрь 20'!S18</f>
        <v>160.482</v>
      </c>
      <c r="R19" s="123">
        <f t="shared" si="22"/>
        <v>3.11</v>
      </c>
      <c r="S19" s="129">
        <v>9.65</v>
      </c>
      <c r="T19" s="125">
        <f t="shared" si="2"/>
        <v>155.4910098</v>
      </c>
      <c r="U19" s="147">
        <f t="shared" si="3"/>
        <v>1.2581196682579499</v>
      </c>
      <c r="V19" s="130">
        <v>123.59</v>
      </c>
      <c r="W19" s="130">
        <v>44.73</v>
      </c>
      <c r="X19" s="129">
        <v>1.1100000000000001</v>
      </c>
      <c r="Y19" s="131">
        <v>582</v>
      </c>
      <c r="Z19" s="150">
        <v>1165</v>
      </c>
      <c r="AA19" s="148" t="s">
        <v>249</v>
      </c>
      <c r="AB19" s="149">
        <v>75.92</v>
      </c>
      <c r="AC19" s="150">
        <v>101</v>
      </c>
      <c r="AD19" s="151">
        <v>5</v>
      </c>
      <c r="AE19" s="149">
        <v>3.85</v>
      </c>
      <c r="AF19" s="134">
        <f t="shared" si="4"/>
        <v>31.151387652722715</v>
      </c>
      <c r="AG19" s="152"/>
      <c r="AH19" s="129">
        <v>82.85</v>
      </c>
      <c r="AI19" s="134">
        <f t="shared" si="5"/>
        <v>670.36167974755244</v>
      </c>
      <c r="AJ19" s="136">
        <v>18.63</v>
      </c>
      <c r="AK19" s="154"/>
      <c r="AL19" s="155">
        <v>10</v>
      </c>
      <c r="AM19" s="478">
        <f>AT19*0.2</f>
        <v>32.97</v>
      </c>
      <c r="AN19" s="126">
        <f t="shared" si="24"/>
        <v>0.2</v>
      </c>
      <c r="AO19" s="157" t="s">
        <v>350</v>
      </c>
      <c r="AP19" s="156">
        <v>7.64</v>
      </c>
      <c r="AQ19" s="156">
        <v>9.0500000000000007</v>
      </c>
      <c r="AR19" s="151"/>
      <c r="AS19" s="149">
        <v>8.3000000000000007</v>
      </c>
      <c r="AT19" s="149">
        <v>164.85</v>
      </c>
      <c r="AU19" s="149">
        <v>1.71</v>
      </c>
      <c r="AV19" s="164"/>
      <c r="AW19" s="149"/>
      <c r="AX19" s="158">
        <f t="shared" si="6"/>
        <v>0</v>
      </c>
      <c r="AY19" s="125">
        <f t="shared" si="7"/>
        <v>123.58999999999999</v>
      </c>
      <c r="AZ19" s="125">
        <f t="shared" si="25"/>
        <v>114.62355979037407</v>
      </c>
      <c r="BA19" s="159">
        <f t="shared" si="8"/>
        <v>5.3269049295774646</v>
      </c>
      <c r="BB19" s="160">
        <f t="shared" si="9"/>
        <v>4.9436</v>
      </c>
      <c r="BC19" s="161">
        <f t="shared" si="10"/>
        <v>0.95711123282785093</v>
      </c>
      <c r="BD19" s="160">
        <f t="shared" si="26"/>
        <v>10.270504929577465</v>
      </c>
      <c r="BE19" s="162">
        <v>0.89300000000000002</v>
      </c>
      <c r="BF19" s="25">
        <f t="shared" si="27"/>
        <v>1588.3899999999999</v>
      </c>
      <c r="BG19" s="25">
        <f t="shared" si="11"/>
        <v>125.66666666666667</v>
      </c>
      <c r="BH19" s="25">
        <f t="shared" si="28"/>
        <v>1633.666666666667</v>
      </c>
      <c r="BI19" s="26">
        <f t="shared" si="12"/>
        <v>1</v>
      </c>
      <c r="BJ19" s="37">
        <f t="shared" si="29"/>
        <v>1633.666666666667</v>
      </c>
      <c r="BK19" s="38">
        <v>191.89500000000001</v>
      </c>
      <c r="BL19" s="31"/>
      <c r="BM19" s="31"/>
      <c r="BN19" s="234">
        <v>50.411999999999999</v>
      </c>
      <c r="BO19" s="42"/>
      <c r="BP19" s="40"/>
      <c r="BQ19" s="411">
        <v>10.210000000000001</v>
      </c>
      <c r="BR19" s="33">
        <v>1.21</v>
      </c>
      <c r="BS19" s="34"/>
      <c r="BT19" s="35"/>
      <c r="BU19" s="28"/>
      <c r="BV19" s="287"/>
      <c r="BW19" s="512"/>
      <c r="BX19" s="36"/>
      <c r="BY19" s="33">
        <v>37.869999999999997</v>
      </c>
      <c r="BZ19" s="34"/>
      <c r="CA19" s="35"/>
      <c r="CB19" s="405">
        <v>43.39</v>
      </c>
      <c r="CC19" s="404"/>
      <c r="CD19" s="235"/>
      <c r="CE19" s="413">
        <v>43.09</v>
      </c>
      <c r="CF19" s="41">
        <v>61.658999999999999</v>
      </c>
      <c r="CG19" s="41"/>
      <c r="CH19" s="30"/>
      <c r="CI19" s="32">
        <v>98.822999999999993</v>
      </c>
      <c r="CJ19" s="33">
        <v>3.11</v>
      </c>
      <c r="CK19" s="33"/>
      <c r="CL19" s="33"/>
      <c r="CM19" s="36">
        <v>3.11</v>
      </c>
      <c r="CN19" s="286"/>
      <c r="CO19" s="249">
        <f t="shared" si="13"/>
        <v>189.57307050000003</v>
      </c>
      <c r="CP19" s="12">
        <f t="shared" si="13"/>
        <v>0</v>
      </c>
      <c r="CQ19" s="12">
        <f t="shared" si="13"/>
        <v>0</v>
      </c>
      <c r="CR19" s="12">
        <f t="shared" si="13"/>
        <v>50.411999999999999</v>
      </c>
      <c r="CS19" s="11">
        <f t="shared" si="13"/>
        <v>0</v>
      </c>
      <c r="CT19" s="11">
        <f t="shared" si="13"/>
        <v>0</v>
      </c>
      <c r="CU19" s="272">
        <f t="shared" si="13"/>
        <v>10.210000000000001</v>
      </c>
      <c r="CV19" s="249">
        <f t="shared" si="14"/>
        <v>59.741405100000001</v>
      </c>
      <c r="CW19" s="251">
        <f t="shared" si="14"/>
        <v>0</v>
      </c>
      <c r="CX19" s="249">
        <f t="shared" si="14"/>
        <v>0</v>
      </c>
      <c r="CY19" s="272">
        <f t="shared" si="14"/>
        <v>95.749604699999992</v>
      </c>
      <c r="CZ19" s="13"/>
      <c r="DA19" s="240">
        <f>(D19+'[2]ноябрь 20'!D19)/(AY19+'[2]ноябрь 20'!BA19)</f>
        <v>2.1785487735067375</v>
      </c>
      <c r="DB19" s="241">
        <f>(T19+'[2]ноябрь 20'!T19)/(AY19+'[2]ноябрь 20'!BA19)</f>
        <v>1.3514949589933698</v>
      </c>
      <c r="DD19" s="292">
        <f t="shared" si="15"/>
        <v>10.138999999999999</v>
      </c>
      <c r="DE19" s="291">
        <v>0.16</v>
      </c>
      <c r="DF19" s="291">
        <v>14.21</v>
      </c>
      <c r="DG19" s="145">
        <f t="shared" si="16"/>
        <v>10.122777599999999</v>
      </c>
      <c r="DH19" s="293">
        <f t="shared" si="30"/>
        <v>1.894687430136986</v>
      </c>
      <c r="DJ19" s="322"/>
      <c r="DK19" s="537"/>
    </row>
    <row r="20" spans="1:115" s="76" customFormat="1" ht="16.5" customHeight="1" thickBot="1">
      <c r="A20" s="144">
        <v>14</v>
      </c>
      <c r="B20" s="122">
        <f>'[1]ноябрь 20'!K19</f>
        <v>260.5</v>
      </c>
      <c r="C20" s="123">
        <f t="shared" si="17"/>
        <v>1.3145874856046065</v>
      </c>
      <c r="D20" s="145">
        <f t="shared" si="18"/>
        <v>257.0754996</v>
      </c>
      <c r="E20" s="125">
        <f t="shared" si="19"/>
        <v>39.195478080614201</v>
      </c>
      <c r="F20" s="146">
        <f t="shared" si="0"/>
        <v>2.1259965233212044</v>
      </c>
      <c r="G20" s="127">
        <v>17.100000000000001</v>
      </c>
      <c r="H20" s="126">
        <f t="shared" si="20"/>
        <v>1.6086958286470394</v>
      </c>
      <c r="I20" s="230">
        <f>'[1]июль 20'!AI19</f>
        <v>0</v>
      </c>
      <c r="J20" s="247">
        <f>'[1]ноябрь 20'!AA19</f>
        <v>10.484</v>
      </c>
      <c r="K20" s="464">
        <f>'[1]сентябрь 20'!AM19</f>
        <v>0</v>
      </c>
      <c r="L20" s="446">
        <f>'[1]ноябрь 20'!AE19</f>
        <v>62.552</v>
      </c>
      <c r="M20" s="468">
        <f t="shared" si="21"/>
        <v>0.51730069467416484</v>
      </c>
      <c r="N20" s="403">
        <f>'[1]ноябрь 20'!W19</f>
        <v>0</v>
      </c>
      <c r="O20" s="403">
        <f>'[1]ноябрь 20'!AU19</f>
        <v>7.13</v>
      </c>
      <c r="P20" s="401">
        <f t="shared" si="1"/>
        <v>164.25900000000001</v>
      </c>
      <c r="Q20" s="122">
        <f>'[1]ноябрь 20'!S19</f>
        <v>164.25899999999999</v>
      </c>
      <c r="R20" s="123">
        <f t="shared" si="22"/>
        <v>2.91</v>
      </c>
      <c r="S20" s="129"/>
      <c r="T20" s="125">
        <f t="shared" si="2"/>
        <v>159.47906309999999</v>
      </c>
      <c r="U20" s="147">
        <f t="shared" si="3"/>
        <v>1.3188807732385048</v>
      </c>
      <c r="V20" s="130">
        <v>50.33</v>
      </c>
      <c r="W20" s="130">
        <v>23.52</v>
      </c>
      <c r="X20" s="129">
        <v>1.1200000000000001</v>
      </c>
      <c r="Y20" s="131">
        <v>565</v>
      </c>
      <c r="Z20" s="150">
        <v>1175</v>
      </c>
      <c r="AA20" s="168" t="s">
        <v>433</v>
      </c>
      <c r="AB20" s="149">
        <v>75.209999999999994</v>
      </c>
      <c r="AC20" s="150">
        <v>104</v>
      </c>
      <c r="AD20" s="151">
        <v>5</v>
      </c>
      <c r="AE20" s="149"/>
      <c r="AF20" s="134">
        <f t="shared" si="4"/>
        <v>0</v>
      </c>
      <c r="AG20" s="152"/>
      <c r="AH20" s="129">
        <v>80.650000000000006</v>
      </c>
      <c r="AI20" s="134">
        <f t="shared" si="5"/>
        <v>666.96989745286146</v>
      </c>
      <c r="AJ20" s="153">
        <v>14.74</v>
      </c>
      <c r="AK20" s="154"/>
      <c r="AL20" s="155">
        <v>7.06</v>
      </c>
      <c r="AM20" s="478">
        <f t="shared" ref="AM20:AM37" si="31">AT20*0.2</f>
        <v>31.42</v>
      </c>
      <c r="AN20" s="126">
        <f t="shared" si="24"/>
        <v>0.2</v>
      </c>
      <c r="AO20" s="157" t="s">
        <v>447</v>
      </c>
      <c r="AP20" s="156">
        <v>7.08</v>
      </c>
      <c r="AQ20" s="156">
        <v>8.59</v>
      </c>
      <c r="AR20" s="149"/>
      <c r="AS20" s="149">
        <v>9.0299999999999994</v>
      </c>
      <c r="AT20" s="149">
        <v>157.1</v>
      </c>
      <c r="AU20" s="149">
        <v>2.2999999999999998</v>
      </c>
      <c r="AV20" s="149"/>
      <c r="AW20" s="149"/>
      <c r="AX20" s="158">
        <f t="shared" si="6"/>
        <v>0</v>
      </c>
      <c r="AY20" s="125">
        <f t="shared" si="7"/>
        <v>120.91999999999999</v>
      </c>
      <c r="AZ20" s="125">
        <f t="shared" si="25"/>
        <v>119.13753270563932</v>
      </c>
      <c r="BA20" s="159">
        <f t="shared" si="8"/>
        <v>5.6415242957746479</v>
      </c>
      <c r="BB20" s="160">
        <f t="shared" si="9"/>
        <v>4.8367999999999993</v>
      </c>
      <c r="BC20" s="161">
        <f t="shared" si="10"/>
        <v>0.90256205799150591</v>
      </c>
      <c r="BD20" s="160">
        <f t="shared" si="26"/>
        <v>10.478324295774648</v>
      </c>
      <c r="BE20" s="162">
        <v>0.89400000000000002</v>
      </c>
      <c r="BF20" s="25">
        <f t="shared" si="27"/>
        <v>1709.31</v>
      </c>
      <c r="BG20" s="25">
        <f t="shared" si="11"/>
        <v>125.66666666666667</v>
      </c>
      <c r="BH20" s="25">
        <f t="shared" si="28"/>
        <v>1759.3333333333337</v>
      </c>
      <c r="BI20" s="26">
        <f t="shared" si="12"/>
        <v>1</v>
      </c>
      <c r="BJ20" s="37">
        <f t="shared" si="29"/>
        <v>1759.3333333333337</v>
      </c>
      <c r="BK20" s="38">
        <v>197.94800000000001</v>
      </c>
      <c r="BL20" s="31"/>
      <c r="BM20" s="31"/>
      <c r="BN20" s="234">
        <v>54.859000000000002</v>
      </c>
      <c r="BO20" s="42"/>
      <c r="BP20" s="40"/>
      <c r="BQ20" s="411">
        <v>7.6929999999999996</v>
      </c>
      <c r="BR20" s="33">
        <v>1.73</v>
      </c>
      <c r="BS20" s="34"/>
      <c r="BT20" s="35"/>
      <c r="BU20" s="28"/>
      <c r="BV20" s="287"/>
      <c r="BW20" s="287"/>
      <c r="BX20" s="36"/>
      <c r="BY20" s="33">
        <v>37.869999999999997</v>
      </c>
      <c r="BZ20" s="34"/>
      <c r="CA20" s="35"/>
      <c r="CB20" s="405">
        <v>43.39</v>
      </c>
      <c r="CC20" s="404"/>
      <c r="CD20" s="235"/>
      <c r="CE20" s="413">
        <v>43.39</v>
      </c>
      <c r="CF20" s="30">
        <v>63.426000000000002</v>
      </c>
      <c r="CG20" s="30"/>
      <c r="CH20" s="31"/>
      <c r="CI20" s="32">
        <v>100.833</v>
      </c>
      <c r="CJ20" s="33">
        <v>2.91</v>
      </c>
      <c r="CK20" s="33"/>
      <c r="CL20" s="35"/>
      <c r="CM20" s="36">
        <v>2.91</v>
      </c>
      <c r="CN20" s="286"/>
      <c r="CO20" s="249">
        <f t="shared" si="13"/>
        <v>194.52349959999998</v>
      </c>
      <c r="CP20" s="12">
        <f t="shared" si="13"/>
        <v>0</v>
      </c>
      <c r="CQ20" s="12">
        <f t="shared" si="13"/>
        <v>0</v>
      </c>
      <c r="CR20" s="12">
        <f t="shared" si="13"/>
        <v>54.859000000000002</v>
      </c>
      <c r="CS20" s="11">
        <f t="shared" si="13"/>
        <v>0</v>
      </c>
      <c r="CT20" s="11">
        <f t="shared" si="13"/>
        <v>0</v>
      </c>
      <c r="CU20" s="272">
        <f t="shared" si="13"/>
        <v>7.6929999999999996</v>
      </c>
      <c r="CV20" s="249">
        <f t="shared" si="14"/>
        <v>61.580303399999998</v>
      </c>
      <c r="CW20" s="12">
        <f t="shared" si="14"/>
        <v>0</v>
      </c>
      <c r="CX20" s="249">
        <f t="shared" si="14"/>
        <v>0</v>
      </c>
      <c r="CY20" s="272">
        <f t="shared" si="14"/>
        <v>97.898759699999999</v>
      </c>
      <c r="CZ20" s="13"/>
      <c r="DA20" s="240">
        <f>(D20+'[2]ноябрь 20'!D20)/(AY20+'[2]ноябрь 20'!BA20)</f>
        <v>2.0284498967108031</v>
      </c>
      <c r="DB20" s="241">
        <f>(T20+'[2]ноябрь 20'!T20)/(AY20+'[2]ноябрь 20'!BA20)</f>
        <v>1.2454317653075131</v>
      </c>
      <c r="DD20" s="292">
        <f t="shared" si="15"/>
        <v>10.484</v>
      </c>
      <c r="DE20" s="291">
        <v>0.35</v>
      </c>
      <c r="DF20" s="407">
        <v>15.68</v>
      </c>
      <c r="DG20" s="145">
        <f t="shared" si="16"/>
        <v>10.447306000000001</v>
      </c>
      <c r="DH20" s="293">
        <f t="shared" si="30"/>
        <v>2.1780848036165406</v>
      </c>
      <c r="DJ20" s="322"/>
      <c r="DK20" s="537"/>
    </row>
    <row r="21" spans="1:115" s="76" customFormat="1" ht="16.5" customHeight="1" thickBot="1">
      <c r="A21" s="144">
        <v>15</v>
      </c>
      <c r="B21" s="122">
        <f>'[1]ноябрь 20'!K20</f>
        <v>232.477</v>
      </c>
      <c r="C21" s="123">
        <f t="shared" si="17"/>
        <v>1.5288405304610775</v>
      </c>
      <c r="D21" s="145">
        <f t="shared" si="18"/>
        <v>228.92279739999998</v>
      </c>
      <c r="E21" s="125">
        <f t="shared" si="19"/>
        <v>38.995395329430437</v>
      </c>
      <c r="F21" s="146">
        <f t="shared" si="0"/>
        <v>2.4610062072672538</v>
      </c>
      <c r="G21" s="127">
        <v>17.010000000000002</v>
      </c>
      <c r="H21" s="126">
        <f t="shared" si="20"/>
        <v>1.8627370178456244</v>
      </c>
      <c r="I21" s="230">
        <f>'[1]июль 20'!AI20</f>
        <v>0</v>
      </c>
      <c r="J21" s="247">
        <f>'[1]ноябрь 20'!AA20</f>
        <v>9.2349999999999994</v>
      </c>
      <c r="K21" s="464">
        <f>'[1]сентябрь 20'!AM20</f>
        <v>0</v>
      </c>
      <c r="L21" s="446">
        <f>'[1]ноябрь 20'!AE20</f>
        <v>55.651000000000003</v>
      </c>
      <c r="M21" s="469">
        <f t="shared" si="21"/>
        <v>0.59826918942162977</v>
      </c>
      <c r="N21" s="403">
        <f>'[1]ноябрь 20'!W20</f>
        <v>0</v>
      </c>
      <c r="O21" s="403">
        <f>'[1]ноябрь 20'!AU20</f>
        <v>5.3120000000000003</v>
      </c>
      <c r="P21" s="401">
        <f t="shared" si="1"/>
        <v>148.07900000000001</v>
      </c>
      <c r="Q21" s="122">
        <f>'[1]ноябрь 20'!S20</f>
        <v>148.07900000000001</v>
      </c>
      <c r="R21" s="123">
        <f t="shared" si="22"/>
        <v>3.1799999999999997</v>
      </c>
      <c r="S21" s="129"/>
      <c r="T21" s="125">
        <f t="shared" si="2"/>
        <v>143.37008779999999</v>
      </c>
      <c r="U21" s="147">
        <f t="shared" si="3"/>
        <v>1.5412823887336053</v>
      </c>
      <c r="V21" s="130">
        <v>93.02</v>
      </c>
      <c r="W21" s="130">
        <v>93.02</v>
      </c>
      <c r="X21" s="129">
        <v>0.63</v>
      </c>
      <c r="Y21" s="131">
        <v>551</v>
      </c>
      <c r="Z21" s="150">
        <v>1163</v>
      </c>
      <c r="AA21" s="168" t="s">
        <v>448</v>
      </c>
      <c r="AB21" s="149">
        <v>75.680000000000007</v>
      </c>
      <c r="AC21" s="150">
        <v>93</v>
      </c>
      <c r="AD21" s="151">
        <v>5</v>
      </c>
      <c r="AE21" s="149"/>
      <c r="AF21" s="134">
        <f t="shared" si="4"/>
        <v>0</v>
      </c>
      <c r="AG21" s="152"/>
      <c r="AH21" s="129">
        <v>66.75</v>
      </c>
      <c r="AI21" s="134">
        <f t="shared" si="5"/>
        <v>717.58761556654474</v>
      </c>
      <c r="AJ21" s="136">
        <v>15.43</v>
      </c>
      <c r="AK21" s="154"/>
      <c r="AL21" s="155">
        <v>6.24</v>
      </c>
      <c r="AM21" s="478">
        <f t="shared" si="31"/>
        <v>24.3</v>
      </c>
      <c r="AN21" s="126">
        <f t="shared" si="24"/>
        <v>0.2</v>
      </c>
      <c r="AO21" s="157" t="s">
        <v>331</v>
      </c>
      <c r="AP21" s="156">
        <v>6.63</v>
      </c>
      <c r="AQ21" s="156">
        <v>7.83</v>
      </c>
      <c r="AR21" s="149"/>
      <c r="AS21" s="149">
        <v>12.79</v>
      </c>
      <c r="AT21" s="149">
        <v>121.5</v>
      </c>
      <c r="AU21" s="149">
        <v>2.06</v>
      </c>
      <c r="AV21" s="149"/>
      <c r="AW21" s="149"/>
      <c r="AX21" s="158">
        <f t="shared" si="6"/>
        <v>0</v>
      </c>
      <c r="AY21" s="125">
        <f t="shared" si="7"/>
        <v>93.02000000000001</v>
      </c>
      <c r="AZ21" s="125">
        <f t="shared" si="25"/>
        <v>104.42123356588969</v>
      </c>
      <c r="BA21" s="159">
        <f t="shared" si="8"/>
        <v>6.6134207746478868</v>
      </c>
      <c r="BB21" s="160">
        <f t="shared" si="9"/>
        <v>3.7208000000000006</v>
      </c>
      <c r="BC21" s="161">
        <f t="shared" si="10"/>
        <v>0.78859693861307756</v>
      </c>
      <c r="BD21" s="160">
        <f t="shared" si="26"/>
        <v>10.334220774647887</v>
      </c>
      <c r="BE21" s="162">
        <v>0.88800000000000001</v>
      </c>
      <c r="BF21" s="25">
        <f t="shared" si="27"/>
        <v>1802.33</v>
      </c>
      <c r="BG21" s="25">
        <f t="shared" si="11"/>
        <v>125.66666666666667</v>
      </c>
      <c r="BH21" s="25">
        <f t="shared" si="28"/>
        <v>1885.0000000000005</v>
      </c>
      <c r="BI21" s="26">
        <f t="shared" si="12"/>
        <v>1</v>
      </c>
      <c r="BJ21" s="37">
        <f t="shared" si="29"/>
        <v>1885.0000000000005</v>
      </c>
      <c r="BK21" s="38">
        <v>176.82599999999999</v>
      </c>
      <c r="BL21" s="31"/>
      <c r="BM21" s="31"/>
      <c r="BN21" s="234">
        <v>51.066000000000003</v>
      </c>
      <c r="BO21" s="42"/>
      <c r="BP21" s="40"/>
      <c r="BQ21" s="411">
        <v>4.585</v>
      </c>
      <c r="BR21" s="33">
        <v>2.0099999999999998</v>
      </c>
      <c r="BS21" s="34"/>
      <c r="BT21" s="35"/>
      <c r="BU21" s="35"/>
      <c r="BV21" s="235"/>
      <c r="BW21" s="235"/>
      <c r="BX21" s="36"/>
      <c r="BY21" s="33">
        <v>37.57</v>
      </c>
      <c r="BZ21" s="34"/>
      <c r="CA21" s="35"/>
      <c r="CB21" s="405">
        <v>43.55</v>
      </c>
      <c r="CC21" s="404"/>
      <c r="CD21" s="235"/>
      <c r="CE21" s="413">
        <v>43.24</v>
      </c>
      <c r="CF21" s="30">
        <v>56.77</v>
      </c>
      <c r="CG21" s="30"/>
      <c r="CH21" s="31"/>
      <c r="CI21" s="32">
        <v>91.308999999999997</v>
      </c>
      <c r="CJ21" s="33">
        <v>3.18</v>
      </c>
      <c r="CK21" s="33"/>
      <c r="CL21" s="35"/>
      <c r="CM21" s="36">
        <v>3.18</v>
      </c>
      <c r="CN21" s="286"/>
      <c r="CO21" s="249">
        <f t="shared" si="13"/>
        <v>173.2717974</v>
      </c>
      <c r="CP21" s="12">
        <f t="shared" si="13"/>
        <v>0</v>
      </c>
      <c r="CQ21" s="12">
        <f t="shared" si="13"/>
        <v>0</v>
      </c>
      <c r="CR21" s="12">
        <f t="shared" si="13"/>
        <v>51.066000000000003</v>
      </c>
      <c r="CS21" s="11">
        <f t="shared" si="13"/>
        <v>0</v>
      </c>
      <c r="CT21" s="11">
        <f t="shared" si="13"/>
        <v>0</v>
      </c>
      <c r="CU21" s="272">
        <f t="shared" si="13"/>
        <v>4.585</v>
      </c>
      <c r="CV21" s="249">
        <f t="shared" si="14"/>
        <v>54.964714000000001</v>
      </c>
      <c r="CW21" s="12">
        <f t="shared" si="14"/>
        <v>0</v>
      </c>
      <c r="CX21" s="249">
        <f t="shared" si="14"/>
        <v>0</v>
      </c>
      <c r="CY21" s="272">
        <f t="shared" si="14"/>
        <v>88.405373799999992</v>
      </c>
      <c r="CZ21" s="13"/>
      <c r="DA21" s="240">
        <f>(D21+'[2]ноябрь 20'!D21)/(AY21+'[2]ноябрь 20'!BA21)</f>
        <v>2.0883610453604335</v>
      </c>
      <c r="DB21" s="241">
        <f>(T21+'[2]ноябрь 20'!T21)/(AY21+'[2]ноябрь 20'!BA21)</f>
        <v>1.2772410868903499</v>
      </c>
      <c r="DD21" s="292">
        <f t="shared" si="15"/>
        <v>9.2349999999999994</v>
      </c>
      <c r="DE21" s="291">
        <v>0.13</v>
      </c>
      <c r="DF21" s="291">
        <v>11.86</v>
      </c>
      <c r="DG21" s="145">
        <f t="shared" si="16"/>
        <v>9.2229945000000004</v>
      </c>
      <c r="DH21" s="293">
        <f t="shared" si="30"/>
        <v>1.4453582818446089</v>
      </c>
      <c r="DJ21" s="322"/>
      <c r="DK21" s="537"/>
    </row>
    <row r="22" spans="1:115" s="76" customFormat="1" ht="16.5" customHeight="1" thickBot="1">
      <c r="A22" s="144">
        <v>16</v>
      </c>
      <c r="B22" s="122">
        <f>'[1]ноябрь 20'!K21</f>
        <v>242.34700000000001</v>
      </c>
      <c r="C22" s="123">
        <f t="shared" si="17"/>
        <v>0.94959912852232542</v>
      </c>
      <c r="D22" s="145">
        <f t="shared" si="18"/>
        <v>240.04567500000002</v>
      </c>
      <c r="E22" s="125">
        <f t="shared" si="19"/>
        <v>38.977991640086316</v>
      </c>
      <c r="F22" s="146">
        <f t="shared" si="0"/>
        <v>2.1426910202624301</v>
      </c>
      <c r="G22" s="127"/>
      <c r="H22" s="126">
        <f t="shared" si="20"/>
        <v>1.6228213424975455</v>
      </c>
      <c r="I22" s="230">
        <f>'[1]июль 20'!AI21</f>
        <v>0</v>
      </c>
      <c r="J22" s="247">
        <f>'[1]ноябрь 20'!AA21</f>
        <v>9.734</v>
      </c>
      <c r="K22" s="464">
        <f>'[1]сентябрь 20'!AM21</f>
        <v>0</v>
      </c>
      <c r="L22" s="446">
        <f>'[1]ноябрь 20'!AE21</f>
        <v>58.241</v>
      </c>
      <c r="M22" s="468">
        <f t="shared" si="21"/>
        <v>0.51986967776488446</v>
      </c>
      <c r="N22" s="403">
        <f>'[1]ноябрь 20'!W21</f>
        <v>0</v>
      </c>
      <c r="O22" s="403">
        <f>'[1]ноябрь 20'!AU21</f>
        <v>5.883</v>
      </c>
      <c r="P22" s="401">
        <f t="shared" si="1"/>
        <v>154.595</v>
      </c>
      <c r="Q22" s="122">
        <f>'[1]ноябрь 20'!S21</f>
        <v>154.595</v>
      </c>
      <c r="R22" s="123">
        <f t="shared" si="22"/>
        <v>2.9400000000000004</v>
      </c>
      <c r="S22" s="129">
        <v>1.86</v>
      </c>
      <c r="T22" s="125">
        <f t="shared" si="2"/>
        <v>150.04990699999999</v>
      </c>
      <c r="U22" s="147">
        <f t="shared" si="3"/>
        <v>1.3393725519950015</v>
      </c>
      <c r="V22" s="130">
        <v>75.38</v>
      </c>
      <c r="W22" s="130">
        <v>65.58</v>
      </c>
      <c r="X22" s="129">
        <v>1.0900000000000001</v>
      </c>
      <c r="Y22" s="131">
        <v>590</v>
      </c>
      <c r="Z22" s="150">
        <v>1159</v>
      </c>
      <c r="AA22" s="148" t="s">
        <v>449</v>
      </c>
      <c r="AB22" s="149">
        <v>75.02</v>
      </c>
      <c r="AC22" s="150">
        <v>97</v>
      </c>
      <c r="AD22" s="151">
        <v>5</v>
      </c>
      <c r="AE22" s="149"/>
      <c r="AF22" s="134">
        <f t="shared" si="4"/>
        <v>0</v>
      </c>
      <c r="AG22" s="152"/>
      <c r="AH22" s="129">
        <v>71.55</v>
      </c>
      <c r="AI22" s="134">
        <f t="shared" si="5"/>
        <v>638.66821387128448</v>
      </c>
      <c r="AJ22" s="153">
        <v>15.76</v>
      </c>
      <c r="AK22" s="154"/>
      <c r="AL22" s="155">
        <v>7.75</v>
      </c>
      <c r="AM22" s="478">
        <f t="shared" si="31"/>
        <v>29.49</v>
      </c>
      <c r="AN22" s="126">
        <f t="shared" si="24"/>
        <v>0.2</v>
      </c>
      <c r="AO22" s="157" t="s">
        <v>370</v>
      </c>
      <c r="AP22" s="156">
        <v>7.47</v>
      </c>
      <c r="AQ22" s="156">
        <v>8.34</v>
      </c>
      <c r="AR22" s="151"/>
      <c r="AS22" s="149">
        <v>8.15</v>
      </c>
      <c r="AT22" s="149">
        <v>147.44999999999999</v>
      </c>
      <c r="AU22" s="149">
        <v>1.82</v>
      </c>
      <c r="AV22" s="149"/>
      <c r="AW22" s="149"/>
      <c r="AX22" s="158">
        <f t="shared" si="6"/>
        <v>0</v>
      </c>
      <c r="AY22" s="125">
        <f t="shared" si="7"/>
        <v>112.02999999999999</v>
      </c>
      <c r="AZ22" s="125">
        <f t="shared" si="25"/>
        <v>110.64558915953735</v>
      </c>
      <c r="BA22" s="159">
        <f t="shared" si="8"/>
        <v>4.5172235915492962</v>
      </c>
      <c r="BB22" s="160">
        <f t="shared" si="9"/>
        <v>4.4811999999999994</v>
      </c>
      <c r="BC22" s="161">
        <f t="shared" si="10"/>
        <v>0.89825170897251339</v>
      </c>
      <c r="BD22" s="160">
        <f t="shared" si="26"/>
        <v>8.9984235915492956</v>
      </c>
      <c r="BE22" s="162">
        <v>0.88800000000000001</v>
      </c>
      <c r="BF22" s="25">
        <f t="shared" si="27"/>
        <v>1914.36</v>
      </c>
      <c r="BG22" s="25">
        <f t="shared" si="11"/>
        <v>125.66666666666667</v>
      </c>
      <c r="BH22" s="25">
        <f t="shared" si="28"/>
        <v>2010.6666666666672</v>
      </c>
      <c r="BI22" s="26">
        <f t="shared" si="12"/>
        <v>1</v>
      </c>
      <c r="BJ22" s="37">
        <f t="shared" si="29"/>
        <v>2010.6666666666672</v>
      </c>
      <c r="BK22" s="38">
        <v>184.10599999999999</v>
      </c>
      <c r="BL22" s="31"/>
      <c r="BM22" s="31"/>
      <c r="BN22" s="234">
        <v>53.32</v>
      </c>
      <c r="BO22" s="42"/>
      <c r="BP22" s="40"/>
      <c r="BQ22" s="411">
        <v>4.9210000000000003</v>
      </c>
      <c r="BR22" s="33">
        <v>1.25</v>
      </c>
      <c r="BS22" s="34"/>
      <c r="BT22" s="35"/>
      <c r="BU22" s="35"/>
      <c r="BV22" s="235"/>
      <c r="BW22" s="235"/>
      <c r="BX22" s="36"/>
      <c r="BY22" s="33">
        <v>37.65</v>
      </c>
      <c r="BZ22" s="34"/>
      <c r="CA22" s="35"/>
      <c r="CB22" s="405">
        <v>43.17</v>
      </c>
      <c r="CC22" s="404"/>
      <c r="CD22" s="235"/>
      <c r="CE22" s="413">
        <v>43.24</v>
      </c>
      <c r="CF22" s="30">
        <v>59.209000000000003</v>
      </c>
      <c r="CG22" s="30"/>
      <c r="CH22" s="31"/>
      <c r="CI22" s="32">
        <v>95.385999999999996</v>
      </c>
      <c r="CJ22" s="33">
        <v>2.94</v>
      </c>
      <c r="CK22" s="33"/>
      <c r="CL22" s="35"/>
      <c r="CM22" s="36">
        <v>2.94</v>
      </c>
      <c r="CN22" s="286"/>
      <c r="CO22" s="249">
        <f t="shared" si="13"/>
        <v>181.804675</v>
      </c>
      <c r="CP22" s="12">
        <f t="shared" si="13"/>
        <v>0</v>
      </c>
      <c r="CQ22" s="12">
        <f t="shared" si="13"/>
        <v>0</v>
      </c>
      <c r="CR22" s="12">
        <f t="shared" si="13"/>
        <v>53.32</v>
      </c>
      <c r="CS22" s="11">
        <f t="shared" si="13"/>
        <v>0</v>
      </c>
      <c r="CT22" s="11">
        <f t="shared" si="13"/>
        <v>0</v>
      </c>
      <c r="CU22" s="272">
        <f t="shared" si="13"/>
        <v>4.9210000000000003</v>
      </c>
      <c r="CV22" s="249">
        <f t="shared" si="14"/>
        <v>57.468255400000004</v>
      </c>
      <c r="CW22" s="12">
        <f t="shared" si="14"/>
        <v>0</v>
      </c>
      <c r="CX22" s="249">
        <f t="shared" si="14"/>
        <v>0</v>
      </c>
      <c r="CY22" s="272">
        <f t="shared" si="14"/>
        <v>92.581651600000001</v>
      </c>
      <c r="CZ22" s="13"/>
      <c r="DA22" s="240">
        <f>(D22+'[2]ноябрь 20'!D22)/(AY22+'[2]ноябрь 20'!BA22)</f>
        <v>2.1941514512257219</v>
      </c>
      <c r="DB22" s="241">
        <f>(T22+'[2]ноябрь 20'!T22)/(AY22+'[2]ноябрь 20'!BA22)</f>
        <v>1.3344227888580322</v>
      </c>
      <c r="DD22" s="292">
        <f t="shared" si="15"/>
        <v>9.734</v>
      </c>
      <c r="DE22" s="291">
        <v>0.2</v>
      </c>
      <c r="DF22" s="291">
        <v>13.63</v>
      </c>
      <c r="DG22" s="145">
        <f t="shared" si="16"/>
        <v>9.7145320000000002</v>
      </c>
      <c r="DH22" s="293">
        <f t="shared" si="30"/>
        <v>1.7649836198347109</v>
      </c>
      <c r="DJ22" s="322"/>
      <c r="DK22" s="537"/>
    </row>
    <row r="23" spans="1:115" s="76" customFormat="1" ht="16.5" customHeight="1" thickBot="1">
      <c r="A23" s="144">
        <v>17</v>
      </c>
      <c r="B23" s="122">
        <f>'[1]ноябрь 20'!K22</f>
        <v>90.256</v>
      </c>
      <c r="C23" s="123">
        <f t="shared" si="17"/>
        <v>0.85795415263251185</v>
      </c>
      <c r="D23" s="145">
        <f t="shared" si="18"/>
        <v>89.481644900000006</v>
      </c>
      <c r="E23" s="125">
        <f t="shared" si="19"/>
        <v>39.192659767771673</v>
      </c>
      <c r="F23" s="146">
        <f t="shared" si="0"/>
        <v>2.7651929820766381</v>
      </c>
      <c r="G23" s="127"/>
      <c r="H23" s="126">
        <f t="shared" si="20"/>
        <v>2.0937158498145862</v>
      </c>
      <c r="I23" s="230">
        <f>'[1]июль 20'!AI22</f>
        <v>0</v>
      </c>
      <c r="J23" s="247">
        <f>'[1]ноябрь 20'!AA22</f>
        <v>3.4470000000000001</v>
      </c>
      <c r="K23" s="464">
        <f>'[1]сентябрь 20'!AM22</f>
        <v>0</v>
      </c>
      <c r="L23" s="446">
        <f>'[1]ноябрь 20'!AE22</f>
        <v>21.728999999999999</v>
      </c>
      <c r="M23" s="469">
        <f t="shared" si="21"/>
        <v>0.67147713226205186</v>
      </c>
      <c r="N23" s="403">
        <f>'[1]ноябрь 20'!W22</f>
        <v>0</v>
      </c>
      <c r="O23" s="403">
        <f>'[1]ноябрь 20'!AU22</f>
        <v>2.0409999999999999</v>
      </c>
      <c r="P23" s="401">
        <f t="shared" si="1"/>
        <v>64.081000000000003</v>
      </c>
      <c r="Q23" s="122">
        <f>'[1]ноябрь 20'!S22</f>
        <v>64.081000000000003</v>
      </c>
      <c r="R23" s="123">
        <f t="shared" si="22"/>
        <v>2.8399999999999994</v>
      </c>
      <c r="S23" s="129"/>
      <c r="T23" s="125">
        <f t="shared" si="2"/>
        <v>62.261099600000001</v>
      </c>
      <c r="U23" s="147">
        <f t="shared" si="3"/>
        <v>1.9240142027194067</v>
      </c>
      <c r="V23" s="130">
        <v>32.36</v>
      </c>
      <c r="W23" s="130">
        <v>15.23</v>
      </c>
      <c r="X23" s="129">
        <v>0.99</v>
      </c>
      <c r="Y23" s="131">
        <v>545</v>
      </c>
      <c r="Z23" s="150">
        <v>1076</v>
      </c>
      <c r="AA23" s="148" t="s">
        <v>450</v>
      </c>
      <c r="AB23" s="149">
        <v>75.709999999999994</v>
      </c>
      <c r="AC23" s="150">
        <v>38</v>
      </c>
      <c r="AD23" s="151">
        <v>2</v>
      </c>
      <c r="AE23" s="149">
        <v>4.1500000000000004</v>
      </c>
      <c r="AF23" s="134">
        <f t="shared" si="4"/>
        <v>128.24474660074168</v>
      </c>
      <c r="AG23" s="152"/>
      <c r="AH23" s="129">
        <v>23.05</v>
      </c>
      <c r="AI23" s="134">
        <f t="shared" si="5"/>
        <v>712.29913473423994</v>
      </c>
      <c r="AJ23" s="136">
        <v>7.14</v>
      </c>
      <c r="AK23" s="154"/>
      <c r="AL23" s="155">
        <v>2.77</v>
      </c>
      <c r="AM23" s="478">
        <f t="shared" si="31"/>
        <v>8.5400000000000009</v>
      </c>
      <c r="AN23" s="126">
        <f t="shared" si="24"/>
        <v>0.2</v>
      </c>
      <c r="AO23" s="157" t="s">
        <v>331</v>
      </c>
      <c r="AP23" s="156">
        <v>6.29</v>
      </c>
      <c r="AQ23" s="156">
        <v>8.3699999999999992</v>
      </c>
      <c r="AR23" s="151"/>
      <c r="AS23" s="149">
        <v>11.12</v>
      </c>
      <c r="AT23" s="149">
        <v>42.7</v>
      </c>
      <c r="AU23" s="149">
        <v>0.97</v>
      </c>
      <c r="AV23" s="149"/>
      <c r="AW23" s="149"/>
      <c r="AX23" s="158">
        <f t="shared" si="6"/>
        <v>0</v>
      </c>
      <c r="AY23" s="125">
        <f t="shared" si="7"/>
        <v>32.36</v>
      </c>
      <c r="AZ23" s="125">
        <f t="shared" si="25"/>
        <v>41.123434534419843</v>
      </c>
      <c r="BA23" s="159">
        <f t="shared" si="8"/>
        <v>1.9855464788732393</v>
      </c>
      <c r="BB23" s="160">
        <f t="shared" si="9"/>
        <v>1.2944</v>
      </c>
      <c r="BC23" s="161">
        <f t="shared" si="10"/>
        <v>0.69859112304571369</v>
      </c>
      <c r="BD23" s="160">
        <f t="shared" si="26"/>
        <v>3.2799464788732395</v>
      </c>
      <c r="BE23" s="162">
        <v>0.88400000000000001</v>
      </c>
      <c r="BF23" s="25">
        <f t="shared" si="27"/>
        <v>1946.7199999999998</v>
      </c>
      <c r="BG23" s="25">
        <f t="shared" si="11"/>
        <v>125.66666666666667</v>
      </c>
      <c r="BH23" s="25">
        <f t="shared" si="28"/>
        <v>2136.3333333333339</v>
      </c>
      <c r="BI23" s="26">
        <f t="shared" si="12"/>
        <v>1</v>
      </c>
      <c r="BJ23" s="37">
        <f t="shared" si="29"/>
        <v>2136.3333333333339</v>
      </c>
      <c r="BK23" s="38">
        <v>68.527000000000001</v>
      </c>
      <c r="BL23" s="31"/>
      <c r="BM23" s="31"/>
      <c r="BN23" s="234">
        <v>19.841999999999999</v>
      </c>
      <c r="BO23" s="42"/>
      <c r="BP23" s="40"/>
      <c r="BQ23" s="411">
        <v>1.887</v>
      </c>
      <c r="BR23" s="33">
        <v>1.1299999999999999</v>
      </c>
      <c r="BS23" s="34"/>
      <c r="BT23" s="35"/>
      <c r="BU23" s="35"/>
      <c r="BV23" s="235"/>
      <c r="BW23" s="235"/>
      <c r="BX23" s="36"/>
      <c r="BY23" s="33">
        <v>37.869999999999997</v>
      </c>
      <c r="BZ23" s="34"/>
      <c r="CA23" s="35"/>
      <c r="CB23" s="405">
        <v>43.39</v>
      </c>
      <c r="CC23" s="404"/>
      <c r="CD23" s="235"/>
      <c r="CE23" s="413">
        <v>43.09</v>
      </c>
      <c r="CF23" s="30">
        <v>28.096</v>
      </c>
      <c r="CG23" s="30"/>
      <c r="CH23" s="31"/>
      <c r="CI23" s="32">
        <v>35.984999999999999</v>
      </c>
      <c r="CJ23" s="33">
        <v>2.84</v>
      </c>
      <c r="CK23" s="33"/>
      <c r="CL23" s="35"/>
      <c r="CM23" s="36">
        <v>2.84</v>
      </c>
      <c r="CN23" s="286"/>
      <c r="CO23" s="249">
        <f t="shared" ref="CO23:CU37" si="32">BK23*((100-BR23)/100)</f>
        <v>67.752644900000007</v>
      </c>
      <c r="CP23" s="12">
        <f t="shared" si="32"/>
        <v>0</v>
      </c>
      <c r="CQ23" s="12">
        <f t="shared" si="32"/>
        <v>0</v>
      </c>
      <c r="CR23" s="12">
        <f t="shared" si="32"/>
        <v>19.841999999999999</v>
      </c>
      <c r="CS23" s="11">
        <f t="shared" si="32"/>
        <v>0</v>
      </c>
      <c r="CT23" s="11">
        <f t="shared" si="32"/>
        <v>0</v>
      </c>
      <c r="CU23" s="272">
        <f t="shared" si="32"/>
        <v>1.887</v>
      </c>
      <c r="CV23" s="249">
        <f t="shared" si="14"/>
        <v>27.298073600000002</v>
      </c>
      <c r="CW23" s="11">
        <f t="shared" si="14"/>
        <v>0</v>
      </c>
      <c r="CX23" s="249">
        <f t="shared" si="14"/>
        <v>0</v>
      </c>
      <c r="CY23" s="272">
        <f t="shared" si="14"/>
        <v>34.963025999999999</v>
      </c>
      <c r="CZ23" s="13"/>
      <c r="DA23" s="240">
        <f>(D23+'[2]ноябрь 20'!D23)/(AY23+'[2]ноябрь 20'!BA23)</f>
        <v>2.2282680313627914</v>
      </c>
      <c r="DB23" s="241">
        <f>(T23+'[2]ноябрь 20'!T23)/(AY23+'[2]ноябрь 20'!BA23)</f>
        <v>1.3569266632477768</v>
      </c>
      <c r="DD23" s="292">
        <f t="shared" si="15"/>
        <v>3.4470000000000001</v>
      </c>
      <c r="DE23" s="291">
        <v>0.17</v>
      </c>
      <c r="DF23" s="291">
        <v>15.06</v>
      </c>
      <c r="DG23" s="145">
        <f t="shared" si="16"/>
        <v>3.4411401000000001</v>
      </c>
      <c r="DH23" s="293">
        <f t="shared" si="30"/>
        <v>0.68450098938053128</v>
      </c>
      <c r="DJ23" s="322"/>
      <c r="DK23" s="537"/>
    </row>
    <row r="24" spans="1:115" s="76" customFormat="1" ht="16.5" customHeight="1" thickBot="1">
      <c r="A24" s="144">
        <v>18</v>
      </c>
      <c r="B24" s="122">
        <f>'[1]ноябрь 20'!K23</f>
        <v>265.108</v>
      </c>
      <c r="C24" s="123">
        <f t="shared" si="17"/>
        <v>1.2846827707952986</v>
      </c>
      <c r="D24" s="145">
        <f t="shared" si="18"/>
        <v>261.70220319999999</v>
      </c>
      <c r="E24" s="125">
        <f t="shared" si="19"/>
        <v>38.772339801137647</v>
      </c>
      <c r="F24" s="146">
        <f t="shared" si="0"/>
        <v>1.9650263042498872</v>
      </c>
      <c r="G24" s="127">
        <v>22.14</v>
      </c>
      <c r="H24" s="126">
        <f t="shared" si="20"/>
        <v>1.4966226400360412</v>
      </c>
      <c r="I24" s="230">
        <f>'[1]июль 20'!AI23</f>
        <v>0</v>
      </c>
      <c r="J24" s="247">
        <f>'[1]ноябрь 20'!AA23</f>
        <v>10.557</v>
      </c>
      <c r="K24" s="464">
        <f>'[1]сентябрь 20'!AM23</f>
        <v>0</v>
      </c>
      <c r="L24" s="446">
        <f>'[1]ноябрь 20'!AE23</f>
        <v>62.381999999999998</v>
      </c>
      <c r="M24" s="468">
        <f t="shared" si="21"/>
        <v>0.46840366421384588</v>
      </c>
      <c r="N24" s="403">
        <f>'[1]ноябрь 20'!W23</f>
        <v>0</v>
      </c>
      <c r="O24" s="403">
        <f>'[1]ноябрь 20'!AU23</f>
        <v>6.6749999999999998</v>
      </c>
      <c r="P24" s="401">
        <f t="shared" si="1"/>
        <v>170.87700000000001</v>
      </c>
      <c r="Q24" s="122">
        <f>'[1]ноябрь 20'!S23</f>
        <v>170.87700000000001</v>
      </c>
      <c r="R24" s="123">
        <f t="shared" si="22"/>
        <v>2.68</v>
      </c>
      <c r="S24" s="129">
        <v>45.34</v>
      </c>
      <c r="T24" s="125">
        <f>Q24*((100-R24)/100)</f>
        <v>166.2974964</v>
      </c>
      <c r="U24" s="147">
        <f t="shared" si="3"/>
        <v>1.2486671902688091</v>
      </c>
      <c r="V24" s="130">
        <v>133.18</v>
      </c>
      <c r="W24" s="130">
        <v>133.18</v>
      </c>
      <c r="X24" s="129">
        <v>0.65</v>
      </c>
      <c r="Y24" s="150">
        <v>567</v>
      </c>
      <c r="Z24" s="150">
        <v>1140</v>
      </c>
      <c r="AA24" s="148" t="s">
        <v>174</v>
      </c>
      <c r="AB24" s="149">
        <v>75.62</v>
      </c>
      <c r="AC24" s="150">
        <v>106</v>
      </c>
      <c r="AD24" s="151">
        <v>5</v>
      </c>
      <c r="AE24" s="149">
        <v>18</v>
      </c>
      <c r="AF24" s="134">
        <f t="shared" si="4"/>
        <v>135.1554287430545</v>
      </c>
      <c r="AG24" s="152"/>
      <c r="AH24" s="129">
        <v>91.3</v>
      </c>
      <c r="AI24" s="134">
        <f t="shared" si="5"/>
        <v>685.5383691244931</v>
      </c>
      <c r="AJ24" s="153">
        <v>17.989999999999998</v>
      </c>
      <c r="AK24" s="154"/>
      <c r="AL24" s="155">
        <v>7.03</v>
      </c>
      <c r="AM24" s="478">
        <f t="shared" si="31"/>
        <v>34.6</v>
      </c>
      <c r="AN24" s="126">
        <f t="shared" si="24"/>
        <v>0.2</v>
      </c>
      <c r="AO24" s="157" t="s">
        <v>356</v>
      </c>
      <c r="AP24" s="156">
        <v>7.53</v>
      </c>
      <c r="AQ24" s="156">
        <v>8.24</v>
      </c>
      <c r="AR24" s="151"/>
      <c r="AS24" s="149">
        <v>8.91</v>
      </c>
      <c r="AT24" s="149">
        <v>173</v>
      </c>
      <c r="AU24" s="149">
        <v>1.81</v>
      </c>
      <c r="AV24" s="164"/>
      <c r="AW24" s="149"/>
      <c r="AX24" s="158">
        <f t="shared" si="6"/>
        <v>0</v>
      </c>
      <c r="AY24" s="125">
        <f t="shared" si="7"/>
        <v>133.18</v>
      </c>
      <c r="AZ24" s="125">
        <f t="shared" si="25"/>
        <v>119.23182207601586</v>
      </c>
      <c r="BA24" s="159">
        <f t="shared" si="8"/>
        <v>6.3016288732394354</v>
      </c>
      <c r="BB24" s="160">
        <f t="shared" si="9"/>
        <v>5.3272000000000004</v>
      </c>
      <c r="BC24" s="161">
        <f t="shared" si="10"/>
        <v>0.99253606074808554</v>
      </c>
      <c r="BD24" s="160">
        <f t="shared" si="26"/>
        <v>11.628828873239435</v>
      </c>
      <c r="BE24" s="162">
        <v>0.89</v>
      </c>
      <c r="BF24" s="25">
        <f t="shared" si="27"/>
        <v>2079.8999999999996</v>
      </c>
      <c r="BG24" s="25">
        <f t="shared" si="11"/>
        <v>125.66666666666667</v>
      </c>
      <c r="BH24" s="25">
        <f t="shared" si="28"/>
        <v>2262.0000000000005</v>
      </c>
      <c r="BI24" s="26">
        <f t="shared" si="12"/>
        <v>1</v>
      </c>
      <c r="BJ24" s="37">
        <f t="shared" si="29"/>
        <v>2262.0000000000005</v>
      </c>
      <c r="BK24" s="38">
        <v>202.726</v>
      </c>
      <c r="BL24" s="31"/>
      <c r="BM24" s="31"/>
      <c r="BN24" s="234">
        <v>57.003999999999998</v>
      </c>
      <c r="BO24" s="42"/>
      <c r="BP24" s="40"/>
      <c r="BQ24" s="411">
        <v>5.3780000000000001</v>
      </c>
      <c r="BR24" s="33">
        <v>1.68</v>
      </c>
      <c r="BS24" s="34"/>
      <c r="BT24" s="35"/>
      <c r="BU24" s="35"/>
      <c r="BV24" s="235"/>
      <c r="BW24" s="235"/>
      <c r="BX24" s="36"/>
      <c r="BY24" s="33">
        <v>37.26</v>
      </c>
      <c r="BZ24" s="34"/>
      <c r="CA24" s="35"/>
      <c r="CB24" s="405">
        <v>43.7</v>
      </c>
      <c r="CC24" s="404"/>
      <c r="CD24" s="235"/>
      <c r="CE24" s="413">
        <v>43.55</v>
      </c>
      <c r="CF24" s="30">
        <v>64.703999999999994</v>
      </c>
      <c r="CG24" s="30"/>
      <c r="CH24" s="31"/>
      <c r="CI24" s="32">
        <v>106.173</v>
      </c>
      <c r="CJ24" s="33">
        <v>2.68</v>
      </c>
      <c r="CK24" s="33"/>
      <c r="CL24" s="35"/>
      <c r="CM24" s="36">
        <v>2.68</v>
      </c>
      <c r="CN24" s="286"/>
      <c r="CO24" s="249">
        <f t="shared" si="32"/>
        <v>199.32020319999998</v>
      </c>
      <c r="CP24" s="12">
        <f t="shared" si="32"/>
        <v>0</v>
      </c>
      <c r="CQ24" s="12">
        <f t="shared" si="32"/>
        <v>0</v>
      </c>
      <c r="CR24" s="12">
        <f t="shared" si="32"/>
        <v>57.003999999999998</v>
      </c>
      <c r="CS24" s="11">
        <f t="shared" si="32"/>
        <v>0</v>
      </c>
      <c r="CT24" s="11">
        <f t="shared" si="32"/>
        <v>0</v>
      </c>
      <c r="CU24" s="272">
        <f t="shared" si="32"/>
        <v>5.3780000000000001</v>
      </c>
      <c r="CV24" s="249">
        <f t="shared" si="14"/>
        <v>62.969932799999988</v>
      </c>
      <c r="CW24" s="12">
        <f t="shared" si="14"/>
        <v>0</v>
      </c>
      <c r="CX24" s="249">
        <f t="shared" si="14"/>
        <v>0</v>
      </c>
      <c r="CY24" s="272">
        <f t="shared" si="14"/>
        <v>103.32756359999999</v>
      </c>
      <c r="CZ24" s="13"/>
      <c r="DA24" s="240">
        <f>(D24+'[2]ноябрь 20'!D24)/(AY24+'[2]ноябрь 20'!BA24)</f>
        <v>1.979057709765343</v>
      </c>
      <c r="DB24" s="241">
        <f>(T24+'[2]ноябрь 20'!T24)/(AY24+'[2]ноябрь 20'!BA24)</f>
        <v>1.2088019013586138</v>
      </c>
      <c r="DD24" s="292">
        <f t="shared" si="15"/>
        <v>10.557</v>
      </c>
      <c r="DE24" s="291">
        <v>0.33</v>
      </c>
      <c r="DF24" s="291">
        <v>15.03</v>
      </c>
      <c r="DG24" s="145">
        <f t="shared" si="16"/>
        <v>10.5221619</v>
      </c>
      <c r="DH24" s="293">
        <f t="shared" si="30"/>
        <v>2.0913527288680238</v>
      </c>
      <c r="DJ24" s="322"/>
    </row>
    <row r="25" spans="1:115" s="76" customFormat="1" ht="16.5" customHeight="1" thickBot="1">
      <c r="A25" s="144">
        <v>19</v>
      </c>
      <c r="B25" s="122">
        <f>'[1]ноябрь 20'!K24</f>
        <v>292.67200000000003</v>
      </c>
      <c r="C25" s="123">
        <f t="shared" si="17"/>
        <v>1.560033074568117</v>
      </c>
      <c r="D25" s="145">
        <f t="shared" si="18"/>
        <v>288.10622000000006</v>
      </c>
      <c r="E25" s="125">
        <f t="shared" si="19"/>
        <v>38.583390211567888</v>
      </c>
      <c r="F25" s="146">
        <f t="shared" si="0"/>
        <v>2.1522950844165551</v>
      </c>
      <c r="G25" s="127">
        <v>12.96</v>
      </c>
      <c r="H25" s="126">
        <f t="shared" si="20"/>
        <v>1.6713224264156581</v>
      </c>
      <c r="I25" s="230">
        <f>'[1]июль 20'!AI24</f>
        <v>0</v>
      </c>
      <c r="J25" s="247">
        <f>'[1]ноябрь 20'!AA24</f>
        <v>11.75</v>
      </c>
      <c r="K25" s="465">
        <f>'[1]сентябрь 20'!AM24</f>
        <v>0</v>
      </c>
      <c r="L25" s="446">
        <f>'[1]ноябрь 20'!AE24</f>
        <v>64.382999999999996</v>
      </c>
      <c r="M25" s="469">
        <f t="shared" si="21"/>
        <v>0.4809726580008965</v>
      </c>
      <c r="N25" s="403">
        <f>'[1]ноябрь 20'!W24</f>
        <v>0</v>
      </c>
      <c r="O25" s="403">
        <f>'[1]ноябрь 20'!AU24</f>
        <v>8.4260000000000002</v>
      </c>
      <c r="P25" s="401">
        <f t="shared" si="1"/>
        <v>188.83100000000002</v>
      </c>
      <c r="Q25" s="122">
        <f>'[1]ноябрь 20'!S24</f>
        <v>188.83099999999999</v>
      </c>
      <c r="R25" s="123">
        <f>IF(Q25=0,0,(CI25*CM25+CG25*CK25+CH25*CL25+CF25*CJ25)/Q25)</f>
        <v>2.54</v>
      </c>
      <c r="S25" s="129">
        <v>25.24</v>
      </c>
      <c r="T25" s="125">
        <f t="shared" si="2"/>
        <v>184.03469259999997</v>
      </c>
      <c r="U25" s="147">
        <f t="shared" si="3"/>
        <v>1.3748296175108321</v>
      </c>
      <c r="V25" s="130">
        <v>133.86000000000001</v>
      </c>
      <c r="W25" s="130">
        <v>80.430000000000007</v>
      </c>
      <c r="X25" s="129">
        <v>0.77</v>
      </c>
      <c r="Y25" s="150">
        <v>577</v>
      </c>
      <c r="Z25" s="150">
        <v>1166</v>
      </c>
      <c r="AA25" s="148" t="s">
        <v>451</v>
      </c>
      <c r="AB25" s="149">
        <v>76.02</v>
      </c>
      <c r="AC25" s="150">
        <v>117</v>
      </c>
      <c r="AD25" s="151">
        <v>5</v>
      </c>
      <c r="AE25" s="149">
        <v>8</v>
      </c>
      <c r="AF25" s="134">
        <f t="shared" si="4"/>
        <v>59.763932466756323</v>
      </c>
      <c r="AG25" s="152"/>
      <c r="AH25" s="129">
        <v>89.85</v>
      </c>
      <c r="AI25" s="134">
        <f t="shared" si="5"/>
        <v>671.22366651725679</v>
      </c>
      <c r="AJ25" s="136">
        <v>16.54</v>
      </c>
      <c r="AK25" s="154"/>
      <c r="AL25" s="155">
        <v>8.31</v>
      </c>
      <c r="AM25" s="478">
        <f t="shared" si="31"/>
        <v>35.020000000000003</v>
      </c>
      <c r="AN25" s="126">
        <f t="shared" si="24"/>
        <v>0.2</v>
      </c>
      <c r="AO25" s="157" t="s">
        <v>349</v>
      </c>
      <c r="AP25" s="156">
        <v>7.42</v>
      </c>
      <c r="AQ25" s="156">
        <v>8.5299999999999994</v>
      </c>
      <c r="AR25" s="152"/>
      <c r="AS25" s="149">
        <v>8.31</v>
      </c>
      <c r="AT25" s="149">
        <v>175.1</v>
      </c>
      <c r="AU25" s="149">
        <v>2.09</v>
      </c>
      <c r="AV25" s="164"/>
      <c r="AW25" s="149"/>
      <c r="AX25" s="158">
        <f t="shared" si="6"/>
        <v>0</v>
      </c>
      <c r="AY25" s="125">
        <f t="shared" si="7"/>
        <v>133.85999999999999</v>
      </c>
      <c r="AZ25" s="125">
        <f t="shared" si="25"/>
        <v>130.55595400411167</v>
      </c>
      <c r="BA25" s="159">
        <f t="shared" si="8"/>
        <v>5.7839355633802816</v>
      </c>
      <c r="BB25" s="160">
        <f t="shared" si="9"/>
        <v>5.3543999999999992</v>
      </c>
      <c r="BC25" s="161">
        <f t="shared" si="10"/>
        <v>0.91543110760550472</v>
      </c>
      <c r="BD25" s="160">
        <f t="shared" si="26"/>
        <v>11.138335563380281</v>
      </c>
      <c r="BE25" s="162">
        <v>0.89200000000000002</v>
      </c>
      <c r="BF25" s="25">
        <f t="shared" si="27"/>
        <v>2213.7599999999998</v>
      </c>
      <c r="BG25" s="25">
        <f t="shared" si="11"/>
        <v>125.66666666666667</v>
      </c>
      <c r="BH25" s="25">
        <f t="shared" si="28"/>
        <v>2387.666666666667</v>
      </c>
      <c r="BI25" s="26">
        <f t="shared" si="12"/>
        <v>1</v>
      </c>
      <c r="BJ25" s="37">
        <f t="shared" si="29"/>
        <v>2387.666666666667</v>
      </c>
      <c r="BK25" s="38">
        <v>228.28899999999999</v>
      </c>
      <c r="BL25" s="31"/>
      <c r="BM25" s="31"/>
      <c r="BN25" s="234">
        <v>58.466999999999999</v>
      </c>
      <c r="BO25" s="42"/>
      <c r="BP25" s="40"/>
      <c r="BQ25" s="411">
        <v>5.9160000000000004</v>
      </c>
      <c r="BR25" s="33">
        <v>2</v>
      </c>
      <c r="BS25" s="34"/>
      <c r="BT25" s="35"/>
      <c r="BU25" s="35"/>
      <c r="BV25" s="235"/>
      <c r="BW25" s="235"/>
      <c r="BX25" s="36"/>
      <c r="BY25" s="33">
        <v>37.11</v>
      </c>
      <c r="BZ25" s="34"/>
      <c r="CA25" s="35"/>
      <c r="CB25" s="405">
        <v>43.85</v>
      </c>
      <c r="CC25" s="404"/>
      <c r="CD25" s="235"/>
      <c r="CE25" s="413">
        <v>43.39</v>
      </c>
      <c r="CF25" s="30">
        <v>71.417000000000002</v>
      </c>
      <c r="CG25" s="30"/>
      <c r="CH25" s="31"/>
      <c r="CI25" s="32">
        <v>117.414</v>
      </c>
      <c r="CJ25" s="33">
        <v>2.54</v>
      </c>
      <c r="CK25" s="33"/>
      <c r="CL25" s="35"/>
      <c r="CM25" s="36">
        <v>2.54</v>
      </c>
      <c r="CN25" s="286"/>
      <c r="CO25" s="249">
        <f t="shared" si="32"/>
        <v>223.72321999999997</v>
      </c>
      <c r="CP25" s="12">
        <f t="shared" si="32"/>
        <v>0</v>
      </c>
      <c r="CQ25" s="12">
        <f t="shared" si="32"/>
        <v>0</v>
      </c>
      <c r="CR25" s="12">
        <f t="shared" si="32"/>
        <v>58.466999999999999</v>
      </c>
      <c r="CS25" s="11">
        <f t="shared" si="32"/>
        <v>0</v>
      </c>
      <c r="CT25" s="11">
        <f t="shared" si="32"/>
        <v>0</v>
      </c>
      <c r="CU25" s="272">
        <f t="shared" si="32"/>
        <v>5.9160000000000004</v>
      </c>
      <c r="CV25" s="249">
        <f t="shared" si="14"/>
        <v>69.603008199999991</v>
      </c>
      <c r="CW25" s="251">
        <f t="shared" si="14"/>
        <v>0</v>
      </c>
      <c r="CX25" s="249">
        <f t="shared" si="14"/>
        <v>0</v>
      </c>
      <c r="CY25" s="272">
        <f t="shared" si="14"/>
        <v>114.43168439999999</v>
      </c>
      <c r="CZ25" s="13"/>
      <c r="DA25" s="240">
        <f>(D25+'[2]ноябрь 20'!D25)/(AY25+'[2]ноябрь 20'!BA25)</f>
        <v>2.1822699993184855</v>
      </c>
      <c r="DB25" s="241">
        <f>(T25+'[2]ноябрь 20'!T25)/(AY25+'[2]ноябрь 20'!BA25)</f>
        <v>1.3344182651424852</v>
      </c>
      <c r="DD25" s="292">
        <f t="shared" si="15"/>
        <v>11.75</v>
      </c>
      <c r="DE25" s="291">
        <v>0.13</v>
      </c>
      <c r="DF25" s="291">
        <v>18.79</v>
      </c>
      <c r="DG25" s="145">
        <f t="shared" si="16"/>
        <v>11.734725000000001</v>
      </c>
      <c r="DH25" s="293">
        <f t="shared" si="30"/>
        <v>2.9004930643251776</v>
      </c>
      <c r="DJ25" s="322"/>
    </row>
    <row r="26" spans="1:115" s="76" customFormat="1" ht="16.5" customHeight="1" thickBot="1">
      <c r="A26" s="144">
        <v>20</v>
      </c>
      <c r="B26" s="122">
        <f>'[1]ноябрь 20'!K25</f>
        <v>290.15300000000002</v>
      </c>
      <c r="C26" s="123">
        <f t="shared" si="17"/>
        <v>0.80323549989143661</v>
      </c>
      <c r="D26" s="145">
        <f t="shared" si="18"/>
        <v>287.82238810000001</v>
      </c>
      <c r="E26" s="125">
        <f t="shared" si="19"/>
        <v>39.744280121177447</v>
      </c>
      <c r="F26" s="146">
        <f t="shared" si="0"/>
        <v>2.5146111139262626</v>
      </c>
      <c r="G26" s="127">
        <v>18.23</v>
      </c>
      <c r="H26" s="126">
        <f t="shared" si="20"/>
        <v>1.9565122147475098</v>
      </c>
      <c r="I26" s="230">
        <f>'[1]июль 20'!AI25</f>
        <v>0</v>
      </c>
      <c r="J26" s="247">
        <f>'[1]ноябрь 20'!AA25</f>
        <v>11.617000000000001</v>
      </c>
      <c r="K26" s="464">
        <f>'[1]сентябрь 20'!AM25</f>
        <v>0</v>
      </c>
      <c r="L26" s="446">
        <f>'[1]ноябрь 20'!AE25</f>
        <v>63.88</v>
      </c>
      <c r="M26" s="468">
        <f t="shared" si="21"/>
        <v>0.55809889917875244</v>
      </c>
      <c r="N26" s="403">
        <f>'[1]ноябрь 20'!W25</f>
        <v>0</v>
      </c>
      <c r="O26" s="403">
        <f>'[1]ноябрь 20'!AU25</f>
        <v>8.2449999999999992</v>
      </c>
      <c r="P26" s="401">
        <f t="shared" si="1"/>
        <v>185.65699999999998</v>
      </c>
      <c r="Q26" s="122">
        <f>'[1]ноябрь 20'!S25</f>
        <v>185.65700000000001</v>
      </c>
      <c r="R26" s="123">
        <f t="shared" si="22"/>
        <v>2.12</v>
      </c>
      <c r="S26" s="129">
        <v>2.62</v>
      </c>
      <c r="T26" s="125">
        <f t="shared" si="2"/>
        <v>181.72107160000002</v>
      </c>
      <c r="U26" s="147">
        <f t="shared" si="3"/>
        <v>1.5876382282019921</v>
      </c>
      <c r="V26" s="169">
        <v>114.46</v>
      </c>
      <c r="W26" s="169">
        <v>114.46</v>
      </c>
      <c r="X26" s="170">
        <v>0.66</v>
      </c>
      <c r="Y26" s="166">
        <v>529</v>
      </c>
      <c r="Z26" s="166">
        <v>1159</v>
      </c>
      <c r="AA26" s="148" t="s">
        <v>150</v>
      </c>
      <c r="AB26" s="164">
        <v>75.77</v>
      </c>
      <c r="AC26" s="166">
        <v>116</v>
      </c>
      <c r="AD26" s="171">
        <v>5</v>
      </c>
      <c r="AE26" s="164"/>
      <c r="AF26" s="172">
        <f t="shared" si="4"/>
        <v>0</v>
      </c>
      <c r="AG26" s="173"/>
      <c r="AH26" s="170">
        <v>79.2</v>
      </c>
      <c r="AI26" s="134">
        <f t="shared" si="5"/>
        <v>691.94478420408882</v>
      </c>
      <c r="AJ26" s="174">
        <v>19.850000000000001</v>
      </c>
      <c r="AK26" s="175"/>
      <c r="AL26" s="176">
        <v>7.92</v>
      </c>
      <c r="AM26" s="478">
        <v>47.93</v>
      </c>
      <c r="AN26" s="126">
        <f t="shared" si="24"/>
        <v>0.28402962962962963</v>
      </c>
      <c r="AO26" s="178" t="s">
        <v>356</v>
      </c>
      <c r="AP26" s="177">
        <v>7.36</v>
      </c>
      <c r="AQ26" s="177">
        <v>8.5399999999999991</v>
      </c>
      <c r="AR26" s="171"/>
      <c r="AS26" s="164">
        <v>8.36</v>
      </c>
      <c r="AT26" s="149">
        <v>168.75</v>
      </c>
      <c r="AU26" s="164">
        <v>1.56</v>
      </c>
      <c r="AV26" s="164"/>
      <c r="AW26" s="164"/>
      <c r="AX26" s="179">
        <f t="shared" si="6"/>
        <v>0</v>
      </c>
      <c r="AY26" s="125">
        <f t="shared" si="7"/>
        <v>114.46000000000001</v>
      </c>
      <c r="AZ26" s="125">
        <f t="shared" si="25"/>
        <v>134.38640103554158</v>
      </c>
      <c r="BA26" s="159">
        <f t="shared" si="8"/>
        <v>5.1290366197183088</v>
      </c>
      <c r="BB26" s="159">
        <f t="shared" si="9"/>
        <v>4.5784000000000002</v>
      </c>
      <c r="BC26" s="180">
        <f t="shared" si="10"/>
        <v>0.75814420800516957</v>
      </c>
      <c r="BD26" s="159">
        <f t="shared" si="26"/>
        <v>9.7074366197183082</v>
      </c>
      <c r="BE26" s="167">
        <v>0.88400000000000001</v>
      </c>
      <c r="BF26" s="25">
        <f t="shared" si="27"/>
        <v>2328.2199999999998</v>
      </c>
      <c r="BG26" s="25">
        <f t="shared" si="11"/>
        <v>125.66666666666667</v>
      </c>
      <c r="BH26" s="25">
        <f t="shared" si="28"/>
        <v>2513.3333333333335</v>
      </c>
      <c r="BI26" s="26">
        <f t="shared" si="12"/>
        <v>1</v>
      </c>
      <c r="BJ26" s="37">
        <f t="shared" si="29"/>
        <v>2513.3333333333335</v>
      </c>
      <c r="BK26" s="38">
        <v>226.273</v>
      </c>
      <c r="BL26" s="43"/>
      <c r="BM26" s="31"/>
      <c r="BN26" s="406">
        <v>58.082000000000001</v>
      </c>
      <c r="BO26" s="42"/>
      <c r="BP26" s="40"/>
      <c r="BQ26" s="412">
        <v>5.798</v>
      </c>
      <c r="BR26" s="33">
        <v>1.03</v>
      </c>
      <c r="BS26" s="34"/>
      <c r="BT26" s="35"/>
      <c r="BU26" s="35"/>
      <c r="BV26" s="235"/>
      <c r="BW26" s="235"/>
      <c r="BX26" s="36"/>
      <c r="BY26" s="33">
        <v>38.79</v>
      </c>
      <c r="BZ26" s="34"/>
      <c r="CA26" s="35"/>
      <c r="CB26" s="405">
        <v>43.09</v>
      </c>
      <c r="CC26" s="404"/>
      <c r="CD26" s="235"/>
      <c r="CE26" s="413">
        <v>43.47</v>
      </c>
      <c r="CF26" s="30">
        <v>70.805999999999997</v>
      </c>
      <c r="CG26" s="30"/>
      <c r="CH26" s="43"/>
      <c r="CI26" s="32">
        <v>114.851</v>
      </c>
      <c r="CJ26" s="33">
        <v>2.12</v>
      </c>
      <c r="CK26" s="33"/>
      <c r="CL26" s="35"/>
      <c r="CM26" s="36">
        <v>2.12</v>
      </c>
      <c r="CN26" s="286"/>
      <c r="CO26" s="249">
        <f t="shared" si="32"/>
        <v>223.94238809999999</v>
      </c>
      <c r="CP26" s="12">
        <f t="shared" si="32"/>
        <v>0</v>
      </c>
      <c r="CQ26" s="12">
        <f t="shared" si="32"/>
        <v>0</v>
      </c>
      <c r="CR26" s="12">
        <f t="shared" si="32"/>
        <v>58.082000000000001</v>
      </c>
      <c r="CS26" s="11">
        <f t="shared" si="32"/>
        <v>0</v>
      </c>
      <c r="CT26" s="11">
        <f t="shared" si="32"/>
        <v>0</v>
      </c>
      <c r="CU26" s="272">
        <f t="shared" si="32"/>
        <v>5.798</v>
      </c>
      <c r="CV26" s="249">
        <f t="shared" si="14"/>
        <v>69.304912799999997</v>
      </c>
      <c r="CW26" s="12">
        <f t="shared" si="14"/>
        <v>0</v>
      </c>
      <c r="CX26" s="249">
        <f t="shared" si="14"/>
        <v>0</v>
      </c>
      <c r="CY26" s="274">
        <f t="shared" si="14"/>
        <v>112.41615880000001</v>
      </c>
      <c r="CZ26" s="13"/>
      <c r="DA26" s="240">
        <f>(D26+'[2]ноябрь 20'!D26)/(AY26+'[2]ноябрь 20'!BA26)</f>
        <v>2.4886765559675257</v>
      </c>
      <c r="DB26" s="241">
        <f>(T26+'[2]ноябрь 20'!T26)/(AY26+'[2]ноябрь 20'!BA26)</f>
        <v>1.5086654465256024</v>
      </c>
      <c r="DD26" s="292">
        <f t="shared" si="15"/>
        <v>11.617000000000001</v>
      </c>
      <c r="DE26" s="291">
        <v>0.19</v>
      </c>
      <c r="DF26" s="291">
        <v>16.899999999999999</v>
      </c>
      <c r="DG26" s="145">
        <f t="shared" si="16"/>
        <v>11.594927700000001</v>
      </c>
      <c r="DH26" s="293">
        <f t="shared" si="30"/>
        <v>2.5861723390523954</v>
      </c>
      <c r="DJ26" s="322"/>
    </row>
    <row r="27" spans="1:115" s="76" customFormat="1" ht="16.5" customHeight="1" thickBot="1">
      <c r="A27" s="144">
        <v>21</v>
      </c>
      <c r="B27" s="122">
        <f>'[1]ноябрь 20'!K26</f>
        <v>285.31</v>
      </c>
      <c r="C27" s="123">
        <f t="shared" si="17"/>
        <v>2.595464862780835</v>
      </c>
      <c r="D27" s="145">
        <f t="shared" si="18"/>
        <v>277.90487920000004</v>
      </c>
      <c r="E27" s="125">
        <f t="shared" si="19"/>
        <v>39.269013143598194</v>
      </c>
      <c r="F27" s="146">
        <f t="shared" si="0"/>
        <v>2.1880551074718526</v>
      </c>
      <c r="G27" s="127"/>
      <c r="H27" s="126">
        <f t="shared" si="20"/>
        <v>1.692550816471144</v>
      </c>
      <c r="I27" s="230">
        <f>'[1]июль 20'!AI26</f>
        <v>0</v>
      </c>
      <c r="J27" s="247">
        <f>'[1]ноябрь 20'!AA26</f>
        <v>11.522</v>
      </c>
      <c r="K27" s="464">
        <f>'[1]сентябрь 20'!AM26</f>
        <v>0</v>
      </c>
      <c r="L27" s="446">
        <f>'[1]ноябрь 20'!AE26</f>
        <v>62.933999999999997</v>
      </c>
      <c r="M27" s="469">
        <f t="shared" si="21"/>
        <v>0.49550429100070859</v>
      </c>
      <c r="N27" s="403">
        <f>'[1]ноябрь 20'!W26</f>
        <v>0</v>
      </c>
      <c r="O27" s="403">
        <f>'[1]ноябрь 20'!AU26</f>
        <v>7.4829999999999997</v>
      </c>
      <c r="P27" s="401">
        <f t="shared" si="1"/>
        <v>184.291</v>
      </c>
      <c r="Q27" s="122">
        <f>'[1]ноябрь 20'!S26</f>
        <v>184.291</v>
      </c>
      <c r="R27" s="123">
        <f t="shared" si="22"/>
        <v>1.7300000000000002</v>
      </c>
      <c r="S27" s="129"/>
      <c r="T27" s="125">
        <f t="shared" si="2"/>
        <v>181.10276569999999</v>
      </c>
      <c r="U27" s="147">
        <f t="shared" si="3"/>
        <v>1.4258937540351153</v>
      </c>
      <c r="V27" s="130">
        <v>127.01</v>
      </c>
      <c r="W27" s="130">
        <v>127.01</v>
      </c>
      <c r="X27" s="129">
        <v>0.47</v>
      </c>
      <c r="Y27" s="150">
        <v>530</v>
      </c>
      <c r="Z27" s="150">
        <v>1156</v>
      </c>
      <c r="AA27" s="148" t="s">
        <v>174</v>
      </c>
      <c r="AB27" s="149">
        <v>76.3</v>
      </c>
      <c r="AC27" s="150">
        <v>114</v>
      </c>
      <c r="AD27" s="151">
        <v>5</v>
      </c>
      <c r="AE27" s="149"/>
      <c r="AF27" s="134">
        <f t="shared" si="4"/>
        <v>0</v>
      </c>
      <c r="AG27" s="152"/>
      <c r="AH27" s="129">
        <v>94.4</v>
      </c>
      <c r="AI27" s="134">
        <f t="shared" si="5"/>
        <v>743.24856310526729</v>
      </c>
      <c r="AJ27" s="136">
        <v>17.899999999999999</v>
      </c>
      <c r="AK27" s="154"/>
      <c r="AL27" s="155">
        <v>9.23</v>
      </c>
      <c r="AM27" s="478">
        <f t="shared" si="31"/>
        <v>33.610000000000007</v>
      </c>
      <c r="AN27" s="126">
        <f t="shared" si="24"/>
        <v>0.20000000000000004</v>
      </c>
      <c r="AO27" s="157" t="s">
        <v>294</v>
      </c>
      <c r="AP27" s="156">
        <v>6.46</v>
      </c>
      <c r="AQ27" s="156">
        <v>8.15</v>
      </c>
      <c r="AR27" s="151"/>
      <c r="AS27" s="149">
        <v>11.09</v>
      </c>
      <c r="AT27" s="149">
        <v>168.05</v>
      </c>
      <c r="AU27" s="149">
        <v>1.8</v>
      </c>
      <c r="AV27" s="164"/>
      <c r="AW27" s="149"/>
      <c r="AX27" s="158">
        <f t="shared" si="6"/>
        <v>0</v>
      </c>
      <c r="AY27" s="125">
        <f t="shared" si="7"/>
        <v>127.01</v>
      </c>
      <c r="AZ27" s="125">
        <f t="shared" si="25"/>
        <v>127.2520010000008</v>
      </c>
      <c r="BA27" s="159">
        <f t="shared" si="8"/>
        <v>8.1097577464788717</v>
      </c>
      <c r="BB27" s="160">
        <f t="shared" si="9"/>
        <v>5.0804</v>
      </c>
      <c r="BC27" s="161">
        <f t="shared" si="10"/>
        <v>0.88800680704916646</v>
      </c>
      <c r="BD27" s="160">
        <f t="shared" si="26"/>
        <v>13.190157746478871</v>
      </c>
      <c r="BE27" s="162">
        <v>0.88400000000000001</v>
      </c>
      <c r="BF27" s="25">
        <f t="shared" si="27"/>
        <v>2455.23</v>
      </c>
      <c r="BG27" s="25">
        <f t="shared" si="11"/>
        <v>125.66666666666667</v>
      </c>
      <c r="BH27" s="25">
        <f t="shared" si="28"/>
        <v>2639</v>
      </c>
      <c r="BI27" s="26">
        <f t="shared" si="12"/>
        <v>1</v>
      </c>
      <c r="BJ27" s="37">
        <f t="shared" si="29"/>
        <v>2639</v>
      </c>
      <c r="BK27" s="38">
        <v>222.376</v>
      </c>
      <c r="BL27" s="31"/>
      <c r="BM27" s="31"/>
      <c r="BN27" s="234">
        <v>57.265999999999998</v>
      </c>
      <c r="BO27" s="42"/>
      <c r="BP27" s="40"/>
      <c r="BQ27" s="411">
        <v>5.6680000000000001</v>
      </c>
      <c r="BR27" s="33">
        <v>3.33</v>
      </c>
      <c r="BS27" s="34"/>
      <c r="BT27" s="35"/>
      <c r="BU27" s="35"/>
      <c r="BV27" s="235"/>
      <c r="BW27" s="235"/>
      <c r="BX27" s="36"/>
      <c r="BY27" s="33">
        <v>38.18</v>
      </c>
      <c r="BZ27" s="34"/>
      <c r="CA27" s="35"/>
      <c r="CB27" s="405">
        <v>43.09</v>
      </c>
      <c r="CC27" s="404"/>
      <c r="CD27" s="235"/>
      <c r="CE27" s="413">
        <v>43.39</v>
      </c>
      <c r="CF27" s="30">
        <v>69.578999999999994</v>
      </c>
      <c r="CG27" s="30"/>
      <c r="CH27" s="31"/>
      <c r="CI27" s="32">
        <v>114.712</v>
      </c>
      <c r="CJ27" s="33">
        <v>1.73</v>
      </c>
      <c r="CK27" s="33"/>
      <c r="CL27" s="35"/>
      <c r="CM27" s="36">
        <v>1.73</v>
      </c>
      <c r="CN27" s="286"/>
      <c r="CO27" s="249">
        <f t="shared" si="32"/>
        <v>214.97087920000001</v>
      </c>
      <c r="CP27" s="12">
        <f t="shared" si="32"/>
        <v>0</v>
      </c>
      <c r="CQ27" s="12">
        <f t="shared" si="32"/>
        <v>0</v>
      </c>
      <c r="CR27" s="12">
        <f t="shared" si="32"/>
        <v>57.265999999999998</v>
      </c>
      <c r="CS27" s="11">
        <f t="shared" si="32"/>
        <v>0</v>
      </c>
      <c r="CT27" s="11">
        <f t="shared" si="32"/>
        <v>0</v>
      </c>
      <c r="CU27" s="272">
        <f t="shared" si="32"/>
        <v>5.6680000000000001</v>
      </c>
      <c r="CV27" s="249">
        <f t="shared" si="14"/>
        <v>68.375283299999992</v>
      </c>
      <c r="CW27" s="11">
        <f t="shared" si="14"/>
        <v>0</v>
      </c>
      <c r="CX27" s="249">
        <f t="shared" si="14"/>
        <v>0</v>
      </c>
      <c r="CY27" s="272">
        <f t="shared" si="14"/>
        <v>112.7274824</v>
      </c>
      <c r="CZ27" s="13"/>
      <c r="DA27" s="240">
        <f>(D27+'[2]ноябрь 20'!D27)/(AY27+'[2]ноябрь 20'!BA27)</f>
        <v>2.0716364206082383</v>
      </c>
      <c r="DB27" s="241">
        <f>(T27+'[2]ноябрь 20'!T27)/(AY27+'[2]ноябрь 20'!BA27)</f>
        <v>1.2776684072517874</v>
      </c>
      <c r="DD27" s="292">
        <f t="shared" si="15"/>
        <v>11.522</v>
      </c>
      <c r="DE27" s="291">
        <v>0.15</v>
      </c>
      <c r="DF27" s="291">
        <v>15.84</v>
      </c>
      <c r="DG27" s="145">
        <f t="shared" si="16"/>
        <v>11.504716999999999</v>
      </c>
      <c r="DH27" s="293">
        <f t="shared" si="30"/>
        <v>2.3883973431192658</v>
      </c>
      <c r="DJ27" s="322"/>
    </row>
    <row r="28" spans="1:115" s="76" customFormat="1" ht="16.5" customHeight="1" thickBot="1">
      <c r="A28" s="144">
        <v>22</v>
      </c>
      <c r="B28" s="122">
        <f>'[1]ноябрь 20'!K27</f>
        <v>284.90300000000002</v>
      </c>
      <c r="C28" s="123">
        <f t="shared" si="17"/>
        <v>1.9741517990333548</v>
      </c>
      <c r="D28" s="145">
        <f t="shared" si="18"/>
        <v>279.27858230000004</v>
      </c>
      <c r="E28" s="125">
        <f t="shared" si="19"/>
        <v>38.584787769872548</v>
      </c>
      <c r="F28" s="146">
        <f t="shared" si="0"/>
        <v>2.1079219737338675</v>
      </c>
      <c r="G28" s="127">
        <v>22.11</v>
      </c>
      <c r="H28" s="126">
        <f t="shared" si="20"/>
        <v>1.6354787704732434</v>
      </c>
      <c r="I28" s="230">
        <f>'[1]июль 20'!AI27</f>
        <v>0</v>
      </c>
      <c r="J28" s="247">
        <f>'[1]ноябрь 20'!AA27</f>
        <v>11.241</v>
      </c>
      <c r="K28" s="464">
        <f>'[1]сентябрь 20'!AM27</f>
        <v>0</v>
      </c>
      <c r="L28" s="446">
        <f>'[1]ноябрь 20'!AE27</f>
        <v>62.594000000000001</v>
      </c>
      <c r="M28" s="468">
        <f t="shared" si="21"/>
        <v>0.4724432032606235</v>
      </c>
      <c r="N28" s="403">
        <f>'[1]ноябрь 20'!W27</f>
        <v>0</v>
      </c>
      <c r="O28" s="403">
        <f>'[1]ноябрь 20'!AU27</f>
        <v>8.4420000000000002</v>
      </c>
      <c r="P28" s="401">
        <f t="shared" si="1"/>
        <v>184.06099999999998</v>
      </c>
      <c r="Q28" s="122">
        <f>'[1]ноябрь 20'!S27</f>
        <v>184.06100000000001</v>
      </c>
      <c r="R28" s="123">
        <f t="shared" si="22"/>
        <v>2.06</v>
      </c>
      <c r="S28" s="129"/>
      <c r="T28" s="125">
        <f t="shared" si="2"/>
        <v>180.2693434</v>
      </c>
      <c r="U28" s="147">
        <f t="shared" si="3"/>
        <v>1.3606260351724659</v>
      </c>
      <c r="V28" s="130">
        <v>132.49</v>
      </c>
      <c r="W28" s="130">
        <v>105.8</v>
      </c>
      <c r="X28" s="129">
        <v>0.79</v>
      </c>
      <c r="Y28" s="150">
        <v>570</v>
      </c>
      <c r="Z28" s="150">
        <v>1158</v>
      </c>
      <c r="AA28" s="148" t="s">
        <v>159</v>
      </c>
      <c r="AB28" s="149">
        <v>75.83</v>
      </c>
      <c r="AC28" s="150">
        <v>114</v>
      </c>
      <c r="AD28" s="151">
        <v>5</v>
      </c>
      <c r="AE28" s="149"/>
      <c r="AF28" s="134">
        <f t="shared" si="4"/>
        <v>0</v>
      </c>
      <c r="AG28" s="152"/>
      <c r="AH28" s="129">
        <v>82.85</v>
      </c>
      <c r="AI28" s="134">
        <f t="shared" si="5"/>
        <v>625.33021360102657</v>
      </c>
      <c r="AJ28" s="153">
        <v>15.62</v>
      </c>
      <c r="AK28" s="154"/>
      <c r="AL28" s="155">
        <v>10.77</v>
      </c>
      <c r="AM28" s="478">
        <f t="shared" si="31"/>
        <v>35.110000000000007</v>
      </c>
      <c r="AN28" s="126">
        <f t="shared" si="24"/>
        <v>0.2</v>
      </c>
      <c r="AO28" s="157" t="s">
        <v>429</v>
      </c>
      <c r="AP28" s="156">
        <v>7.19</v>
      </c>
      <c r="AQ28" s="156">
        <v>8.48</v>
      </c>
      <c r="AR28" s="151"/>
      <c r="AS28" s="149">
        <v>8.31</v>
      </c>
      <c r="AT28" s="149">
        <v>175.55</v>
      </c>
      <c r="AU28" s="149">
        <v>2.82</v>
      </c>
      <c r="AV28" s="164"/>
      <c r="AW28" s="149"/>
      <c r="AX28" s="158">
        <f t="shared" si="6"/>
        <v>0</v>
      </c>
      <c r="AY28" s="125">
        <f t="shared" si="7"/>
        <v>132.48999999999998</v>
      </c>
      <c r="AZ28" s="125">
        <f t="shared" si="25"/>
        <v>126.54972737701969</v>
      </c>
      <c r="BA28" s="159">
        <f t="shared" si="8"/>
        <v>5.333322887323944</v>
      </c>
      <c r="BB28" s="160">
        <f t="shared" si="9"/>
        <v>5.299599999999999</v>
      </c>
      <c r="BC28" s="161">
        <f t="shared" si="10"/>
        <v>0.93233161034342737</v>
      </c>
      <c r="BD28" s="160">
        <f t="shared" si="26"/>
        <v>10.632922887323943</v>
      </c>
      <c r="BE28" s="162">
        <v>0.88700000000000001</v>
      </c>
      <c r="BF28" s="25">
        <f t="shared" si="27"/>
        <v>2587.7199999999998</v>
      </c>
      <c r="BG28" s="25">
        <f t="shared" si="11"/>
        <v>125.66666666666667</v>
      </c>
      <c r="BH28" s="25">
        <f t="shared" si="28"/>
        <v>2764.6666666666665</v>
      </c>
      <c r="BI28" s="26">
        <f t="shared" si="12"/>
        <v>1</v>
      </c>
      <c r="BJ28" s="37">
        <f t="shared" si="29"/>
        <v>2764.6666666666665</v>
      </c>
      <c r="BK28" s="38">
        <v>222.309</v>
      </c>
      <c r="BL28" s="31"/>
      <c r="BM28" s="31"/>
      <c r="BN28" s="234">
        <v>56.887</v>
      </c>
      <c r="BO28" s="42"/>
      <c r="BP28" s="40"/>
      <c r="BQ28" s="411">
        <v>5.7069999999999999</v>
      </c>
      <c r="BR28" s="33">
        <v>2.5299999999999998</v>
      </c>
      <c r="BS28" s="34"/>
      <c r="BT28" s="35"/>
      <c r="BU28" s="35"/>
      <c r="BV28" s="235"/>
      <c r="BW28" s="235"/>
      <c r="BX28" s="36"/>
      <c r="BY28" s="33">
        <v>37.11</v>
      </c>
      <c r="BZ28" s="34"/>
      <c r="CA28" s="35"/>
      <c r="CB28" s="405">
        <v>43.85</v>
      </c>
      <c r="CC28" s="404"/>
      <c r="CD28" s="235"/>
      <c r="CE28" s="36">
        <v>43.55</v>
      </c>
      <c r="CF28" s="30">
        <v>69.472999999999999</v>
      </c>
      <c r="CG28" s="30"/>
      <c r="CH28" s="31"/>
      <c r="CI28" s="32">
        <v>114.58799999999999</v>
      </c>
      <c r="CJ28" s="33">
        <v>2.06</v>
      </c>
      <c r="CK28" s="33"/>
      <c r="CL28" s="35"/>
      <c r="CM28" s="36">
        <v>2.06</v>
      </c>
      <c r="CN28" s="286"/>
      <c r="CO28" s="249">
        <f t="shared" si="32"/>
        <v>216.68458229999999</v>
      </c>
      <c r="CP28" s="12">
        <f t="shared" si="32"/>
        <v>0</v>
      </c>
      <c r="CQ28" s="12">
        <f t="shared" si="32"/>
        <v>0</v>
      </c>
      <c r="CR28" s="12">
        <f t="shared" si="32"/>
        <v>56.887</v>
      </c>
      <c r="CS28" s="11">
        <f t="shared" si="32"/>
        <v>0</v>
      </c>
      <c r="CT28" s="11">
        <f t="shared" si="32"/>
        <v>0</v>
      </c>
      <c r="CU28" s="272">
        <f t="shared" si="32"/>
        <v>5.7069999999999999</v>
      </c>
      <c r="CV28" s="249">
        <f t="shared" si="14"/>
        <v>68.041856199999998</v>
      </c>
      <c r="CW28" s="12">
        <f t="shared" si="14"/>
        <v>0</v>
      </c>
      <c r="CX28" s="249">
        <f t="shared" si="14"/>
        <v>0</v>
      </c>
      <c r="CY28" s="272">
        <f t="shared" si="14"/>
        <v>112.22748719999998</v>
      </c>
      <c r="CZ28" s="13"/>
      <c r="DA28" s="240">
        <f>(D28+'[2]ноябрь 20'!D28)/(AY28+'[2]ноябрь 20'!BA28)</f>
        <v>2.1372888930639156</v>
      </c>
      <c r="DB28" s="241">
        <f>(T28+'[2]ноябрь 20'!T28)/(AY28+'[2]ноябрь 20'!BA28)</f>
        <v>1.3010131317164011</v>
      </c>
      <c r="DD28" s="292">
        <f t="shared" si="15"/>
        <v>11.241</v>
      </c>
      <c r="DE28" s="305">
        <v>0.21</v>
      </c>
      <c r="DF28" s="291">
        <v>16.84</v>
      </c>
      <c r="DG28" s="145">
        <f t="shared" si="16"/>
        <v>11.217393899999999</v>
      </c>
      <c r="DH28" s="293">
        <f t="shared" si="30"/>
        <v>2.4911105535540021</v>
      </c>
      <c r="DJ28" s="322"/>
    </row>
    <row r="29" spans="1:115" s="76" customFormat="1" ht="16.5" customHeight="1" thickBot="1">
      <c r="A29" s="144">
        <v>23</v>
      </c>
      <c r="B29" s="122">
        <f>'[1]ноябрь 20'!K28</f>
        <v>292.87299999999999</v>
      </c>
      <c r="C29" s="123">
        <f t="shared" si="17"/>
        <v>0.8655311346556358</v>
      </c>
      <c r="D29" s="145">
        <f t="shared" si="18"/>
        <v>290.33809299999996</v>
      </c>
      <c r="E29" s="125">
        <f t="shared" si="19"/>
        <v>39.027808367449374</v>
      </c>
      <c r="F29" s="146">
        <f t="shared" si="0"/>
        <v>2.1040516921516046</v>
      </c>
      <c r="G29" s="127">
        <v>38.67</v>
      </c>
      <c r="H29" s="126">
        <f t="shared" si="20"/>
        <v>1.6366047757083846</v>
      </c>
      <c r="I29" s="230">
        <f>'[1]июль 20'!AI28</f>
        <v>0</v>
      </c>
      <c r="J29" s="247">
        <f>'[1]ноябрь 20'!AA28</f>
        <v>11.933</v>
      </c>
      <c r="K29" s="464">
        <f>'[1]сентябрь 20'!AM28</f>
        <v>0</v>
      </c>
      <c r="L29" s="446">
        <f>'[1]ноябрь 20'!AE28</f>
        <v>64.503</v>
      </c>
      <c r="M29" s="469">
        <f t="shared" si="21"/>
        <v>0.46744691644322051</v>
      </c>
      <c r="N29" s="403">
        <f>'[1]ноябрь 20'!W28</f>
        <v>0</v>
      </c>
      <c r="O29" s="403">
        <f>'[1]ноябрь 20'!AU28</f>
        <v>9.2959999999999994</v>
      </c>
      <c r="P29" s="401">
        <f t="shared" si="1"/>
        <v>187.67000000000002</v>
      </c>
      <c r="Q29" s="122">
        <f>'[1]ноябрь 20'!S28</f>
        <v>187.67</v>
      </c>
      <c r="R29" s="123">
        <f t="shared" si="22"/>
        <v>2.21</v>
      </c>
      <c r="S29" s="129">
        <v>34.76</v>
      </c>
      <c r="T29" s="125">
        <f t="shared" si="2"/>
        <v>183.522493</v>
      </c>
      <c r="U29" s="147">
        <f t="shared" si="3"/>
        <v>1.3299695122834987</v>
      </c>
      <c r="V29" s="130">
        <v>137.99</v>
      </c>
      <c r="W29" s="130">
        <v>82.34</v>
      </c>
      <c r="X29" s="129">
        <v>0.82</v>
      </c>
      <c r="Y29" s="150">
        <v>558</v>
      </c>
      <c r="Z29" s="150">
        <v>1170</v>
      </c>
      <c r="AA29" s="148" t="s">
        <v>141</v>
      </c>
      <c r="AB29" s="149">
        <v>75.989999999999995</v>
      </c>
      <c r="AC29" s="150">
        <v>117</v>
      </c>
      <c r="AD29" s="151">
        <v>5</v>
      </c>
      <c r="AE29" s="149"/>
      <c r="AF29" s="134">
        <f t="shared" si="4"/>
        <v>0</v>
      </c>
      <c r="AG29" s="152"/>
      <c r="AH29" s="129">
        <v>93.2</v>
      </c>
      <c r="AI29" s="134">
        <f t="shared" si="5"/>
        <v>675.41126168562937</v>
      </c>
      <c r="AJ29" s="136">
        <v>21.32</v>
      </c>
      <c r="AK29" s="154"/>
      <c r="AL29" s="155">
        <v>8.44</v>
      </c>
      <c r="AM29" s="478">
        <f t="shared" si="31"/>
        <v>35.760000000000005</v>
      </c>
      <c r="AN29" s="126">
        <f t="shared" si="24"/>
        <v>0.2</v>
      </c>
      <c r="AO29" s="157" t="s">
        <v>452</v>
      </c>
      <c r="AP29" s="156">
        <v>6.88</v>
      </c>
      <c r="AQ29" s="156">
        <v>9.6</v>
      </c>
      <c r="AR29" s="149"/>
      <c r="AS29" s="149">
        <v>8.93</v>
      </c>
      <c r="AT29" s="149">
        <v>178.8</v>
      </c>
      <c r="AU29" s="149">
        <v>3.39</v>
      </c>
      <c r="AV29" s="164"/>
      <c r="AW29" s="149"/>
      <c r="AX29" s="158">
        <f t="shared" si="6"/>
        <v>0</v>
      </c>
      <c r="AY29" s="125">
        <f t="shared" si="7"/>
        <v>137.99</v>
      </c>
      <c r="AZ29" s="125">
        <f t="shared" si="25"/>
        <v>132.01545448935528</v>
      </c>
      <c r="BA29" s="159">
        <f t="shared" si="8"/>
        <v>6.447208450704224</v>
      </c>
      <c r="BB29" s="160">
        <f t="shared" si="9"/>
        <v>5.5196000000000005</v>
      </c>
      <c r="BC29" s="161">
        <f t="shared" si="10"/>
        <v>0.9253922868235358</v>
      </c>
      <c r="BD29" s="160">
        <f t="shared" si="26"/>
        <v>11.966808450704224</v>
      </c>
      <c r="BE29" s="162">
        <v>0.88900000000000001</v>
      </c>
      <c r="BF29" s="25">
        <f t="shared" si="27"/>
        <v>2725.71</v>
      </c>
      <c r="BG29" s="25">
        <f t="shared" si="11"/>
        <v>125.66666666666667</v>
      </c>
      <c r="BH29" s="25">
        <f t="shared" si="28"/>
        <v>2890.333333333333</v>
      </c>
      <c r="BI29" s="26">
        <f t="shared" si="12"/>
        <v>1</v>
      </c>
      <c r="BJ29" s="37">
        <f t="shared" si="29"/>
        <v>2890.333333333333</v>
      </c>
      <c r="BK29" s="328">
        <v>228.37</v>
      </c>
      <c r="BL29" s="31"/>
      <c r="BM29" s="31"/>
      <c r="BN29" s="31">
        <v>58.62</v>
      </c>
      <c r="BO29" s="40"/>
      <c r="BP29" s="40"/>
      <c r="BQ29" s="32">
        <v>5.883</v>
      </c>
      <c r="BR29" s="33">
        <v>1.1100000000000001</v>
      </c>
      <c r="BS29" s="34"/>
      <c r="BT29" s="35"/>
      <c r="BU29" s="35"/>
      <c r="BV29" s="235"/>
      <c r="BW29" s="235"/>
      <c r="BX29" s="36"/>
      <c r="BY29" s="33">
        <v>37.72</v>
      </c>
      <c r="BZ29" s="34"/>
      <c r="CA29" s="35"/>
      <c r="CB29" s="35">
        <v>43.7</v>
      </c>
      <c r="CC29" s="235"/>
      <c r="CD29" s="235"/>
      <c r="CE29" s="36">
        <v>43.24</v>
      </c>
      <c r="CF29" s="30">
        <v>71.405000000000001</v>
      </c>
      <c r="CG29" s="30"/>
      <c r="CH29" s="31"/>
      <c r="CI29" s="32">
        <v>116.265</v>
      </c>
      <c r="CJ29" s="33">
        <v>2.21</v>
      </c>
      <c r="CK29" s="33"/>
      <c r="CL29" s="35"/>
      <c r="CM29" s="36">
        <v>2.21</v>
      </c>
      <c r="CN29" s="286"/>
      <c r="CO29" s="249">
        <f t="shared" si="32"/>
        <v>225.835093</v>
      </c>
      <c r="CP29" s="12">
        <f t="shared" si="32"/>
        <v>0</v>
      </c>
      <c r="CQ29" s="12">
        <f t="shared" si="32"/>
        <v>0</v>
      </c>
      <c r="CR29" s="12">
        <f t="shared" si="32"/>
        <v>58.62</v>
      </c>
      <c r="CS29" s="11">
        <f t="shared" si="32"/>
        <v>0</v>
      </c>
      <c r="CT29" s="11">
        <f t="shared" si="32"/>
        <v>0</v>
      </c>
      <c r="CU29" s="272">
        <f t="shared" si="32"/>
        <v>5.883</v>
      </c>
      <c r="CV29" s="249">
        <f t="shared" si="14"/>
        <v>69.826949500000012</v>
      </c>
      <c r="CW29" s="12">
        <f t="shared" si="14"/>
        <v>0</v>
      </c>
      <c r="CX29" s="249">
        <f t="shared" si="14"/>
        <v>0</v>
      </c>
      <c r="CY29" s="272">
        <f t="shared" si="14"/>
        <v>113.69554350000001</v>
      </c>
      <c r="CZ29" s="13"/>
      <c r="DA29" s="240">
        <f>(D29+'[2]ноябрь 20'!D29)/(AY29+'[2]ноябрь 20'!BA29)</f>
        <v>2.0052771044830155</v>
      </c>
      <c r="DB29" s="241">
        <f>(T29+'[2]ноябрь 20'!T29)/(AY29+'[2]ноябрь 20'!BA29)</f>
        <v>1.1998168969780696</v>
      </c>
      <c r="DD29" s="292">
        <f t="shared" si="15"/>
        <v>11.933</v>
      </c>
      <c r="DE29" s="291">
        <v>0.56000000000000005</v>
      </c>
      <c r="DF29" s="291">
        <v>11.77</v>
      </c>
      <c r="DG29" s="145">
        <f t="shared" si="16"/>
        <v>11.866175199999999</v>
      </c>
      <c r="DH29" s="293">
        <f t="shared" si="30"/>
        <v>1.8379376510593499</v>
      </c>
      <c r="DJ29" s="322"/>
    </row>
    <row r="30" spans="1:115" s="76" customFormat="1" ht="16.5" customHeight="1" thickBot="1">
      <c r="A30" s="144">
        <v>24</v>
      </c>
      <c r="B30" s="122">
        <f>'[1]ноябрь 20'!K29</f>
        <v>280.36399999999998</v>
      </c>
      <c r="C30" s="123">
        <f t="shared" si="17"/>
        <v>1.779140688533478</v>
      </c>
      <c r="D30" s="145">
        <f t="shared" si="18"/>
        <v>275.37592999999998</v>
      </c>
      <c r="E30" s="125">
        <f t="shared" si="19"/>
        <v>38.932774642964148</v>
      </c>
      <c r="F30" s="146">
        <f t="shared" si="0"/>
        <v>2.1244864218484802</v>
      </c>
      <c r="G30" s="127">
        <v>28.02</v>
      </c>
      <c r="H30" s="126">
        <f t="shared" si="20"/>
        <v>1.6493359821015277</v>
      </c>
      <c r="I30" s="230">
        <f>'[1]июль 20'!AI29</f>
        <v>0</v>
      </c>
      <c r="J30" s="247">
        <f>'[1]ноябрь 20'!AA29</f>
        <v>11.246</v>
      </c>
      <c r="K30" s="464">
        <f>'[1]сентябрь 20'!AM29</f>
        <v>0</v>
      </c>
      <c r="L30" s="446">
        <f>'[1]ноябрь 20'!AE29</f>
        <v>61.588999999999999</v>
      </c>
      <c r="M30" s="468">
        <f t="shared" si="21"/>
        <v>0.4751504397469527</v>
      </c>
      <c r="N30" s="403">
        <f>'[1]ноябрь 20'!W29</f>
        <v>0</v>
      </c>
      <c r="O30" s="403">
        <f>'[1]ноябрь 20'!AU29</f>
        <v>8.8689999999999998</v>
      </c>
      <c r="P30" s="401">
        <f t="shared" si="1"/>
        <v>179.51599999999999</v>
      </c>
      <c r="Q30" s="122">
        <f>'[1]ноябрь 20'!S29</f>
        <v>179.51599999999999</v>
      </c>
      <c r="R30" s="123">
        <f t="shared" si="22"/>
        <v>2.25</v>
      </c>
      <c r="S30" s="129">
        <v>2.33</v>
      </c>
      <c r="T30" s="125">
        <f t="shared" si="2"/>
        <v>175.47689</v>
      </c>
      <c r="U30" s="147">
        <f t="shared" si="3"/>
        <v>1.3537794321863912</v>
      </c>
      <c r="V30" s="169">
        <v>104.8</v>
      </c>
      <c r="W30" s="169">
        <v>102.8</v>
      </c>
      <c r="X30" s="170">
        <v>0.8</v>
      </c>
      <c r="Y30" s="166">
        <v>555</v>
      </c>
      <c r="Z30" s="166">
        <v>1169</v>
      </c>
      <c r="AA30" s="148" t="s">
        <v>159</v>
      </c>
      <c r="AB30" s="164">
        <v>75.87</v>
      </c>
      <c r="AC30" s="166">
        <v>112</v>
      </c>
      <c r="AD30" s="171">
        <v>5</v>
      </c>
      <c r="AE30" s="164"/>
      <c r="AF30" s="172">
        <f t="shared" si="4"/>
        <v>0</v>
      </c>
      <c r="AG30" s="173"/>
      <c r="AH30" s="170">
        <v>97.45</v>
      </c>
      <c r="AI30" s="134">
        <f t="shared" si="5"/>
        <v>751.81299182224984</v>
      </c>
      <c r="AJ30" s="174">
        <v>17.63</v>
      </c>
      <c r="AK30" s="175"/>
      <c r="AL30" s="176">
        <v>7.87</v>
      </c>
      <c r="AM30" s="478">
        <f t="shared" si="31"/>
        <v>33.869999999999997</v>
      </c>
      <c r="AN30" s="126">
        <f t="shared" si="24"/>
        <v>0.19999999999999998</v>
      </c>
      <c r="AO30" s="178" t="s">
        <v>351</v>
      </c>
      <c r="AP30" s="177">
        <v>7.17</v>
      </c>
      <c r="AQ30" s="177">
        <v>8.8000000000000007</v>
      </c>
      <c r="AR30" s="171"/>
      <c r="AS30" s="164">
        <v>8.7799999999999994</v>
      </c>
      <c r="AT30" s="149">
        <v>169.35</v>
      </c>
      <c r="AU30" s="164">
        <v>2.0099999999999998</v>
      </c>
      <c r="AV30" s="164"/>
      <c r="AW30" s="164"/>
      <c r="AX30" s="179">
        <f t="shared" si="6"/>
        <v>0</v>
      </c>
      <c r="AY30" s="125">
        <f t="shared" si="7"/>
        <v>129.61999999999998</v>
      </c>
      <c r="AZ30" s="125">
        <f t="shared" si="25"/>
        <v>125.59588473423966</v>
      </c>
      <c r="BA30" s="159">
        <f t="shared" si="8"/>
        <v>6.6279725352112679</v>
      </c>
      <c r="BB30" s="159">
        <f t="shared" si="9"/>
        <v>5.1847999999999992</v>
      </c>
      <c r="BC30" s="180">
        <f t="shared" si="10"/>
        <v>0.91727755833481495</v>
      </c>
      <c r="BD30" s="159">
        <f t="shared" si="26"/>
        <v>11.812772535211266</v>
      </c>
      <c r="BE30" s="167">
        <v>0.89</v>
      </c>
      <c r="BF30" s="25">
        <f t="shared" si="27"/>
        <v>2855.33</v>
      </c>
      <c r="BG30" s="25">
        <f t="shared" si="11"/>
        <v>125.66666666666667</v>
      </c>
      <c r="BH30" s="25">
        <f t="shared" si="28"/>
        <v>3015.9999999999995</v>
      </c>
      <c r="BI30" s="26">
        <f t="shared" si="12"/>
        <v>1</v>
      </c>
      <c r="BJ30" s="37">
        <f t="shared" si="29"/>
        <v>3015.9999999999995</v>
      </c>
      <c r="BK30" s="38">
        <v>218.77500000000001</v>
      </c>
      <c r="BL30" s="31"/>
      <c r="BM30" s="31"/>
      <c r="BN30" s="31">
        <v>55.951999999999998</v>
      </c>
      <c r="BO30" s="40"/>
      <c r="BP30" s="40"/>
      <c r="BQ30" s="44">
        <v>5.6369999999999996</v>
      </c>
      <c r="BR30" s="45">
        <v>2.2799999999999998</v>
      </c>
      <c r="BS30" s="46"/>
      <c r="BT30" s="47"/>
      <c r="BU30" s="47"/>
      <c r="BV30" s="283"/>
      <c r="BW30" s="283"/>
      <c r="BX30" s="48"/>
      <c r="BY30" s="45">
        <v>37.67</v>
      </c>
      <c r="BZ30" s="46"/>
      <c r="CA30" s="47"/>
      <c r="CB30" s="47">
        <v>43.39</v>
      </c>
      <c r="CC30" s="283"/>
      <c r="CD30" s="283"/>
      <c r="CE30" s="48">
        <v>43.7</v>
      </c>
      <c r="CF30" s="49">
        <v>68.364999999999995</v>
      </c>
      <c r="CG30" s="49"/>
      <c r="CH30" s="43"/>
      <c r="CI30" s="32">
        <v>111.151</v>
      </c>
      <c r="CJ30" s="33">
        <v>2.25</v>
      </c>
      <c r="CK30" s="33"/>
      <c r="CL30" s="35"/>
      <c r="CM30" s="36">
        <v>2.25</v>
      </c>
      <c r="CN30" s="286"/>
      <c r="CO30" s="249">
        <f t="shared" si="32"/>
        <v>213.78692999999998</v>
      </c>
      <c r="CP30" s="12">
        <f t="shared" si="32"/>
        <v>0</v>
      </c>
      <c r="CQ30" s="12">
        <f t="shared" si="32"/>
        <v>0</v>
      </c>
      <c r="CR30" s="12">
        <f t="shared" si="32"/>
        <v>55.951999999999998</v>
      </c>
      <c r="CS30" s="11">
        <f t="shared" si="32"/>
        <v>0</v>
      </c>
      <c r="CT30" s="11">
        <f t="shared" si="32"/>
        <v>0</v>
      </c>
      <c r="CU30" s="272">
        <f t="shared" si="32"/>
        <v>5.6369999999999996</v>
      </c>
      <c r="CV30" s="249">
        <f t="shared" si="14"/>
        <v>66.826787499999995</v>
      </c>
      <c r="CW30" s="11">
        <f t="shared" si="14"/>
        <v>0</v>
      </c>
      <c r="CX30" s="252">
        <f t="shared" si="14"/>
        <v>0</v>
      </c>
      <c r="CY30" s="272">
        <f t="shared" si="14"/>
        <v>108.6501025</v>
      </c>
      <c r="CZ30" s="13"/>
      <c r="DA30" s="240">
        <f>(D30+'[2]ноябрь 20'!D30)/(AY30+'[2]ноябрь 20'!BA30)</f>
        <v>2.1253188530540426</v>
      </c>
      <c r="DB30" s="241">
        <f>(T30+'[2]ноябрь 20'!T30)/(AY30+'[2]ноябрь 20'!BA30)</f>
        <v>1.2862633414984039</v>
      </c>
      <c r="DD30" s="292">
        <f t="shared" si="15"/>
        <v>11.246</v>
      </c>
      <c r="DE30" s="291">
        <v>0.18</v>
      </c>
      <c r="DF30" s="291">
        <v>15.09</v>
      </c>
      <c r="DG30" s="145">
        <f t="shared" si="16"/>
        <v>11.2257572</v>
      </c>
      <c r="DH30" s="293">
        <f t="shared" si="30"/>
        <v>2.2327227645709766</v>
      </c>
      <c r="DJ30" s="322"/>
    </row>
    <row r="31" spans="1:115" s="76" customFormat="1" ht="16.5" customHeight="1" thickBot="1">
      <c r="A31" s="144">
        <v>25</v>
      </c>
      <c r="B31" s="122">
        <f>'[1]ноябрь 20'!K30</f>
        <v>283.02800000000002</v>
      </c>
      <c r="C31" s="123">
        <f t="shared" si="17"/>
        <v>1.0849914849414191</v>
      </c>
      <c r="D31" s="145">
        <f t="shared" si="18"/>
        <v>279.95717030000003</v>
      </c>
      <c r="E31" s="125">
        <f t="shared" si="19"/>
        <v>40.0144293850785</v>
      </c>
      <c r="F31" s="146">
        <f t="shared" si="0"/>
        <v>2.0771417888410744</v>
      </c>
      <c r="G31" s="127">
        <v>19.43</v>
      </c>
      <c r="H31" s="126">
        <f t="shared" si="20"/>
        <v>1.6163538381065439</v>
      </c>
      <c r="I31" s="230">
        <f>'[1]июль 20'!AI30</f>
        <v>0</v>
      </c>
      <c r="J31" s="247">
        <f>'[1]ноябрь 20'!AA30</f>
        <v>11.159000000000001</v>
      </c>
      <c r="K31" s="464">
        <f>'[1]сентябрь 20'!AM30</f>
        <v>0</v>
      </c>
      <c r="L31" s="446">
        <f>'[1]ноябрь 20'!AE30</f>
        <v>62.104999999999997</v>
      </c>
      <c r="M31" s="469">
        <f t="shared" si="21"/>
        <v>0.46078795073453033</v>
      </c>
      <c r="N31" s="403">
        <f>'[1]ноябрь 20'!W30</f>
        <v>0</v>
      </c>
      <c r="O31" s="403">
        <f>'[1]ноябрь 20'!AU30</f>
        <v>7.8470000000000004</v>
      </c>
      <c r="P31" s="401">
        <f t="shared" si="1"/>
        <v>181.55500000000001</v>
      </c>
      <c r="Q31" s="122">
        <f>'[1]ноябрь 20'!S30</f>
        <v>181.55500000000001</v>
      </c>
      <c r="R31" s="123">
        <f>IF(Q31=0,0,(CI31*CM31+CG31*CK31+CH31*CL31+CF31*CJ31)/Q31)</f>
        <v>2.7999999999999994</v>
      </c>
      <c r="S31" s="129">
        <v>3.07</v>
      </c>
      <c r="T31" s="125">
        <f t="shared" si="2"/>
        <v>176.47146000000001</v>
      </c>
      <c r="U31" s="147">
        <f t="shared" si="3"/>
        <v>1.3093297225107583</v>
      </c>
      <c r="V31" s="130">
        <v>134.78</v>
      </c>
      <c r="W31" s="130">
        <v>106.31</v>
      </c>
      <c r="X31" s="129">
        <v>0.71</v>
      </c>
      <c r="Y31" s="150">
        <v>550</v>
      </c>
      <c r="Z31" s="150">
        <v>1160</v>
      </c>
      <c r="AA31" s="148" t="s">
        <v>114</v>
      </c>
      <c r="AB31" s="149">
        <v>76.25</v>
      </c>
      <c r="AC31" s="150">
        <v>113</v>
      </c>
      <c r="AD31" s="151">
        <v>5</v>
      </c>
      <c r="AE31" s="149"/>
      <c r="AF31" s="134">
        <f t="shared" si="4"/>
        <v>0</v>
      </c>
      <c r="AG31" s="152"/>
      <c r="AH31" s="129">
        <v>96.1</v>
      </c>
      <c r="AI31" s="134">
        <f t="shared" si="5"/>
        <v>713.01380026710194</v>
      </c>
      <c r="AJ31" s="136">
        <v>14.68</v>
      </c>
      <c r="AK31" s="154"/>
      <c r="AL31" s="155">
        <v>8.42</v>
      </c>
      <c r="AM31" s="478">
        <f t="shared" si="31"/>
        <v>35.22</v>
      </c>
      <c r="AN31" s="126">
        <f t="shared" si="24"/>
        <v>0.2</v>
      </c>
      <c r="AO31" s="157" t="s">
        <v>351</v>
      </c>
      <c r="AP31" s="156">
        <v>7.22</v>
      </c>
      <c r="AQ31" s="156">
        <v>8.76</v>
      </c>
      <c r="AR31" s="151"/>
      <c r="AS31" s="149">
        <v>8.76</v>
      </c>
      <c r="AT31" s="149">
        <v>176.1</v>
      </c>
      <c r="AU31" s="149">
        <v>2.3199999999999998</v>
      </c>
      <c r="AV31" s="164"/>
      <c r="AW31" s="149"/>
      <c r="AX31" s="158">
        <f t="shared" si="6"/>
        <v>0</v>
      </c>
      <c r="AY31" s="125">
        <f t="shared" si="7"/>
        <v>134.78</v>
      </c>
      <c r="AZ31" s="125">
        <f t="shared" si="25"/>
        <v>130.24698572177243</v>
      </c>
      <c r="BA31" s="159">
        <f t="shared" si="8"/>
        <v>6.5212647887323936</v>
      </c>
      <c r="BB31" s="160">
        <f t="shared" si="9"/>
        <v>5.3912000000000004</v>
      </c>
      <c r="BC31" s="161">
        <f t="shared" si="10"/>
        <v>0.91739649542672763</v>
      </c>
      <c r="BD31" s="160">
        <f t="shared" si="26"/>
        <v>11.912464788732393</v>
      </c>
      <c r="BE31" s="162">
        <v>0.89100000000000001</v>
      </c>
      <c r="BF31" s="25">
        <f t="shared" si="27"/>
        <v>2990.11</v>
      </c>
      <c r="BG31" s="25">
        <f t="shared" si="11"/>
        <v>125.66666666666667</v>
      </c>
      <c r="BH31" s="25">
        <f t="shared" si="28"/>
        <v>3141.6666666666661</v>
      </c>
      <c r="BI31" s="26">
        <f t="shared" si="12"/>
        <v>1</v>
      </c>
      <c r="BJ31" s="37">
        <f t="shared" si="29"/>
        <v>3141.6666666666661</v>
      </c>
      <c r="BK31" s="38">
        <v>220.923</v>
      </c>
      <c r="BL31" s="31"/>
      <c r="BM31" s="31"/>
      <c r="BN31" s="31">
        <v>56.491999999999997</v>
      </c>
      <c r="BO31" s="40"/>
      <c r="BP31" s="40"/>
      <c r="BQ31" s="32">
        <v>5.6130000000000004</v>
      </c>
      <c r="BR31" s="33">
        <v>1.39</v>
      </c>
      <c r="BS31" s="34"/>
      <c r="BT31" s="35"/>
      <c r="BU31" s="35"/>
      <c r="BV31" s="235"/>
      <c r="BW31" s="235"/>
      <c r="BX31" s="36"/>
      <c r="BY31" s="33">
        <v>38.94</v>
      </c>
      <c r="BZ31" s="34"/>
      <c r="CA31" s="35"/>
      <c r="CB31" s="35">
        <v>43.85</v>
      </c>
      <c r="CC31" s="235"/>
      <c r="CD31" s="235"/>
      <c r="CE31" s="36">
        <v>43.7</v>
      </c>
      <c r="CF31" s="30">
        <v>68.972999999999999</v>
      </c>
      <c r="CG31" s="30"/>
      <c r="CH31" s="31"/>
      <c r="CI31" s="32">
        <v>112.58199999999999</v>
      </c>
      <c r="CJ31" s="33">
        <v>2.8</v>
      </c>
      <c r="CK31" s="33"/>
      <c r="CL31" s="35"/>
      <c r="CM31" s="36">
        <v>2.8</v>
      </c>
      <c r="CN31" s="286"/>
      <c r="CO31" s="249">
        <f t="shared" si="32"/>
        <v>217.85217029999998</v>
      </c>
      <c r="CP31" s="12">
        <f t="shared" si="32"/>
        <v>0</v>
      </c>
      <c r="CQ31" s="12">
        <f t="shared" si="32"/>
        <v>0</v>
      </c>
      <c r="CR31" s="12">
        <f t="shared" si="32"/>
        <v>56.491999999999997</v>
      </c>
      <c r="CS31" s="11">
        <f t="shared" si="32"/>
        <v>0</v>
      </c>
      <c r="CT31" s="11">
        <f t="shared" si="32"/>
        <v>0</v>
      </c>
      <c r="CU31" s="272">
        <f t="shared" si="32"/>
        <v>5.6130000000000004</v>
      </c>
      <c r="CV31" s="249">
        <f t="shared" si="14"/>
        <v>67.041755999999992</v>
      </c>
      <c r="CW31" s="12">
        <f t="shared" si="14"/>
        <v>0</v>
      </c>
      <c r="CX31" s="249">
        <f t="shared" si="14"/>
        <v>0</v>
      </c>
      <c r="CY31" s="272">
        <f t="shared" si="14"/>
        <v>109.42970399999999</v>
      </c>
      <c r="CZ31" s="13"/>
      <c r="DA31" s="240">
        <f>(D31+'[2]ноябрь 20'!D31)/(AY31+'[2]ноябрь 20'!BA31)</f>
        <v>2.1292730923078373</v>
      </c>
      <c r="DB31" s="241">
        <f>(T31+'[2]ноябрь 20'!T31)/(AY31+'[2]ноябрь 20'!BA31)</f>
        <v>1.2860207635750187</v>
      </c>
      <c r="DD31" s="292">
        <f t="shared" si="15"/>
        <v>11.159000000000001</v>
      </c>
      <c r="DE31" s="291">
        <v>0.04</v>
      </c>
      <c r="DF31" s="291">
        <v>13.6</v>
      </c>
      <c r="DG31" s="145">
        <f t="shared" si="16"/>
        <v>11.1545364</v>
      </c>
      <c r="DH31" s="293">
        <f t="shared" si="30"/>
        <v>1.9895304267540985</v>
      </c>
      <c r="DJ31" s="322"/>
    </row>
    <row r="32" spans="1:115" s="76" customFormat="1" ht="16.5" customHeight="1" thickBot="1">
      <c r="A32" s="144">
        <v>26</v>
      </c>
      <c r="B32" s="122">
        <f>'[1]ноябрь 20'!K31</f>
        <v>295.08300000000003</v>
      </c>
      <c r="C32" s="123">
        <f t="shared" si="17"/>
        <v>1.5602389836080015</v>
      </c>
      <c r="D32" s="145">
        <f t="shared" si="18"/>
        <v>290.47900000000004</v>
      </c>
      <c r="E32" s="125">
        <f t="shared" si="19"/>
        <v>40.434704777977707</v>
      </c>
      <c r="F32" s="146">
        <f t="shared" si="0"/>
        <v>2.2069518310287193</v>
      </c>
      <c r="G32" s="127">
        <v>9.8699999999999992</v>
      </c>
      <c r="H32" s="126">
        <f t="shared" si="20"/>
        <v>1.7139948336119128</v>
      </c>
      <c r="I32" s="230">
        <f>'[1]июль 20'!AI31</f>
        <v>0</v>
      </c>
      <c r="J32" s="247">
        <f>'[1]ноябрь 20'!AA31</f>
        <v>11.0801</v>
      </c>
      <c r="K32" s="464">
        <f>'[1]сентябрь 20'!AM31</f>
        <v>0</v>
      </c>
      <c r="L32" s="446">
        <f>'[1]ноябрь 20'!AE31</f>
        <v>64.882999999999996</v>
      </c>
      <c r="M32" s="468">
        <f t="shared" si="21"/>
        <v>0.49295699741680593</v>
      </c>
      <c r="N32" s="403">
        <f>'[1]ноябрь 20'!W31</f>
        <v>0</v>
      </c>
      <c r="O32" s="403">
        <f>'[1]ноябрь 20'!AU31</f>
        <v>8.2750000000000004</v>
      </c>
      <c r="P32" s="401">
        <f t="shared" si="1"/>
        <v>187.005</v>
      </c>
      <c r="Q32" s="122">
        <f>'[1]ноябрь 20'!S31</f>
        <v>187.005</v>
      </c>
      <c r="R32" s="123">
        <f t="shared" si="22"/>
        <v>2.83</v>
      </c>
      <c r="S32" s="129">
        <v>6.03</v>
      </c>
      <c r="T32" s="125">
        <f t="shared" si="2"/>
        <v>181.71275850000001</v>
      </c>
      <c r="U32" s="147">
        <f t="shared" si="3"/>
        <v>1.3805862216988301</v>
      </c>
      <c r="V32" s="130">
        <v>131.62</v>
      </c>
      <c r="W32" s="130">
        <v>55.05</v>
      </c>
      <c r="X32" s="129">
        <v>1.1599999999999999</v>
      </c>
      <c r="Y32" s="150">
        <v>546</v>
      </c>
      <c r="Z32" s="150">
        <v>1174</v>
      </c>
      <c r="AA32" s="148" t="s">
        <v>195</v>
      </c>
      <c r="AB32" s="149">
        <v>75.56</v>
      </c>
      <c r="AC32" s="150">
        <v>118</v>
      </c>
      <c r="AD32" s="151">
        <v>5</v>
      </c>
      <c r="AE32" s="149">
        <v>5.55</v>
      </c>
      <c r="AF32" s="134">
        <f t="shared" si="4"/>
        <v>42.166843944689255</v>
      </c>
      <c r="AG32" s="152"/>
      <c r="AH32" s="129">
        <v>77.2</v>
      </c>
      <c r="AI32" s="134">
        <f t="shared" si="5"/>
        <v>586.53700045585776</v>
      </c>
      <c r="AJ32" s="153">
        <v>24.66</v>
      </c>
      <c r="AK32" s="154"/>
      <c r="AL32" s="155">
        <v>8.91</v>
      </c>
      <c r="AM32" s="478">
        <f t="shared" si="31"/>
        <v>34.6</v>
      </c>
      <c r="AN32" s="126">
        <f t="shared" si="24"/>
        <v>0.2</v>
      </c>
      <c r="AO32" s="157" t="s">
        <v>452</v>
      </c>
      <c r="AP32" s="156">
        <v>7.42</v>
      </c>
      <c r="AQ32" s="156">
        <v>8.52</v>
      </c>
      <c r="AR32" s="151"/>
      <c r="AS32" s="149">
        <v>11.01</v>
      </c>
      <c r="AT32" s="149">
        <v>173</v>
      </c>
      <c r="AU32" s="149">
        <v>2.13</v>
      </c>
      <c r="AV32" s="149"/>
      <c r="AW32" s="149"/>
      <c r="AX32" s="158">
        <f t="shared" si="6"/>
        <v>0</v>
      </c>
      <c r="AY32" s="125">
        <f t="shared" si="7"/>
        <v>131.62</v>
      </c>
      <c r="AZ32" s="125">
        <f t="shared" si="25"/>
        <v>137.70979131384871</v>
      </c>
      <c r="BA32" s="159">
        <f t="shared" si="8"/>
        <v>6.58429014084507</v>
      </c>
      <c r="BB32" s="160">
        <f t="shared" si="9"/>
        <v>5.2648000000000001</v>
      </c>
      <c r="BC32" s="161">
        <f t="shared" si="10"/>
        <v>0.84672974856696503</v>
      </c>
      <c r="BD32" s="160">
        <f t="shared" si="26"/>
        <v>11.849090140845071</v>
      </c>
      <c r="BE32" s="162">
        <v>0.88900000000000001</v>
      </c>
      <c r="BF32" s="25">
        <f t="shared" si="27"/>
        <v>3121.73</v>
      </c>
      <c r="BG32" s="25">
        <f t="shared" si="11"/>
        <v>125.66666666666667</v>
      </c>
      <c r="BH32" s="25">
        <f t="shared" si="28"/>
        <v>3267.3333333333326</v>
      </c>
      <c r="BI32" s="26">
        <f t="shared" si="12"/>
        <v>1</v>
      </c>
      <c r="BJ32" s="37">
        <f t="shared" si="29"/>
        <v>3267.3333333333326</v>
      </c>
      <c r="BK32" s="38">
        <v>230.2</v>
      </c>
      <c r="BL32" s="31"/>
      <c r="BM32" s="31"/>
      <c r="BN32" s="31">
        <v>58.997999999999998</v>
      </c>
      <c r="BO32" s="40"/>
      <c r="BP32" s="40"/>
      <c r="BQ32" s="32">
        <v>5.8849999999999998</v>
      </c>
      <c r="BR32" s="33">
        <v>2</v>
      </c>
      <c r="BS32" s="34"/>
      <c r="BT32" s="35"/>
      <c r="BU32" s="35"/>
      <c r="BV32" s="235"/>
      <c r="BW32" s="235"/>
      <c r="BX32" s="36"/>
      <c r="BY32" s="33">
        <v>39.51</v>
      </c>
      <c r="BZ32" s="34"/>
      <c r="CA32" s="35"/>
      <c r="CB32" s="35">
        <v>43.73</v>
      </c>
      <c r="CC32" s="235"/>
      <c r="CD32" s="235"/>
      <c r="CE32" s="36">
        <v>43.57</v>
      </c>
      <c r="CF32" s="30">
        <v>71.962000000000003</v>
      </c>
      <c r="CG32" s="30"/>
      <c r="CH32" s="31"/>
      <c r="CI32" s="50">
        <v>115.04300000000001</v>
      </c>
      <c r="CJ32" s="33">
        <v>2.83</v>
      </c>
      <c r="CK32" s="33"/>
      <c r="CL32" s="35"/>
      <c r="CM32" s="36">
        <v>2.83</v>
      </c>
      <c r="CN32" s="286"/>
      <c r="CO32" s="249">
        <f t="shared" si="32"/>
        <v>225.59599999999998</v>
      </c>
      <c r="CP32" s="12">
        <f t="shared" si="32"/>
        <v>0</v>
      </c>
      <c r="CQ32" s="12">
        <f t="shared" si="32"/>
        <v>0</v>
      </c>
      <c r="CR32" s="12">
        <f t="shared" si="32"/>
        <v>58.997999999999998</v>
      </c>
      <c r="CS32" s="11">
        <f t="shared" si="32"/>
        <v>0</v>
      </c>
      <c r="CT32" s="11">
        <f t="shared" si="32"/>
        <v>0</v>
      </c>
      <c r="CU32" s="272">
        <f t="shared" si="32"/>
        <v>5.8849999999999998</v>
      </c>
      <c r="CV32" s="249">
        <f t="shared" si="14"/>
        <v>69.92547540000001</v>
      </c>
      <c r="CW32" s="11">
        <f t="shared" si="14"/>
        <v>0</v>
      </c>
      <c r="CX32" s="249">
        <f t="shared" si="14"/>
        <v>0</v>
      </c>
      <c r="CY32" s="272">
        <f t="shared" si="14"/>
        <v>111.78728310000001</v>
      </c>
      <c r="CZ32" s="13"/>
      <c r="DA32" s="240">
        <f>(D32+'[2]ноябрь 20'!D32)/(AY32+'[2]ноябрь 20'!BA32)</f>
        <v>2.157709432674745</v>
      </c>
      <c r="DB32" s="241">
        <f>(T32+'[2]ноябрь 20'!T32)/(AY32+'[2]ноябрь 20'!BA32)</f>
        <v>1.3082963484166057</v>
      </c>
      <c r="DD32" s="292">
        <f t="shared" si="15"/>
        <v>11.0801</v>
      </c>
      <c r="DE32" s="291">
        <v>0.21</v>
      </c>
      <c r="DF32" s="291">
        <v>13.71</v>
      </c>
      <c r="DG32" s="145">
        <f t="shared" si="16"/>
        <v>11.05683179</v>
      </c>
      <c r="DH32" s="293">
        <f t="shared" si="30"/>
        <v>2.006209156179195</v>
      </c>
      <c r="DJ32" s="322"/>
    </row>
    <row r="33" spans="1:114" s="76" customFormat="1" ht="16.5" customHeight="1" thickBot="1">
      <c r="A33" s="144">
        <v>27</v>
      </c>
      <c r="B33" s="122">
        <f>'[1]ноябрь 20'!K32</f>
        <v>275.26299999999998</v>
      </c>
      <c r="C33" s="123">
        <f t="shared" si="17"/>
        <v>1.5655652230775658</v>
      </c>
      <c r="D33" s="145">
        <f t="shared" si="18"/>
        <v>270.95357819999998</v>
      </c>
      <c r="E33" s="125">
        <f t="shared" si="19"/>
        <v>39.861368436731425</v>
      </c>
      <c r="F33" s="146">
        <f t="shared" si="0"/>
        <v>1.9928918667255076</v>
      </c>
      <c r="G33" s="127">
        <v>21.42</v>
      </c>
      <c r="H33" s="126">
        <f t="shared" si="20"/>
        <v>1.4704955736981469</v>
      </c>
      <c r="I33" s="230">
        <f>'[1]июль 20'!AI32</f>
        <v>0</v>
      </c>
      <c r="J33" s="247">
        <f>'[1]ноябрь 20'!AA32</f>
        <v>10.952</v>
      </c>
      <c r="K33" s="464">
        <f>'[1]сентябрь 20'!AM32</f>
        <v>0</v>
      </c>
      <c r="L33" s="446">
        <f>'[1]ноябрь 20'!AE32</f>
        <v>71.025000000000006</v>
      </c>
      <c r="M33" s="469">
        <f t="shared" si="21"/>
        <v>0.52239629302736112</v>
      </c>
      <c r="N33" s="403">
        <f>'[1]ноябрь 20'!W32</f>
        <v>0</v>
      </c>
      <c r="O33" s="403">
        <f>'[1]ноябрь 20'!AU32</f>
        <v>6.665</v>
      </c>
      <c r="P33" s="401">
        <f t="shared" si="1"/>
        <v>172.91300000000001</v>
      </c>
      <c r="Q33" s="122">
        <f>'[1]ноябрь 20'!S32</f>
        <v>172.91300000000001</v>
      </c>
      <c r="R33" s="123">
        <f t="shared" si="22"/>
        <v>2.91</v>
      </c>
      <c r="S33" s="129">
        <v>26.77</v>
      </c>
      <c r="T33" s="125">
        <f t="shared" si="2"/>
        <v>167.8812317</v>
      </c>
      <c r="U33" s="147">
        <f t="shared" si="3"/>
        <v>1.2347839930862021</v>
      </c>
      <c r="V33" s="130">
        <v>110.11</v>
      </c>
      <c r="W33" s="130">
        <v>110.7</v>
      </c>
      <c r="X33" s="129">
        <v>0.74</v>
      </c>
      <c r="Y33" s="150">
        <v>547</v>
      </c>
      <c r="Z33" s="150">
        <v>1167</v>
      </c>
      <c r="AA33" s="148" t="s">
        <v>120</v>
      </c>
      <c r="AB33" s="149">
        <v>75.489999999999995</v>
      </c>
      <c r="AC33" s="150">
        <v>110</v>
      </c>
      <c r="AD33" s="151">
        <v>5</v>
      </c>
      <c r="AE33" s="149">
        <v>2.2999999999999998</v>
      </c>
      <c r="AF33" s="134">
        <f t="shared" si="4"/>
        <v>16.916740217711091</v>
      </c>
      <c r="AG33" s="152"/>
      <c r="AH33" s="129">
        <v>92.45</v>
      </c>
      <c r="AI33" s="134">
        <f t="shared" si="5"/>
        <v>679.97940570756123</v>
      </c>
      <c r="AJ33" s="136">
        <v>18.98</v>
      </c>
      <c r="AK33" s="154"/>
      <c r="AL33" s="155">
        <v>9.02</v>
      </c>
      <c r="AM33" s="478">
        <f t="shared" si="31"/>
        <v>35.46</v>
      </c>
      <c r="AN33" s="126">
        <f t="shared" si="24"/>
        <v>0.19999999999999998</v>
      </c>
      <c r="AO33" s="157" t="s">
        <v>362</v>
      </c>
      <c r="AP33" s="156">
        <v>6.97</v>
      </c>
      <c r="AQ33" s="156">
        <v>9.11</v>
      </c>
      <c r="AR33" s="151"/>
      <c r="AS33" s="149">
        <v>9.8699999999999992</v>
      </c>
      <c r="AT33" s="149">
        <v>177.3</v>
      </c>
      <c r="AU33" s="149">
        <v>3.14</v>
      </c>
      <c r="AV33" s="149"/>
      <c r="AW33" s="149"/>
      <c r="AX33" s="158">
        <f t="shared" si="6"/>
        <v>0</v>
      </c>
      <c r="AY33" s="125">
        <f t="shared" si="7"/>
        <v>135.95999999999998</v>
      </c>
      <c r="AZ33" s="125">
        <f t="shared" si="25"/>
        <v>128.01980476187629</v>
      </c>
      <c r="BA33" s="159">
        <f t="shared" si="8"/>
        <v>7.0685186619718303</v>
      </c>
      <c r="BB33" s="160">
        <f t="shared" si="9"/>
        <v>5.4383999999999997</v>
      </c>
      <c r="BC33" s="161">
        <f t="shared" si="10"/>
        <v>0.95028415237854413</v>
      </c>
      <c r="BD33" s="160">
        <f t="shared" si="26"/>
        <v>12.506918661971831</v>
      </c>
      <c r="BE33" s="162">
        <v>0.89200000000000002</v>
      </c>
      <c r="BF33" s="25">
        <f t="shared" si="27"/>
        <v>3257.69</v>
      </c>
      <c r="BG33" s="25">
        <f t="shared" si="11"/>
        <v>125.66666666666667</v>
      </c>
      <c r="BH33" s="25">
        <f t="shared" si="28"/>
        <v>3392.9999999999991</v>
      </c>
      <c r="BI33" s="26">
        <f t="shared" si="12"/>
        <v>1</v>
      </c>
      <c r="BJ33" s="37">
        <f t="shared" si="29"/>
        <v>3392.9999999999991</v>
      </c>
      <c r="BK33" s="38">
        <v>204.238</v>
      </c>
      <c r="BL33" s="31"/>
      <c r="BM33" s="31"/>
      <c r="BN33" s="31">
        <v>54.991</v>
      </c>
      <c r="BO33" s="40"/>
      <c r="BP33" s="40"/>
      <c r="BQ33" s="32">
        <v>16.033999999999999</v>
      </c>
      <c r="BR33" s="33">
        <v>2.11</v>
      </c>
      <c r="BS33" s="34"/>
      <c r="BT33" s="35"/>
      <c r="BU33" s="35"/>
      <c r="BV33" s="235"/>
      <c r="BW33" s="235"/>
      <c r="BX33" s="36"/>
      <c r="BY33" s="33">
        <v>38.42</v>
      </c>
      <c r="BZ33" s="34"/>
      <c r="CA33" s="35"/>
      <c r="CB33" s="35">
        <v>44.04</v>
      </c>
      <c r="CC33" s="235"/>
      <c r="CD33" s="235"/>
      <c r="CE33" s="36">
        <v>43.89</v>
      </c>
      <c r="CF33" s="30">
        <v>67.156000000000006</v>
      </c>
      <c r="CG33" s="30"/>
      <c r="CH33" s="31"/>
      <c r="CI33" s="32">
        <v>105.75700000000001</v>
      </c>
      <c r="CJ33" s="33">
        <v>2.91</v>
      </c>
      <c r="CK33" s="33"/>
      <c r="CL33" s="35"/>
      <c r="CM33" s="36">
        <v>2.91</v>
      </c>
      <c r="CN33" s="270"/>
      <c r="CO33" s="249">
        <f t="shared" si="32"/>
        <v>199.9285782</v>
      </c>
      <c r="CP33" s="12">
        <f t="shared" si="32"/>
        <v>0</v>
      </c>
      <c r="CQ33" s="12">
        <f t="shared" si="32"/>
        <v>0</v>
      </c>
      <c r="CR33" s="12">
        <f t="shared" si="32"/>
        <v>54.991</v>
      </c>
      <c r="CS33" s="11">
        <f t="shared" si="32"/>
        <v>0</v>
      </c>
      <c r="CT33" s="11">
        <f t="shared" si="32"/>
        <v>0</v>
      </c>
      <c r="CU33" s="272">
        <f t="shared" si="32"/>
        <v>16.033999999999999</v>
      </c>
      <c r="CV33" s="249">
        <f t="shared" si="14"/>
        <v>65.201760399999998</v>
      </c>
      <c r="CW33" s="12">
        <f t="shared" si="14"/>
        <v>0</v>
      </c>
      <c r="CX33" s="254">
        <f t="shared" si="14"/>
        <v>0</v>
      </c>
      <c r="CY33" s="275">
        <f t="shared" si="14"/>
        <v>102.6794713</v>
      </c>
      <c r="CZ33" s="13"/>
      <c r="DA33" s="240">
        <f>(D33+'[2]ноябрь 20'!D33)/(AY33+'[2]ноябрь 20'!BA33)</f>
        <v>2.0288709762478039</v>
      </c>
      <c r="DB33" s="241">
        <f>(T33+'[2]ноябрь 20'!T33)/(AY33+'[2]ноябрь 20'!BA33)</f>
        <v>1.2210352878245592</v>
      </c>
      <c r="DD33" s="292">
        <f t="shared" si="15"/>
        <v>10.952</v>
      </c>
      <c r="DE33" s="291">
        <v>1.08</v>
      </c>
      <c r="DF33" s="291">
        <v>21.72</v>
      </c>
      <c r="DG33" s="145">
        <f t="shared" si="16"/>
        <v>10.8337184</v>
      </c>
      <c r="DH33" s="293">
        <f t="shared" si="30"/>
        <v>3.1170799264538349</v>
      </c>
      <c r="DJ33" s="322"/>
    </row>
    <row r="34" spans="1:114" s="76" customFormat="1" ht="16.5" customHeight="1" thickBot="1">
      <c r="A34" s="144">
        <v>28</v>
      </c>
      <c r="B34" s="122">
        <f>'[1]ноябрь 20'!K33</f>
        <v>305.42899999999997</v>
      </c>
      <c r="C34" s="123">
        <f t="shared" si="17"/>
        <v>0.7772460375406397</v>
      </c>
      <c r="D34" s="145">
        <f t="shared" si="18"/>
        <v>303.0550652</v>
      </c>
      <c r="E34" s="125">
        <f t="shared" si="19"/>
        <v>40.35692331114597</v>
      </c>
      <c r="F34" s="146">
        <f t="shared" si="0"/>
        <v>2.1893878427972839</v>
      </c>
      <c r="G34" s="127">
        <v>20.149999999999999</v>
      </c>
      <c r="H34" s="126">
        <f t="shared" si="20"/>
        <v>1.5279155122092185</v>
      </c>
      <c r="I34" s="230">
        <f>'[1]июль 20'!AI33</f>
        <v>0</v>
      </c>
      <c r="J34" s="247">
        <f>'[1]ноябрь 20'!AA33</f>
        <v>12.154999999999999</v>
      </c>
      <c r="K34" s="464">
        <f>'[1]сентябрь 20'!AM33</f>
        <v>0</v>
      </c>
      <c r="L34" s="446">
        <f>'[1]ноябрь 20'!AE33</f>
        <v>91.561000000000007</v>
      </c>
      <c r="M34" s="468">
        <f t="shared" si="21"/>
        <v>0.66147233058806532</v>
      </c>
      <c r="N34" s="403">
        <f>'[1]ноябрь 20'!W33</f>
        <v>0</v>
      </c>
      <c r="O34" s="403">
        <f>'[1]ноябрь 20'!AU33</f>
        <v>6.1189999999999998</v>
      </c>
      <c r="P34" s="401">
        <f t="shared" si="1"/>
        <v>190.93199999999999</v>
      </c>
      <c r="Q34" s="122">
        <f>'[1]ноябрь 20'!S33</f>
        <v>190.93199999999999</v>
      </c>
      <c r="R34" s="123">
        <f t="shared" si="22"/>
        <v>3.14</v>
      </c>
      <c r="S34" s="129">
        <v>5.66</v>
      </c>
      <c r="T34" s="125">
        <f t="shared" si="2"/>
        <v>184.93673519999999</v>
      </c>
      <c r="U34" s="147">
        <f t="shared" si="3"/>
        <v>1.3360550151712181</v>
      </c>
      <c r="V34" s="169"/>
      <c r="W34" s="169">
        <v>109.89</v>
      </c>
      <c r="X34" s="170">
        <v>0.63</v>
      </c>
      <c r="Y34" s="166">
        <v>521</v>
      </c>
      <c r="Z34" s="166">
        <v>1169</v>
      </c>
      <c r="AA34" s="148" t="s">
        <v>116</v>
      </c>
      <c r="AB34" s="164">
        <v>74.599999999999994</v>
      </c>
      <c r="AC34" s="166">
        <v>122</v>
      </c>
      <c r="AD34" s="171">
        <v>5</v>
      </c>
      <c r="AE34" s="164"/>
      <c r="AF34" s="172">
        <f t="shared" si="4"/>
        <v>0</v>
      </c>
      <c r="AG34" s="173"/>
      <c r="AH34" s="170">
        <v>86.4</v>
      </c>
      <c r="AI34" s="134">
        <f t="shared" si="5"/>
        <v>624.18725617685311</v>
      </c>
      <c r="AJ34" s="174">
        <v>21.6</v>
      </c>
      <c r="AK34" s="175"/>
      <c r="AL34" s="176">
        <v>9.4600000000000009</v>
      </c>
      <c r="AM34" s="525">
        <f t="shared" si="31"/>
        <v>36.29</v>
      </c>
      <c r="AN34" s="126">
        <f t="shared" si="24"/>
        <v>0.2</v>
      </c>
      <c r="AO34" s="178" t="s">
        <v>372</v>
      </c>
      <c r="AP34" s="177">
        <v>7.52</v>
      </c>
      <c r="AQ34" s="177">
        <v>8.42</v>
      </c>
      <c r="AR34" s="171"/>
      <c r="AS34" s="164">
        <v>7.89</v>
      </c>
      <c r="AT34" s="149">
        <v>181.45</v>
      </c>
      <c r="AU34" s="164">
        <v>2.72</v>
      </c>
      <c r="AV34" s="164"/>
      <c r="AW34" s="164"/>
      <c r="AX34" s="179">
        <f t="shared" si="6"/>
        <v>0</v>
      </c>
      <c r="AY34" s="125">
        <f t="shared" si="7"/>
        <v>138.41999999999999</v>
      </c>
      <c r="AZ34" s="125">
        <f t="shared" si="25"/>
        <v>146.30609374978198</v>
      </c>
      <c r="BA34" s="159">
        <f t="shared" si="8"/>
        <v>5.2807436619718304</v>
      </c>
      <c r="BB34" s="159">
        <f t="shared" si="9"/>
        <v>5.5367999999999995</v>
      </c>
      <c r="BC34" s="180">
        <f t="shared" si="10"/>
        <v>0.84430250095566928</v>
      </c>
      <c r="BD34" s="159">
        <f t="shared" si="26"/>
        <v>10.817543661971829</v>
      </c>
      <c r="BE34" s="167">
        <v>0.89</v>
      </c>
      <c r="BF34" s="25">
        <f t="shared" si="27"/>
        <v>3396.11</v>
      </c>
      <c r="BG34" s="25">
        <f t="shared" si="11"/>
        <v>125.66666666666667</v>
      </c>
      <c r="BH34" s="25">
        <f t="shared" si="28"/>
        <v>3518.6666666666656</v>
      </c>
      <c r="BI34" s="26">
        <f t="shared" si="12"/>
        <v>1</v>
      </c>
      <c r="BJ34" s="37">
        <f t="shared" si="29"/>
        <v>3518.6666666666656</v>
      </c>
      <c r="BK34" s="38">
        <v>213.86799999999999</v>
      </c>
      <c r="BL34" s="30"/>
      <c r="BM34" s="43"/>
      <c r="BN34" s="43">
        <v>61.070999999999998</v>
      </c>
      <c r="BO34" s="281"/>
      <c r="BP34" s="281"/>
      <c r="BQ34" s="44">
        <v>30.49</v>
      </c>
      <c r="BR34" s="45">
        <v>1.1100000000000001</v>
      </c>
      <c r="BS34" s="46"/>
      <c r="BT34" s="47"/>
      <c r="BU34" s="47"/>
      <c r="BV34" s="283"/>
      <c r="BW34" s="283"/>
      <c r="BX34" s="48"/>
      <c r="BY34" s="45">
        <v>38.89</v>
      </c>
      <c r="BZ34" s="46"/>
      <c r="CA34" s="47"/>
      <c r="CB34" s="47">
        <v>43.81</v>
      </c>
      <c r="CC34" s="283"/>
      <c r="CD34" s="283"/>
      <c r="CE34" s="48">
        <v>43.73</v>
      </c>
      <c r="CF34" s="49">
        <v>74.480999999999995</v>
      </c>
      <c r="CG34" s="49"/>
      <c r="CH34" s="43"/>
      <c r="CI34" s="32">
        <v>116.45099999999999</v>
      </c>
      <c r="CJ34" s="33">
        <v>3.14</v>
      </c>
      <c r="CK34" s="33"/>
      <c r="CL34" s="35"/>
      <c r="CM34" s="36">
        <v>3.14</v>
      </c>
      <c r="CN34" s="270"/>
      <c r="CO34" s="249">
        <f t="shared" si="32"/>
        <v>211.49406519999999</v>
      </c>
      <c r="CP34" s="12">
        <f t="shared" si="32"/>
        <v>0</v>
      </c>
      <c r="CQ34" s="12">
        <f t="shared" si="32"/>
        <v>0</v>
      </c>
      <c r="CR34" s="12">
        <f t="shared" si="32"/>
        <v>61.070999999999998</v>
      </c>
      <c r="CS34" s="11">
        <f t="shared" si="32"/>
        <v>0</v>
      </c>
      <c r="CT34" s="11">
        <f t="shared" si="32"/>
        <v>0</v>
      </c>
      <c r="CU34" s="272">
        <f t="shared" si="32"/>
        <v>30.49</v>
      </c>
      <c r="CV34" s="249">
        <f t="shared" si="14"/>
        <v>72.142296599999995</v>
      </c>
      <c r="CW34" s="12">
        <f t="shared" si="14"/>
        <v>0</v>
      </c>
      <c r="CX34" s="249">
        <f t="shared" si="14"/>
        <v>0</v>
      </c>
      <c r="CY34" s="272">
        <f t="shared" si="14"/>
        <v>112.79443859999999</v>
      </c>
      <c r="CZ34" s="13"/>
      <c r="DA34" s="240">
        <f>(D34+'[2]ноябрь 20'!D34)/(AY34+'[2]ноябрь 20'!BA34)</f>
        <v>2.1148888302287614</v>
      </c>
      <c r="DB34" s="241">
        <f>(T34+'[2]ноябрь 20'!T34)/(AY34+'[2]ноябрь 20'!BA34)</f>
        <v>1.2606771315984449</v>
      </c>
      <c r="DD34" s="292">
        <f t="shared" si="15"/>
        <v>12.154999999999999</v>
      </c>
      <c r="DE34" s="291">
        <v>0.84</v>
      </c>
      <c r="DF34" s="291">
        <v>19.690000000000001</v>
      </c>
      <c r="DG34" s="145">
        <f t="shared" si="16"/>
        <v>12.052897999999999</v>
      </c>
      <c r="DH34" s="293">
        <f t="shared" si="30"/>
        <v>3.1812541772117964</v>
      </c>
      <c r="DJ34" s="322"/>
    </row>
    <row r="35" spans="1:114" s="76" customFormat="1" ht="16.5" customHeight="1" thickBot="1">
      <c r="A35" s="144">
        <v>29</v>
      </c>
      <c r="B35" s="122">
        <f>'[1]ноябрь 20'!K34</f>
        <v>298.84699999999998</v>
      </c>
      <c r="C35" s="123">
        <f t="shared" si="17"/>
        <v>1.1734766619708412</v>
      </c>
      <c r="D35" s="145">
        <f t="shared" si="18"/>
        <v>295.34010019999999</v>
      </c>
      <c r="E35" s="125">
        <f t="shared" si="19"/>
        <v>40.729080097842711</v>
      </c>
      <c r="F35" s="146">
        <f t="shared" si="0"/>
        <v>2.2015661587774882</v>
      </c>
      <c r="G35" s="127">
        <v>13.4</v>
      </c>
      <c r="H35" s="126">
        <f t="shared" si="20"/>
        <v>1.5392254953410363</v>
      </c>
      <c r="I35" s="230">
        <f>'[1]июль 20'!AI34</f>
        <v>0</v>
      </c>
      <c r="J35" s="247">
        <f>'[1]ноябрь 20'!AA34</f>
        <v>12.084</v>
      </c>
      <c r="K35" s="464">
        <f>'[1]сентябрь 20'!AM34</f>
        <v>0</v>
      </c>
      <c r="L35" s="446">
        <f>'[1]ноябрь 20'!AE34</f>
        <v>88.852999999999994</v>
      </c>
      <c r="M35" s="469">
        <f t="shared" si="21"/>
        <v>0.66234066343645182</v>
      </c>
      <c r="N35" s="403">
        <f>'[1]ноябрь 20'!W34</f>
        <v>0</v>
      </c>
      <c r="O35" s="403">
        <f>'[1]ноябрь 20'!AU34</f>
        <v>6.1470000000000002</v>
      </c>
      <c r="P35" s="401">
        <f t="shared" si="1"/>
        <v>188.38900000000001</v>
      </c>
      <c r="Q35" s="122">
        <f>'[1]ноябрь 20'!S34</f>
        <v>188.38900000000001</v>
      </c>
      <c r="R35" s="123">
        <f t="shared" si="22"/>
        <v>3.0299999999999994</v>
      </c>
      <c r="S35" s="129"/>
      <c r="T35" s="125">
        <f t="shared" si="2"/>
        <v>182.68081330000001</v>
      </c>
      <c r="U35" s="147">
        <f t="shared" si="3"/>
        <v>1.3617652873648904</v>
      </c>
      <c r="V35" s="130">
        <v>76.72</v>
      </c>
      <c r="W35" s="130">
        <v>134.15</v>
      </c>
      <c r="X35" s="129">
        <v>0.56999999999999995</v>
      </c>
      <c r="Y35" s="150">
        <v>520</v>
      </c>
      <c r="Z35" s="150">
        <v>1170</v>
      </c>
      <c r="AA35" s="148" t="s">
        <v>120</v>
      </c>
      <c r="AB35" s="149">
        <v>74.680000000000007</v>
      </c>
      <c r="AC35" s="150">
        <v>119</v>
      </c>
      <c r="AD35" s="151">
        <v>5</v>
      </c>
      <c r="AE35" s="181"/>
      <c r="AF35" s="134">
        <f t="shared" si="4"/>
        <v>0</v>
      </c>
      <c r="AG35" s="182"/>
      <c r="AH35" s="129">
        <v>80.5</v>
      </c>
      <c r="AI35" s="134">
        <f t="shared" si="5"/>
        <v>600.07454342154324</v>
      </c>
      <c r="AJ35" s="136">
        <v>19.25</v>
      </c>
      <c r="AK35" s="154"/>
      <c r="AL35" s="526">
        <v>7.09</v>
      </c>
      <c r="AM35" s="528">
        <f t="shared" si="31"/>
        <v>34.770000000000003</v>
      </c>
      <c r="AN35" s="527">
        <f t="shared" si="24"/>
        <v>0.2</v>
      </c>
      <c r="AO35" s="184" t="s">
        <v>407</v>
      </c>
      <c r="AP35" s="183">
        <v>7.16</v>
      </c>
      <c r="AQ35" s="183">
        <v>7.84</v>
      </c>
      <c r="AR35" s="185"/>
      <c r="AS35" s="181">
        <v>9.59</v>
      </c>
      <c r="AT35" s="149">
        <v>173.85</v>
      </c>
      <c r="AU35" s="181">
        <v>2.16</v>
      </c>
      <c r="AV35" s="149"/>
      <c r="AW35" s="149"/>
      <c r="AX35" s="158">
        <f t="shared" si="6"/>
        <v>0</v>
      </c>
      <c r="AY35" s="125">
        <f t="shared" si="7"/>
        <v>134.14999999999998</v>
      </c>
      <c r="AZ35" s="125">
        <f t="shared" si="25"/>
        <v>143.27395345817558</v>
      </c>
      <c r="BA35" s="159">
        <f t="shared" si="8"/>
        <v>5.9802429577464782</v>
      </c>
      <c r="BB35" s="160">
        <f t="shared" si="9"/>
        <v>5.3659999999999988</v>
      </c>
      <c r="BC35" s="161">
        <f t="shared" si="10"/>
        <v>0.83285225723831613</v>
      </c>
      <c r="BD35" s="160">
        <f t="shared" si="26"/>
        <v>11.346242957746476</v>
      </c>
      <c r="BE35" s="162">
        <v>0.88700000000000001</v>
      </c>
      <c r="BF35" s="25">
        <f t="shared" si="27"/>
        <v>3530.26</v>
      </c>
      <c r="BG35" s="25">
        <f t="shared" si="11"/>
        <v>125.66666666666667</v>
      </c>
      <c r="BH35" s="25">
        <f t="shared" si="28"/>
        <v>3644.3333333333321</v>
      </c>
      <c r="BI35" s="26">
        <f t="shared" si="12"/>
        <v>1</v>
      </c>
      <c r="BJ35" s="37">
        <f t="shared" si="29"/>
        <v>3644.3333333333321</v>
      </c>
      <c r="BK35" s="38">
        <v>209.994</v>
      </c>
      <c r="BL35" s="31"/>
      <c r="BM35" s="31"/>
      <c r="BN35" s="31">
        <v>59.780999999999999</v>
      </c>
      <c r="BO35" s="40"/>
      <c r="BP35" s="40"/>
      <c r="BQ35" s="32">
        <v>29.071999999999999</v>
      </c>
      <c r="BR35" s="33">
        <v>1.67</v>
      </c>
      <c r="BS35" s="34"/>
      <c r="BT35" s="35"/>
      <c r="BU35" s="35"/>
      <c r="BV35" s="235"/>
      <c r="BW35" s="235"/>
      <c r="BX35" s="36"/>
      <c r="BY35" s="33">
        <v>39.36</v>
      </c>
      <c r="BZ35" s="34"/>
      <c r="CA35" s="35"/>
      <c r="CB35" s="35">
        <v>44.04</v>
      </c>
      <c r="CC35" s="235"/>
      <c r="CD35" s="235"/>
      <c r="CE35" s="36">
        <v>43.81</v>
      </c>
      <c r="CF35" s="30">
        <v>73.426000000000002</v>
      </c>
      <c r="CG35" s="30"/>
      <c r="CH35" s="31"/>
      <c r="CI35" s="50">
        <v>114.96299999999999</v>
      </c>
      <c r="CJ35" s="33">
        <v>3.03</v>
      </c>
      <c r="CK35" s="33"/>
      <c r="CL35" s="35"/>
      <c r="CM35" s="36">
        <v>3.03</v>
      </c>
      <c r="CN35" s="270"/>
      <c r="CO35" s="249">
        <f t="shared" si="32"/>
        <v>206.48710019999999</v>
      </c>
      <c r="CP35" s="12">
        <f t="shared" si="32"/>
        <v>0</v>
      </c>
      <c r="CQ35" s="12">
        <f t="shared" si="32"/>
        <v>0</v>
      </c>
      <c r="CR35" s="12">
        <f t="shared" si="32"/>
        <v>59.780999999999999</v>
      </c>
      <c r="CS35" s="11">
        <f t="shared" si="32"/>
        <v>0</v>
      </c>
      <c r="CT35" s="11">
        <f t="shared" si="32"/>
        <v>0</v>
      </c>
      <c r="CU35" s="272">
        <f t="shared" si="32"/>
        <v>29.071999999999999</v>
      </c>
      <c r="CV35" s="249">
        <f t="shared" si="14"/>
        <v>71.201192200000008</v>
      </c>
      <c r="CW35" s="12">
        <f t="shared" si="14"/>
        <v>0</v>
      </c>
      <c r="CX35" s="249">
        <f t="shared" si="14"/>
        <v>0</v>
      </c>
      <c r="CY35" s="272">
        <f t="shared" si="14"/>
        <v>111.47962109999999</v>
      </c>
      <c r="CZ35" s="13"/>
      <c r="DA35" s="240">
        <f>(D35+'[2]ноябрь 20'!D35)/(AY35+'[2]ноябрь 20'!BA35)</f>
        <v>2.1787397523256198</v>
      </c>
      <c r="DB35" s="241">
        <f>(T35+'[2]ноябрь 20'!T35)/(AY35+'[2]ноябрь 20'!BA35)</f>
        <v>1.3125178865153642</v>
      </c>
      <c r="DD35" s="292">
        <f t="shared" si="15"/>
        <v>12.084</v>
      </c>
      <c r="DE35" s="291">
        <v>0.11</v>
      </c>
      <c r="DF35" s="291">
        <v>16.440000000000001</v>
      </c>
      <c r="DG35" s="145">
        <f t="shared" si="16"/>
        <v>12.0707076</v>
      </c>
      <c r="DH35" s="293">
        <f t="shared" si="30"/>
        <v>2.6572366489555441</v>
      </c>
      <c r="DJ35" s="322"/>
    </row>
    <row r="36" spans="1:114" s="76" customFormat="1" ht="16.5" customHeight="1" thickBot="1">
      <c r="A36" s="144">
        <v>30</v>
      </c>
      <c r="B36" s="122">
        <f>'[1]ноябрь 20'!K35</f>
        <v>295.26799999999997</v>
      </c>
      <c r="C36" s="123">
        <f t="shared" si="17"/>
        <v>0.91022366121625098</v>
      </c>
      <c r="D36" s="145">
        <f t="shared" si="18"/>
        <v>292.58040080000001</v>
      </c>
      <c r="E36" s="125">
        <f t="shared" si="19"/>
        <v>40.197296760908742</v>
      </c>
      <c r="F36" s="146">
        <f t="shared" si="0"/>
        <v>2.2643789242318704</v>
      </c>
      <c r="G36" s="127">
        <v>30.51</v>
      </c>
      <c r="H36" s="126">
        <f t="shared" si="20"/>
        <v>1.6702763005959287</v>
      </c>
      <c r="I36" s="230">
        <f>'[1]июль 20'!AI35</f>
        <v>0</v>
      </c>
      <c r="J36" s="247">
        <f>'[1]ноябрь 20'!AA35</f>
        <v>11.685</v>
      </c>
      <c r="K36" s="464">
        <f>'[1]сентябрь 20'!AM35</f>
        <v>0</v>
      </c>
      <c r="L36" s="446">
        <f>'[1]ноябрь 20'!AE35</f>
        <v>76.763999999999996</v>
      </c>
      <c r="M36" s="468">
        <f t="shared" si="21"/>
        <v>0.59410262363594157</v>
      </c>
      <c r="N36" s="403">
        <f>'[1]ноябрь 20'!W35</f>
        <v>0</v>
      </c>
      <c r="O36" s="403">
        <f>'[1]ноябрь 20'!AU35</f>
        <v>6.3959999999999999</v>
      </c>
      <c r="P36" s="401">
        <f t="shared" si="1"/>
        <v>184.96800000000002</v>
      </c>
      <c r="Q36" s="122">
        <f>'[1]ноябрь 20'!S35</f>
        <v>184.96799999999999</v>
      </c>
      <c r="R36" s="123">
        <f t="shared" si="22"/>
        <v>3.15</v>
      </c>
      <c r="S36" s="129">
        <v>18.63</v>
      </c>
      <c r="T36" s="125">
        <f t="shared" si="2"/>
        <v>179.14150799999999</v>
      </c>
      <c r="U36" s="147">
        <f t="shared" si="3"/>
        <v>1.3864368702112837</v>
      </c>
      <c r="V36" s="130">
        <v>79.680000000000007</v>
      </c>
      <c r="W36" s="130">
        <v>129.21</v>
      </c>
      <c r="X36" s="129">
        <v>0.5</v>
      </c>
      <c r="Y36" s="150">
        <v>535</v>
      </c>
      <c r="Z36" s="150">
        <v>1168</v>
      </c>
      <c r="AA36" s="148" t="s">
        <v>171</v>
      </c>
      <c r="AB36" s="149">
        <v>74.75</v>
      </c>
      <c r="AC36" s="150">
        <v>118</v>
      </c>
      <c r="AD36" s="151">
        <v>5</v>
      </c>
      <c r="AE36" s="149"/>
      <c r="AF36" s="134">
        <f t="shared" si="4"/>
        <v>0</v>
      </c>
      <c r="AG36" s="152"/>
      <c r="AH36" s="129">
        <v>95.3</v>
      </c>
      <c r="AI36" s="134">
        <f t="shared" si="5"/>
        <v>737.55901246033579</v>
      </c>
      <c r="AJ36" s="153">
        <v>17.149999999999999</v>
      </c>
      <c r="AK36" s="154"/>
      <c r="AL36" s="155">
        <v>10.35</v>
      </c>
      <c r="AM36" s="478">
        <v>41.69</v>
      </c>
      <c r="AN36" s="126">
        <f t="shared" si="24"/>
        <v>0.23001379310344827</v>
      </c>
      <c r="AO36" s="157" t="s">
        <v>454</v>
      </c>
      <c r="AP36" s="156">
        <v>7.21</v>
      </c>
      <c r="AQ36" s="156">
        <v>8.32</v>
      </c>
      <c r="AR36" s="151"/>
      <c r="AS36" s="149">
        <v>9.81</v>
      </c>
      <c r="AT36" s="149">
        <v>181.25</v>
      </c>
      <c r="AU36" s="149"/>
      <c r="AV36" s="149"/>
      <c r="AW36" s="149"/>
      <c r="AX36" s="158">
        <f t="shared" si="6"/>
        <v>0</v>
      </c>
      <c r="AY36" s="125">
        <f t="shared" si="7"/>
        <v>129.21</v>
      </c>
      <c r="AZ36" s="125">
        <f t="shared" si="25"/>
        <v>140.20251073117794</v>
      </c>
      <c r="BA36" s="159">
        <f t="shared" si="8"/>
        <v>7.2421288732394373</v>
      </c>
      <c r="BB36" s="160">
        <f t="shared" si="9"/>
        <v>5.1684000000000001</v>
      </c>
      <c r="BC36" s="161">
        <f t="shared" si="10"/>
        <v>0.82123082990577145</v>
      </c>
      <c r="BD36" s="160">
        <f t="shared" si="26"/>
        <v>12.410528873239437</v>
      </c>
      <c r="BE36" s="162">
        <v>0.88500000000000001</v>
      </c>
      <c r="BF36" s="25">
        <f t="shared" si="27"/>
        <v>3659.4700000000003</v>
      </c>
      <c r="BG36" s="25">
        <f t="shared" si="11"/>
        <v>125.66666666666667</v>
      </c>
      <c r="BH36" s="25">
        <f t="shared" si="28"/>
        <v>3769.9999999999986</v>
      </c>
      <c r="BI36" s="26">
        <f t="shared" si="12"/>
        <v>1</v>
      </c>
      <c r="BJ36" s="37">
        <f t="shared" si="29"/>
        <v>3769.9999999999986</v>
      </c>
      <c r="BK36" s="38">
        <v>218.50399999999999</v>
      </c>
      <c r="BL36" s="31"/>
      <c r="BM36" s="31"/>
      <c r="BN36" s="31">
        <v>59.066000000000003</v>
      </c>
      <c r="BO36" s="40"/>
      <c r="BP36" s="40"/>
      <c r="BQ36" s="32">
        <v>17.698</v>
      </c>
      <c r="BR36" s="33">
        <v>1.23</v>
      </c>
      <c r="BS36" s="34"/>
      <c r="BT36" s="35"/>
      <c r="BU36" s="35"/>
      <c r="BV36" s="235"/>
      <c r="BW36" s="235"/>
      <c r="BX36" s="36"/>
      <c r="BY36" s="33">
        <v>39.04</v>
      </c>
      <c r="BZ36" s="34"/>
      <c r="CA36" s="35"/>
      <c r="CB36" s="35">
        <v>43.42</v>
      </c>
      <c r="CC36" s="235"/>
      <c r="CD36" s="235"/>
      <c r="CE36" s="36">
        <v>43.73</v>
      </c>
      <c r="CF36" s="30">
        <v>71.927000000000007</v>
      </c>
      <c r="CG36" s="30"/>
      <c r="CH36" s="34"/>
      <c r="CI36" s="50">
        <v>113.041</v>
      </c>
      <c r="CJ36" s="33">
        <v>3.15</v>
      </c>
      <c r="CK36" s="33"/>
      <c r="CL36" s="35"/>
      <c r="CM36" s="36">
        <v>3.15</v>
      </c>
      <c r="CN36" s="270"/>
      <c r="CO36" s="249">
        <f t="shared" si="32"/>
        <v>215.81640079999997</v>
      </c>
      <c r="CP36" s="12">
        <f t="shared" si="32"/>
        <v>0</v>
      </c>
      <c r="CQ36" s="12">
        <f t="shared" si="32"/>
        <v>0</v>
      </c>
      <c r="CR36" s="12">
        <f t="shared" si="32"/>
        <v>59.066000000000003</v>
      </c>
      <c r="CS36" s="11">
        <f t="shared" si="32"/>
        <v>0</v>
      </c>
      <c r="CT36" s="11">
        <f t="shared" si="32"/>
        <v>0</v>
      </c>
      <c r="CU36" s="272">
        <f t="shared" si="32"/>
        <v>17.698</v>
      </c>
      <c r="CV36" s="249">
        <f t="shared" si="14"/>
        <v>69.661299499999998</v>
      </c>
      <c r="CW36" s="12">
        <f t="shared" si="14"/>
        <v>0</v>
      </c>
      <c r="CX36" s="249">
        <f t="shared" si="14"/>
        <v>0</v>
      </c>
      <c r="CY36" s="274">
        <f t="shared" si="14"/>
        <v>109.48020849999999</v>
      </c>
      <c r="CZ36" s="13"/>
      <c r="DA36" s="240">
        <f>(D36+'[2]ноябрь 20'!D36)/(AY36+'[2]ноябрь 20'!BA36)</f>
        <v>2.3333899979453463</v>
      </c>
      <c r="DB36" s="241">
        <f>(T36+'[2]ноябрь 20'!T36)/(AY36+'[2]ноябрь 20'!BA36)</f>
        <v>1.4026285127241775</v>
      </c>
      <c r="DD36" s="292">
        <f t="shared" si="15"/>
        <v>11.685</v>
      </c>
      <c r="DE36" s="291">
        <v>0.14000000000000001</v>
      </c>
      <c r="DF36" s="291">
        <v>18.239999999999998</v>
      </c>
      <c r="DG36" s="145">
        <f t="shared" si="16"/>
        <v>11.668641000000001</v>
      </c>
      <c r="DH36" s="293">
        <f t="shared" si="30"/>
        <v>2.8473045062207354</v>
      </c>
      <c r="DJ36" s="322"/>
    </row>
    <row r="37" spans="1:114" s="76" customFormat="1" ht="16.5" customHeight="1" thickBot="1">
      <c r="A37" s="186">
        <v>31</v>
      </c>
      <c r="B37" s="122">
        <f>'[1]ноябрь 20'!K36</f>
        <v>0</v>
      </c>
      <c r="C37" s="123">
        <f t="shared" si="17"/>
        <v>0</v>
      </c>
      <c r="D37" s="187">
        <f t="shared" si="18"/>
        <v>0</v>
      </c>
      <c r="E37" s="285">
        <f t="shared" si="19"/>
        <v>0</v>
      </c>
      <c r="F37" s="189">
        <f t="shared" si="0"/>
        <v>0</v>
      </c>
      <c r="G37" s="127"/>
      <c r="H37" s="126">
        <f t="shared" si="20"/>
        <v>0</v>
      </c>
      <c r="I37" s="230">
        <f>'[1]июль 20'!AI36</f>
        <v>0</v>
      </c>
      <c r="J37" s="451">
        <f>'[1]ноябрь 20'!AA36</f>
        <v>0</v>
      </c>
      <c r="K37" s="276">
        <f>'[1]сентябрь 20'!AM36</f>
        <v>0</v>
      </c>
      <c r="L37" s="446">
        <f>'[1]ноябрь 20'!AE36</f>
        <v>0</v>
      </c>
      <c r="M37" s="128">
        <f t="shared" si="21"/>
        <v>0</v>
      </c>
      <c r="N37" s="399">
        <f>'[1]ноябрь 20'!W36</f>
        <v>0</v>
      </c>
      <c r="O37" s="399">
        <f>'[1]ноябрь 20'!AU36</f>
        <v>0</v>
      </c>
      <c r="P37" s="125">
        <f t="shared" si="1"/>
        <v>0</v>
      </c>
      <c r="Q37" s="122">
        <f>'[1]ноябрь 20'!S36</f>
        <v>0</v>
      </c>
      <c r="R37" s="123">
        <f t="shared" si="22"/>
        <v>0</v>
      </c>
      <c r="S37" s="129"/>
      <c r="T37" s="125">
        <f t="shared" si="2"/>
        <v>0</v>
      </c>
      <c r="U37" s="191">
        <f t="shared" si="3"/>
        <v>0</v>
      </c>
      <c r="V37" s="192"/>
      <c r="W37" s="192"/>
      <c r="X37" s="190"/>
      <c r="Y37" s="193"/>
      <c r="Z37" s="194"/>
      <c r="AA37" s="195"/>
      <c r="AB37" s="196"/>
      <c r="AC37" s="194"/>
      <c r="AD37" s="193"/>
      <c r="AE37" s="196"/>
      <c r="AF37" s="134">
        <f t="shared" si="4"/>
        <v>0</v>
      </c>
      <c r="AG37" s="197"/>
      <c r="AH37" s="190"/>
      <c r="AI37" s="134">
        <f t="shared" si="5"/>
        <v>0</v>
      </c>
      <c r="AJ37" s="196"/>
      <c r="AK37" s="198"/>
      <c r="AL37" s="199"/>
      <c r="AM37" s="525">
        <f t="shared" si="31"/>
        <v>0</v>
      </c>
      <c r="AN37" s="126">
        <f t="shared" si="24"/>
        <v>0</v>
      </c>
      <c r="AO37" s="201"/>
      <c r="AP37" s="200"/>
      <c r="AQ37" s="201"/>
      <c r="AR37" s="193"/>
      <c r="AS37" s="196"/>
      <c r="AT37" s="242"/>
      <c r="AU37" s="196"/>
      <c r="AV37" s="196"/>
      <c r="AW37" s="196"/>
      <c r="AX37" s="202">
        <f t="shared" si="6"/>
        <v>0</v>
      </c>
      <c r="AY37" s="188">
        <f t="shared" si="7"/>
        <v>0</v>
      </c>
      <c r="AZ37" s="125">
        <f t="shared" si="25"/>
        <v>0</v>
      </c>
      <c r="BA37" s="203">
        <f t="shared" si="8"/>
        <v>0</v>
      </c>
      <c r="BB37" s="204">
        <f t="shared" si="9"/>
        <v>0</v>
      </c>
      <c r="BC37" s="205">
        <f t="shared" si="10"/>
        <v>0</v>
      </c>
      <c r="BD37" s="206">
        <f t="shared" si="26"/>
        <v>0</v>
      </c>
      <c r="BE37" s="207"/>
      <c r="BF37" s="25">
        <f t="shared" si="27"/>
        <v>3659.4700000000003</v>
      </c>
      <c r="BG37" s="25">
        <f t="shared" si="11"/>
        <v>0</v>
      </c>
      <c r="BH37" s="25">
        <f t="shared" si="28"/>
        <v>3769.9999999999986</v>
      </c>
      <c r="BI37" s="26">
        <f t="shared" si="12"/>
        <v>0</v>
      </c>
      <c r="BJ37" s="37">
        <f t="shared" si="29"/>
        <v>3769.9999999999986</v>
      </c>
      <c r="BK37" s="51"/>
      <c r="BL37" s="53"/>
      <c r="BM37" s="53"/>
      <c r="BN37" s="53"/>
      <c r="BO37" s="282"/>
      <c r="BP37" s="282"/>
      <c r="BQ37" s="54"/>
      <c r="BR37" s="55"/>
      <c r="BS37" s="52"/>
      <c r="BT37" s="56"/>
      <c r="BU37" s="56"/>
      <c r="BV37" s="284"/>
      <c r="BW37" s="284"/>
      <c r="BX37" s="57"/>
      <c r="BY37" s="55"/>
      <c r="BZ37" s="52"/>
      <c r="CA37" s="56"/>
      <c r="CB37" s="56"/>
      <c r="CC37" s="284"/>
      <c r="CD37" s="284"/>
      <c r="CE37" s="57"/>
      <c r="CF37" s="58"/>
      <c r="CG37" s="58"/>
      <c r="CH37" s="52"/>
      <c r="CI37" s="54"/>
      <c r="CJ37" s="33"/>
      <c r="CK37" s="265"/>
      <c r="CL37" s="59"/>
      <c r="CM37" s="60"/>
      <c r="CN37" s="270"/>
      <c r="CO37" s="269">
        <f t="shared" si="32"/>
        <v>0</v>
      </c>
      <c r="CP37" s="18">
        <f t="shared" si="32"/>
        <v>0</v>
      </c>
      <c r="CQ37" s="18">
        <f t="shared" si="32"/>
        <v>0</v>
      </c>
      <c r="CR37" s="18">
        <f t="shared" si="32"/>
        <v>0</v>
      </c>
      <c r="CS37" s="251">
        <f t="shared" si="32"/>
        <v>0</v>
      </c>
      <c r="CT37" s="11">
        <f t="shared" si="32"/>
        <v>0</v>
      </c>
      <c r="CU37" s="273">
        <f t="shared" si="32"/>
        <v>0</v>
      </c>
      <c r="CV37" s="269">
        <f t="shared" si="14"/>
        <v>0</v>
      </c>
      <c r="CW37" s="18">
        <f t="shared" si="14"/>
        <v>0</v>
      </c>
      <c r="CX37" s="261">
        <f t="shared" si="14"/>
        <v>0</v>
      </c>
      <c r="CY37" s="273">
        <f t="shared" si="14"/>
        <v>0</v>
      </c>
      <c r="CZ37" s="13"/>
      <c r="DA37" s="240" t="e">
        <f>(D37+'[2]ноябрь 20'!D37)/(AY37+'[2]ноябрь 20'!BA37)</f>
        <v>#DIV/0!</v>
      </c>
      <c r="DB37" s="241" t="e">
        <f>(T37+'[2]ноябрь 20'!T37)/(AY37+'[2]ноябрь 20'!BA37)</f>
        <v>#DIV/0!</v>
      </c>
      <c r="DD37" s="292">
        <f t="shared" si="15"/>
        <v>0</v>
      </c>
      <c r="DE37" s="294"/>
      <c r="DF37" s="294"/>
      <c r="DG37" s="323">
        <f t="shared" si="16"/>
        <v>0</v>
      </c>
      <c r="DH37" s="293">
        <f t="shared" si="30"/>
        <v>0</v>
      </c>
      <c r="DJ37" s="322"/>
    </row>
    <row r="38" spans="1:114" s="214" customFormat="1" ht="16.5" customHeight="1" thickBot="1">
      <c r="A38" s="91" t="s">
        <v>56</v>
      </c>
      <c r="B38" s="329">
        <f>SUM(B7:B37)</f>
        <v>8033.9370000000008</v>
      </c>
      <c r="C38" s="330"/>
      <c r="D38" s="331">
        <f>SUM(D7:D37)</f>
        <v>7937.1282690824428</v>
      </c>
      <c r="E38" s="332"/>
      <c r="F38" s="331"/>
      <c r="G38" s="333">
        <f>SUM(G7:G37)</f>
        <v>395.48999999999995</v>
      </c>
      <c r="H38" s="329"/>
      <c r="I38" s="334">
        <f>SUM(I7:I37)</f>
        <v>0</v>
      </c>
      <c r="J38" s="329">
        <f>SUM(J7:J37)</f>
        <v>319.3381</v>
      </c>
      <c r="K38" s="329">
        <f>SUM(K7:K37)</f>
        <v>0</v>
      </c>
      <c r="L38" s="329">
        <f>SUM(L7:L37)</f>
        <v>1927.864</v>
      </c>
      <c r="M38" s="335"/>
      <c r="N38" s="329">
        <f>SUM(N7:N37)</f>
        <v>0</v>
      </c>
      <c r="O38" s="329">
        <f>SUM(O7:O37)</f>
        <v>204.39999999999998</v>
      </c>
      <c r="P38" s="330">
        <f>SUM(P7:P37)</f>
        <v>5171.3250010000002</v>
      </c>
      <c r="Q38" s="396">
        <f>SUM(Q7:Q37)</f>
        <v>5171.3249999999998</v>
      </c>
      <c r="R38" s="336">
        <f>IF(Q38=0,0,(CA38*CH38+CE38*CI38+CF38*CJ38)/Q38)</f>
        <v>0</v>
      </c>
      <c r="S38" s="396">
        <f>SUM(S7:S37)</f>
        <v>384.33</v>
      </c>
      <c r="T38" s="331">
        <f>SUM(T7:T37)</f>
        <v>5022.3951649999999</v>
      </c>
      <c r="U38" s="337"/>
      <c r="V38" s="90">
        <f>SUM(V7:V37)</f>
        <v>3033.99</v>
      </c>
      <c r="W38" s="332">
        <f>SUM(W7:W37)</f>
        <v>2604.7199999999998</v>
      </c>
      <c r="X38" s="338"/>
      <c r="Y38" s="337"/>
      <c r="Z38" s="339"/>
      <c r="AA38" s="340"/>
      <c r="AB38" s="338"/>
      <c r="AC38" s="339"/>
      <c r="AD38" s="339">
        <f>SUM(AD7:AD37)</f>
        <v>142</v>
      </c>
      <c r="AE38" s="332">
        <f>SUM(AE7:AE37)</f>
        <v>47.55</v>
      </c>
      <c r="AF38" s="341"/>
      <c r="AG38" s="342">
        <f>SUM(AG7:AG37)</f>
        <v>0</v>
      </c>
      <c r="AH38" s="332">
        <f>SUM(AH7:AH37)</f>
        <v>2412.4499999999998</v>
      </c>
      <c r="AI38" s="341"/>
      <c r="AJ38" s="332">
        <f>SUM(AJ7:AJ37)</f>
        <v>495.93000000000006</v>
      </c>
      <c r="AK38" s="343"/>
      <c r="AL38" s="522">
        <f>SUM(AL7:AL37)</f>
        <v>239.93999999999997</v>
      </c>
      <c r="AM38" s="544">
        <f>SUM(AM7:AM37)</f>
        <v>1021.3199999999999</v>
      </c>
      <c r="AN38" s="345"/>
      <c r="AO38" s="342"/>
      <c r="AP38" s="332"/>
      <c r="AQ38" s="342"/>
      <c r="AR38" s="342"/>
      <c r="AS38" s="346"/>
      <c r="AT38" s="332">
        <f>SUM(AT7:AT37)</f>
        <v>4854.9500000000007</v>
      </c>
      <c r="AU38" s="332">
        <f>SUM(AU7:AU37)</f>
        <v>65.78</v>
      </c>
      <c r="AV38" s="347">
        <f>SUM(AV7:AV37)</f>
        <v>0</v>
      </c>
      <c r="AW38" s="332">
        <f>SUM(AW7:AW37)</f>
        <v>0</v>
      </c>
      <c r="AX38" s="331"/>
      <c r="AY38" s="332">
        <f>SUM(AY7:AY37)</f>
        <v>3659.4700000000003</v>
      </c>
      <c r="AZ38" s="330">
        <f>SUM(AZ7:AZ37)</f>
        <v>3678.2496572509508</v>
      </c>
      <c r="BA38" s="342">
        <f>SUM(BA7:BA37)</f>
        <v>162.65879718309859</v>
      </c>
      <c r="BB38" s="342">
        <f>SUM(BB7:BB37)</f>
        <v>146.37879999999996</v>
      </c>
      <c r="BC38" s="332"/>
      <c r="BD38" s="342">
        <f>SUM(BD7:BD37)</f>
        <v>309.03759718309863</v>
      </c>
      <c r="BE38" s="348"/>
      <c r="BF38" s="19"/>
      <c r="BG38" s="19">
        <f t="shared" si="11"/>
        <v>0</v>
      </c>
      <c r="BH38" s="19"/>
      <c r="BI38" s="208">
        <f>SUM(BI7:BI37)</f>
        <v>30</v>
      </c>
      <c r="BJ38" s="209"/>
      <c r="BK38" s="278">
        <f t="shared" ref="BK38:BQ38" si="33">SUM(BK7:BK37)</f>
        <v>6106.0730000000003</v>
      </c>
      <c r="BL38" s="61">
        <f>SUM(BL7:BL37)</f>
        <v>9.9999999999999995E-7</v>
      </c>
      <c r="BM38" s="61">
        <f t="shared" si="33"/>
        <v>9.9999999999999995E-7</v>
      </c>
      <c r="BN38" s="61">
        <f t="shared" si="33"/>
        <v>1625.5730000000001</v>
      </c>
      <c r="BO38" s="61">
        <f t="shared" si="33"/>
        <v>9.9999999999999995E-7</v>
      </c>
      <c r="BP38" s="61">
        <f t="shared" si="33"/>
        <v>9.9999999999999995E-7</v>
      </c>
      <c r="BQ38" s="64">
        <f t="shared" si="33"/>
        <v>302.29099999999994</v>
      </c>
      <c r="BR38" s="63"/>
      <c r="BS38" s="24"/>
      <c r="BT38" s="24"/>
      <c r="BU38" s="24"/>
      <c r="BV38" s="62"/>
      <c r="BW38" s="62"/>
      <c r="BX38" s="65"/>
      <c r="BY38" s="63"/>
      <c r="BZ38" s="24"/>
      <c r="CA38" s="24"/>
      <c r="CB38" s="24"/>
      <c r="CC38" s="62"/>
      <c r="CD38" s="62"/>
      <c r="CE38" s="62"/>
      <c r="CF38" s="66">
        <f>SUM(CF7:CF37)</f>
        <v>1968.9349999999997</v>
      </c>
      <c r="CG38" s="66">
        <f>SUM(CG7:CG37)</f>
        <v>9.9999999999999995E-7</v>
      </c>
      <c r="CH38" s="61">
        <f>SUM(CH7:CH37)</f>
        <v>54.366999999999997</v>
      </c>
      <c r="CI38" s="67">
        <f>SUM(CI7:CI37)</f>
        <v>3148.0230000000001</v>
      </c>
      <c r="CJ38" s="210"/>
      <c r="CK38" s="266"/>
      <c r="CL38" s="211"/>
      <c r="CM38" s="212"/>
      <c r="CN38" s="213"/>
      <c r="CO38" s="68">
        <f t="shared" ref="CO38:CY38" si="34">SUM(CO7:CO37)</f>
        <v>6009.2642696999992</v>
      </c>
      <c r="CP38" s="69">
        <f t="shared" si="34"/>
        <v>9.9999998999999992E-7</v>
      </c>
      <c r="CQ38" s="70">
        <f t="shared" si="34"/>
        <v>9.9999998999999992E-7</v>
      </c>
      <c r="CR38" s="69">
        <f t="shared" si="34"/>
        <v>1625.57299948431</v>
      </c>
      <c r="CS38" s="72">
        <f t="shared" si="34"/>
        <v>9.9999998999999992E-7</v>
      </c>
      <c r="CT38" s="72">
        <f t="shared" si="34"/>
        <v>9.9999998999999992E-7</v>
      </c>
      <c r="CU38" s="71">
        <f t="shared" si="34"/>
        <v>302.29099989812994</v>
      </c>
      <c r="CV38" s="72">
        <f t="shared" si="34"/>
        <v>1912.2907521</v>
      </c>
      <c r="CW38" s="72">
        <f t="shared" si="34"/>
        <v>9.9999998999999992E-7</v>
      </c>
      <c r="CX38" s="72">
        <f t="shared" si="34"/>
        <v>53.100248899999997</v>
      </c>
      <c r="CY38" s="72">
        <f t="shared" si="34"/>
        <v>3057.004163999999</v>
      </c>
      <c r="CZ38" s="70"/>
      <c r="DA38" s="240">
        <f>(D38+'[2]ноябрь 20'!D38)/(AY38+'[2]ноябрь 20'!BA38)</f>
        <v>2.1466525600034525</v>
      </c>
      <c r="DB38" s="241">
        <f>(T38+'[2]ноябрь 20'!T38)/(AY38+'[2]ноябрь 20'!BA38)</f>
        <v>1.3172576315774092</v>
      </c>
      <c r="DD38" s="295">
        <f>SUM(DD7:DD37)</f>
        <v>319.3381</v>
      </c>
      <c r="DE38" s="296">
        <f>(SUMPRODUCT(DD7:DD37,DE7:DE37))/DD38</f>
        <v>0.28639063425253669</v>
      </c>
      <c r="DF38" s="296">
        <f>(SUMPRODUCT(DD7:DD37,DF7:DF37))/DD38</f>
        <v>15.883042239557382</v>
      </c>
      <c r="DG38" s="296">
        <f>(SUMPRODUCT(DE7:DE37,DG7:DG37))/DE38</f>
        <v>317.79532958345635</v>
      </c>
      <c r="DH38" s="324">
        <f>IF(J38=0,0,(DG38*DF38%)/(AB39/100))</f>
        <v>66.748339090012522</v>
      </c>
    </row>
    <row r="39" spans="1:114" s="214" customFormat="1" ht="16.5" customHeight="1" thickBot="1">
      <c r="A39" s="93" t="s">
        <v>57</v>
      </c>
      <c r="B39" s="349">
        <f>B38/AU2</f>
        <v>267.79790000000003</v>
      </c>
      <c r="C39" s="349">
        <f>(BK38*BR39+BM38*BT39+BQ38*BX39+BL38*BS39+BN38*BU39+BO38*BV39+BP38*BW39)/B38</f>
        <v>1.2049973869294728</v>
      </c>
      <c r="D39" s="350">
        <f>D38/AU2</f>
        <v>264.57094230274811</v>
      </c>
      <c r="E39" s="349">
        <f>(BK38*BY39+BM38*CA39+BQ38*CE39+BL38*BZ39+BN38*CB39+BO38*CC39+BP38*CD39)/B38</f>
        <v>39.406223385869211</v>
      </c>
      <c r="F39" s="351">
        <f>IF($AY$38=0,0,$D$38/$AY$38)</f>
        <v>2.1689283609600412</v>
      </c>
      <c r="G39" s="352">
        <f>G38/AU2</f>
        <v>13.182999999999998</v>
      </c>
      <c r="H39" s="353">
        <f>IF($AY$38=0,0,(CP38+CO38+CS38+CQ38+CT38)/AY38)</f>
        <v>1.6421132769772673</v>
      </c>
      <c r="I39" s="349">
        <f>I38/AU2</f>
        <v>0</v>
      </c>
      <c r="J39" s="349">
        <f>J38/AU2</f>
        <v>10.644603333333333</v>
      </c>
      <c r="K39" s="349">
        <f>K38/AU2</f>
        <v>0</v>
      </c>
      <c r="L39" s="349">
        <f>L38/AU2</f>
        <v>64.262133333333338</v>
      </c>
      <c r="M39" s="354">
        <f>IF($AY$38=0,0,(CR38+CU38)/$AY$38)</f>
        <v>0.52681508507582786</v>
      </c>
      <c r="N39" s="349">
        <f>N38/AU2</f>
        <v>0</v>
      </c>
      <c r="O39" s="349">
        <f>O38/AU2</f>
        <v>6.8133333333333326</v>
      </c>
      <c r="P39" s="349">
        <f>P38/AU2</f>
        <v>172.37750003333335</v>
      </c>
      <c r="Q39" s="349">
        <f>Q38/AU2</f>
        <v>172.3775</v>
      </c>
      <c r="R39" s="349">
        <f>(SUMPRODUCT(R7:R37,Q7:Q37))/Q38</f>
        <v>2.8799163657283202</v>
      </c>
      <c r="S39" s="355">
        <f>S38/AU2</f>
        <v>12.811</v>
      </c>
      <c r="T39" s="356"/>
      <c r="U39" s="354">
        <f>IF($AY$38=0,0,$T$38/$AY$38)</f>
        <v>1.3724378571213862</v>
      </c>
      <c r="V39" s="349">
        <f>V38/AU2</f>
        <v>101.133</v>
      </c>
      <c r="W39" s="349">
        <f>W38/AU2</f>
        <v>86.823999999999998</v>
      </c>
      <c r="X39" s="349">
        <f>(SUMPRODUCT(X7:X37,AY7:AY37))/AY38</f>
        <v>0.77143143679275938</v>
      </c>
      <c r="Y39" s="357">
        <f>AVERAGE(Y7:Y37)</f>
        <v>562.5</v>
      </c>
      <c r="Z39" s="357">
        <f>AVERAGE(Z7:Z37)</f>
        <v>1164.9000000000001</v>
      </c>
      <c r="AA39" s="357"/>
      <c r="AB39" s="349">
        <f>(SUMPRODUCT(AB7:AB37,AY7:AY37))/AY38</f>
        <v>75.620707752762002</v>
      </c>
      <c r="AC39" s="358">
        <f>AVERAGE(AC7:AC37)</f>
        <v>107.1</v>
      </c>
      <c r="AD39" s="358">
        <f>AVERAGE(AD7:AD37)</f>
        <v>4.7333333333333334</v>
      </c>
      <c r="AE39" s="349">
        <f>AE38/AU2</f>
        <v>1.585</v>
      </c>
      <c r="AF39" s="355">
        <f>IF(AY38=0,0,AE38/AY38*1000)</f>
        <v>12.993684877864826</v>
      </c>
      <c r="AG39" s="356" t="e">
        <f>AG38/$AW$2</f>
        <v>#DIV/0!</v>
      </c>
      <c r="AH39" s="349">
        <f>AH38/AU2</f>
        <v>80.414999999999992</v>
      </c>
      <c r="AI39" s="355">
        <f>IF(AY38=0,0,AH38/AY38*1000)</f>
        <v>659.23480722618285</v>
      </c>
      <c r="AJ39" s="349">
        <f>AJ38/AU2</f>
        <v>16.531000000000002</v>
      </c>
      <c r="AK39" s="359"/>
      <c r="AL39" s="349">
        <f>AL38/AU2</f>
        <v>7.9979999999999993</v>
      </c>
      <c r="AM39" s="349">
        <f>AM38/AU2</f>
        <v>34.043999999999997</v>
      </c>
      <c r="AN39" s="360">
        <f>IF(AM39=0,0,AM39/AT39)</f>
        <v>0.21036673910132953</v>
      </c>
      <c r="AO39" s="356"/>
      <c r="AP39" s="349">
        <f>AVERAGE(AP7:AP37)</f>
        <v>7.4243333333333332</v>
      </c>
      <c r="AQ39" s="349">
        <f>AVERAGE(AQ7:AQ37)</f>
        <v>8.5250000000000004</v>
      </c>
      <c r="AR39" s="356"/>
      <c r="AS39" s="349">
        <f>AVERAGE(AS7:AS37)</f>
        <v>8.7479999999999993</v>
      </c>
      <c r="AT39" s="349">
        <f>AT38/AU2</f>
        <v>161.83166666666668</v>
      </c>
      <c r="AU39" s="349">
        <f>AU38/AU2</f>
        <v>2.1926666666666668</v>
      </c>
      <c r="AV39" s="349" t="e">
        <f>AV38/$AW$2</f>
        <v>#DIV/0!</v>
      </c>
      <c r="AW39" s="349" t="e">
        <f>AW38/$AW$2</f>
        <v>#DIV/0!</v>
      </c>
      <c r="AX39" s="349" t="e">
        <f>IF(AY39=0,0,AW39/AY39*100)</f>
        <v>#DIV/0!</v>
      </c>
      <c r="AY39" s="349">
        <f>AY38/AU2</f>
        <v>121.98233333333334</v>
      </c>
      <c r="AZ39" s="349">
        <f>AZ38/AU2</f>
        <v>122.60832190836503</v>
      </c>
      <c r="BA39" s="356"/>
      <c r="BB39" s="356"/>
      <c r="BC39" s="351">
        <f>(AY38*AB39)/(D38*E39)</f>
        <v>0.88477066536987747</v>
      </c>
      <c r="BD39" s="349">
        <f>BD38/AU2</f>
        <v>10.301253239436621</v>
      </c>
      <c r="BE39" s="361"/>
      <c r="BF39" s="19"/>
      <c r="BG39" s="19"/>
      <c r="BH39" s="19"/>
      <c r="BI39" s="19"/>
      <c r="BJ39" s="215"/>
      <c r="BK39" s="73"/>
      <c r="BL39" s="216"/>
      <c r="BM39" s="216"/>
      <c r="BN39" s="216"/>
      <c r="BO39" s="219"/>
      <c r="BP39" s="219"/>
      <c r="BQ39" s="217"/>
      <c r="BR39" s="73">
        <f>(SUMPRODUCT(BK7:BK37,BR7:BR37))/BK38</f>
        <v>1.5854499332058427</v>
      </c>
      <c r="BS39" s="29">
        <f>(SUMPRODUCT(BL7:BL37,BS7:BS37))/BL38</f>
        <v>9.9999999999999995E-7</v>
      </c>
      <c r="BT39" s="29">
        <f t="shared" ref="BT39:BX39" si="35">(SUMPRODUCT(BM7:BM37,BT7:BT37))/BM38</f>
        <v>9.9999999999999995E-7</v>
      </c>
      <c r="BU39" s="29">
        <f t="shared" si="35"/>
        <v>3.1723583007345717E-8</v>
      </c>
      <c r="BV39" s="29">
        <f t="shared" si="35"/>
        <v>9.9999999999999995E-7</v>
      </c>
      <c r="BW39" s="29">
        <f t="shared" si="35"/>
        <v>9.9999999999999995E-7</v>
      </c>
      <c r="BX39" s="74">
        <f t="shared" si="35"/>
        <v>3.3699316221786297E-8</v>
      </c>
      <c r="BY39" s="73">
        <f t="shared" ref="BY39:CE39" si="36">(SUMPRODUCT(BK7:BK37,BY7:BY37))/BK38</f>
        <v>38.092354233236314</v>
      </c>
      <c r="BZ39" s="29">
        <f t="shared" si="36"/>
        <v>9.9999999999999995E-7</v>
      </c>
      <c r="CA39" s="29">
        <f t="shared" si="36"/>
        <v>9.9999999999999995E-7</v>
      </c>
      <c r="CB39" s="29">
        <f t="shared" si="36"/>
        <v>43.56421921993045</v>
      </c>
      <c r="CC39" s="29">
        <f t="shared" si="36"/>
        <v>9.9999999999999995E-7</v>
      </c>
      <c r="CD39" s="29">
        <f t="shared" si="36"/>
        <v>9.9999999999999995E-7</v>
      </c>
      <c r="CE39" s="74">
        <f t="shared" si="36"/>
        <v>43.585822502158521</v>
      </c>
      <c r="CF39" s="218"/>
      <c r="CG39" s="218"/>
      <c r="CH39" s="216"/>
      <c r="CI39" s="219"/>
      <c r="CJ39" s="75">
        <f>(SUMPRODUCT(CF7:CF37,CJ7:CJ37))/CF38</f>
        <v>2.8768978102375149</v>
      </c>
      <c r="CK39" s="75">
        <f>(SUMPRODUCT(CG7:CG37,CK7:CK37))/CG38</f>
        <v>9.9999999999999995E-7</v>
      </c>
      <c r="CL39" s="29">
        <f>(SUMPRODUCT(CH7:CH37,CL7:CL37))/CH38</f>
        <v>2.33</v>
      </c>
      <c r="CM39" s="74">
        <f>(SUMPRODUCT(CI7:CI37,CM7:CM37))/CI38</f>
        <v>2.8913014930322931</v>
      </c>
      <c r="CN39" s="19"/>
      <c r="CO39" s="596">
        <f>CO38+CP38</f>
        <v>6009.2642706999995</v>
      </c>
      <c r="CP39" s="596"/>
      <c r="CQ39" s="597">
        <f>CQ38+CR38+CU38+CS38+CT38</f>
        <v>1927.8640023824396</v>
      </c>
      <c r="CR39" s="597"/>
      <c r="CS39" s="597"/>
      <c r="CT39" s="597"/>
      <c r="CU39" s="597"/>
      <c r="CV39" s="597">
        <f>CV38+CX38+CY38+CW38</f>
        <v>5022.3951659999993</v>
      </c>
      <c r="CW39" s="597"/>
      <c r="CX39" s="597"/>
      <c r="CY39" s="597"/>
      <c r="DA39" s="236"/>
      <c r="DB39" s="238"/>
      <c r="DD39" s="297"/>
      <c r="DE39" s="298"/>
      <c r="DF39" s="298"/>
      <c r="DG39" s="299"/>
      <c r="DH39" s="300"/>
    </row>
    <row r="40" spans="1:114" s="214" customFormat="1" ht="16.5" customHeight="1" thickBot="1">
      <c r="A40" s="94" t="s">
        <v>58</v>
      </c>
      <c r="B40" s="362"/>
      <c r="C40" s="362"/>
      <c r="D40" s="363"/>
      <c r="E40" s="364">
        <v>39.299999999999997</v>
      </c>
      <c r="F40" s="363">
        <v>2.16</v>
      </c>
      <c r="G40" s="365">
        <v>13.27</v>
      </c>
      <c r="H40" s="363">
        <v>1.7604</v>
      </c>
      <c r="I40" s="363"/>
      <c r="J40" s="363">
        <v>10.05336</v>
      </c>
      <c r="K40" s="363"/>
      <c r="L40" s="363"/>
      <c r="M40" s="363">
        <v>0.39960000000000001</v>
      </c>
      <c r="N40" s="363"/>
      <c r="O40" s="363">
        <v>5.0266799999999998</v>
      </c>
      <c r="P40" s="366"/>
      <c r="Q40" s="362"/>
      <c r="R40" s="367"/>
      <c r="S40" s="368">
        <v>11.435696999999999</v>
      </c>
      <c r="T40" s="362"/>
      <c r="U40" s="369">
        <v>1.3</v>
      </c>
      <c r="V40" s="370">
        <v>3770</v>
      </c>
      <c r="W40" s="370">
        <v>3770</v>
      </c>
      <c r="X40" s="371"/>
      <c r="Y40" s="371"/>
      <c r="Z40" s="372">
        <v>1190</v>
      </c>
      <c r="AA40" s="372"/>
      <c r="AB40" s="362">
        <v>76</v>
      </c>
      <c r="AC40" s="362"/>
      <c r="AD40" s="362"/>
      <c r="AE40" s="362"/>
      <c r="AF40" s="362"/>
      <c r="AG40" s="362"/>
      <c r="AH40" s="362"/>
      <c r="AI40" s="362">
        <v>644</v>
      </c>
      <c r="AJ40" s="373"/>
      <c r="AK40" s="374"/>
      <c r="AL40" s="375"/>
      <c r="AM40" s="362"/>
      <c r="AN40" s="362"/>
      <c r="AO40" s="362"/>
      <c r="AP40" s="362"/>
      <c r="AQ40" s="362"/>
      <c r="AR40" s="362"/>
      <c r="AS40" s="362"/>
      <c r="AT40" s="376">
        <v>3770</v>
      </c>
      <c r="AU40" s="377">
        <v>45.2</v>
      </c>
      <c r="AV40" s="377"/>
      <c r="AW40" s="378"/>
      <c r="AX40" s="362"/>
      <c r="AY40" s="379">
        <v>125.67</v>
      </c>
      <c r="AZ40" s="362"/>
      <c r="BA40" s="362"/>
      <c r="BB40" s="362"/>
      <c r="BC40" s="363">
        <v>0.9</v>
      </c>
      <c r="BD40" s="362"/>
      <c r="BE40" s="380"/>
      <c r="BF40" s="19"/>
      <c r="BG40" s="19"/>
      <c r="BH40" s="19"/>
      <c r="BI40" s="19"/>
      <c r="BJ40" s="215"/>
      <c r="BK40" s="220"/>
      <c r="BL40" s="221"/>
      <c r="BM40" s="216"/>
      <c r="BN40" s="216"/>
      <c r="BO40" s="219"/>
      <c r="BP40" s="219"/>
      <c r="BQ40" s="217"/>
      <c r="BR40" s="218"/>
      <c r="BS40" s="216"/>
      <c r="BT40" s="216"/>
      <c r="BU40" s="216"/>
      <c r="BV40" s="219"/>
      <c r="BW40" s="219"/>
      <c r="BX40" s="217"/>
      <c r="BY40" s="218"/>
      <c r="BZ40" s="216"/>
      <c r="CA40" s="216"/>
      <c r="CB40" s="216"/>
      <c r="CC40" s="219"/>
      <c r="CD40" s="219"/>
      <c r="CE40" s="217"/>
      <c r="CF40" s="218"/>
      <c r="CG40" s="218"/>
      <c r="CH40" s="216"/>
      <c r="CI40" s="219"/>
      <c r="CJ40" s="220"/>
      <c r="CK40" s="218"/>
      <c r="CL40" s="216"/>
      <c r="CM40" s="217"/>
      <c r="CN40" s="213"/>
      <c r="CO40" s="604">
        <f>CO39+CQ39</f>
        <v>7937.1282730824387</v>
      </c>
      <c r="CP40" s="604"/>
      <c r="CQ40" s="604"/>
      <c r="CR40" s="604"/>
      <c r="CS40" s="604"/>
      <c r="CT40" s="604"/>
      <c r="CU40" s="604"/>
      <c r="DA40" s="237"/>
      <c r="DB40" s="239"/>
      <c r="DD40" s="301"/>
      <c r="DE40" s="302"/>
      <c r="DF40" s="302"/>
      <c r="DG40" s="303"/>
      <c r="DH40" s="304"/>
    </row>
    <row r="41" spans="1:114" s="214" customFormat="1" ht="16.5" customHeight="1" thickBot="1">
      <c r="A41" s="95" t="s">
        <v>59</v>
      </c>
      <c r="B41" s="381"/>
      <c r="C41" s="381"/>
      <c r="D41" s="382"/>
      <c r="E41" s="381"/>
      <c r="F41" s="383">
        <f>F39-F40</f>
        <v>8.9283609600410152E-3</v>
      </c>
      <c r="G41" s="384">
        <f>G39-G40</f>
        <v>-8.7000000000001521E-2</v>
      </c>
      <c r="H41" s="383"/>
      <c r="I41" s="385">
        <f>I39-I40</f>
        <v>0</v>
      </c>
      <c r="J41" s="385"/>
      <c r="K41" s="385"/>
      <c r="L41" s="385"/>
      <c r="M41" s="385"/>
      <c r="N41" s="385"/>
      <c r="O41" s="385"/>
      <c r="P41" s="383"/>
      <c r="Q41" s="386"/>
      <c r="R41" s="385">
        <f>R39-R40</f>
        <v>2.8799163657283202</v>
      </c>
      <c r="S41" s="386"/>
      <c r="T41" s="386"/>
      <c r="U41" s="383">
        <f>U39-U40</f>
        <v>7.2437857121386173E-2</v>
      </c>
      <c r="V41" s="383"/>
      <c r="W41" s="383"/>
      <c r="X41" s="383"/>
      <c r="Y41" s="383"/>
      <c r="Z41" s="387">
        <f>Z39-Z40</f>
        <v>-25.099999999999909</v>
      </c>
      <c r="AA41" s="388"/>
      <c r="AB41" s="381"/>
      <c r="AC41" s="381"/>
      <c r="AD41" s="381"/>
      <c r="AE41" s="381"/>
      <c r="AF41" s="381"/>
      <c r="AG41" s="381"/>
      <c r="AH41" s="381"/>
      <c r="AI41" s="381"/>
      <c r="AJ41" s="381"/>
      <c r="AK41" s="389"/>
      <c r="AL41" s="390"/>
      <c r="AM41" s="381"/>
      <c r="AN41" s="381"/>
      <c r="AO41" s="381"/>
      <c r="AP41" s="381"/>
      <c r="AQ41" s="381"/>
      <c r="AR41" s="381"/>
      <c r="AS41" s="381"/>
      <c r="AT41" s="391">
        <f>AT38+AV38-AT40</f>
        <v>1084.9500000000007</v>
      </c>
      <c r="AU41" s="392"/>
      <c r="AV41" s="393"/>
      <c r="AW41" s="390"/>
      <c r="AX41" s="381"/>
      <c r="AY41" s="385"/>
      <c r="AZ41" s="381"/>
      <c r="BA41" s="381"/>
      <c r="BB41" s="381"/>
      <c r="BC41" s="394"/>
      <c r="BD41" s="381"/>
      <c r="BE41" s="395"/>
      <c r="BF41" s="222"/>
      <c r="BG41" s="222"/>
      <c r="BH41" s="222"/>
      <c r="BI41" s="222"/>
      <c r="BJ41" s="222"/>
      <c r="BK41" s="223"/>
      <c r="BL41" s="224"/>
      <c r="BM41" s="225"/>
      <c r="BN41" s="225"/>
      <c r="BO41" s="224"/>
      <c r="BP41" s="224"/>
      <c r="BQ41" s="226"/>
      <c r="BR41" s="227"/>
      <c r="BS41" s="225"/>
      <c r="BT41" s="225"/>
      <c r="BU41" s="225"/>
      <c r="BV41" s="224"/>
      <c r="BW41" s="224"/>
      <c r="BX41" s="224"/>
      <c r="BY41" s="228"/>
      <c r="BZ41" s="225"/>
      <c r="CA41" s="225"/>
      <c r="CB41" s="225"/>
      <c r="CC41" s="224"/>
      <c r="CD41" s="224"/>
      <c r="CE41" s="226"/>
      <c r="CF41" s="227"/>
      <c r="CG41" s="227"/>
      <c r="CH41" s="225"/>
      <c r="CI41" s="224"/>
      <c r="CJ41" s="228"/>
      <c r="CK41" s="227"/>
      <c r="CL41" s="225"/>
      <c r="CM41" s="226"/>
      <c r="CN41" s="213"/>
      <c r="CO41" s="213"/>
      <c r="CP41" s="213"/>
      <c r="CQ41" s="213"/>
      <c r="CV41" s="550"/>
      <c r="CW41" s="550"/>
      <c r="CX41" s="550"/>
      <c r="CY41" s="550"/>
      <c r="DA41" s="21"/>
      <c r="DH41" s="309"/>
    </row>
    <row r="42" spans="1:114" ht="15" hidden="1" customHeight="1">
      <c r="A42" s="96"/>
      <c r="B42" s="96"/>
      <c r="C42" s="96"/>
      <c r="D42" s="97"/>
      <c r="E42" s="96"/>
      <c r="F42" s="98"/>
      <c r="G42" s="99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1"/>
      <c r="AF42" s="101"/>
      <c r="AG42" s="100"/>
      <c r="AH42" s="100"/>
      <c r="AI42" s="100"/>
      <c r="AJ42" s="100"/>
      <c r="AK42" s="100"/>
      <c r="AL42" s="100"/>
      <c r="AM42" s="100"/>
      <c r="AN42" s="100"/>
      <c r="AO42" s="100"/>
      <c r="AP42" s="100"/>
      <c r="AQ42" s="100"/>
      <c r="AR42" s="100"/>
      <c r="AS42" s="96"/>
      <c r="AT42" s="612"/>
      <c r="AU42" s="612"/>
      <c r="AV42" s="612"/>
      <c r="AW42" s="96"/>
      <c r="AX42" s="96"/>
      <c r="AY42" s="100"/>
      <c r="AZ42" s="100"/>
      <c r="BA42" s="100"/>
      <c r="BB42" s="100"/>
      <c r="BC42" s="100"/>
      <c r="BD42" s="100"/>
      <c r="BE42" s="100"/>
      <c r="BK42" s="20"/>
      <c r="BL42" s="20"/>
      <c r="BM42" s="20"/>
    </row>
    <row r="43" spans="1:114" ht="13.5" thickBot="1">
      <c r="A43" s="100"/>
      <c r="B43" s="100"/>
      <c r="C43" s="100"/>
      <c r="D43" s="102"/>
      <c r="E43" s="100"/>
      <c r="F43" s="100"/>
      <c r="G43" s="96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1"/>
      <c r="AF43" s="101"/>
      <c r="AG43" s="100"/>
      <c r="AH43" s="100"/>
      <c r="AI43" s="100"/>
      <c r="AJ43" s="100"/>
      <c r="AK43" s="100"/>
      <c r="AL43" s="100"/>
      <c r="AM43" s="100"/>
      <c r="AN43" s="100"/>
      <c r="AO43" s="100"/>
      <c r="AP43" s="100"/>
      <c r="AQ43" s="100"/>
      <c r="AR43" s="100"/>
      <c r="AS43" s="96" t="s">
        <v>60</v>
      </c>
      <c r="AT43" s="103">
        <f>AT40/BE43</f>
        <v>125.66666666666667</v>
      </c>
      <c r="AU43" s="104"/>
      <c r="AV43" s="96"/>
      <c r="AW43" s="96" t="s">
        <v>61</v>
      </c>
      <c r="AX43" s="96"/>
      <c r="AY43" s="100"/>
      <c r="AZ43" s="100"/>
      <c r="BA43" s="100"/>
      <c r="BB43" s="100"/>
      <c r="BC43" s="100"/>
      <c r="BD43" s="105" t="s">
        <v>62</v>
      </c>
      <c r="BE43" s="100">
        <v>30</v>
      </c>
      <c r="CR43" s="1"/>
      <c r="CS43" s="1"/>
    </row>
    <row r="44" spans="1:114" ht="16.5" customHeight="1" thickBot="1">
      <c r="A44" s="100"/>
      <c r="B44" s="100"/>
      <c r="C44" s="100"/>
      <c r="D44" s="102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489" t="s">
        <v>343</v>
      </c>
      <c r="AG44" s="488"/>
      <c r="AH44" s="488"/>
      <c r="AI44" s="488"/>
      <c r="AJ44" s="488"/>
      <c r="AK44" s="488"/>
      <c r="AL44" s="488"/>
      <c r="AM44" s="490">
        <f>AM38/AT38</f>
        <v>0.21036673910132953</v>
      </c>
      <c r="AN44" s="479"/>
      <c r="AO44" s="480" t="s">
        <v>88</v>
      </c>
      <c r="AP44" s="100"/>
      <c r="AQ44" s="100"/>
      <c r="AR44" s="100"/>
      <c r="AS44" s="100"/>
      <c r="AT44" s="100"/>
      <c r="AU44" s="100"/>
      <c r="AV44" s="100"/>
      <c r="AW44" s="100"/>
      <c r="AX44" s="100"/>
      <c r="AY44" s="100"/>
      <c r="AZ44" s="100"/>
      <c r="BA44" s="100"/>
      <c r="BB44" s="100"/>
      <c r="BC44" s="100"/>
      <c r="BD44" s="96"/>
      <c r="BE44" s="96"/>
      <c r="CO44" s="511"/>
      <c r="CP44" s="511"/>
      <c r="CQ44" s="511"/>
      <c r="CR44" s="511">
        <v>7937.1279999999997</v>
      </c>
    </row>
    <row r="45" spans="1:114" ht="13.5" thickBot="1">
      <c r="A45" s="100"/>
      <c r="B45" s="100"/>
      <c r="C45" s="100"/>
      <c r="D45" s="102"/>
      <c r="E45" s="100"/>
      <c r="F45" s="100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101"/>
      <c r="AE45" s="101"/>
      <c r="AF45" s="101"/>
      <c r="AG45" s="100"/>
      <c r="AH45" s="100"/>
      <c r="AI45" s="100"/>
      <c r="AJ45" s="100"/>
      <c r="AK45" s="100"/>
      <c r="AL45" s="100"/>
      <c r="AM45" s="106" t="s">
        <v>63</v>
      </c>
      <c r="AN45" s="106"/>
      <c r="AO45" s="106"/>
      <c r="AP45" s="106"/>
      <c r="AQ45" s="106"/>
      <c r="AR45" s="106"/>
      <c r="AS45" s="107" t="s">
        <v>64</v>
      </c>
      <c r="AT45" s="108">
        <v>29</v>
      </c>
      <c r="AU45" s="108"/>
      <c r="AV45" s="100"/>
      <c r="AW45" s="100"/>
      <c r="AX45" s="100"/>
      <c r="AY45" s="100"/>
      <c r="AZ45" s="100"/>
      <c r="BA45" s="100"/>
      <c r="BB45" s="100"/>
      <c r="BC45" s="100"/>
      <c r="BD45" s="96"/>
      <c r="BE45" s="96"/>
      <c r="BM45" s="1"/>
      <c r="BS45" s="1"/>
    </row>
    <row r="46" spans="1:114" ht="12.75" customHeight="1" thickBot="1">
      <c r="A46" s="100"/>
      <c r="B46" s="100"/>
      <c r="C46" s="109" t="s">
        <v>65</v>
      </c>
      <c r="D46" s="102"/>
      <c r="E46" s="100"/>
      <c r="F46" s="100"/>
      <c r="G46" s="100"/>
      <c r="H46" s="100"/>
      <c r="I46" s="100"/>
      <c r="J46" s="100"/>
      <c r="K46" s="100"/>
      <c r="L46" s="110">
        <f>AT38/AD38</f>
        <v>34.189788732394369</v>
      </c>
      <c r="M46" s="109" t="s">
        <v>88</v>
      </c>
      <c r="N46" s="606"/>
      <c r="O46" s="606"/>
      <c r="P46" s="111"/>
      <c r="Q46" s="100"/>
      <c r="R46" s="100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101"/>
      <c r="AE46" s="101"/>
      <c r="AF46" s="101"/>
      <c r="AG46" s="100"/>
      <c r="AH46" s="100"/>
      <c r="AI46" s="100"/>
      <c r="AJ46" s="100"/>
      <c r="AK46" s="100"/>
      <c r="AL46" s="100"/>
      <c r="AM46" s="100"/>
      <c r="AN46" s="100"/>
      <c r="AO46" s="106"/>
      <c r="AP46" s="106"/>
      <c r="AQ46" s="106"/>
      <c r="AR46" s="106"/>
      <c r="AS46" s="107" t="s">
        <v>66</v>
      </c>
      <c r="AT46" s="112">
        <f>AT40/AT45</f>
        <v>130</v>
      </c>
      <c r="AU46" s="112"/>
      <c r="AV46" s="100"/>
      <c r="AW46" s="100"/>
      <c r="AX46" s="100">
        <v>0</v>
      </c>
      <c r="AY46" s="100"/>
      <c r="AZ46" s="607" t="s">
        <v>67</v>
      </c>
      <c r="BA46" s="607"/>
      <c r="BB46" s="607"/>
      <c r="BC46" s="607"/>
      <c r="BD46" s="607"/>
      <c r="BE46" s="607"/>
    </row>
    <row r="47" spans="1:114">
      <c r="A47" s="100"/>
      <c r="B47" s="100"/>
      <c r="C47" s="100"/>
      <c r="D47" s="102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100"/>
      <c r="AI47" s="100"/>
      <c r="AJ47" s="100"/>
      <c r="AK47" s="100"/>
      <c r="AL47" s="100"/>
      <c r="AM47" s="100"/>
      <c r="AN47" s="100"/>
      <c r="AO47" s="100"/>
      <c r="AP47" s="100"/>
      <c r="AQ47" s="100"/>
      <c r="AR47" s="100"/>
      <c r="AS47" s="100"/>
      <c r="AT47" s="100"/>
      <c r="AU47" s="100"/>
      <c r="AV47" s="100"/>
      <c r="AW47" s="100"/>
      <c r="AX47" s="100"/>
      <c r="AY47" s="100"/>
      <c r="AZ47" s="607"/>
      <c r="BA47" s="607"/>
      <c r="BB47" s="607"/>
      <c r="BC47" s="607"/>
      <c r="BD47" s="607"/>
      <c r="BE47" s="607"/>
    </row>
    <row r="48" spans="1:114">
      <c r="A48" s="100"/>
      <c r="B48" s="100"/>
      <c r="C48" s="100"/>
      <c r="D48" s="102"/>
      <c r="E48" s="100"/>
      <c r="F48" s="100"/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13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  <c r="AE48" s="100"/>
      <c r="AF48" s="100"/>
      <c r="AG48" s="100"/>
      <c r="AH48" s="100"/>
      <c r="AI48" s="100"/>
      <c r="AJ48" s="100"/>
      <c r="AK48" s="100"/>
      <c r="AL48" s="100"/>
      <c r="AM48" s="100"/>
      <c r="AN48" s="100"/>
      <c r="AO48" s="100"/>
      <c r="AP48" s="100"/>
      <c r="AQ48" s="100"/>
      <c r="AR48" s="100"/>
      <c r="AS48" s="100"/>
      <c r="AT48" s="100"/>
      <c r="AU48" s="100"/>
      <c r="AV48" s="100"/>
      <c r="AW48" s="100"/>
      <c r="AX48" s="100"/>
      <c r="AY48" s="100"/>
      <c r="AZ48" s="608">
        <f>BF37-BJ37</f>
        <v>-110.52999999999838</v>
      </c>
      <c r="BA48" s="608"/>
      <c r="BB48" s="608"/>
      <c r="BC48" s="608"/>
      <c r="BD48" s="609" t="s">
        <v>68</v>
      </c>
      <c r="BE48" s="114"/>
    </row>
    <row r="49" spans="1:57" ht="12" customHeight="1">
      <c r="A49" s="100"/>
      <c r="B49" s="100"/>
      <c r="C49" s="100"/>
      <c r="D49" s="102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15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100"/>
      <c r="AI49" s="100"/>
      <c r="AJ49" s="100"/>
      <c r="AK49" s="100"/>
      <c r="AL49" s="100"/>
      <c r="AM49" s="100"/>
      <c r="AN49" s="100"/>
      <c r="AO49" s="100"/>
      <c r="AP49" s="100"/>
      <c r="AQ49" s="100"/>
      <c r="AR49" s="100"/>
      <c r="AS49" s="100"/>
      <c r="AT49" s="100"/>
      <c r="AU49" s="100"/>
      <c r="AV49" s="100"/>
      <c r="AW49" s="100"/>
      <c r="AX49" s="100"/>
      <c r="AY49" s="100"/>
      <c r="AZ49" s="608"/>
      <c r="BA49" s="608"/>
      <c r="BB49" s="608"/>
      <c r="BC49" s="608"/>
      <c r="BD49" s="609"/>
      <c r="BE49" s="114"/>
    </row>
    <row r="50" spans="1:57" ht="13.5" customHeight="1">
      <c r="A50" s="100"/>
      <c r="B50" s="100"/>
      <c r="C50" s="100"/>
      <c r="D50" s="102"/>
      <c r="E50" s="100"/>
      <c r="F50" s="100"/>
      <c r="G50" s="100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100"/>
      <c r="AC50" s="100"/>
      <c r="AD50" s="100"/>
      <c r="AE50" s="100"/>
      <c r="AF50" s="100"/>
      <c r="AG50" s="100"/>
      <c r="AH50" s="100"/>
      <c r="AI50" s="100"/>
      <c r="AJ50" s="100"/>
      <c r="AK50" s="100"/>
      <c r="AL50" s="100"/>
      <c r="AM50" s="100"/>
      <c r="AN50" s="100"/>
      <c r="AO50" s="100"/>
      <c r="AP50" s="100"/>
      <c r="AQ50" s="100"/>
      <c r="AR50" s="100"/>
      <c r="AS50" s="100"/>
      <c r="AT50" s="100"/>
      <c r="AU50" s="100"/>
      <c r="AV50" s="100"/>
      <c r="AW50" s="100"/>
      <c r="AX50" s="100"/>
      <c r="AY50" s="100"/>
      <c r="AZ50" s="116"/>
      <c r="BA50" s="96"/>
      <c r="BB50" s="96"/>
      <c r="BC50" s="96"/>
      <c r="BD50" s="96"/>
      <c r="BE50" s="114"/>
    </row>
    <row r="51" spans="1:57" ht="13.5" customHeight="1" thickBot="1">
      <c r="A51" s="100"/>
      <c r="B51" s="100"/>
      <c r="C51" s="100"/>
      <c r="D51" s="102"/>
      <c r="E51" s="100"/>
      <c r="F51" s="100"/>
      <c r="G51" s="100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0"/>
      <c r="AC51" s="100"/>
      <c r="AD51" s="100"/>
      <c r="AE51" s="100"/>
      <c r="AF51" s="100"/>
      <c r="AG51" s="100"/>
      <c r="AH51" s="100"/>
      <c r="AI51" s="100"/>
      <c r="AJ51" s="100"/>
      <c r="AK51" s="100"/>
      <c r="AL51" s="100"/>
      <c r="AM51" s="100"/>
      <c r="AN51" s="100"/>
      <c r="AO51" s="100"/>
      <c r="AP51" s="100"/>
      <c r="AQ51" s="100"/>
      <c r="AR51" s="100"/>
      <c r="AS51" s="100"/>
      <c r="AT51" s="100"/>
      <c r="AU51" s="100"/>
      <c r="AV51" s="100"/>
      <c r="AW51" s="100"/>
      <c r="AX51" s="100"/>
      <c r="AY51" s="100"/>
      <c r="AZ51" s="610">
        <f>AZ48/AT40*100</f>
        <v>-2.9318302387267474</v>
      </c>
      <c r="BA51" s="610"/>
      <c r="BB51" s="610"/>
      <c r="BC51" s="610"/>
      <c r="BD51" s="611" t="s">
        <v>69</v>
      </c>
      <c r="BE51" s="114"/>
    </row>
    <row r="52" spans="1:57" ht="13.5" thickBot="1">
      <c r="A52" s="100"/>
      <c r="B52" s="100"/>
      <c r="C52" s="100"/>
      <c r="D52" s="102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  <c r="AF52" s="100"/>
      <c r="AG52" s="100"/>
      <c r="AH52" s="100"/>
      <c r="AI52" s="100"/>
      <c r="AJ52" s="100"/>
      <c r="AK52" s="100"/>
      <c r="AL52" s="100"/>
      <c r="AM52" s="100"/>
      <c r="AN52" s="100"/>
      <c r="AO52" s="100"/>
      <c r="AP52" s="100"/>
      <c r="AQ52" s="100"/>
      <c r="AR52" s="100"/>
      <c r="AS52" s="100"/>
      <c r="AT52" s="100"/>
      <c r="AU52" s="100"/>
      <c r="AV52" s="100"/>
      <c r="AW52" s="100"/>
      <c r="AX52" s="100"/>
      <c r="AY52" s="100"/>
      <c r="AZ52" s="610"/>
      <c r="BA52" s="610"/>
      <c r="BB52" s="610"/>
      <c r="BC52" s="610"/>
      <c r="BD52" s="611"/>
      <c r="BE52" s="117"/>
    </row>
    <row r="53" spans="1:57">
      <c r="A53" s="100"/>
      <c r="B53" s="100"/>
      <c r="C53" s="100"/>
      <c r="D53" s="102"/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100"/>
      <c r="AI53" s="100"/>
      <c r="AJ53" s="100"/>
      <c r="AK53" s="100"/>
      <c r="AL53" s="100"/>
      <c r="AM53" s="100"/>
      <c r="AN53" s="100"/>
      <c r="AO53" s="100"/>
      <c r="AP53" s="100"/>
      <c r="AQ53" s="100"/>
      <c r="AR53" s="100"/>
      <c r="AS53" s="100"/>
      <c r="AT53" s="100"/>
      <c r="AU53" s="100"/>
      <c r="AV53" s="100"/>
      <c r="AW53" s="100"/>
      <c r="AX53" s="100"/>
      <c r="AY53" s="100"/>
      <c r="AZ53" s="100"/>
      <c r="BA53" s="100"/>
      <c r="BB53" s="100"/>
      <c r="BC53" s="100"/>
      <c r="BD53" s="100"/>
      <c r="BE53" s="100"/>
    </row>
    <row r="54" spans="1:57">
      <c r="A54" s="100"/>
      <c r="B54" s="100"/>
      <c r="C54" s="100"/>
      <c r="D54" s="102"/>
      <c r="E54" s="100"/>
      <c r="F54" s="100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100"/>
      <c r="AI54" s="100"/>
      <c r="AJ54" s="100"/>
      <c r="AK54" s="100"/>
      <c r="AL54" s="100"/>
      <c r="AM54" s="100"/>
      <c r="AN54" s="100"/>
      <c r="AO54" s="100"/>
      <c r="AP54" s="100"/>
      <c r="AQ54" s="100"/>
      <c r="AR54" s="100"/>
      <c r="AS54" s="100"/>
      <c r="AT54" s="100"/>
      <c r="AU54" s="100"/>
      <c r="AV54" s="100"/>
      <c r="AW54" s="100"/>
      <c r="AX54" s="100"/>
      <c r="AY54" s="100"/>
      <c r="AZ54" s="100"/>
      <c r="BA54" s="100"/>
      <c r="BB54" s="100"/>
      <c r="BC54" s="100"/>
      <c r="BD54" s="100"/>
      <c r="BE54" s="100"/>
    </row>
    <row r="55" spans="1:57">
      <c r="A55" s="100"/>
      <c r="B55" s="100"/>
      <c r="C55" s="100"/>
      <c r="D55" s="102"/>
      <c r="E55" s="100"/>
      <c r="F55" s="100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  <c r="AH55" s="100"/>
      <c r="AI55" s="100"/>
      <c r="AJ55" s="100"/>
      <c r="AK55" s="100"/>
      <c r="AL55" s="100"/>
      <c r="AM55" s="100"/>
      <c r="AN55" s="100"/>
      <c r="AO55" s="100"/>
      <c r="AP55" s="100"/>
      <c r="AQ55" s="100"/>
      <c r="AR55" s="100"/>
      <c r="AS55" s="100"/>
      <c r="AT55" s="100"/>
      <c r="AU55" s="100"/>
      <c r="AV55" s="100"/>
      <c r="AW55" s="100"/>
      <c r="AX55" s="100"/>
      <c r="AY55" s="100"/>
      <c r="AZ55" s="100"/>
      <c r="BA55" s="100"/>
      <c r="BB55" s="100"/>
      <c r="BC55" s="100"/>
      <c r="BD55" s="100"/>
      <c r="BE55" s="100"/>
    </row>
    <row r="56" spans="1:57" ht="13.5" thickBot="1">
      <c r="A56" s="100"/>
      <c r="B56" s="100"/>
      <c r="C56" s="100"/>
      <c r="D56" s="102"/>
      <c r="E56" s="100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/>
      <c r="AE56" s="100"/>
      <c r="AF56" s="100"/>
      <c r="AG56" s="100"/>
      <c r="AH56" s="100"/>
      <c r="AI56" s="100"/>
      <c r="AJ56" s="100"/>
      <c r="AK56" s="100"/>
      <c r="AL56" s="100"/>
      <c r="AM56" s="100"/>
      <c r="AN56" s="100"/>
      <c r="AO56" s="100"/>
      <c r="AP56" s="100"/>
      <c r="AQ56" s="100"/>
      <c r="AR56" s="100"/>
      <c r="AS56" s="100"/>
      <c r="AT56" s="100"/>
      <c r="AU56" s="100"/>
      <c r="AV56" s="100"/>
      <c r="AW56" s="100"/>
      <c r="AX56" s="100"/>
      <c r="AY56" s="100"/>
      <c r="AZ56" s="100"/>
      <c r="BA56" s="100"/>
      <c r="BB56" s="100"/>
      <c r="BC56" s="100"/>
      <c r="BD56" s="100"/>
      <c r="BE56" s="100"/>
    </row>
    <row r="57" spans="1:57" ht="15.75">
      <c r="A57" s="100"/>
      <c r="B57" s="100"/>
      <c r="C57" s="100"/>
      <c r="D57" s="102"/>
      <c r="E57" s="100"/>
      <c r="F57" s="100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100"/>
      <c r="AI57" s="100"/>
      <c r="AJ57" s="100"/>
      <c r="AK57" s="100"/>
      <c r="AL57" s="100"/>
      <c r="AM57" s="100"/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X57" s="100"/>
      <c r="AY57" s="100"/>
      <c r="AZ57" s="481" t="s">
        <v>344</v>
      </c>
      <c r="BA57" s="482"/>
      <c r="BB57" s="482"/>
      <c r="BC57" s="482"/>
      <c r="BD57" s="482"/>
      <c r="BE57" s="483"/>
    </row>
    <row r="58" spans="1:57" ht="15.75">
      <c r="A58" s="100"/>
      <c r="B58" s="100"/>
      <c r="C58" s="100"/>
      <c r="D58" s="102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  <c r="AA58" s="100"/>
      <c r="AB58" s="100"/>
      <c r="AC58" s="100"/>
      <c r="AD58" s="100"/>
      <c r="AE58" s="100"/>
      <c r="AF58" s="100"/>
      <c r="AG58" s="100"/>
      <c r="AH58" s="100"/>
      <c r="AI58" s="100"/>
      <c r="AJ58" s="100"/>
      <c r="AK58" s="100"/>
      <c r="AL58" s="100"/>
      <c r="AM58" s="100"/>
      <c r="AN58" s="100"/>
      <c r="AO58" s="100"/>
      <c r="AP58" s="100"/>
      <c r="AQ58" s="100"/>
      <c r="AR58" s="100"/>
      <c r="AS58" s="100"/>
      <c r="AT58" s="100"/>
      <c r="AU58" s="100"/>
      <c r="AV58" s="100"/>
      <c r="AW58" s="100"/>
      <c r="AX58" s="100"/>
      <c r="AY58" s="100"/>
      <c r="AZ58" s="484" t="s">
        <v>340</v>
      </c>
      <c r="BA58" s="485"/>
      <c r="BB58" s="485"/>
      <c r="BC58" s="485"/>
      <c r="BD58" s="617">
        <f>'[5]ноябрь 20'!$F$38</f>
        <v>1021.3199999999999</v>
      </c>
      <c r="BE58" s="618"/>
    </row>
    <row r="59" spans="1:57" ht="16.5" thickBot="1">
      <c r="A59" s="100"/>
      <c r="B59" s="100"/>
      <c r="C59" s="100"/>
      <c r="D59" s="102"/>
      <c r="E59" s="100"/>
      <c r="F59" s="100"/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  <c r="AE59" s="100"/>
      <c r="AF59" s="100"/>
      <c r="AG59" s="100"/>
      <c r="AH59" s="100"/>
      <c r="AI59" s="100"/>
      <c r="AJ59" s="100"/>
      <c r="AK59" s="100"/>
      <c r="AL59" s="100"/>
      <c r="AM59" s="100"/>
      <c r="AN59" s="100"/>
      <c r="AO59" s="100"/>
      <c r="AP59" s="100"/>
      <c r="AQ59" s="100"/>
      <c r="AR59" s="100"/>
      <c r="AS59" s="100"/>
      <c r="AT59" s="100"/>
      <c r="AU59" s="100"/>
      <c r="AV59" s="100"/>
      <c r="AW59" s="100"/>
      <c r="AX59" s="100"/>
      <c r="AY59" s="100"/>
      <c r="AZ59" s="484" t="s">
        <v>341</v>
      </c>
      <c r="BA59" s="485"/>
      <c r="BB59" s="485"/>
      <c r="BC59" s="485"/>
      <c r="BD59" s="619">
        <f>'[5]ноябрь 20'!$B$38</f>
        <v>1021.32</v>
      </c>
      <c r="BE59" s="620"/>
    </row>
    <row r="60" spans="1:57" ht="16.5" thickBot="1">
      <c r="A60" s="100"/>
      <c r="B60" s="100"/>
      <c r="C60" s="100"/>
      <c r="D60" s="102"/>
      <c r="E60" s="100"/>
      <c r="F60" s="100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  <c r="AE60" s="100"/>
      <c r="AF60" s="100"/>
      <c r="AG60" s="100"/>
      <c r="AH60" s="100"/>
      <c r="AI60" s="100"/>
      <c r="AJ60" s="100"/>
      <c r="AK60" s="100"/>
      <c r="AL60" s="100"/>
      <c r="AM60" s="100"/>
      <c r="AN60" s="100"/>
      <c r="AO60" s="100"/>
      <c r="AP60" s="100"/>
      <c r="AQ60" s="100"/>
      <c r="AR60" s="100"/>
      <c r="AS60" s="100"/>
      <c r="AT60" s="100"/>
      <c r="AU60" s="100"/>
      <c r="AV60" s="100"/>
      <c r="AW60" s="100"/>
      <c r="AX60" s="100"/>
      <c r="AY60" s="100"/>
      <c r="AZ60" s="486" t="s">
        <v>342</v>
      </c>
      <c r="BA60" s="487"/>
      <c r="BB60" s="487"/>
      <c r="BC60" s="487"/>
      <c r="BD60" s="621">
        <f>BD59-BD58</f>
        <v>0</v>
      </c>
      <c r="BE60" s="622"/>
    </row>
    <row r="61" spans="1:57">
      <c r="A61" s="100"/>
      <c r="B61" s="100"/>
      <c r="C61" s="100"/>
      <c r="D61" s="102"/>
      <c r="E61" s="100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/>
      <c r="AE61" s="100"/>
      <c r="AF61" s="100"/>
      <c r="AG61" s="100"/>
      <c r="AH61" s="100"/>
      <c r="AI61" s="100"/>
      <c r="AJ61" s="100"/>
      <c r="AK61" s="100"/>
      <c r="AL61" s="100"/>
      <c r="AM61" s="100"/>
      <c r="AN61" s="100"/>
      <c r="AO61" s="100"/>
      <c r="AP61" s="100"/>
      <c r="AQ61" s="100"/>
      <c r="AR61" s="100"/>
      <c r="AS61" s="100"/>
      <c r="AT61" s="100"/>
      <c r="AU61" s="100"/>
      <c r="AV61" s="100"/>
      <c r="AW61" s="100"/>
      <c r="AX61" s="100"/>
      <c r="AY61" s="100"/>
      <c r="AZ61" s="100"/>
      <c r="BA61" s="100"/>
      <c r="BB61" s="100"/>
      <c r="BC61" s="100"/>
      <c r="BD61" s="100"/>
      <c r="BE61" s="100"/>
    </row>
    <row r="62" spans="1:57">
      <c r="A62" s="100"/>
      <c r="B62" s="100"/>
      <c r="C62" s="100"/>
      <c r="D62" s="102"/>
      <c r="E62" s="100"/>
      <c r="F62" s="100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100"/>
      <c r="AC62" s="100"/>
      <c r="AD62" s="100"/>
      <c r="AE62" s="100"/>
      <c r="AF62" s="100"/>
      <c r="AG62" s="100"/>
      <c r="AH62" s="100"/>
      <c r="AI62" s="100"/>
      <c r="AJ62" s="100"/>
      <c r="AK62" s="100"/>
      <c r="AL62" s="100"/>
      <c r="AM62" s="100"/>
      <c r="AN62" s="100"/>
      <c r="AO62" s="100"/>
      <c r="AP62" s="100"/>
      <c r="AQ62" s="100"/>
      <c r="AR62" s="100"/>
      <c r="AS62" s="100"/>
      <c r="AT62" s="100"/>
      <c r="AU62" s="100"/>
      <c r="AV62" s="100"/>
      <c r="AW62" s="100"/>
      <c r="AX62" s="100"/>
      <c r="AY62" s="100"/>
      <c r="AZ62" s="100"/>
      <c r="BA62" s="100"/>
      <c r="BB62" s="100"/>
      <c r="BC62" s="100"/>
      <c r="BD62" s="100"/>
      <c r="BE62" s="100"/>
    </row>
    <row r="63" spans="1:57">
      <c r="A63" s="100"/>
      <c r="B63" s="100"/>
      <c r="C63" s="100"/>
      <c r="D63" s="102"/>
      <c r="E63" s="100"/>
      <c r="F63" s="100"/>
      <c r="G63" s="100"/>
      <c r="H63" s="100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  <c r="AA63" s="100"/>
      <c r="AB63" s="100"/>
      <c r="AC63" s="100"/>
      <c r="AD63" s="100"/>
      <c r="AE63" s="100"/>
      <c r="AF63" s="100"/>
      <c r="AG63" s="100"/>
      <c r="AH63" s="100"/>
      <c r="AI63" s="100"/>
      <c r="AJ63" s="100"/>
      <c r="AK63" s="100"/>
      <c r="AL63" s="100"/>
      <c r="AM63" s="100"/>
      <c r="AN63" s="100"/>
      <c r="AO63" s="100"/>
      <c r="AP63" s="100"/>
      <c r="AQ63" s="100"/>
      <c r="AR63" s="100"/>
      <c r="AS63" s="100"/>
      <c r="AT63" s="100"/>
      <c r="AU63" s="100"/>
      <c r="AV63" s="100"/>
      <c r="AW63" s="100"/>
      <c r="AX63" s="100"/>
      <c r="AY63" s="100"/>
      <c r="AZ63" s="100"/>
      <c r="BA63" s="100"/>
      <c r="BB63" s="100"/>
      <c r="BC63" s="100"/>
      <c r="BD63" s="100"/>
      <c r="BE63" s="100"/>
    </row>
    <row r="64" spans="1:57">
      <c r="A64" s="100"/>
      <c r="B64" s="100"/>
      <c r="C64" s="100"/>
      <c r="D64" s="102"/>
      <c r="E64" s="100"/>
      <c r="F64" s="100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  <c r="AE64" s="100"/>
      <c r="AF64" s="100"/>
      <c r="AG64" s="100"/>
      <c r="AH64" s="100"/>
      <c r="AI64" s="100"/>
      <c r="AJ64" s="100"/>
      <c r="AK64" s="100"/>
      <c r="AL64" s="100"/>
      <c r="AM64" s="100"/>
      <c r="AN64" s="100"/>
      <c r="AO64" s="100"/>
      <c r="AP64" s="100"/>
      <c r="AQ64" s="100"/>
      <c r="AR64" s="100"/>
      <c r="AS64" s="100"/>
      <c r="AT64" s="100"/>
      <c r="AU64" s="100"/>
      <c r="AV64" s="100"/>
      <c r="AW64" s="100"/>
      <c r="AX64" s="100"/>
      <c r="AY64" s="100"/>
      <c r="AZ64" s="100"/>
      <c r="BA64" s="100"/>
      <c r="BB64" s="100"/>
      <c r="BC64" s="100"/>
      <c r="BD64" s="100"/>
      <c r="BE64" s="100"/>
    </row>
    <row r="65" spans="1:57">
      <c r="A65" s="100"/>
      <c r="B65" s="100"/>
      <c r="C65" s="100"/>
      <c r="D65" s="102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/>
      <c r="AE65" s="100"/>
      <c r="AF65" s="100"/>
      <c r="AG65" s="100"/>
      <c r="AH65" s="100"/>
      <c r="AI65" s="100"/>
      <c r="AJ65" s="100"/>
      <c r="AK65" s="100"/>
      <c r="AL65" s="100"/>
      <c r="AM65" s="100"/>
      <c r="AN65" s="100"/>
      <c r="AO65" s="100"/>
      <c r="AP65" s="100"/>
      <c r="AQ65" s="100"/>
      <c r="AR65" s="100"/>
      <c r="AS65" s="100"/>
      <c r="AT65" s="100"/>
      <c r="AU65" s="100"/>
      <c r="AV65" s="100"/>
      <c r="AW65" s="100"/>
      <c r="AX65" s="100"/>
      <c r="AY65" s="100"/>
      <c r="AZ65" s="100"/>
      <c r="BA65" s="100"/>
      <c r="BB65" s="100"/>
      <c r="BC65" s="100"/>
      <c r="BD65" s="100"/>
      <c r="BE65" s="100"/>
    </row>
    <row r="66" spans="1:57">
      <c r="A66" s="100"/>
      <c r="B66" s="100"/>
      <c r="C66" s="100"/>
      <c r="D66" s="102"/>
      <c r="E66" s="100"/>
      <c r="F66" s="100"/>
      <c r="G66" s="100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/>
      <c r="AE66" s="100"/>
      <c r="AF66" s="100"/>
      <c r="AG66" s="100"/>
      <c r="AH66" s="100"/>
      <c r="AI66" s="100"/>
      <c r="AJ66" s="100"/>
      <c r="AK66" s="100"/>
      <c r="AL66" s="100"/>
      <c r="AM66" s="100"/>
      <c r="AN66" s="100"/>
      <c r="AO66" s="100"/>
      <c r="AP66" s="100"/>
      <c r="AQ66" s="100"/>
      <c r="AR66" s="100"/>
      <c r="AS66" s="100"/>
      <c r="AT66" s="100"/>
      <c r="AU66" s="100"/>
      <c r="AV66" s="100"/>
      <c r="AW66" s="100"/>
      <c r="AX66" s="100"/>
      <c r="AY66" s="100"/>
      <c r="AZ66" s="100"/>
      <c r="BA66" s="100"/>
      <c r="BB66" s="100"/>
      <c r="BC66" s="100"/>
      <c r="BD66" s="100"/>
      <c r="BE66" s="100"/>
    </row>
    <row r="67" spans="1:57">
      <c r="A67" s="100"/>
      <c r="B67" s="100"/>
      <c r="C67" s="100"/>
      <c r="D67" s="102"/>
      <c r="E67" s="100"/>
      <c r="F67" s="100"/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  <c r="AD67" s="100"/>
      <c r="AE67" s="100"/>
      <c r="AF67" s="100"/>
      <c r="AG67" s="100"/>
      <c r="AH67" s="100"/>
      <c r="AI67" s="100"/>
      <c r="AJ67" s="100"/>
      <c r="AK67" s="100"/>
      <c r="AL67" s="100"/>
      <c r="AM67" s="100"/>
      <c r="AN67" s="100"/>
      <c r="AO67" s="100"/>
      <c r="AP67" s="100"/>
      <c r="AQ67" s="100"/>
      <c r="AR67" s="100"/>
      <c r="AS67" s="100"/>
      <c r="AT67" s="100"/>
      <c r="AU67" s="100"/>
      <c r="AV67" s="100"/>
      <c r="AW67" s="100"/>
      <c r="AX67" s="100"/>
      <c r="AY67" s="100"/>
      <c r="AZ67" s="100"/>
      <c r="BA67" s="100"/>
      <c r="BB67" s="100"/>
      <c r="BC67" s="100"/>
      <c r="BD67" s="100"/>
      <c r="BE67" s="100"/>
    </row>
    <row r="68" spans="1:57">
      <c r="A68" s="100"/>
      <c r="B68" s="100"/>
      <c r="C68" s="100"/>
      <c r="D68" s="102"/>
      <c r="E68" s="100"/>
      <c r="F68" s="100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  <c r="AI68" s="100"/>
      <c r="AJ68" s="100"/>
      <c r="AK68" s="100"/>
      <c r="AL68" s="100"/>
      <c r="AM68" s="100"/>
      <c r="AN68" s="100"/>
      <c r="AO68" s="100"/>
      <c r="AP68" s="100"/>
      <c r="AQ68" s="100"/>
      <c r="AR68" s="100"/>
      <c r="AS68" s="100"/>
      <c r="AT68" s="100"/>
      <c r="AU68" s="100"/>
      <c r="AV68" s="100"/>
      <c r="AW68" s="100"/>
      <c r="AX68" s="100"/>
      <c r="AY68" s="100"/>
      <c r="AZ68" s="100"/>
      <c r="BA68" s="100"/>
      <c r="BB68" s="100"/>
      <c r="BC68" s="100"/>
      <c r="BD68" s="100"/>
      <c r="BE68" s="100"/>
    </row>
    <row r="69" spans="1:57">
      <c r="A69" s="100"/>
      <c r="B69" s="100"/>
      <c r="C69" s="100"/>
      <c r="D69" s="102"/>
      <c r="E69" s="100"/>
      <c r="F69" s="100"/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100"/>
      <c r="AC69" s="100"/>
      <c r="AD69" s="100"/>
      <c r="AE69" s="100"/>
      <c r="AF69" s="100"/>
      <c r="AG69" s="100"/>
      <c r="AH69" s="100"/>
      <c r="AI69" s="100"/>
      <c r="AJ69" s="100"/>
      <c r="AK69" s="100"/>
      <c r="AL69" s="100"/>
      <c r="AM69" s="100"/>
      <c r="AN69" s="100"/>
      <c r="AO69" s="100"/>
      <c r="AP69" s="100"/>
      <c r="AQ69" s="100"/>
      <c r="AR69" s="100"/>
      <c r="AS69" s="100"/>
      <c r="AT69" s="100"/>
      <c r="AU69" s="100"/>
      <c r="AV69" s="100"/>
      <c r="AW69" s="100"/>
      <c r="AX69" s="100"/>
      <c r="AY69" s="100"/>
      <c r="AZ69" s="100"/>
      <c r="BA69" s="100"/>
      <c r="BB69" s="100"/>
      <c r="BC69" s="100"/>
      <c r="BD69" s="100"/>
      <c r="BE69" s="100"/>
    </row>
    <row r="70" spans="1:57">
      <c r="A70" s="100"/>
      <c r="B70" s="100"/>
      <c r="C70" s="100"/>
      <c r="D70" s="102"/>
      <c r="E70" s="100"/>
      <c r="F70" s="100"/>
      <c r="G70" s="100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  <c r="AE70" s="100"/>
      <c r="AF70" s="100"/>
      <c r="AG70" s="100"/>
      <c r="AH70" s="100"/>
      <c r="AI70" s="100"/>
      <c r="AJ70" s="100"/>
      <c r="AK70" s="100"/>
      <c r="AL70" s="100"/>
      <c r="AM70" s="100"/>
      <c r="AN70" s="100"/>
      <c r="AO70" s="100"/>
      <c r="AP70" s="100"/>
      <c r="AQ70" s="100"/>
      <c r="AR70" s="100"/>
      <c r="AS70" s="100"/>
      <c r="AT70" s="100"/>
      <c r="AU70" s="100"/>
      <c r="AV70" s="100"/>
      <c r="AW70" s="100"/>
      <c r="AX70" s="100"/>
      <c r="AY70" s="100"/>
      <c r="AZ70" s="100"/>
      <c r="BA70" s="100"/>
      <c r="BB70" s="100"/>
      <c r="BC70" s="100"/>
      <c r="BD70" s="100"/>
      <c r="BE70" s="100"/>
    </row>
    <row r="71" spans="1:57" ht="18" customHeight="1">
      <c r="A71" s="318" t="s">
        <v>70</v>
      </c>
      <c r="B71" s="319"/>
      <c r="C71" s="318"/>
      <c r="D71" s="318"/>
      <c r="E71" s="318"/>
      <c r="F71" s="318"/>
      <c r="G71" s="318"/>
      <c r="H71" s="318"/>
      <c r="I71" s="318"/>
      <c r="J71" s="320"/>
      <c r="K71" s="320"/>
      <c r="L71" s="605" t="s">
        <v>158</v>
      </c>
      <c r="M71" s="605"/>
      <c r="N71" s="605"/>
      <c r="O71" s="605"/>
      <c r="P71" s="605"/>
      <c r="Q71" s="605"/>
      <c r="R71" s="109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/>
      <c r="AE71" s="100"/>
      <c r="AF71" s="100"/>
      <c r="AG71" s="100"/>
      <c r="AH71" s="100"/>
      <c r="AI71" s="100"/>
      <c r="AJ71" s="100"/>
      <c r="AK71" s="100"/>
      <c r="AL71" s="100"/>
      <c r="AM71" s="100"/>
      <c r="AN71" s="100"/>
      <c r="AO71" s="100"/>
      <c r="AP71" s="100"/>
      <c r="AQ71" s="100"/>
      <c r="AR71" s="100"/>
      <c r="AS71" s="100"/>
      <c r="AT71" s="100"/>
      <c r="AU71" s="100"/>
      <c r="AV71" s="100"/>
      <c r="AW71" s="100"/>
      <c r="AX71" s="100"/>
      <c r="AY71" s="100"/>
      <c r="AZ71" s="100"/>
      <c r="BA71" s="100"/>
      <c r="BB71" s="100"/>
      <c r="BC71" s="100"/>
      <c r="BD71" s="100"/>
      <c r="BE71" s="100"/>
    </row>
    <row r="72" spans="1:57" ht="15">
      <c r="A72" s="118"/>
      <c r="B72" s="118"/>
      <c r="C72" s="119"/>
      <c r="D72" s="120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  <c r="AE72" s="100"/>
      <c r="AF72" s="100"/>
      <c r="AG72" s="100"/>
      <c r="AH72" s="100"/>
      <c r="AI72" s="100"/>
      <c r="AJ72" s="100"/>
      <c r="AK72" s="100"/>
      <c r="AL72" s="100"/>
      <c r="AM72" s="100"/>
      <c r="AN72" s="100"/>
      <c r="AO72" s="100"/>
      <c r="AP72" s="100"/>
      <c r="AQ72" s="100"/>
      <c r="AR72" s="100"/>
      <c r="AS72" s="100"/>
      <c r="AT72" s="100"/>
      <c r="AU72" s="100"/>
      <c r="AV72" s="100"/>
      <c r="AW72" s="100"/>
      <c r="AX72" s="100"/>
      <c r="AY72" s="100"/>
      <c r="AZ72" s="100"/>
      <c r="BA72" s="100"/>
      <c r="BB72" s="100"/>
      <c r="BC72" s="100"/>
      <c r="BD72" s="100"/>
      <c r="BE72" s="100"/>
    </row>
    <row r="73" spans="1:57" ht="15.75">
      <c r="A73" s="100"/>
      <c r="B73" s="100"/>
      <c r="C73" s="100"/>
      <c r="D73" s="102"/>
      <c r="E73" s="100"/>
      <c r="F73" s="100"/>
      <c r="G73" s="100"/>
      <c r="H73" s="100"/>
      <c r="I73" s="100"/>
      <c r="J73" s="100"/>
      <c r="K73" s="100"/>
      <c r="L73" s="111"/>
      <c r="M73" s="111"/>
      <c r="N73" s="111"/>
      <c r="O73" s="111"/>
      <c r="P73" s="111"/>
      <c r="Q73" s="111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00"/>
      <c r="AK73" s="100"/>
      <c r="AL73" s="100"/>
      <c r="AM73" s="100"/>
      <c r="AN73" s="100"/>
      <c r="AO73" s="100"/>
      <c r="AP73" s="100"/>
      <c r="AQ73" s="100"/>
      <c r="AR73" s="100"/>
      <c r="AS73" s="100"/>
      <c r="AT73" s="100"/>
      <c r="AU73" s="100"/>
      <c r="AV73" s="100"/>
      <c r="AW73" s="100"/>
      <c r="AX73" s="100"/>
      <c r="AY73" s="100"/>
      <c r="AZ73" s="100"/>
      <c r="BA73" s="100"/>
      <c r="BB73" s="100"/>
      <c r="BC73" s="100"/>
      <c r="BD73" s="100"/>
      <c r="BE73" s="100"/>
    </row>
    <row r="74" spans="1:57">
      <c r="A74" s="100"/>
      <c r="B74" s="100"/>
      <c r="C74" s="100"/>
      <c r="D74" s="102"/>
      <c r="E74" s="100"/>
      <c r="F74" s="100"/>
      <c r="G74" s="100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00"/>
      <c r="AK74" s="100"/>
      <c r="AL74" s="100"/>
      <c r="AM74" s="100"/>
      <c r="AN74" s="100"/>
      <c r="AO74" s="100"/>
      <c r="AP74" s="100"/>
      <c r="AQ74" s="100"/>
      <c r="AR74" s="100"/>
      <c r="AS74" s="100"/>
      <c r="AT74" s="100"/>
      <c r="AU74" s="100"/>
      <c r="AV74" s="100"/>
      <c r="AW74" s="100"/>
      <c r="AX74" s="100"/>
      <c r="AY74" s="100"/>
      <c r="AZ74" s="100"/>
      <c r="BA74" s="100"/>
      <c r="BB74" s="100"/>
      <c r="BC74" s="100"/>
      <c r="BD74" s="100"/>
      <c r="BE74" s="100"/>
    </row>
    <row r="75" spans="1:57">
      <c r="A75" s="100"/>
      <c r="B75" s="100"/>
      <c r="C75" s="100"/>
      <c r="D75" s="102"/>
      <c r="E75" s="100"/>
      <c r="F75" s="100"/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  <c r="AD75" s="100"/>
      <c r="AE75" s="100"/>
      <c r="AF75" s="100"/>
      <c r="AG75" s="100"/>
      <c r="AH75" s="100"/>
      <c r="AI75" s="100"/>
      <c r="AJ75" s="100"/>
      <c r="AK75" s="100"/>
      <c r="AL75" s="100"/>
      <c r="AM75" s="100"/>
      <c r="AN75" s="100"/>
      <c r="AO75" s="100"/>
      <c r="AP75" s="100"/>
      <c r="AQ75" s="100"/>
      <c r="AR75" s="100"/>
      <c r="AS75" s="100"/>
      <c r="AT75" s="100"/>
      <c r="AU75" s="100"/>
      <c r="AV75" s="100"/>
      <c r="AW75" s="100"/>
      <c r="AX75" s="100"/>
      <c r="AY75" s="100"/>
      <c r="AZ75" s="100"/>
      <c r="BA75" s="100"/>
      <c r="BB75" s="100"/>
      <c r="BC75" s="100"/>
      <c r="BD75" s="100"/>
      <c r="BE75" s="100"/>
    </row>
    <row r="77" spans="1:57">
      <c r="AY77" t="s">
        <v>302</v>
      </c>
    </row>
  </sheetData>
  <sheetProtection selectLockedCells="1" selectUnlockedCells="1"/>
  <mergeCells count="81">
    <mergeCell ref="AE3:AF4"/>
    <mergeCell ref="AG3:AI4"/>
    <mergeCell ref="AI5:AI6"/>
    <mergeCell ref="AY2:BC2"/>
    <mergeCell ref="A3:A6"/>
    <mergeCell ref="B3:G3"/>
    <mergeCell ref="H3:P3"/>
    <mergeCell ref="Q3:U3"/>
    <mergeCell ref="V3:V6"/>
    <mergeCell ref="W3:W6"/>
    <mergeCell ref="X3:X6"/>
    <mergeCell ref="Y3:Y6"/>
    <mergeCell ref="Z3:Z6"/>
    <mergeCell ref="P4:P6"/>
    <mergeCell ref="L4:L6"/>
    <mergeCell ref="M4:M6"/>
    <mergeCell ref="CJ3:CM5"/>
    <mergeCell ref="B4:B6"/>
    <mergeCell ref="C4:C6"/>
    <mergeCell ref="D4:D6"/>
    <mergeCell ref="E4:E6"/>
    <mergeCell ref="F4:F6"/>
    <mergeCell ref="G4:G6"/>
    <mergeCell ref="H4:H6"/>
    <mergeCell ref="I4:I6"/>
    <mergeCell ref="J4:J6"/>
    <mergeCell ref="BD3:BD6"/>
    <mergeCell ref="BE3:BE6"/>
    <mergeCell ref="BK3:BQ5"/>
    <mergeCell ref="BR3:BX5"/>
    <mergeCell ref="BY3:CE5"/>
    <mergeCell ref="K4:K6"/>
    <mergeCell ref="AA3:AA6"/>
    <mergeCell ref="AB3:AB6"/>
    <mergeCell ref="N4:N6"/>
    <mergeCell ref="O4:O6"/>
    <mergeCell ref="DD4:DH4"/>
    <mergeCell ref="AE5:AE6"/>
    <mergeCell ref="AF5:AF6"/>
    <mergeCell ref="AG5:AG6"/>
    <mergeCell ref="AH5:AH6"/>
    <mergeCell ref="CF3:CI5"/>
    <mergeCell ref="AQ3:AQ6"/>
    <mergeCell ref="AS3:AS6"/>
    <mergeCell ref="AT3:AY4"/>
    <mergeCell ref="AZ3:AZ6"/>
    <mergeCell ref="BA3:BB4"/>
    <mergeCell ref="BC3:BC6"/>
    <mergeCell ref="Q4:Q6"/>
    <mergeCell ref="R4:R6"/>
    <mergeCell ref="S4:S6"/>
    <mergeCell ref="T4:T6"/>
    <mergeCell ref="U4:U6"/>
    <mergeCell ref="AC3:AC6"/>
    <mergeCell ref="AD3:AD6"/>
    <mergeCell ref="DA5:DB5"/>
    <mergeCell ref="CO39:CP39"/>
    <mergeCell ref="CQ39:CU39"/>
    <mergeCell ref="CV39:CY39"/>
    <mergeCell ref="AX5:AX6"/>
    <mergeCell ref="AY5:AY6"/>
    <mergeCell ref="AJ3:AK6"/>
    <mergeCell ref="AL3:AL6"/>
    <mergeCell ref="AM3:AM6"/>
    <mergeCell ref="AN3:AN6"/>
    <mergeCell ref="AO3:AO6"/>
    <mergeCell ref="AP3:AP6"/>
    <mergeCell ref="AT5:AT6"/>
    <mergeCell ref="AW5:AW6"/>
    <mergeCell ref="CO40:CU40"/>
    <mergeCell ref="BD58:BE58"/>
    <mergeCell ref="BD59:BE59"/>
    <mergeCell ref="BD60:BE60"/>
    <mergeCell ref="L71:Q71"/>
    <mergeCell ref="N46:O46"/>
    <mergeCell ref="AZ46:BE47"/>
    <mergeCell ref="AZ48:BC49"/>
    <mergeCell ref="BD48:BD49"/>
    <mergeCell ref="AZ51:BC52"/>
    <mergeCell ref="BD51:BD52"/>
    <mergeCell ref="AT42:AV42"/>
  </mergeCells>
  <printOptions horizontalCentered="1" verticalCentered="1"/>
  <pageMargins left="0" right="0" top="0" bottom="0" header="0" footer="0"/>
  <pageSetup paperSize="9" scale="46" firstPageNumber="0" orientation="landscape" r:id="rId1"/>
  <headerFooter alignWithMargins="0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>
  <dimension ref="A1:DM77"/>
  <sheetViews>
    <sheetView showZeros="0" zoomScale="90" zoomScaleNormal="90" workbookViewId="0">
      <pane xSplit="1" ySplit="6" topLeftCell="AE25" activePane="bottomRight" state="frozen"/>
      <selection pane="topRight" activeCell="B1" sqref="B1"/>
      <selection pane="bottomLeft" activeCell="A7" sqref="A7"/>
      <selection pane="bottomRight" activeCell="BC35" sqref="BC35"/>
    </sheetView>
  </sheetViews>
  <sheetFormatPr defaultColWidth="8.7109375" defaultRowHeight="12.75"/>
  <cols>
    <col min="1" max="1" width="3.5703125" customWidth="1"/>
    <col min="2" max="2" width="9.7109375" customWidth="1"/>
    <col min="3" max="3" width="6" customWidth="1"/>
    <col min="4" max="4" width="12" style="1" hidden="1" customWidth="1"/>
    <col min="5" max="5" width="7.140625" customWidth="1"/>
    <col min="6" max="6" width="7.5703125" customWidth="1"/>
    <col min="7" max="7" width="7.7109375" customWidth="1"/>
    <col min="8" max="8" width="7.28515625" customWidth="1"/>
    <col min="9" max="9" width="7.42578125" hidden="1" customWidth="1"/>
    <col min="10" max="10" width="9.140625" customWidth="1"/>
    <col min="11" max="11" width="5.5703125" hidden="1" customWidth="1"/>
    <col min="12" max="12" width="10.140625" customWidth="1"/>
    <col min="13" max="13" width="7.42578125" customWidth="1"/>
    <col min="14" max="14" width="3.28515625" customWidth="1"/>
    <col min="15" max="15" width="8.42578125" customWidth="1"/>
    <col min="16" max="16" width="9.85546875" hidden="1" customWidth="1"/>
    <col min="17" max="17" width="9.28515625" customWidth="1"/>
    <col min="18" max="18" width="6" customWidth="1"/>
    <col min="19" max="19" width="8.28515625" customWidth="1"/>
    <col min="20" max="20" width="11.140625" hidden="1" customWidth="1"/>
    <col min="21" max="21" width="9.42578125" customWidth="1"/>
    <col min="22" max="22" width="8.42578125" customWidth="1"/>
    <col min="23" max="23" width="9" customWidth="1"/>
    <col min="24" max="24" width="6" customWidth="1"/>
    <col min="25" max="25" width="5.42578125" customWidth="1"/>
    <col min="26" max="26" width="6.85546875" customWidth="1"/>
    <col min="27" max="27" width="6.5703125" customWidth="1"/>
    <col min="28" max="28" width="7.5703125" customWidth="1"/>
    <col min="29" max="29" width="6.5703125" customWidth="1"/>
    <col min="30" max="30" width="4.28515625" customWidth="1"/>
    <col min="31" max="32" width="6.85546875" customWidth="1"/>
    <col min="33" max="33" width="0" hidden="1" customWidth="1"/>
    <col min="34" max="34" width="8.42578125" customWidth="1"/>
    <col min="35" max="35" width="7" customWidth="1"/>
    <col min="36" max="36" width="7.85546875" customWidth="1"/>
    <col min="37" max="37" width="0" hidden="1" customWidth="1"/>
    <col min="38" max="38" width="7.28515625" customWidth="1"/>
    <col min="39" max="39" width="7.7109375" customWidth="1"/>
    <col min="40" max="40" width="7" hidden="1" customWidth="1"/>
    <col min="41" max="41" width="9.42578125" customWidth="1"/>
    <col min="42" max="42" width="6.28515625" customWidth="1"/>
    <col min="43" max="43" width="6.85546875" customWidth="1"/>
    <col min="44" max="44" width="0" hidden="1" customWidth="1"/>
    <col min="45" max="45" width="6.7109375" customWidth="1"/>
    <col min="46" max="46" width="9.7109375" customWidth="1"/>
    <col min="47" max="47" width="7" customWidth="1"/>
    <col min="48" max="48" width="0" hidden="1" customWidth="1"/>
    <col min="49" max="49" width="6.140625" hidden="1" customWidth="1"/>
    <col min="50" max="50" width="5.140625" hidden="1" customWidth="1"/>
    <col min="51" max="51" width="8.42578125" customWidth="1"/>
    <col min="52" max="52" width="10" customWidth="1"/>
    <col min="53" max="53" width="8.7109375" hidden="1" customWidth="1"/>
    <col min="54" max="54" width="3.85546875" hidden="1" customWidth="1"/>
    <col min="55" max="55" width="6.5703125" customWidth="1"/>
    <col min="56" max="56" width="6.140625" customWidth="1"/>
    <col min="57" max="57" width="6.7109375" customWidth="1"/>
    <col min="58" max="58" width="8.85546875" customWidth="1"/>
    <col min="59" max="59" width="7.85546875" customWidth="1"/>
    <col min="60" max="60" width="9.85546875" customWidth="1"/>
    <col min="61" max="62" width="8.7109375" customWidth="1"/>
    <col min="63" max="63" width="10.28515625" customWidth="1"/>
    <col min="64" max="64" width="10.85546875" customWidth="1"/>
    <col min="65" max="65" width="10.7109375" customWidth="1"/>
    <col min="66" max="66" width="11.28515625" customWidth="1"/>
    <col min="67" max="68" width="8.85546875" customWidth="1"/>
    <col min="69" max="69" width="11.28515625" customWidth="1"/>
    <col min="70" max="70" width="7.7109375" customWidth="1"/>
    <col min="71" max="71" width="10" customWidth="1"/>
    <col min="72" max="72" width="8.85546875" customWidth="1"/>
    <col min="73" max="73" width="10.140625" customWidth="1"/>
    <col min="74" max="75" width="8.85546875" customWidth="1"/>
    <col min="76" max="76" width="9.7109375" customWidth="1"/>
    <col min="77" max="78" width="8.7109375" customWidth="1"/>
    <col min="79" max="79" width="9" customWidth="1"/>
    <col min="80" max="80" width="10.42578125" customWidth="1"/>
    <col min="81" max="81" width="8.42578125" customWidth="1"/>
    <col min="82" max="82" width="10.42578125" customWidth="1"/>
    <col min="83" max="83" width="9.85546875" customWidth="1"/>
    <col min="84" max="85" width="11.42578125" customWidth="1"/>
    <col min="86" max="86" width="11.140625" customWidth="1"/>
    <col min="87" max="87" width="11.28515625" customWidth="1"/>
    <col min="88" max="89" width="10" customWidth="1"/>
    <col min="90" max="90" width="8.7109375" customWidth="1"/>
    <col min="91" max="91" width="11.85546875" customWidth="1"/>
    <col min="92" max="92" width="8.7109375" customWidth="1"/>
    <col min="93" max="93" width="12.140625" customWidth="1"/>
    <col min="94" max="94" width="12.5703125" customWidth="1"/>
    <col min="95" max="95" width="11.7109375" customWidth="1"/>
    <col min="96" max="98" width="12.28515625" customWidth="1"/>
    <col min="99" max="99" width="13.28515625" customWidth="1"/>
    <col min="100" max="100" width="12.85546875" customWidth="1"/>
    <col min="101" max="101" width="13.42578125" customWidth="1"/>
    <col min="102" max="102" width="12.5703125" customWidth="1"/>
    <col min="103" max="103" width="14" customWidth="1"/>
    <col min="104" max="104" width="9.5703125" customWidth="1"/>
    <col min="105" max="105" width="19.140625" customWidth="1"/>
    <col min="106" max="106" width="19.42578125" customWidth="1"/>
    <col min="111" max="111" width="8.7109375" hidden="1" customWidth="1"/>
    <col min="112" max="112" width="9" bestFit="1" customWidth="1"/>
    <col min="114" max="114" width="9.7109375" bestFit="1" customWidth="1"/>
    <col min="115" max="115" width="13.28515625" customWidth="1"/>
  </cols>
  <sheetData>
    <row r="1" spans="1:117" ht="17.25" customHeight="1">
      <c r="A1" s="310" t="s">
        <v>0</v>
      </c>
      <c r="B1" s="310"/>
      <c r="C1" s="310"/>
      <c r="D1" s="311"/>
      <c r="E1" s="310"/>
      <c r="F1" s="310"/>
      <c r="G1" s="310"/>
      <c r="H1" s="310"/>
      <c r="I1" s="310"/>
      <c r="J1" s="310"/>
      <c r="K1" s="310"/>
      <c r="L1" s="310"/>
      <c r="M1" s="310"/>
      <c r="N1" s="310"/>
      <c r="O1" s="310"/>
      <c r="P1" s="77"/>
      <c r="Q1" s="77"/>
      <c r="R1" s="77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</row>
    <row r="2" spans="1:117" ht="19.5" customHeight="1" thickBot="1">
      <c r="A2" s="22"/>
      <c r="B2" s="78"/>
      <c r="C2" s="78"/>
      <c r="D2" s="79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80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80"/>
      <c r="AT2" s="312" t="s">
        <v>1</v>
      </c>
      <c r="AU2" s="313">
        <v>30</v>
      </c>
      <c r="AV2" s="314"/>
      <c r="AW2" s="314"/>
      <c r="AX2" s="315" t="s">
        <v>81</v>
      </c>
      <c r="AY2" s="556" t="s">
        <v>438</v>
      </c>
      <c r="AZ2" s="556"/>
      <c r="BA2" s="556"/>
      <c r="BB2" s="556"/>
      <c r="BC2" s="556"/>
      <c r="BD2" s="316" t="s">
        <v>107</v>
      </c>
      <c r="BE2" s="317"/>
    </row>
    <row r="3" spans="1:117" ht="39.75" customHeight="1" thickBot="1">
      <c r="A3" s="557" t="s">
        <v>3</v>
      </c>
      <c r="B3" s="558" t="s">
        <v>71</v>
      </c>
      <c r="C3" s="558"/>
      <c r="D3" s="558"/>
      <c r="E3" s="558"/>
      <c r="F3" s="558"/>
      <c r="G3" s="558"/>
      <c r="H3" s="554" t="s">
        <v>4</v>
      </c>
      <c r="I3" s="554"/>
      <c r="J3" s="554"/>
      <c r="K3" s="554"/>
      <c r="L3" s="554"/>
      <c r="M3" s="554"/>
      <c r="N3" s="554"/>
      <c r="O3" s="554"/>
      <c r="P3" s="559"/>
      <c r="Q3" s="560" t="s">
        <v>5</v>
      </c>
      <c r="R3" s="561"/>
      <c r="S3" s="561"/>
      <c r="T3" s="561"/>
      <c r="U3" s="562"/>
      <c r="V3" s="563" t="s">
        <v>6</v>
      </c>
      <c r="W3" s="563" t="s">
        <v>7</v>
      </c>
      <c r="X3" s="564" t="s">
        <v>8</v>
      </c>
      <c r="Y3" s="564" t="s">
        <v>9</v>
      </c>
      <c r="Z3" s="564" t="s">
        <v>10</v>
      </c>
      <c r="AA3" s="564" t="s">
        <v>11</v>
      </c>
      <c r="AB3" s="564" t="s">
        <v>12</v>
      </c>
      <c r="AC3" s="564" t="s">
        <v>13</v>
      </c>
      <c r="AD3" s="564" t="s">
        <v>14</v>
      </c>
      <c r="AE3" s="554" t="s">
        <v>15</v>
      </c>
      <c r="AF3" s="554"/>
      <c r="AG3" s="554" t="s">
        <v>16</v>
      </c>
      <c r="AH3" s="554"/>
      <c r="AI3" s="554"/>
      <c r="AJ3" s="593" t="s">
        <v>17</v>
      </c>
      <c r="AK3" s="593"/>
      <c r="AL3" s="564" t="s">
        <v>18</v>
      </c>
      <c r="AM3" s="599" t="s">
        <v>19</v>
      </c>
      <c r="AN3" s="600" t="s">
        <v>95</v>
      </c>
      <c r="AO3" s="603" t="s">
        <v>20</v>
      </c>
      <c r="AP3" s="564" t="s">
        <v>105</v>
      </c>
      <c r="AQ3" s="564" t="s">
        <v>21</v>
      </c>
      <c r="AR3" s="81"/>
      <c r="AS3" s="593" t="s">
        <v>22</v>
      </c>
      <c r="AT3" s="554" t="s">
        <v>23</v>
      </c>
      <c r="AU3" s="554"/>
      <c r="AV3" s="554"/>
      <c r="AW3" s="554"/>
      <c r="AX3" s="554"/>
      <c r="AY3" s="554"/>
      <c r="AZ3" s="564" t="s">
        <v>24</v>
      </c>
      <c r="BA3" s="594" t="s">
        <v>25</v>
      </c>
      <c r="BB3" s="594"/>
      <c r="BC3" s="564" t="s">
        <v>26</v>
      </c>
      <c r="BD3" s="564" t="s">
        <v>27</v>
      </c>
      <c r="BE3" s="572" t="s">
        <v>28</v>
      </c>
      <c r="BF3" s="3"/>
      <c r="BG3" s="3"/>
      <c r="BH3" s="3"/>
      <c r="BI3" s="3"/>
      <c r="BJ3" s="3"/>
      <c r="BK3" s="573" t="s">
        <v>29</v>
      </c>
      <c r="BL3" s="574"/>
      <c r="BM3" s="574"/>
      <c r="BN3" s="574"/>
      <c r="BO3" s="575"/>
      <c r="BP3" s="575"/>
      <c r="BQ3" s="576"/>
      <c r="BR3" s="573" t="s">
        <v>30</v>
      </c>
      <c r="BS3" s="585"/>
      <c r="BT3" s="585"/>
      <c r="BU3" s="585"/>
      <c r="BV3" s="585"/>
      <c r="BW3" s="585"/>
      <c r="BX3" s="586"/>
      <c r="BY3" s="566" t="s">
        <v>31</v>
      </c>
      <c r="BZ3" s="566"/>
      <c r="CA3" s="566"/>
      <c r="CB3" s="566"/>
      <c r="CC3" s="566"/>
      <c r="CD3" s="566"/>
      <c r="CE3" s="566"/>
      <c r="CF3" s="566" t="s">
        <v>87</v>
      </c>
      <c r="CG3" s="566"/>
      <c r="CH3" s="566"/>
      <c r="CI3" s="566"/>
      <c r="CJ3" s="566" t="s">
        <v>32</v>
      </c>
      <c r="CK3" s="566"/>
      <c r="CL3" s="566"/>
      <c r="CM3" s="566"/>
      <c r="CN3" s="4"/>
      <c r="CO3" s="5"/>
      <c r="CP3" s="6"/>
      <c r="CQ3" s="6"/>
    </row>
    <row r="4" spans="1:117" s="7" customFormat="1" ht="30.75" customHeight="1" thickBot="1">
      <c r="A4" s="557"/>
      <c r="B4" s="565" t="s">
        <v>72</v>
      </c>
      <c r="C4" s="613" t="s">
        <v>73</v>
      </c>
      <c r="D4" s="615" t="s">
        <v>33</v>
      </c>
      <c r="E4" s="613" t="s">
        <v>74</v>
      </c>
      <c r="F4" s="569" t="s">
        <v>75</v>
      </c>
      <c r="G4" s="569" t="s">
        <v>34</v>
      </c>
      <c r="H4" s="555" t="s">
        <v>76</v>
      </c>
      <c r="I4" s="570" t="s">
        <v>101</v>
      </c>
      <c r="J4" s="555" t="s">
        <v>89</v>
      </c>
      <c r="K4" s="565" t="s">
        <v>35</v>
      </c>
      <c r="L4" s="565" t="s">
        <v>77</v>
      </c>
      <c r="M4" s="565" t="s">
        <v>78</v>
      </c>
      <c r="N4" s="565" t="s">
        <v>101</v>
      </c>
      <c r="O4" s="565" t="s">
        <v>96</v>
      </c>
      <c r="P4" s="555" t="s">
        <v>79</v>
      </c>
      <c r="Q4" s="555" t="s">
        <v>36</v>
      </c>
      <c r="R4" s="555" t="s">
        <v>32</v>
      </c>
      <c r="S4" s="555" t="s">
        <v>37</v>
      </c>
      <c r="T4" s="555" t="s">
        <v>38</v>
      </c>
      <c r="U4" s="555" t="s">
        <v>39</v>
      </c>
      <c r="V4" s="563"/>
      <c r="W4" s="563"/>
      <c r="X4" s="564"/>
      <c r="Y4" s="564"/>
      <c r="Z4" s="564"/>
      <c r="AA4" s="564"/>
      <c r="AB4" s="564"/>
      <c r="AC4" s="564"/>
      <c r="AD4" s="564"/>
      <c r="AE4" s="554"/>
      <c r="AF4" s="554"/>
      <c r="AG4" s="554"/>
      <c r="AH4" s="554"/>
      <c r="AI4" s="554"/>
      <c r="AJ4" s="593"/>
      <c r="AK4" s="593"/>
      <c r="AL4" s="564"/>
      <c r="AM4" s="599"/>
      <c r="AN4" s="601"/>
      <c r="AO4" s="603"/>
      <c r="AP4" s="564"/>
      <c r="AQ4" s="564"/>
      <c r="AR4" s="82"/>
      <c r="AS4" s="593"/>
      <c r="AT4" s="554"/>
      <c r="AU4" s="554"/>
      <c r="AV4" s="554"/>
      <c r="AW4" s="554"/>
      <c r="AX4" s="554"/>
      <c r="AY4" s="554"/>
      <c r="AZ4" s="564"/>
      <c r="BA4" s="594"/>
      <c r="BB4" s="594"/>
      <c r="BC4" s="564"/>
      <c r="BD4" s="564"/>
      <c r="BE4" s="572"/>
      <c r="BF4" s="3"/>
      <c r="BG4" s="3"/>
      <c r="BH4" s="3"/>
      <c r="BI4" s="3"/>
      <c r="BJ4" s="3"/>
      <c r="BK4" s="577"/>
      <c r="BL4" s="578"/>
      <c r="BM4" s="578"/>
      <c r="BN4" s="578"/>
      <c r="BO4" s="579"/>
      <c r="BP4" s="579"/>
      <c r="BQ4" s="580"/>
      <c r="BR4" s="577"/>
      <c r="BS4" s="566"/>
      <c r="BT4" s="566"/>
      <c r="BU4" s="566"/>
      <c r="BV4" s="566"/>
      <c r="BW4" s="566"/>
      <c r="BX4" s="587"/>
      <c r="BY4" s="566"/>
      <c r="BZ4" s="566"/>
      <c r="CA4" s="566"/>
      <c r="CB4" s="566"/>
      <c r="CC4" s="566"/>
      <c r="CD4" s="566"/>
      <c r="CE4" s="566"/>
      <c r="CF4" s="566"/>
      <c r="CG4" s="566"/>
      <c r="CH4" s="566"/>
      <c r="CI4" s="566"/>
      <c r="CJ4" s="566"/>
      <c r="CK4" s="566"/>
      <c r="CL4" s="566"/>
      <c r="CM4" s="566"/>
      <c r="CN4" s="4"/>
      <c r="CO4" s="6"/>
      <c r="CP4" s="6"/>
      <c r="CQ4" s="262"/>
      <c r="CR4" s="231"/>
      <c r="CS4" s="231"/>
      <c r="CT4" s="231"/>
      <c r="CU4" s="231"/>
      <c r="CV4" s="231"/>
      <c r="CW4" s="231"/>
      <c r="CX4" s="231"/>
      <c r="CY4" s="231"/>
      <c r="DD4" s="590" t="s">
        <v>90</v>
      </c>
      <c r="DE4" s="591"/>
      <c r="DF4" s="591"/>
      <c r="DG4" s="591"/>
      <c r="DH4" s="592"/>
    </row>
    <row r="5" spans="1:117" s="7" customFormat="1" ht="8.25" hidden="1" customHeight="1">
      <c r="A5" s="557"/>
      <c r="B5" s="565"/>
      <c r="C5" s="614"/>
      <c r="D5" s="616"/>
      <c r="E5" s="614"/>
      <c r="F5" s="569"/>
      <c r="G5" s="569"/>
      <c r="H5" s="555"/>
      <c r="I5" s="570"/>
      <c r="J5" s="565"/>
      <c r="K5" s="565"/>
      <c r="L5" s="565"/>
      <c r="M5" s="565"/>
      <c r="N5" s="565"/>
      <c r="O5" s="565"/>
      <c r="P5" s="555"/>
      <c r="Q5" s="555"/>
      <c r="R5" s="555"/>
      <c r="S5" s="555"/>
      <c r="T5" s="555"/>
      <c r="U5" s="555"/>
      <c r="V5" s="563"/>
      <c r="W5" s="563"/>
      <c r="X5" s="564"/>
      <c r="Y5" s="564"/>
      <c r="Z5" s="564"/>
      <c r="AA5" s="564"/>
      <c r="AB5" s="564"/>
      <c r="AC5" s="564"/>
      <c r="AD5" s="564"/>
      <c r="AE5" s="555" t="s">
        <v>40</v>
      </c>
      <c r="AF5" s="555" t="s">
        <v>41</v>
      </c>
      <c r="AG5" s="555" t="s">
        <v>42</v>
      </c>
      <c r="AH5" s="555" t="s">
        <v>40</v>
      </c>
      <c r="AI5" s="555" t="s">
        <v>41</v>
      </c>
      <c r="AJ5" s="593"/>
      <c r="AK5" s="593"/>
      <c r="AL5" s="564"/>
      <c r="AM5" s="599"/>
      <c r="AN5" s="601"/>
      <c r="AO5" s="603"/>
      <c r="AP5" s="564"/>
      <c r="AQ5" s="564"/>
      <c r="AR5" s="83"/>
      <c r="AS5" s="593"/>
      <c r="AT5" s="555" t="s">
        <v>43</v>
      </c>
      <c r="AU5" s="84"/>
      <c r="AV5" s="85"/>
      <c r="AW5" s="598" t="s">
        <v>44</v>
      </c>
      <c r="AX5" s="598" t="s">
        <v>45</v>
      </c>
      <c r="AY5" s="555" t="s">
        <v>46</v>
      </c>
      <c r="AZ5" s="564"/>
      <c r="BA5" s="86" t="s">
        <v>47</v>
      </c>
      <c r="BB5" s="86" t="s">
        <v>48</v>
      </c>
      <c r="BC5" s="564"/>
      <c r="BD5" s="564"/>
      <c r="BE5" s="572"/>
      <c r="BF5" s="3"/>
      <c r="BG5" s="3"/>
      <c r="BH5" s="3"/>
      <c r="BI5" s="3"/>
      <c r="BJ5" s="3"/>
      <c r="BK5" s="581"/>
      <c r="BL5" s="582"/>
      <c r="BM5" s="582"/>
      <c r="BN5" s="582"/>
      <c r="BO5" s="583"/>
      <c r="BP5" s="583"/>
      <c r="BQ5" s="584"/>
      <c r="BR5" s="581"/>
      <c r="BS5" s="588"/>
      <c r="BT5" s="588"/>
      <c r="BU5" s="588"/>
      <c r="BV5" s="588"/>
      <c r="BW5" s="588"/>
      <c r="BX5" s="589"/>
      <c r="BY5" s="567"/>
      <c r="BZ5" s="566"/>
      <c r="CA5" s="566"/>
      <c r="CB5" s="566"/>
      <c r="CC5" s="566"/>
      <c r="CD5" s="566"/>
      <c r="CE5" s="566"/>
      <c r="CF5" s="567"/>
      <c r="CG5" s="567"/>
      <c r="CH5" s="567"/>
      <c r="CI5" s="567"/>
      <c r="CJ5" s="567"/>
      <c r="CK5" s="567"/>
      <c r="CL5" s="567"/>
      <c r="CM5" s="567"/>
      <c r="CN5" s="4"/>
      <c r="CO5"/>
      <c r="CP5"/>
      <c r="CQ5" s="255"/>
      <c r="CR5" s="256"/>
      <c r="CS5" s="256"/>
      <c r="CT5" s="256"/>
      <c r="CU5" s="256"/>
      <c r="CV5" s="257"/>
      <c r="CW5" s="257"/>
      <c r="CX5" s="257"/>
      <c r="CY5" s="258"/>
      <c r="DA5" s="595" t="s">
        <v>49</v>
      </c>
      <c r="DB5" s="595"/>
    </row>
    <row r="6" spans="1:117" s="7" customFormat="1" ht="106.5" customHeight="1" thickBot="1">
      <c r="A6" s="557"/>
      <c r="B6" s="565"/>
      <c r="C6" s="565"/>
      <c r="D6" s="568"/>
      <c r="E6" s="565"/>
      <c r="F6" s="569"/>
      <c r="G6" s="569"/>
      <c r="H6" s="555"/>
      <c r="I6" s="570"/>
      <c r="J6" s="571"/>
      <c r="K6" s="565"/>
      <c r="L6" s="565"/>
      <c r="M6" s="565"/>
      <c r="N6" s="565"/>
      <c r="O6" s="565"/>
      <c r="P6" s="565"/>
      <c r="Q6" s="565"/>
      <c r="R6" s="565"/>
      <c r="S6" s="565"/>
      <c r="T6" s="555"/>
      <c r="U6" s="555"/>
      <c r="V6" s="563"/>
      <c r="W6" s="563"/>
      <c r="X6" s="564"/>
      <c r="Y6" s="564"/>
      <c r="Z6" s="564"/>
      <c r="AA6" s="564"/>
      <c r="AB6" s="564"/>
      <c r="AC6" s="564"/>
      <c r="AD6" s="564"/>
      <c r="AE6" s="555"/>
      <c r="AF6" s="555"/>
      <c r="AG6" s="555"/>
      <c r="AH6" s="555"/>
      <c r="AI6" s="555"/>
      <c r="AJ6" s="593"/>
      <c r="AK6" s="593"/>
      <c r="AL6" s="564"/>
      <c r="AM6" s="599"/>
      <c r="AN6" s="602"/>
      <c r="AO6" s="603"/>
      <c r="AP6" s="564"/>
      <c r="AQ6" s="564"/>
      <c r="AR6" s="548"/>
      <c r="AS6" s="593"/>
      <c r="AT6" s="555"/>
      <c r="AU6" s="547" t="s">
        <v>50</v>
      </c>
      <c r="AV6" s="547" t="s">
        <v>51</v>
      </c>
      <c r="AW6" s="598"/>
      <c r="AX6" s="598"/>
      <c r="AY6" s="555"/>
      <c r="AZ6" s="555"/>
      <c r="BA6" s="87"/>
      <c r="BB6" s="88">
        <v>0.04</v>
      </c>
      <c r="BC6" s="564"/>
      <c r="BD6" s="564"/>
      <c r="BE6" s="572"/>
      <c r="BF6" s="8" t="s">
        <v>52</v>
      </c>
      <c r="BG6" s="8" t="s">
        <v>53</v>
      </c>
      <c r="BH6" s="8" t="s">
        <v>54</v>
      </c>
      <c r="BI6" s="3"/>
      <c r="BJ6" s="3"/>
      <c r="BK6" s="308" t="s">
        <v>100</v>
      </c>
      <c r="BL6" s="280" t="s">
        <v>82</v>
      </c>
      <c r="BM6" s="279" t="s">
        <v>262</v>
      </c>
      <c r="BN6" s="307" t="s">
        <v>444</v>
      </c>
      <c r="BO6" s="308" t="s">
        <v>97</v>
      </c>
      <c r="BP6" s="495" t="s">
        <v>99</v>
      </c>
      <c r="BQ6" s="495" t="s">
        <v>420</v>
      </c>
      <c r="BR6" s="308" t="s">
        <v>100</v>
      </c>
      <c r="BS6" s="280" t="s">
        <v>82</v>
      </c>
      <c r="BT6" s="279" t="s">
        <v>262</v>
      </c>
      <c r="BU6" s="327"/>
      <c r="BV6" s="308" t="s">
        <v>97</v>
      </c>
      <c r="BW6" s="495" t="s">
        <v>99</v>
      </c>
      <c r="BX6" s="306"/>
      <c r="BY6" s="308" t="s">
        <v>100</v>
      </c>
      <c r="BZ6" s="280" t="s">
        <v>82</v>
      </c>
      <c r="CA6" s="279" t="s">
        <v>262</v>
      </c>
      <c r="CB6" s="307" t="s">
        <v>444</v>
      </c>
      <c r="CC6" s="308" t="s">
        <v>97</v>
      </c>
      <c r="CD6" s="495" t="s">
        <v>99</v>
      </c>
      <c r="CE6" s="495" t="s">
        <v>420</v>
      </c>
      <c r="CF6" s="267" t="s">
        <v>106</v>
      </c>
      <c r="CG6" s="268" t="s">
        <v>85</v>
      </c>
      <c r="CH6" s="244" t="s">
        <v>430</v>
      </c>
      <c r="CI6" s="245" t="s">
        <v>408</v>
      </c>
      <c r="CJ6" s="267" t="s">
        <v>106</v>
      </c>
      <c r="CK6" s="268" t="s">
        <v>85</v>
      </c>
      <c r="CL6" s="244" t="s">
        <v>430</v>
      </c>
      <c r="CM6" s="245" t="s">
        <v>408</v>
      </c>
      <c r="CN6" s="243"/>
      <c r="CO6" s="248" t="s">
        <v>100</v>
      </c>
      <c r="CP6" s="10" t="s">
        <v>82</v>
      </c>
      <c r="CQ6" s="264" t="s">
        <v>263</v>
      </c>
      <c r="CR6" s="23" t="s">
        <v>446</v>
      </c>
      <c r="CS6" s="248" t="s">
        <v>98</v>
      </c>
      <c r="CT6" s="248" t="s">
        <v>99</v>
      </c>
      <c r="CU6" s="496" t="s">
        <v>423</v>
      </c>
      <c r="CV6" s="259" t="s">
        <v>106</v>
      </c>
      <c r="CW6" s="248" t="s">
        <v>84</v>
      </c>
      <c r="CX6" s="232" t="s">
        <v>430</v>
      </c>
      <c r="CY6" s="263" t="s">
        <v>408</v>
      </c>
      <c r="CZ6" s="253"/>
      <c r="DA6" s="321" t="s">
        <v>80</v>
      </c>
      <c r="DB6" s="321" t="s">
        <v>55</v>
      </c>
      <c r="DD6" s="288" t="s">
        <v>91</v>
      </c>
      <c r="DE6" s="289" t="s">
        <v>92</v>
      </c>
      <c r="DF6" s="290" t="s">
        <v>93</v>
      </c>
      <c r="DG6" s="290"/>
      <c r="DH6" s="289" t="s">
        <v>94</v>
      </c>
    </row>
    <row r="7" spans="1:117" s="76" customFormat="1" ht="16.5" customHeight="1" thickBot="1">
      <c r="A7" s="121">
        <v>1</v>
      </c>
      <c r="B7" s="122">
        <f>BK7+BN7+BQ7</f>
        <v>284.02300000000002</v>
      </c>
      <c r="C7" s="123">
        <f>IF(B7=0,0,(BK7*BR7+BL7*BS7+BM7*BT7+BN7*BU7+BQ7*BX7+BO7*BV7+BP7*BW7)/B7)</f>
        <v>2.6054205055787878</v>
      </c>
      <c r="D7" s="124">
        <f>B7*((100-C7)/100)</f>
        <v>276.62300651743999</v>
      </c>
      <c r="E7" s="125">
        <f>IF(B7=0,0,(BK7*BY7+BL7*BZ7+BM7*CA7+BQ7*CE7+BN7*CB7+BO7*CC7+BP7*CD7)/B7)</f>
        <v>39.965027163293129</v>
      </c>
      <c r="F7" s="126">
        <f t="shared" ref="F7:F37" si="0">IF(AY7=0,0,D7/AY7)</f>
        <v>2.1910733189500196</v>
      </c>
      <c r="G7" s="127">
        <v>16.62</v>
      </c>
      <c r="H7" s="126">
        <f>IF(AY7=0,0,(CP7+CO7+CS7+CQ7+CT7)/AY7)</f>
        <v>1.4920159318811879</v>
      </c>
      <c r="I7" s="230">
        <f>'[1]июль 20'!AI6</f>
        <v>0</v>
      </c>
      <c r="J7" s="246">
        <f>'[1]ноябрь 20'!AA6</f>
        <v>10.202</v>
      </c>
      <c r="K7" s="445">
        <f>'[1]сентябрь 20'!AM6</f>
        <v>0</v>
      </c>
      <c r="L7" s="446">
        <f>BN7+BQ7</f>
        <v>88.256</v>
      </c>
      <c r="M7" s="399">
        <f>IF(AY7=0,0,(CR7+CU7)/AY7)</f>
        <v>0.699057418752</v>
      </c>
      <c r="N7" s="399">
        <f>'[1]ноябрь 20'!W6</f>
        <v>0</v>
      </c>
      <c r="O7" s="402">
        <f>'[1]ноябрь 20'!AU6</f>
        <v>6.1260000000000003</v>
      </c>
      <c r="P7" s="125">
        <f t="shared" ref="P7:P37" si="1">CF7+CH7+CI7+CG7</f>
        <v>168.037001</v>
      </c>
      <c r="Q7" s="122">
        <f>CF7+CH7+CI7</f>
        <v>168.03700000000001</v>
      </c>
      <c r="R7" s="123">
        <f>IF(Q7=0,0,(CI7*CM7+CG7*CK7+CH7*CL7+CF7*CJ7)/Q7)</f>
        <v>2.3300000000000058</v>
      </c>
      <c r="S7" s="129"/>
      <c r="T7" s="125">
        <f t="shared" ref="T7:T37" si="2">Q7*((100-R7)/100)</f>
        <v>164.1217379</v>
      </c>
      <c r="U7" s="128">
        <f t="shared" ref="U7:U37" si="3">IF(AY7=0,0,T7/AY7)</f>
        <v>1.2999741615841585</v>
      </c>
      <c r="V7" s="130">
        <v>126.25</v>
      </c>
      <c r="W7" s="130">
        <v>99.34</v>
      </c>
      <c r="X7" s="129">
        <v>0.65</v>
      </c>
      <c r="Y7" s="131">
        <v>615</v>
      </c>
      <c r="Z7" s="131">
        <v>1169</v>
      </c>
      <c r="AA7" s="132" t="s">
        <v>171</v>
      </c>
      <c r="AB7" s="129">
        <v>75.7</v>
      </c>
      <c r="AC7" s="131">
        <v>103</v>
      </c>
      <c r="AD7" s="133">
        <v>4</v>
      </c>
      <c r="AE7" s="129"/>
      <c r="AF7" s="134">
        <f t="shared" ref="AF7:AF37" si="4">IF(AY7=0,0,AE7/AY7*1000)</f>
        <v>0</v>
      </c>
      <c r="AG7" s="135"/>
      <c r="AH7" s="129">
        <v>76.5</v>
      </c>
      <c r="AI7" s="134">
        <f t="shared" ref="AI7:AI37" si="5">IF(AY7=0,0,AH7/AY7*1000)</f>
        <v>605.94059405940595</v>
      </c>
      <c r="AJ7" s="136">
        <v>14.8</v>
      </c>
      <c r="AK7" s="127"/>
      <c r="AL7" s="137">
        <v>4.96</v>
      </c>
      <c r="AM7" s="478">
        <f>AT7*0.2</f>
        <v>31.85</v>
      </c>
      <c r="AN7" s="126">
        <f>IF(AM7=0,0,AM7/AT7)</f>
        <v>0.2</v>
      </c>
      <c r="AO7" s="139" t="s">
        <v>347</v>
      </c>
      <c r="AP7" s="138">
        <v>7.12</v>
      </c>
      <c r="AQ7" s="138">
        <v>7.66</v>
      </c>
      <c r="AR7" s="129"/>
      <c r="AS7" s="129">
        <v>8.39</v>
      </c>
      <c r="AT7" s="129">
        <v>159.25</v>
      </c>
      <c r="AU7" s="129">
        <v>3.81</v>
      </c>
      <c r="AV7" s="129"/>
      <c r="AW7" s="129"/>
      <c r="AX7" s="140">
        <f t="shared" ref="AX7:AX37" si="6">IF(AY7=0,0,AW7/AY7*100)</f>
        <v>0</v>
      </c>
      <c r="AY7" s="125">
        <f t="shared" ref="AY7:AY37" si="7">AT7-AL7-AM7+AV7+AW7+AU7</f>
        <v>126.25</v>
      </c>
      <c r="AZ7" s="125">
        <f>IF(AB7=0,0,((D7*0.97)*(E7/100)*0.9)/(AB7/100))+DH7</f>
        <v>129.56135497106629</v>
      </c>
      <c r="BA7" s="141">
        <f t="shared" ref="BA7:BA37" si="8">(AH7*AS7)/100*(55/71)</f>
        <v>4.9719612676056339</v>
      </c>
      <c r="BB7" s="142">
        <f t="shared" ref="BB7:BB37" si="9">AY7*$BB$6</f>
        <v>5.05</v>
      </c>
      <c r="BC7" s="122">
        <f t="shared" ref="BC7:BC37" si="10">IF((D7*E7)=0,0,(AY7*AB7)/(D7*E7))</f>
        <v>0.86448777588489045</v>
      </c>
      <c r="BD7" s="142">
        <f>BA7+BB7</f>
        <v>10.021961267605633</v>
      </c>
      <c r="BE7" s="143">
        <v>0.86399999999999999</v>
      </c>
      <c r="BF7" s="25">
        <f>AY7</f>
        <v>126.25</v>
      </c>
      <c r="BG7" s="25">
        <f t="shared" ref="BG7:BG38" si="11">IF(A7&lt;=$BE$43,$AT$43,0)</f>
        <v>125.66666666666667</v>
      </c>
      <c r="BH7" s="25">
        <f>BG7</f>
        <v>125.66666666666667</v>
      </c>
      <c r="BI7" s="26">
        <f t="shared" ref="BI7:BI37" si="12">IF(AY7&lt;&gt;0,1,0)</f>
        <v>1</v>
      </c>
      <c r="BJ7" s="27">
        <f>BG7*BI7</f>
        <v>125.66666666666667</v>
      </c>
      <c r="BK7" s="28">
        <v>195.767</v>
      </c>
      <c r="BL7" s="28">
        <v>9.9999999999999995E-7</v>
      </c>
      <c r="BM7" s="28">
        <v>9.9999999999999995E-7</v>
      </c>
      <c r="BN7" s="28">
        <f>DK7</f>
        <v>78.069000000000003</v>
      </c>
      <c r="BO7" s="28">
        <v>9.9999999999999995E-7</v>
      </c>
      <c r="BP7" s="28">
        <v>9.9999999999999995E-7</v>
      </c>
      <c r="BQ7" s="28">
        <v>10.186999999999999</v>
      </c>
      <c r="BR7" s="28">
        <v>3.78</v>
      </c>
      <c r="BS7" s="28">
        <v>9.9999999999999995E-7</v>
      </c>
      <c r="BT7" s="28">
        <v>9.9999999999999995E-7</v>
      </c>
      <c r="BU7" s="28">
        <v>9.9999999999999995E-7</v>
      </c>
      <c r="BV7" s="28">
        <v>9.9999999999999995E-7</v>
      </c>
      <c r="BW7" s="28">
        <v>9.9999999999999995E-7</v>
      </c>
      <c r="BX7" s="28">
        <v>9.9999999999999995E-7</v>
      </c>
      <c r="BY7" s="28">
        <v>38.28</v>
      </c>
      <c r="BZ7" s="28">
        <v>9.9999999999999995E-7</v>
      </c>
      <c r="CA7" s="28">
        <v>9.9999999999999995E-7</v>
      </c>
      <c r="CB7" s="28">
        <v>43.66</v>
      </c>
      <c r="CC7" s="28">
        <v>9.9999999999999995E-7</v>
      </c>
      <c r="CD7" s="28">
        <v>9.9999999999999995E-7</v>
      </c>
      <c r="CE7" s="28">
        <v>44.03</v>
      </c>
      <c r="CF7" s="28">
        <f>DM7</f>
        <v>67.668999999999997</v>
      </c>
      <c r="CG7" s="28">
        <v>9.9999999999999995E-7</v>
      </c>
      <c r="CH7" s="28">
        <v>54.366999999999997</v>
      </c>
      <c r="CI7" s="28">
        <v>46.000999999999998</v>
      </c>
      <c r="CJ7" s="28">
        <v>2.33</v>
      </c>
      <c r="CK7" s="28">
        <v>9.9999999999999995E-7</v>
      </c>
      <c r="CL7" s="28">
        <v>2.33</v>
      </c>
      <c r="CM7" s="28">
        <v>2.33</v>
      </c>
      <c r="CN7" s="286"/>
      <c r="CO7" s="252">
        <f t="shared" ref="CO7:CU22" si="13">BK7*((100-BR7)/100)</f>
        <v>188.36700739999998</v>
      </c>
      <c r="CP7" s="11">
        <f t="shared" si="13"/>
        <v>9.9999998999999992E-7</v>
      </c>
      <c r="CQ7" s="11">
        <f t="shared" si="13"/>
        <v>9.9999998999999992E-7</v>
      </c>
      <c r="CR7" s="11">
        <f t="shared" si="13"/>
        <v>78.068999219310001</v>
      </c>
      <c r="CS7" s="11">
        <f t="shared" si="13"/>
        <v>9.9999998999999992E-7</v>
      </c>
      <c r="CT7" s="11">
        <f t="shared" si="13"/>
        <v>9.9999998999999992E-7</v>
      </c>
      <c r="CU7" s="271">
        <f t="shared" si="13"/>
        <v>10.186999898130001</v>
      </c>
      <c r="CV7" s="260">
        <f t="shared" ref="CV7:CY37" si="14">CF7*((100-CJ7)/100)</f>
        <v>66.092312300000003</v>
      </c>
      <c r="CW7" s="250">
        <f t="shared" si="14"/>
        <v>9.9999998999999992E-7</v>
      </c>
      <c r="CX7" s="260">
        <f t="shared" si="14"/>
        <v>53.100248899999997</v>
      </c>
      <c r="CY7" s="271">
        <f t="shared" si="14"/>
        <v>44.929176699999999</v>
      </c>
      <c r="CZ7" s="13"/>
      <c r="DA7" s="240">
        <f>(D7+'[2]ноябрь 20'!D7)/(AY7+'[2]ноябрь 20'!BA7)</f>
        <v>2.0931940705207821</v>
      </c>
      <c r="DB7" s="241">
        <f>(T7+'[2]ноябрь 20'!T7)/(AY7+'[2]ноябрь 20'!BA7)</f>
        <v>1.2562368182593537</v>
      </c>
      <c r="DD7" s="292">
        <f t="shared" ref="DD7:DD37" si="15">J7</f>
        <v>10.202</v>
      </c>
      <c r="DE7" s="291">
        <v>0.67</v>
      </c>
      <c r="DF7" s="291">
        <v>15.45</v>
      </c>
      <c r="DG7" s="145">
        <f t="shared" ref="DG7:DG37" si="16">DD7*((100-DE7)/100)</f>
        <v>10.133646599999999</v>
      </c>
      <c r="DH7" s="293">
        <f>IF(AB7=0,0,(DG7*DF7%)/(AB7/100))</f>
        <v>2.0682277406869218</v>
      </c>
      <c r="DJ7" s="28">
        <v>51.569000000000003</v>
      </c>
      <c r="DK7" s="460">
        <f>DJ7+26.5</f>
        <v>78.069000000000003</v>
      </c>
      <c r="DL7" s="28">
        <v>62.869</v>
      </c>
      <c r="DM7" s="460">
        <f>DL7+4.8</f>
        <v>67.668999999999997</v>
      </c>
    </row>
    <row r="8" spans="1:117" s="76" customFormat="1" ht="16.5" customHeight="1" thickBot="1">
      <c r="A8" s="144">
        <v>2</v>
      </c>
      <c r="B8" s="122">
        <f t="shared" ref="B8:B36" si="17">BK8+BN8+BQ8</f>
        <v>303.786</v>
      </c>
      <c r="C8" s="123">
        <f t="shared" ref="C8:C37" si="18">IF(B8=0,0,(BK8*BR8+BL8*BS8+BM8*BT8+BN8*BU8+BQ8*BX8+BO8*BV8+BP8*BW8)/B8)</f>
        <v>1.4501401973757841</v>
      </c>
      <c r="D8" s="145">
        <f t="shared" ref="D8:D37" si="19">B8*((100-C8)/100)</f>
        <v>299.38067709999996</v>
      </c>
      <c r="E8" s="125">
        <f t="shared" ref="E8:E37" si="20">IF(B8=0,0,(BK8*BY8+BL8*BZ8+BM8*CA8+BQ8*CE8+BN8*CB8+BO8*CC8+BP8*CD8)/B8)</f>
        <v>39.967232854706936</v>
      </c>
      <c r="F8" s="146">
        <f t="shared" si="0"/>
        <v>2.354176905716757</v>
      </c>
      <c r="G8" s="127"/>
      <c r="H8" s="126">
        <f t="shared" ref="H8:H37" si="21">IF(AY8=0,0,(CP8+CO8+CS8+CQ8+CT8)/AY8)</f>
        <v>1.6228330353070695</v>
      </c>
      <c r="I8" s="230">
        <f>'[1]июль 20'!AI7</f>
        <v>0</v>
      </c>
      <c r="J8" s="247">
        <f>'[1]ноябрь 20'!AA7</f>
        <v>11.031000000000001</v>
      </c>
      <c r="K8" s="464">
        <f>'[1]сентябрь 20'!AM7</f>
        <v>0</v>
      </c>
      <c r="L8" s="446">
        <f t="shared" ref="L8:L36" si="22">BN8+BQ8</f>
        <v>93.004999999999995</v>
      </c>
      <c r="M8" s="468">
        <f t="shared" ref="M8:M37" si="23">IF(AY8=0,0,(CR8+CU8)/AY8)</f>
        <v>0.73134387040968785</v>
      </c>
      <c r="N8" s="403">
        <f>'[1]ноябрь 20'!W7</f>
        <v>0</v>
      </c>
      <c r="O8" s="403">
        <f>'[1]ноябрь 20'!AU7</f>
        <v>6.5640000000000001</v>
      </c>
      <c r="P8" s="401">
        <f t="shared" si="1"/>
        <v>183.86799999999999</v>
      </c>
      <c r="Q8" s="122">
        <f t="shared" ref="Q8:Q36" si="24">CF8+CH8+CI8</f>
        <v>183.86799999999999</v>
      </c>
      <c r="R8" s="123">
        <f t="shared" ref="R8:R37" si="25">IF(Q8=0,0,(CI8*CM8+CG8*CK8+CH8*CL8+CF8*CJ8)/Q8)</f>
        <v>2.4500000000000006</v>
      </c>
      <c r="S8" s="129">
        <v>61.84</v>
      </c>
      <c r="T8" s="125">
        <f t="shared" si="2"/>
        <v>179.36323399999998</v>
      </c>
      <c r="U8" s="147">
        <f t="shared" si="3"/>
        <v>1.4104209640638514</v>
      </c>
      <c r="V8" s="130">
        <v>127.17</v>
      </c>
      <c r="W8" s="130">
        <v>127.17</v>
      </c>
      <c r="X8" s="129">
        <v>0.18</v>
      </c>
      <c r="Y8" s="131">
        <v>582</v>
      </c>
      <c r="Z8" s="131">
        <v>1178</v>
      </c>
      <c r="AA8" s="148" t="s">
        <v>110</v>
      </c>
      <c r="AB8" s="149">
        <v>75.400000000000006</v>
      </c>
      <c r="AC8" s="150">
        <v>111</v>
      </c>
      <c r="AD8" s="151">
        <v>4</v>
      </c>
      <c r="AE8" s="149">
        <v>2.9</v>
      </c>
      <c r="AF8" s="134">
        <f t="shared" si="4"/>
        <v>22.804120468663992</v>
      </c>
      <c r="AG8" s="152"/>
      <c r="AH8" s="129">
        <v>82.25</v>
      </c>
      <c r="AI8" s="134">
        <f t="shared" si="5"/>
        <v>646.77203743021164</v>
      </c>
      <c r="AJ8" s="153">
        <v>14.78</v>
      </c>
      <c r="AK8" s="154"/>
      <c r="AL8" s="155">
        <v>8.64</v>
      </c>
      <c r="AM8" s="478">
        <f t="shared" ref="AM8:AM15" si="26">AT8*0.2</f>
        <v>33.47</v>
      </c>
      <c r="AN8" s="126">
        <f t="shared" ref="AN8:AN37" si="27">IF(AM8=0,0,AM8/AT8)</f>
        <v>0.2</v>
      </c>
      <c r="AO8" s="157" t="s">
        <v>322</v>
      </c>
      <c r="AP8" s="156">
        <v>7.04</v>
      </c>
      <c r="AQ8" s="156">
        <v>7.83</v>
      </c>
      <c r="AR8" s="149"/>
      <c r="AS8" s="149">
        <v>8.68</v>
      </c>
      <c r="AT8" s="149">
        <v>167.35</v>
      </c>
      <c r="AU8" s="149">
        <v>1.93</v>
      </c>
      <c r="AV8" s="149"/>
      <c r="AW8" s="149"/>
      <c r="AX8" s="158">
        <f t="shared" si="6"/>
        <v>0</v>
      </c>
      <c r="AY8" s="125">
        <f t="shared" si="7"/>
        <v>127.16999999999999</v>
      </c>
      <c r="AZ8" s="125">
        <f t="shared" ref="AZ8:AZ37" si="28">IF(AB8=0,0,((D8*0.97)*(E8/100)*0.9)/(AB8/100))+DH8</f>
        <v>140.4884143500779</v>
      </c>
      <c r="BA8" s="159">
        <f t="shared" si="8"/>
        <v>5.5304436619718302</v>
      </c>
      <c r="BB8" s="160">
        <f t="shared" si="9"/>
        <v>5.0867999999999993</v>
      </c>
      <c r="BC8" s="161">
        <f t="shared" si="10"/>
        <v>0.80136093983162604</v>
      </c>
      <c r="BD8" s="160">
        <f t="shared" ref="BD8:BD37" si="29">BA8+BB8</f>
        <v>10.61724366197183</v>
      </c>
      <c r="BE8" s="162">
        <v>0.83199999999999996</v>
      </c>
      <c r="BF8" s="25">
        <f t="shared" ref="BF8:BF37" si="30">BF7+AY8</f>
        <v>253.42</v>
      </c>
      <c r="BG8" s="25">
        <f t="shared" si="11"/>
        <v>125.66666666666667</v>
      </c>
      <c r="BH8" s="25">
        <f t="shared" ref="BH8:BH37" si="31">BG8+BH7</f>
        <v>251.33333333333334</v>
      </c>
      <c r="BI8" s="26">
        <f t="shared" si="12"/>
        <v>1</v>
      </c>
      <c r="BJ8" s="27">
        <f t="shared" ref="BJ8:BJ37" si="32">BG8*BI8+BJ7</f>
        <v>251.33333333333334</v>
      </c>
      <c r="BK8" s="30">
        <v>210.78100000000001</v>
      </c>
      <c r="BL8" s="31"/>
      <c r="BM8" s="31"/>
      <c r="BN8" s="28">
        <f t="shared" ref="BN8:BN36" si="33">DK8</f>
        <v>82</v>
      </c>
      <c r="BO8" s="40"/>
      <c r="BP8" s="40"/>
      <c r="BQ8" s="32">
        <v>11.005000000000001</v>
      </c>
      <c r="BR8" s="33">
        <v>2.09</v>
      </c>
      <c r="BS8" s="34"/>
      <c r="BT8" s="35"/>
      <c r="BU8" s="28"/>
      <c r="BV8" s="287"/>
      <c r="BW8" s="28"/>
      <c r="BX8" s="36"/>
      <c r="BY8" s="33">
        <v>38.5</v>
      </c>
      <c r="BZ8" s="34"/>
      <c r="CA8" s="35"/>
      <c r="CB8" s="35">
        <v>43.27</v>
      </c>
      <c r="CC8" s="235"/>
      <c r="CD8" s="235"/>
      <c r="CE8" s="36">
        <v>43.46</v>
      </c>
      <c r="CF8" s="28">
        <f t="shared" ref="CF8:CF36" si="34">DM8</f>
        <v>75.173999999999992</v>
      </c>
      <c r="CG8" s="30"/>
      <c r="CH8" s="31"/>
      <c r="CI8" s="32">
        <v>108.694</v>
      </c>
      <c r="CJ8" s="33">
        <v>2.4500000000000002</v>
      </c>
      <c r="CK8" s="33"/>
      <c r="CL8" s="35"/>
      <c r="CM8" s="28">
        <v>2.4500000000000002</v>
      </c>
      <c r="CN8" s="286"/>
      <c r="CO8" s="249">
        <f t="shared" si="13"/>
        <v>206.37567709999999</v>
      </c>
      <c r="CP8" s="12">
        <f t="shared" si="13"/>
        <v>0</v>
      </c>
      <c r="CQ8" s="12">
        <f t="shared" si="13"/>
        <v>0</v>
      </c>
      <c r="CR8" s="12">
        <f t="shared" si="13"/>
        <v>82</v>
      </c>
      <c r="CS8" s="11">
        <f t="shared" si="13"/>
        <v>0</v>
      </c>
      <c r="CT8" s="11">
        <f t="shared" si="13"/>
        <v>0</v>
      </c>
      <c r="CU8" s="272">
        <f t="shared" si="13"/>
        <v>11.005000000000001</v>
      </c>
      <c r="CV8" s="249">
        <f t="shared" si="14"/>
        <v>73.332236999999992</v>
      </c>
      <c r="CW8" s="12">
        <f t="shared" si="14"/>
        <v>0</v>
      </c>
      <c r="CX8" s="254">
        <f t="shared" si="14"/>
        <v>0</v>
      </c>
      <c r="CY8" s="272">
        <f t="shared" si="14"/>
        <v>106.030997</v>
      </c>
      <c r="CZ8" s="13"/>
      <c r="DA8" s="240">
        <f>(D8+'[2]ноябрь 20'!D8)/(AY8+'[2]ноябрь 20'!BA8)</f>
        <v>2.2916822014382392</v>
      </c>
      <c r="DB8" s="241">
        <f>(T8+'[2]ноябрь 20'!T8)/(AY8+'[2]ноябрь 20'!BA8)</f>
        <v>1.375604283635439</v>
      </c>
      <c r="DD8" s="292">
        <f t="shared" si="15"/>
        <v>11.031000000000001</v>
      </c>
      <c r="DE8" s="291">
        <v>0.54</v>
      </c>
      <c r="DF8" s="291">
        <v>13.4</v>
      </c>
      <c r="DG8" s="145">
        <f t="shared" si="16"/>
        <v>10.9714326</v>
      </c>
      <c r="DH8" s="293">
        <f t="shared" ref="DH8:DH37" si="35">IF(AB8=0,0,(DG8*DF8%)/(AB8/100))</f>
        <v>1.9498301968169762</v>
      </c>
      <c r="DJ8" s="31">
        <v>55.5</v>
      </c>
      <c r="DK8" s="460">
        <f t="shared" ref="DK8:DK35" si="36">DJ8+26.5</f>
        <v>82</v>
      </c>
      <c r="DL8" s="30">
        <v>70.373999999999995</v>
      </c>
      <c r="DM8" s="460">
        <f t="shared" ref="DM8:DM35" si="37">DL8+4.8</f>
        <v>75.173999999999992</v>
      </c>
    </row>
    <row r="9" spans="1:117" s="76" customFormat="1" ht="16.5" customHeight="1" thickBot="1">
      <c r="A9" s="144">
        <v>3</v>
      </c>
      <c r="B9" s="122">
        <f t="shared" si="17"/>
        <v>286.38799999999998</v>
      </c>
      <c r="C9" s="123">
        <f t="shared" si="18"/>
        <v>0.9101283573334078</v>
      </c>
      <c r="D9" s="145">
        <f>B9*((100-C9)/100)</f>
        <v>283.78150159999996</v>
      </c>
      <c r="E9" s="125">
        <f t="shared" si="20"/>
        <v>39.852786010587032</v>
      </c>
      <c r="F9" s="146">
        <f t="shared" si="0"/>
        <v>2.2574298114708453</v>
      </c>
      <c r="G9" s="127"/>
      <c r="H9" s="126">
        <f t="shared" si="21"/>
        <v>1.5500397868109144</v>
      </c>
      <c r="I9" s="230">
        <f>'[1]июль 20'!AI8</f>
        <v>0</v>
      </c>
      <c r="J9" s="247">
        <f>'[1]ноябрь 20'!AA8</f>
        <v>10.334</v>
      </c>
      <c r="K9" s="465">
        <f>'[1]сентябрь 20'!AM8</f>
        <v>0</v>
      </c>
      <c r="L9" s="446">
        <f t="shared" si="22"/>
        <v>88.926000000000002</v>
      </c>
      <c r="M9" s="469">
        <f t="shared" si="23"/>
        <v>0.70739002465993162</v>
      </c>
      <c r="N9" s="403">
        <f>'[1]ноябрь 20'!W8</f>
        <v>0</v>
      </c>
      <c r="O9" s="403">
        <f>'[1]ноябрь 20'!AU8</f>
        <v>5.2</v>
      </c>
      <c r="P9" s="401">
        <f t="shared" si="1"/>
        <v>172.88200000000001</v>
      </c>
      <c r="Q9" s="122">
        <f t="shared" si="24"/>
        <v>172.88200000000001</v>
      </c>
      <c r="R9" s="123">
        <f t="shared" si="25"/>
        <v>3.0799999999999996</v>
      </c>
      <c r="S9" s="129">
        <v>35.270000000000003</v>
      </c>
      <c r="T9" s="125">
        <f t="shared" si="2"/>
        <v>167.55723440000003</v>
      </c>
      <c r="U9" s="147">
        <f>IF(AY9=0,0,T9/AY9)</f>
        <v>1.3328870766048846</v>
      </c>
      <c r="V9" s="130">
        <v>94.02</v>
      </c>
      <c r="W9" s="130">
        <v>125.71</v>
      </c>
      <c r="X9" s="129">
        <v>0.18</v>
      </c>
      <c r="Y9" s="131">
        <v>584</v>
      </c>
      <c r="Z9" s="131">
        <v>1176</v>
      </c>
      <c r="AA9" s="148" t="s">
        <v>188</v>
      </c>
      <c r="AB9" s="149">
        <v>75.2</v>
      </c>
      <c r="AC9" s="150">
        <v>104</v>
      </c>
      <c r="AD9" s="151">
        <v>4</v>
      </c>
      <c r="AE9" s="149"/>
      <c r="AF9" s="134">
        <f t="shared" si="4"/>
        <v>0</v>
      </c>
      <c r="AG9" s="152"/>
      <c r="AH9" s="129">
        <v>77.95</v>
      </c>
      <c r="AI9" s="134">
        <f t="shared" si="5"/>
        <v>620.07795720308661</v>
      </c>
      <c r="AJ9" s="153">
        <v>16.09</v>
      </c>
      <c r="AK9" s="154"/>
      <c r="AL9" s="155">
        <v>7.94</v>
      </c>
      <c r="AM9" s="478">
        <f t="shared" si="26"/>
        <v>32.89</v>
      </c>
      <c r="AN9" s="126">
        <f t="shared" si="27"/>
        <v>0.2</v>
      </c>
      <c r="AO9" s="157" t="s">
        <v>339</v>
      </c>
      <c r="AP9" s="156">
        <v>7.84</v>
      </c>
      <c r="AQ9" s="156">
        <v>7.54</v>
      </c>
      <c r="AR9" s="149"/>
      <c r="AS9" s="149">
        <v>9.2100000000000009</v>
      </c>
      <c r="AT9" s="149">
        <v>164.45</v>
      </c>
      <c r="AU9" s="149">
        <v>2.09</v>
      </c>
      <c r="AV9" s="149"/>
      <c r="AW9" s="149"/>
      <c r="AX9" s="158">
        <f t="shared" si="6"/>
        <v>0</v>
      </c>
      <c r="AY9" s="125">
        <f t="shared" si="7"/>
        <v>125.71</v>
      </c>
      <c r="AZ9" s="125">
        <f t="shared" si="28"/>
        <v>133.85259878836865</v>
      </c>
      <c r="BA9" s="159">
        <f t="shared" si="8"/>
        <v>5.5613482394366205</v>
      </c>
      <c r="BB9" s="160">
        <f t="shared" si="9"/>
        <v>5.0283999999999995</v>
      </c>
      <c r="BC9" s="161">
        <f t="shared" si="10"/>
        <v>0.83588185401390191</v>
      </c>
      <c r="BD9" s="160">
        <f t="shared" si="29"/>
        <v>10.58974823943662</v>
      </c>
      <c r="BE9" s="162">
        <v>0.83299999999999996</v>
      </c>
      <c r="BF9" s="25">
        <f t="shared" si="30"/>
        <v>379.13</v>
      </c>
      <c r="BG9" s="25">
        <f t="shared" si="11"/>
        <v>125.66666666666667</v>
      </c>
      <c r="BH9" s="25">
        <f t="shared" si="31"/>
        <v>377</v>
      </c>
      <c r="BI9" s="26">
        <f t="shared" si="12"/>
        <v>1</v>
      </c>
      <c r="BJ9" s="37">
        <f t="shared" si="32"/>
        <v>377</v>
      </c>
      <c r="BK9" s="38">
        <v>197.46199999999999</v>
      </c>
      <c r="BL9" s="31"/>
      <c r="BM9" s="31"/>
      <c r="BN9" s="28">
        <f t="shared" si="33"/>
        <v>78.543999999999997</v>
      </c>
      <c r="BO9" s="40"/>
      <c r="BP9" s="40"/>
      <c r="BQ9" s="32">
        <v>10.382</v>
      </c>
      <c r="BR9" s="33">
        <v>1.32</v>
      </c>
      <c r="BS9" s="34"/>
      <c r="BT9" s="35"/>
      <c r="BU9" s="28"/>
      <c r="BV9" s="287"/>
      <c r="BW9" s="287"/>
      <c r="BX9" s="36"/>
      <c r="BY9" s="33">
        <v>38.15</v>
      </c>
      <c r="BZ9" s="34"/>
      <c r="CA9" s="35"/>
      <c r="CB9" s="35">
        <v>43.6</v>
      </c>
      <c r="CC9" s="235"/>
      <c r="CD9" s="235"/>
      <c r="CE9" s="36">
        <v>43.89</v>
      </c>
      <c r="CF9" s="28">
        <f t="shared" si="34"/>
        <v>68.290999999999997</v>
      </c>
      <c r="CG9" s="30"/>
      <c r="CH9" s="31"/>
      <c r="CI9" s="32">
        <v>104.59099999999999</v>
      </c>
      <c r="CJ9" s="33">
        <v>3.08</v>
      </c>
      <c r="CK9" s="33"/>
      <c r="CL9" s="35"/>
      <c r="CM9" s="36">
        <v>3.08</v>
      </c>
      <c r="CN9" s="286"/>
      <c r="CO9" s="249">
        <f t="shared" si="13"/>
        <v>194.85550160000003</v>
      </c>
      <c r="CP9" s="12">
        <f t="shared" si="13"/>
        <v>0</v>
      </c>
      <c r="CQ9" s="12">
        <f t="shared" si="13"/>
        <v>0</v>
      </c>
      <c r="CR9" s="12">
        <f t="shared" si="13"/>
        <v>78.543999999999997</v>
      </c>
      <c r="CS9" s="11">
        <f t="shared" si="13"/>
        <v>0</v>
      </c>
      <c r="CT9" s="11">
        <f t="shared" si="13"/>
        <v>0</v>
      </c>
      <c r="CU9" s="272">
        <f t="shared" si="13"/>
        <v>10.382</v>
      </c>
      <c r="CV9" s="249">
        <f t="shared" si="14"/>
        <v>66.187637199999998</v>
      </c>
      <c r="CW9" s="251">
        <f t="shared" si="14"/>
        <v>0</v>
      </c>
      <c r="CX9" s="249">
        <f t="shared" si="14"/>
        <v>0</v>
      </c>
      <c r="CY9" s="272">
        <f t="shared" si="14"/>
        <v>101.3695972</v>
      </c>
      <c r="CZ9" s="13"/>
      <c r="DA9" s="240">
        <f>(D9+'[2]ноябрь 20'!D9)/(AY9+'[2]ноябрь 20'!BA9)</f>
        <v>2.2379178852114352</v>
      </c>
      <c r="DB9" s="241">
        <f>(T9+'[2]ноябрь 20'!T9)/(AY9+'[2]ноябрь 20'!BA9)</f>
        <v>1.3477587246153133</v>
      </c>
      <c r="DD9" s="292">
        <f t="shared" si="15"/>
        <v>10.334</v>
      </c>
      <c r="DE9" s="291">
        <v>0.1</v>
      </c>
      <c r="DF9" s="291">
        <v>18.649999999999999</v>
      </c>
      <c r="DG9" s="145">
        <f t="shared" si="16"/>
        <v>10.323666000000001</v>
      </c>
      <c r="DH9" s="293">
        <f t="shared" si="35"/>
        <v>2.5603240811170216</v>
      </c>
      <c r="DJ9" s="31">
        <v>52.043999999999997</v>
      </c>
      <c r="DK9" s="460">
        <f t="shared" si="36"/>
        <v>78.543999999999997</v>
      </c>
      <c r="DL9" s="30">
        <v>63.491</v>
      </c>
      <c r="DM9" s="460">
        <f t="shared" si="37"/>
        <v>68.290999999999997</v>
      </c>
    </row>
    <row r="10" spans="1:117" s="76" customFormat="1" ht="16.5" customHeight="1" thickBot="1">
      <c r="A10" s="144">
        <v>4</v>
      </c>
      <c r="B10" s="122">
        <f t="shared" si="17"/>
        <v>281.52000000000004</v>
      </c>
      <c r="C10" s="123">
        <f t="shared" si="18"/>
        <v>1.0327685421994883</v>
      </c>
      <c r="D10" s="145">
        <f t="shared" si="19"/>
        <v>278.61255000000006</v>
      </c>
      <c r="E10" s="125">
        <f>IF(B10=0,0,(BK10*BY10+BL10*BZ10+BM10*CA10+BQ10*CE10+BN10*CB10+BO10*CC10+BP10*CD10)/B10)</f>
        <v>39.655883063370275</v>
      </c>
      <c r="F10" s="146">
        <f t="shared" si="0"/>
        <v>2.3637274115551037</v>
      </c>
      <c r="G10" s="127">
        <v>18.97</v>
      </c>
      <c r="H10" s="126">
        <f t="shared" si="21"/>
        <v>1.6197722066683635</v>
      </c>
      <c r="I10" s="230">
        <f>'[1]июль 20'!AI9</f>
        <v>0</v>
      </c>
      <c r="J10" s="247">
        <f>'[1]ноябрь 20'!AA9</f>
        <v>10.141</v>
      </c>
      <c r="K10" s="464">
        <f>'[1]сентябрь 20'!AM9</f>
        <v>0</v>
      </c>
      <c r="L10" s="446">
        <f t="shared" si="22"/>
        <v>87.69</v>
      </c>
      <c r="M10" s="470">
        <f t="shared" si="23"/>
        <v>0.74395520488673972</v>
      </c>
      <c r="N10" s="403">
        <f>'[1]ноябрь 20'!W9</f>
        <v>0</v>
      </c>
      <c r="O10" s="403">
        <f>'[1]ноябрь 20'!AU9</f>
        <v>5.0890000000000004</v>
      </c>
      <c r="P10" s="401">
        <f t="shared" si="1"/>
        <v>172.078</v>
      </c>
      <c r="Q10" s="122">
        <f t="shared" si="24"/>
        <v>172.078</v>
      </c>
      <c r="R10" s="123">
        <f t="shared" si="25"/>
        <v>3.6</v>
      </c>
      <c r="S10" s="129"/>
      <c r="T10" s="125">
        <f t="shared" si="2"/>
        <v>165.88319200000001</v>
      </c>
      <c r="U10" s="147">
        <f t="shared" si="3"/>
        <v>1.4073402222787819</v>
      </c>
      <c r="V10" s="130">
        <v>91.68</v>
      </c>
      <c r="W10" s="130">
        <v>117.87</v>
      </c>
      <c r="X10" s="129">
        <v>0.6</v>
      </c>
      <c r="Y10" s="131">
        <v>570</v>
      </c>
      <c r="Z10" s="131">
        <v>1176</v>
      </c>
      <c r="AA10" s="148" t="s">
        <v>399</v>
      </c>
      <c r="AB10" s="149">
        <v>76.08</v>
      </c>
      <c r="AC10" s="150">
        <v>102</v>
      </c>
      <c r="AD10" s="151">
        <v>4</v>
      </c>
      <c r="AE10" s="149"/>
      <c r="AF10" s="134">
        <f t="shared" si="4"/>
        <v>0</v>
      </c>
      <c r="AG10" s="152"/>
      <c r="AH10" s="129">
        <v>74.8</v>
      </c>
      <c r="AI10" s="134">
        <f t="shared" si="5"/>
        <v>634.59743785526439</v>
      </c>
      <c r="AJ10" s="153">
        <v>13.24</v>
      </c>
      <c r="AK10" s="154"/>
      <c r="AL10" s="155">
        <v>6.21</v>
      </c>
      <c r="AM10" s="478">
        <f t="shared" si="26"/>
        <v>30.49</v>
      </c>
      <c r="AN10" s="126">
        <f t="shared" si="27"/>
        <v>0.2</v>
      </c>
      <c r="AO10" s="157" t="s">
        <v>440</v>
      </c>
      <c r="AP10" s="156">
        <v>8.2200000000000006</v>
      </c>
      <c r="AQ10" s="156">
        <v>8.84</v>
      </c>
      <c r="AR10" s="149"/>
      <c r="AS10" s="149">
        <v>7.79</v>
      </c>
      <c r="AT10" s="149">
        <v>152.44999999999999</v>
      </c>
      <c r="AU10" s="149">
        <v>2.12</v>
      </c>
      <c r="AV10" s="149"/>
      <c r="AW10" s="149"/>
      <c r="AX10" s="158">
        <f t="shared" si="6"/>
        <v>0</v>
      </c>
      <c r="AY10" s="125">
        <f>AT10-AL10-AM10+AV10+AW10+AU10</f>
        <v>117.86999999999999</v>
      </c>
      <c r="AZ10" s="125">
        <f t="shared" si="28"/>
        <v>129.02646332914571</v>
      </c>
      <c r="BA10" s="159">
        <f t="shared" si="8"/>
        <v>4.5138112676056341</v>
      </c>
      <c r="BB10" s="160">
        <f t="shared" si="9"/>
        <v>4.7147999999999994</v>
      </c>
      <c r="BC10" s="161">
        <f t="shared" si="10"/>
        <v>0.8116438215563585</v>
      </c>
      <c r="BD10" s="160">
        <f t="shared" si="29"/>
        <v>9.2286112676056327</v>
      </c>
      <c r="BE10" s="162">
        <v>0.82799999999999996</v>
      </c>
      <c r="BF10" s="25">
        <f t="shared" si="30"/>
        <v>497</v>
      </c>
      <c r="BG10" s="25">
        <f t="shared" si="11"/>
        <v>125.66666666666667</v>
      </c>
      <c r="BH10" s="25">
        <f t="shared" si="31"/>
        <v>502.66666666666669</v>
      </c>
      <c r="BI10" s="26">
        <f t="shared" si="12"/>
        <v>1</v>
      </c>
      <c r="BJ10" s="37">
        <f t="shared" si="32"/>
        <v>502.66666666666669</v>
      </c>
      <c r="BK10" s="38">
        <v>193.83</v>
      </c>
      <c r="BL10" s="31"/>
      <c r="BM10" s="31"/>
      <c r="BN10" s="28">
        <f t="shared" si="33"/>
        <v>77.5</v>
      </c>
      <c r="BO10" s="40"/>
      <c r="BP10" s="40"/>
      <c r="BQ10" s="32">
        <v>10.19</v>
      </c>
      <c r="BR10" s="33">
        <v>1.5</v>
      </c>
      <c r="BS10" s="34"/>
      <c r="BT10" s="35"/>
      <c r="BU10" s="28"/>
      <c r="BV10" s="287"/>
      <c r="BW10" s="287"/>
      <c r="BX10" s="36"/>
      <c r="BY10" s="33">
        <v>37.81</v>
      </c>
      <c r="BZ10" s="34"/>
      <c r="CA10" s="35"/>
      <c r="CB10" s="35">
        <v>43.7</v>
      </c>
      <c r="CC10" s="235"/>
      <c r="CD10" s="235"/>
      <c r="CE10" s="36">
        <v>44.01</v>
      </c>
      <c r="CF10" s="28">
        <f t="shared" si="34"/>
        <v>67.06</v>
      </c>
      <c r="CG10" s="30"/>
      <c r="CH10" s="31"/>
      <c r="CI10" s="32">
        <v>105.018</v>
      </c>
      <c r="CJ10" s="33">
        <v>3.6</v>
      </c>
      <c r="CK10" s="33"/>
      <c r="CL10" s="35"/>
      <c r="CM10" s="36">
        <v>3.6</v>
      </c>
      <c r="CN10" s="286"/>
      <c r="CO10" s="249">
        <f t="shared" si="13"/>
        <v>190.92255</v>
      </c>
      <c r="CP10" s="12">
        <f t="shared" si="13"/>
        <v>0</v>
      </c>
      <c r="CQ10" s="12">
        <f t="shared" si="13"/>
        <v>0</v>
      </c>
      <c r="CR10" s="14">
        <f t="shared" si="13"/>
        <v>77.5</v>
      </c>
      <c r="CS10" s="11">
        <f t="shared" si="13"/>
        <v>0</v>
      </c>
      <c r="CT10" s="11">
        <f t="shared" si="13"/>
        <v>0</v>
      </c>
      <c r="CU10" s="272">
        <f t="shared" si="13"/>
        <v>10.19</v>
      </c>
      <c r="CV10" s="249">
        <f t="shared" si="14"/>
        <v>64.645840000000007</v>
      </c>
      <c r="CW10" s="12">
        <f t="shared" si="14"/>
        <v>0</v>
      </c>
      <c r="CX10" s="249">
        <f t="shared" si="14"/>
        <v>0</v>
      </c>
      <c r="CY10" s="272">
        <f t="shared" si="14"/>
        <v>101.23735200000002</v>
      </c>
      <c r="CZ10" s="13"/>
      <c r="DA10" s="240">
        <f>(D10+'[2]ноябрь 20'!D10)/(AY10+'[2]ноябрь 20'!BA10)</f>
        <v>2.1878549308881023</v>
      </c>
      <c r="DB10" s="241">
        <f>(T10+'[2]ноябрь 20'!T10)/(AY10+'[2]ноябрь 20'!BA10)</f>
        <v>1.3311843034793789</v>
      </c>
      <c r="DD10" s="292">
        <f t="shared" si="15"/>
        <v>10.141</v>
      </c>
      <c r="DE10" s="291">
        <v>0.41</v>
      </c>
      <c r="DF10" s="291">
        <v>16.920000000000002</v>
      </c>
      <c r="DG10" s="145">
        <f t="shared" si="16"/>
        <v>10.099421899999999</v>
      </c>
      <c r="DH10" s="293">
        <f t="shared" si="35"/>
        <v>2.2460859430599371</v>
      </c>
      <c r="DJ10" s="31">
        <v>51</v>
      </c>
      <c r="DK10" s="460">
        <f t="shared" si="36"/>
        <v>77.5</v>
      </c>
      <c r="DL10" s="30">
        <v>62.26</v>
      </c>
      <c r="DM10" s="460">
        <f t="shared" si="37"/>
        <v>67.06</v>
      </c>
    </row>
    <row r="11" spans="1:117" s="76" customFormat="1" ht="16.5" customHeight="1" thickBot="1">
      <c r="A11" s="144">
        <v>5</v>
      </c>
      <c r="B11" s="122">
        <f t="shared" si="17"/>
        <v>306.46100000000001</v>
      </c>
      <c r="C11" s="123">
        <f t="shared" si="18"/>
        <v>0.50677260728118745</v>
      </c>
      <c r="D11" s="145">
        <f t="shared" si="19"/>
        <v>304.90793960000002</v>
      </c>
      <c r="E11" s="125">
        <f t="shared" si="20"/>
        <v>40.842981162366499</v>
      </c>
      <c r="F11" s="146">
        <f t="shared" si="0"/>
        <v>2.5297265377914209</v>
      </c>
      <c r="G11" s="127"/>
      <c r="H11" s="126">
        <f t="shared" si="21"/>
        <v>1.7522188633535214</v>
      </c>
      <c r="I11" s="230">
        <f>'[1]июль 20'!AI10</f>
        <v>0</v>
      </c>
      <c r="J11" s="247">
        <f>'[1]ноябрь 20'!AA10</f>
        <v>11.196</v>
      </c>
      <c r="K11" s="464">
        <f>'[1]сентябрь 20'!AM10</f>
        <v>0</v>
      </c>
      <c r="L11" s="446">
        <f t="shared" si="22"/>
        <v>93.712999999999994</v>
      </c>
      <c r="M11" s="468">
        <f t="shared" si="23"/>
        <v>0.77750767443789914</v>
      </c>
      <c r="N11" s="403">
        <f>'[1]ноябрь 20'!W10</f>
        <v>0</v>
      </c>
      <c r="O11" s="403">
        <f>'[1]ноябрь 20'!AU10</f>
        <v>5.6120000000000001</v>
      </c>
      <c r="P11" s="401">
        <f t="shared" si="1"/>
        <v>189.047</v>
      </c>
      <c r="Q11" s="122">
        <f t="shared" si="24"/>
        <v>189.047</v>
      </c>
      <c r="R11" s="123">
        <f t="shared" si="25"/>
        <v>3.0399999999999996</v>
      </c>
      <c r="S11" s="129">
        <v>28.45</v>
      </c>
      <c r="T11" s="125">
        <f t="shared" si="2"/>
        <v>183.29997119999999</v>
      </c>
      <c r="U11" s="147">
        <f t="shared" si="3"/>
        <v>1.5207829685555461</v>
      </c>
      <c r="V11" s="130">
        <v>88.18</v>
      </c>
      <c r="W11" s="130">
        <v>86.66</v>
      </c>
      <c r="X11" s="129">
        <v>0.73</v>
      </c>
      <c r="Y11" s="131">
        <v>564</v>
      </c>
      <c r="Z11" s="131">
        <v>1171</v>
      </c>
      <c r="AA11" s="148" t="s">
        <v>167</v>
      </c>
      <c r="AB11" s="149">
        <v>75.91</v>
      </c>
      <c r="AC11" s="150">
        <v>112</v>
      </c>
      <c r="AD11" s="151">
        <v>4</v>
      </c>
      <c r="AE11" s="149"/>
      <c r="AF11" s="134">
        <f t="shared" si="4"/>
        <v>0</v>
      </c>
      <c r="AG11" s="152"/>
      <c r="AH11" s="129">
        <v>72.900000000000006</v>
      </c>
      <c r="AI11" s="134">
        <f t="shared" si="5"/>
        <v>604.82867335932951</v>
      </c>
      <c r="AJ11" s="163">
        <v>13.13</v>
      </c>
      <c r="AK11" s="154"/>
      <c r="AL11" s="155">
        <v>5.54</v>
      </c>
      <c r="AM11" s="478">
        <f t="shared" si="26"/>
        <v>31.060000000000002</v>
      </c>
      <c r="AN11" s="126">
        <f t="shared" si="27"/>
        <v>0.2</v>
      </c>
      <c r="AO11" s="157" t="s">
        <v>441</v>
      </c>
      <c r="AP11" s="156">
        <v>8.1999999999999993</v>
      </c>
      <c r="AQ11" s="156">
        <v>8</v>
      </c>
      <c r="AR11" s="149"/>
      <c r="AS11" s="149">
        <v>7.75</v>
      </c>
      <c r="AT11" s="149">
        <v>155.30000000000001</v>
      </c>
      <c r="AU11" s="149">
        <v>1.83</v>
      </c>
      <c r="AV11" s="149"/>
      <c r="AW11" s="149"/>
      <c r="AX11" s="158">
        <f t="shared" si="6"/>
        <v>0</v>
      </c>
      <c r="AY11" s="125">
        <f t="shared" si="7"/>
        <v>120.53000000000002</v>
      </c>
      <c r="AZ11" s="125">
        <f t="shared" si="28"/>
        <v>145.44369133427423</v>
      </c>
      <c r="BA11" s="159">
        <f t="shared" si="8"/>
        <v>4.3765669014084505</v>
      </c>
      <c r="BB11" s="160">
        <f t="shared" si="9"/>
        <v>4.821200000000001</v>
      </c>
      <c r="BC11" s="161">
        <f t="shared" si="10"/>
        <v>0.73469651646049661</v>
      </c>
      <c r="BD11" s="160">
        <f t="shared" si="29"/>
        <v>9.1977669014084515</v>
      </c>
      <c r="BE11" s="162">
        <v>0.80800000000000005</v>
      </c>
      <c r="BF11" s="25">
        <f t="shared" si="30"/>
        <v>617.53</v>
      </c>
      <c r="BG11" s="25">
        <f t="shared" si="11"/>
        <v>125.66666666666667</v>
      </c>
      <c r="BH11" s="25">
        <f t="shared" si="31"/>
        <v>628.33333333333337</v>
      </c>
      <c r="BI11" s="26">
        <f t="shared" si="12"/>
        <v>1</v>
      </c>
      <c r="BJ11" s="37">
        <f t="shared" si="32"/>
        <v>628.33333333333337</v>
      </c>
      <c r="BK11" s="38">
        <v>212.74799999999999</v>
      </c>
      <c r="BL11" s="31"/>
      <c r="BM11" s="31"/>
      <c r="BN11" s="28">
        <f t="shared" si="33"/>
        <v>82.510999999999996</v>
      </c>
      <c r="BO11" s="40"/>
      <c r="BP11" s="40"/>
      <c r="BQ11" s="32">
        <v>11.202</v>
      </c>
      <c r="BR11" s="33">
        <v>0.73</v>
      </c>
      <c r="BS11" s="34"/>
      <c r="BT11" s="35"/>
      <c r="BU11" s="28"/>
      <c r="BV11" s="287"/>
      <c r="BW11" s="287"/>
      <c r="BX11" s="36"/>
      <c r="BY11" s="33">
        <v>39.51</v>
      </c>
      <c r="BZ11" s="34"/>
      <c r="CA11" s="35"/>
      <c r="CB11" s="35">
        <v>43.85</v>
      </c>
      <c r="CC11" s="235"/>
      <c r="CD11" s="235"/>
      <c r="CE11" s="36">
        <v>44.01</v>
      </c>
      <c r="CF11" s="28">
        <f t="shared" si="34"/>
        <v>73.158000000000001</v>
      </c>
      <c r="CG11" s="30"/>
      <c r="CH11" s="31"/>
      <c r="CI11" s="32">
        <v>115.889</v>
      </c>
      <c r="CJ11" s="33">
        <v>3.04</v>
      </c>
      <c r="CK11" s="33"/>
      <c r="CL11" s="35"/>
      <c r="CM11" s="36">
        <v>3.04</v>
      </c>
      <c r="CN11" s="286"/>
      <c r="CO11" s="249">
        <f t="shared" si="13"/>
        <v>211.19493959999997</v>
      </c>
      <c r="CP11" s="12">
        <f t="shared" si="13"/>
        <v>0</v>
      </c>
      <c r="CQ11" s="15">
        <f t="shared" si="13"/>
        <v>0</v>
      </c>
      <c r="CR11" s="16">
        <f t="shared" si="13"/>
        <v>82.510999999999996</v>
      </c>
      <c r="CS11" s="11">
        <f t="shared" si="13"/>
        <v>0</v>
      </c>
      <c r="CT11" s="11">
        <f t="shared" si="13"/>
        <v>0</v>
      </c>
      <c r="CU11" s="272">
        <f t="shared" si="13"/>
        <v>11.202</v>
      </c>
      <c r="CV11" s="249">
        <f t="shared" si="14"/>
        <v>70.933996799999989</v>
      </c>
      <c r="CW11" s="12">
        <f t="shared" si="14"/>
        <v>0</v>
      </c>
      <c r="CX11" s="249">
        <f t="shared" si="14"/>
        <v>0</v>
      </c>
      <c r="CY11" s="272">
        <f t="shared" si="14"/>
        <v>112.36597439999998</v>
      </c>
      <c r="CZ11" s="13"/>
      <c r="DA11" s="240">
        <f>(D11+'[2]ноябрь 20'!D11)/(AY11+'[2]ноябрь 20'!BA11)</f>
        <v>2.1969232635904872</v>
      </c>
      <c r="DB11" s="241">
        <f>(T11+'[2]ноябрь 20'!T11)/(AY11+'[2]ноябрь 20'!BA11)</f>
        <v>1.3425598929080065</v>
      </c>
      <c r="DD11" s="292">
        <f t="shared" si="15"/>
        <v>11.196</v>
      </c>
      <c r="DE11" s="291">
        <v>0.12</v>
      </c>
      <c r="DF11" s="407">
        <v>15.1</v>
      </c>
      <c r="DG11" s="145">
        <f t="shared" si="16"/>
        <v>11.182564799999998</v>
      </c>
      <c r="DH11" s="293">
        <f t="shared" si="35"/>
        <v>2.2244332562244762</v>
      </c>
      <c r="DJ11" s="31">
        <v>56.011000000000003</v>
      </c>
      <c r="DK11" s="460">
        <f t="shared" si="36"/>
        <v>82.510999999999996</v>
      </c>
      <c r="DL11" s="30">
        <v>68.358000000000004</v>
      </c>
      <c r="DM11" s="460">
        <f t="shared" si="37"/>
        <v>73.158000000000001</v>
      </c>
    </row>
    <row r="12" spans="1:117" s="76" customFormat="1" ht="16.5" customHeight="1" thickBot="1">
      <c r="A12" s="144">
        <v>6</v>
      </c>
      <c r="B12" s="122">
        <f t="shared" si="17"/>
        <v>286.49900000000002</v>
      </c>
      <c r="C12" s="123">
        <f t="shared" si="18"/>
        <v>0.55871535328221034</v>
      </c>
      <c r="D12" s="145">
        <f t="shared" si="19"/>
        <v>284.89828610000001</v>
      </c>
      <c r="E12" s="125">
        <f t="shared" si="20"/>
        <v>39.140308063902488</v>
      </c>
      <c r="F12" s="146">
        <f t="shared" si="0"/>
        <v>2.3502580935489195</v>
      </c>
      <c r="G12" s="127">
        <v>14.83</v>
      </c>
      <c r="H12" s="126">
        <f t="shared" si="21"/>
        <v>1.6170457523510973</v>
      </c>
      <c r="I12" s="230">
        <f>'[1]июль 20'!AI11</f>
        <v>0</v>
      </c>
      <c r="J12" s="247">
        <f>'[1]ноябрь 20'!AA11</f>
        <v>10.516</v>
      </c>
      <c r="K12" s="464">
        <f>'[1]сентябрь 20'!AM11</f>
        <v>0</v>
      </c>
      <c r="L12" s="446">
        <f t="shared" si="22"/>
        <v>88.88000000000001</v>
      </c>
      <c r="M12" s="469">
        <f t="shared" si="23"/>
        <v>0.73321234119782219</v>
      </c>
      <c r="N12" s="403">
        <f>'[1]ноябрь 20'!W11</f>
        <v>0</v>
      </c>
      <c r="O12" s="403">
        <f>'[1]ноябрь 20'!AU11</f>
        <v>5.1890000000000001</v>
      </c>
      <c r="P12" s="401">
        <f t="shared" si="1"/>
        <v>175.94900000000001</v>
      </c>
      <c r="Q12" s="122">
        <f t="shared" si="24"/>
        <v>175.94900000000001</v>
      </c>
      <c r="R12" s="123">
        <f t="shared" si="25"/>
        <v>3.4799999999999995</v>
      </c>
      <c r="S12" s="129">
        <v>2.69</v>
      </c>
      <c r="T12" s="125">
        <f t="shared" si="2"/>
        <v>169.82597480000001</v>
      </c>
      <c r="U12" s="147">
        <f t="shared" si="3"/>
        <v>1.4009732288401255</v>
      </c>
      <c r="V12" s="130">
        <v>121.22</v>
      </c>
      <c r="W12" s="130">
        <v>71.94</v>
      </c>
      <c r="X12" s="129">
        <v>0.85</v>
      </c>
      <c r="Y12" s="131">
        <v>584</v>
      </c>
      <c r="Z12" s="150">
        <v>1172</v>
      </c>
      <c r="AA12" s="148" t="s">
        <v>116</v>
      </c>
      <c r="AB12" s="149">
        <v>75.849999999999994</v>
      </c>
      <c r="AC12" s="150">
        <v>104</v>
      </c>
      <c r="AD12" s="151">
        <v>5</v>
      </c>
      <c r="AE12" s="149"/>
      <c r="AF12" s="134">
        <f t="shared" si="4"/>
        <v>0</v>
      </c>
      <c r="AG12" s="152"/>
      <c r="AH12" s="129">
        <v>69.3</v>
      </c>
      <c r="AI12" s="134">
        <f t="shared" si="5"/>
        <v>571.68784029038113</v>
      </c>
      <c r="AJ12" s="153">
        <v>16.27</v>
      </c>
      <c r="AK12" s="154"/>
      <c r="AL12" s="155">
        <v>7.58</v>
      </c>
      <c r="AM12" s="478">
        <f t="shared" si="26"/>
        <v>31.78</v>
      </c>
      <c r="AN12" s="126">
        <f t="shared" si="27"/>
        <v>0.2</v>
      </c>
      <c r="AO12" s="157" t="s">
        <v>361</v>
      </c>
      <c r="AP12" s="156">
        <v>7.97</v>
      </c>
      <c r="AQ12" s="156">
        <v>8.93</v>
      </c>
      <c r="AR12" s="149"/>
      <c r="AS12" s="149">
        <v>6.85</v>
      </c>
      <c r="AT12" s="149">
        <v>158.9</v>
      </c>
      <c r="AU12" s="149">
        <v>1.68</v>
      </c>
      <c r="AV12" s="164"/>
      <c r="AW12" s="164"/>
      <c r="AX12" s="158">
        <f t="shared" si="6"/>
        <v>0</v>
      </c>
      <c r="AY12" s="125">
        <f t="shared" si="7"/>
        <v>121.22</v>
      </c>
      <c r="AZ12" s="125">
        <f t="shared" si="28"/>
        <v>130.60887417395105</v>
      </c>
      <c r="BA12" s="159">
        <f t="shared" si="8"/>
        <v>3.6772922535211263</v>
      </c>
      <c r="BB12" s="160">
        <f t="shared" si="9"/>
        <v>4.8487999999999998</v>
      </c>
      <c r="BC12" s="161">
        <f t="shared" si="10"/>
        <v>0.82454770765287766</v>
      </c>
      <c r="BD12" s="160">
        <f t="shared" si="29"/>
        <v>8.5260922535211261</v>
      </c>
      <c r="BE12" s="162">
        <v>0.81</v>
      </c>
      <c r="BF12" s="25">
        <f t="shared" si="30"/>
        <v>738.75</v>
      </c>
      <c r="BG12" s="25">
        <f t="shared" si="11"/>
        <v>125.66666666666667</v>
      </c>
      <c r="BH12" s="25">
        <f t="shared" si="31"/>
        <v>754</v>
      </c>
      <c r="BI12" s="26">
        <f t="shared" si="12"/>
        <v>1</v>
      </c>
      <c r="BJ12" s="37">
        <f t="shared" si="32"/>
        <v>754</v>
      </c>
      <c r="BK12" s="38">
        <v>197.619</v>
      </c>
      <c r="BL12" s="31"/>
      <c r="BM12" s="31"/>
      <c r="BN12" s="28">
        <f t="shared" si="33"/>
        <v>78.477000000000004</v>
      </c>
      <c r="BO12" s="40"/>
      <c r="BP12" s="40"/>
      <c r="BQ12" s="32">
        <v>10.403</v>
      </c>
      <c r="BR12" s="33">
        <v>0.81</v>
      </c>
      <c r="BS12" s="34"/>
      <c r="BT12" s="33"/>
      <c r="BU12" s="28"/>
      <c r="BV12" s="287"/>
      <c r="BW12" s="287"/>
      <c r="BX12" s="36"/>
      <c r="BY12" s="33">
        <v>37.03</v>
      </c>
      <c r="BZ12" s="34"/>
      <c r="CA12" s="33"/>
      <c r="CB12" s="35">
        <v>43.85</v>
      </c>
      <c r="CC12" s="235"/>
      <c r="CD12" s="235"/>
      <c r="CE12" s="36">
        <v>43.7</v>
      </c>
      <c r="CF12" s="28">
        <f t="shared" si="34"/>
        <v>68.239999999999995</v>
      </c>
      <c r="CG12" s="30"/>
      <c r="CH12" s="31"/>
      <c r="CI12" s="32">
        <v>107.709</v>
      </c>
      <c r="CJ12" s="33">
        <v>3.48</v>
      </c>
      <c r="CK12" s="33"/>
      <c r="CL12" s="35"/>
      <c r="CM12" s="36">
        <v>3.48</v>
      </c>
      <c r="CN12" s="286"/>
      <c r="CO12" s="249">
        <f t="shared" si="13"/>
        <v>196.01828610000001</v>
      </c>
      <c r="CP12" s="12">
        <f t="shared" si="13"/>
        <v>0</v>
      </c>
      <c r="CQ12" s="12">
        <f t="shared" si="13"/>
        <v>0</v>
      </c>
      <c r="CR12" s="12">
        <f t="shared" si="13"/>
        <v>78.477000000000004</v>
      </c>
      <c r="CS12" s="11">
        <f t="shared" si="13"/>
        <v>0</v>
      </c>
      <c r="CT12" s="11">
        <f t="shared" si="13"/>
        <v>0</v>
      </c>
      <c r="CU12" s="272">
        <f t="shared" si="13"/>
        <v>10.403</v>
      </c>
      <c r="CV12" s="249">
        <f t="shared" si="14"/>
        <v>65.865247999999994</v>
      </c>
      <c r="CW12" s="12">
        <f t="shared" si="14"/>
        <v>0</v>
      </c>
      <c r="CX12" s="252">
        <f t="shared" si="14"/>
        <v>0</v>
      </c>
      <c r="CY12" s="272">
        <f t="shared" si="14"/>
        <v>103.9607268</v>
      </c>
      <c r="CZ12" s="13"/>
      <c r="DA12" s="240">
        <f>(D12+'[2]ноябрь 20'!D12)/(AY12+'[2]ноябрь 20'!BA12)</f>
        <v>2.2847361133054109</v>
      </c>
      <c r="DB12" s="241">
        <f>(T12+'[2]ноябрь 20'!T12)/(AY12+'[2]ноябрь 20'!BA12)</f>
        <v>1.386459643330227</v>
      </c>
      <c r="DD12" s="292">
        <f t="shared" si="15"/>
        <v>10.516</v>
      </c>
      <c r="DE12" s="291">
        <v>0.17</v>
      </c>
      <c r="DF12" s="291">
        <v>16.37</v>
      </c>
      <c r="DG12" s="145">
        <f t="shared" si="16"/>
        <v>10.498122799999999</v>
      </c>
      <c r="DH12" s="293">
        <f t="shared" si="35"/>
        <v>2.2657121982333552</v>
      </c>
      <c r="DJ12" s="31">
        <v>51.976999999999997</v>
      </c>
      <c r="DK12" s="460">
        <f t="shared" si="36"/>
        <v>78.477000000000004</v>
      </c>
      <c r="DL12" s="30">
        <v>63.44</v>
      </c>
      <c r="DM12" s="460">
        <f t="shared" si="37"/>
        <v>68.239999999999995</v>
      </c>
    </row>
    <row r="13" spans="1:117" s="76" customFormat="1" ht="16.5" customHeight="1" thickBot="1">
      <c r="A13" s="144">
        <v>7</v>
      </c>
      <c r="B13" s="122">
        <f t="shared" si="17"/>
        <v>284.51600000000002</v>
      </c>
      <c r="C13" s="123">
        <f t="shared" si="18"/>
        <v>0.84672847924194072</v>
      </c>
      <c r="D13" s="145">
        <f t="shared" si="19"/>
        <v>282.106922</v>
      </c>
      <c r="E13" s="125">
        <f t="shared" si="20"/>
        <v>39.243145552446961</v>
      </c>
      <c r="F13" s="146">
        <f t="shared" si="0"/>
        <v>2.2126033098039217</v>
      </c>
      <c r="G13" s="127"/>
      <c r="H13" s="126">
        <f t="shared" si="21"/>
        <v>1.5172621333333334</v>
      </c>
      <c r="I13" s="230">
        <f>'[1]июль 20'!AI12</f>
        <v>0</v>
      </c>
      <c r="J13" s="247">
        <f>'[1]ноябрь 20'!AA12</f>
        <v>10.221</v>
      </c>
      <c r="K13" s="464">
        <f>'[1]сентябрь 20'!AM12</f>
        <v>0</v>
      </c>
      <c r="L13" s="446">
        <f t="shared" si="22"/>
        <v>88.656000000000006</v>
      </c>
      <c r="M13" s="468">
        <f t="shared" si="23"/>
        <v>0.69534117647058824</v>
      </c>
      <c r="N13" s="403">
        <f>'[1]ноябрь 20'!W12</f>
        <v>0</v>
      </c>
      <c r="O13" s="403">
        <f>'[1]ноябрь 20'!AU12</f>
        <v>6.149</v>
      </c>
      <c r="P13" s="401">
        <f t="shared" si="1"/>
        <v>173.97399999999999</v>
      </c>
      <c r="Q13" s="122">
        <f t="shared" si="24"/>
        <v>173.97399999999999</v>
      </c>
      <c r="R13" s="123">
        <f t="shared" si="25"/>
        <v>3.41</v>
      </c>
      <c r="S13" s="129"/>
      <c r="T13" s="125">
        <f t="shared" si="2"/>
        <v>168.04148659999998</v>
      </c>
      <c r="U13" s="147">
        <f t="shared" si="3"/>
        <v>1.3179724439215685</v>
      </c>
      <c r="V13" s="130">
        <v>127.5</v>
      </c>
      <c r="W13" s="130">
        <v>50.68</v>
      </c>
      <c r="X13" s="129">
        <v>1.01</v>
      </c>
      <c r="Y13" s="165">
        <v>595</v>
      </c>
      <c r="Z13" s="166">
        <v>1164</v>
      </c>
      <c r="AA13" s="148" t="s">
        <v>167</v>
      </c>
      <c r="AB13" s="149">
        <v>76.150000000000006</v>
      </c>
      <c r="AC13" s="150">
        <v>103</v>
      </c>
      <c r="AD13" s="151">
        <v>5</v>
      </c>
      <c r="AE13" s="149">
        <v>2.8</v>
      </c>
      <c r="AF13" s="134">
        <f t="shared" si="4"/>
        <v>21.960784313725487</v>
      </c>
      <c r="AG13" s="152"/>
      <c r="AH13" s="129">
        <v>78.05</v>
      </c>
      <c r="AI13" s="134">
        <f t="shared" si="5"/>
        <v>612.15686274509801</v>
      </c>
      <c r="AJ13" s="136">
        <v>15.12</v>
      </c>
      <c r="AK13" s="154"/>
      <c r="AL13" s="155">
        <v>8.39</v>
      </c>
      <c r="AM13" s="478">
        <f t="shared" si="26"/>
        <v>33.39</v>
      </c>
      <c r="AN13" s="126">
        <f t="shared" si="27"/>
        <v>0.2</v>
      </c>
      <c r="AO13" s="157" t="s">
        <v>442</v>
      </c>
      <c r="AP13" s="156">
        <v>8.18</v>
      </c>
      <c r="AQ13" s="156">
        <v>9.5</v>
      </c>
      <c r="AR13" s="149"/>
      <c r="AS13" s="149">
        <v>6.76</v>
      </c>
      <c r="AT13" s="149">
        <v>166.95</v>
      </c>
      <c r="AU13" s="149">
        <v>2.33</v>
      </c>
      <c r="AV13" s="149"/>
      <c r="AW13" s="149"/>
      <c r="AX13" s="158">
        <f t="shared" si="6"/>
        <v>0</v>
      </c>
      <c r="AY13" s="125">
        <f t="shared" si="7"/>
        <v>127.5</v>
      </c>
      <c r="AZ13" s="125">
        <f t="shared" si="28"/>
        <v>128.95245146430929</v>
      </c>
      <c r="BA13" s="159">
        <f t="shared" si="8"/>
        <v>4.0871816901408442</v>
      </c>
      <c r="BB13" s="160">
        <f t="shared" si="9"/>
        <v>5.1000000000000005</v>
      </c>
      <c r="BC13" s="161">
        <f t="shared" si="10"/>
        <v>0.87700594789837361</v>
      </c>
      <c r="BD13" s="160">
        <f t="shared" si="29"/>
        <v>9.1871816901408447</v>
      </c>
      <c r="BE13" s="162">
        <v>0.82</v>
      </c>
      <c r="BF13" s="25">
        <f t="shared" si="30"/>
        <v>866.25</v>
      </c>
      <c r="BG13" s="25">
        <f t="shared" si="11"/>
        <v>125.66666666666667</v>
      </c>
      <c r="BH13" s="25">
        <f t="shared" si="31"/>
        <v>879.66666666666663</v>
      </c>
      <c r="BI13" s="26">
        <f t="shared" si="12"/>
        <v>1</v>
      </c>
      <c r="BJ13" s="37">
        <f t="shared" si="32"/>
        <v>879.66666666666663</v>
      </c>
      <c r="BK13" s="39">
        <v>195.86</v>
      </c>
      <c r="BL13" s="40"/>
      <c r="BM13" s="325"/>
      <c r="BN13" s="28">
        <f t="shared" si="33"/>
        <v>78.45</v>
      </c>
      <c r="BO13" s="40"/>
      <c r="BP13" s="40"/>
      <c r="BQ13" s="32">
        <v>10.206</v>
      </c>
      <c r="BR13" s="33">
        <v>1.23</v>
      </c>
      <c r="BS13" s="34"/>
      <c r="BT13" s="33"/>
      <c r="BU13" s="28"/>
      <c r="BV13" s="287"/>
      <c r="BW13" s="287"/>
      <c r="BX13" s="36"/>
      <c r="BY13" s="33">
        <v>37.409999999999997</v>
      </c>
      <c r="BZ13" s="34"/>
      <c r="CA13" s="33"/>
      <c r="CB13" s="35">
        <v>43.24</v>
      </c>
      <c r="CC13" s="235"/>
      <c r="CD13" s="235"/>
      <c r="CE13" s="36">
        <v>43.7</v>
      </c>
      <c r="CF13" s="28">
        <f t="shared" si="34"/>
        <v>67.67</v>
      </c>
      <c r="CG13" s="30"/>
      <c r="CH13" s="30"/>
      <c r="CI13" s="32">
        <v>106.304</v>
      </c>
      <c r="CJ13" s="33">
        <v>3.41</v>
      </c>
      <c r="CK13" s="33"/>
      <c r="CL13" s="33"/>
      <c r="CM13" s="36">
        <v>3.41</v>
      </c>
      <c r="CN13" s="286"/>
      <c r="CO13" s="249">
        <f t="shared" si="13"/>
        <v>193.45092199999999</v>
      </c>
      <c r="CP13" s="12">
        <f t="shared" si="13"/>
        <v>0</v>
      </c>
      <c r="CQ13" s="12">
        <f t="shared" si="13"/>
        <v>0</v>
      </c>
      <c r="CR13" s="12">
        <f t="shared" si="13"/>
        <v>78.45</v>
      </c>
      <c r="CS13" s="11">
        <f t="shared" si="13"/>
        <v>0</v>
      </c>
      <c r="CT13" s="11">
        <f t="shared" si="13"/>
        <v>0</v>
      </c>
      <c r="CU13" s="272">
        <f t="shared" si="13"/>
        <v>10.206</v>
      </c>
      <c r="CV13" s="249">
        <f t="shared" si="14"/>
        <v>65.362453000000002</v>
      </c>
      <c r="CW13" s="251">
        <f t="shared" si="14"/>
        <v>0</v>
      </c>
      <c r="CX13" s="249">
        <f t="shared" si="14"/>
        <v>0</v>
      </c>
      <c r="CY13" s="272">
        <f t="shared" si="14"/>
        <v>102.6790336</v>
      </c>
      <c r="CZ13" s="13"/>
      <c r="DA13" s="240">
        <f>(D13+'[2]ноябрь 20'!D13)/(AY13+'[2]ноябрь 20'!BA13)</f>
        <v>2.2177774773247556</v>
      </c>
      <c r="DB13" s="241">
        <f>(T13+'[2]ноябрь 20'!T13)/(AY13+'[2]ноябрь 20'!BA13)</f>
        <v>1.358025937032125</v>
      </c>
      <c r="DD13" s="292">
        <f t="shared" si="15"/>
        <v>10.221</v>
      </c>
      <c r="DE13" s="291">
        <v>0.13</v>
      </c>
      <c r="DF13" s="291">
        <v>15.18</v>
      </c>
      <c r="DG13" s="145">
        <f t="shared" si="16"/>
        <v>10.2077127</v>
      </c>
      <c r="DH13" s="293">
        <f t="shared" si="35"/>
        <v>2.0348401679054495</v>
      </c>
      <c r="DJ13" s="31">
        <v>51.95</v>
      </c>
      <c r="DK13" s="460">
        <f t="shared" si="36"/>
        <v>78.45</v>
      </c>
      <c r="DL13" s="30">
        <v>62.87</v>
      </c>
      <c r="DM13" s="460">
        <f t="shared" si="37"/>
        <v>67.67</v>
      </c>
    </row>
    <row r="14" spans="1:117" s="76" customFormat="1" ht="16.5" customHeight="1" thickBot="1">
      <c r="A14" s="144">
        <v>8</v>
      </c>
      <c r="B14" s="122">
        <f t="shared" si="17"/>
        <v>288.91699999999997</v>
      </c>
      <c r="C14" s="123">
        <f t="shared" si="18"/>
        <v>0.39303813898109147</v>
      </c>
      <c r="D14" s="145">
        <f t="shared" si="19"/>
        <v>287.78144599999996</v>
      </c>
      <c r="E14" s="125">
        <f t="shared" si="20"/>
        <v>39.726910046830064</v>
      </c>
      <c r="F14" s="146">
        <f t="shared" si="0"/>
        <v>2.4226066672278805</v>
      </c>
      <c r="G14" s="127">
        <v>14.08</v>
      </c>
      <c r="H14" s="126">
        <f t="shared" si="21"/>
        <v>1.667517855038303</v>
      </c>
      <c r="I14" s="230">
        <f>'[1]июль 20'!AI13</f>
        <v>0</v>
      </c>
      <c r="J14" s="247">
        <f>'[1]ноябрь 20'!AA13</f>
        <v>10.583</v>
      </c>
      <c r="K14" s="464">
        <f>'[1]сентябрь 20'!AM13</f>
        <v>0</v>
      </c>
      <c r="L14" s="446">
        <f t="shared" si="22"/>
        <v>89.696999999999989</v>
      </c>
      <c r="M14" s="471">
        <f t="shared" si="23"/>
        <v>0.75508881218957813</v>
      </c>
      <c r="N14" s="403">
        <f>'[1]ноябрь 20'!W13</f>
        <v>0</v>
      </c>
      <c r="O14" s="403">
        <f>'[1]ноябрь 20'!AU13</f>
        <v>7.423</v>
      </c>
      <c r="P14" s="401">
        <f t="shared" si="1"/>
        <v>178.541</v>
      </c>
      <c r="Q14" s="122">
        <f t="shared" si="24"/>
        <v>178.541</v>
      </c>
      <c r="R14" s="123">
        <f t="shared" si="25"/>
        <v>3.5</v>
      </c>
      <c r="S14" s="129"/>
      <c r="T14" s="125">
        <f t="shared" si="2"/>
        <v>172.29206499999998</v>
      </c>
      <c r="U14" s="147">
        <f t="shared" si="3"/>
        <v>1.4503919942756123</v>
      </c>
      <c r="V14" s="130">
        <v>95.37</v>
      </c>
      <c r="W14" s="130">
        <v>118.79</v>
      </c>
      <c r="X14" s="129">
        <v>0.6</v>
      </c>
      <c r="Y14" s="131">
        <v>560</v>
      </c>
      <c r="Z14" s="150">
        <v>1167</v>
      </c>
      <c r="AA14" s="148" t="s">
        <v>110</v>
      </c>
      <c r="AB14" s="149">
        <v>76.010000000000005</v>
      </c>
      <c r="AC14" s="150">
        <v>105</v>
      </c>
      <c r="AD14" s="151">
        <v>5</v>
      </c>
      <c r="AE14" s="149"/>
      <c r="AF14" s="134">
        <f t="shared" si="4"/>
        <v>0</v>
      </c>
      <c r="AG14" s="152"/>
      <c r="AH14" s="129">
        <v>79.400000000000006</v>
      </c>
      <c r="AI14" s="134">
        <f t="shared" si="5"/>
        <v>668.40643151780455</v>
      </c>
      <c r="AJ14" s="153">
        <v>15.84</v>
      </c>
      <c r="AK14" s="154"/>
      <c r="AL14" s="155">
        <v>7.07</v>
      </c>
      <c r="AM14" s="478">
        <f t="shared" si="26"/>
        <v>31.04</v>
      </c>
      <c r="AN14" s="126">
        <f t="shared" si="27"/>
        <v>0.2</v>
      </c>
      <c r="AO14" s="157" t="s">
        <v>348</v>
      </c>
      <c r="AP14" s="156">
        <v>7.28</v>
      </c>
      <c r="AQ14" s="156">
        <v>8.82</v>
      </c>
      <c r="AR14" s="149"/>
      <c r="AS14" s="149">
        <v>9.17</v>
      </c>
      <c r="AT14" s="149">
        <v>155.19999999999999</v>
      </c>
      <c r="AU14" s="149">
        <v>1.7</v>
      </c>
      <c r="AV14" s="149"/>
      <c r="AW14" s="149"/>
      <c r="AX14" s="158">
        <f t="shared" si="6"/>
        <v>0</v>
      </c>
      <c r="AY14" s="125">
        <f t="shared" si="7"/>
        <v>118.79</v>
      </c>
      <c r="AZ14" s="125">
        <f t="shared" si="28"/>
        <v>133.61737287111328</v>
      </c>
      <c r="BA14" s="159">
        <f t="shared" si="8"/>
        <v>5.6401957746478875</v>
      </c>
      <c r="BB14" s="160">
        <f t="shared" si="9"/>
        <v>4.7516000000000007</v>
      </c>
      <c r="BC14" s="161">
        <f t="shared" si="10"/>
        <v>0.78977437299734776</v>
      </c>
      <c r="BD14" s="159">
        <f t="shared" si="29"/>
        <v>10.391795774647889</v>
      </c>
      <c r="BE14" s="167">
        <v>0.81599999999999995</v>
      </c>
      <c r="BF14" s="25">
        <f t="shared" si="30"/>
        <v>985.04</v>
      </c>
      <c r="BG14" s="25">
        <f t="shared" si="11"/>
        <v>125.66666666666667</v>
      </c>
      <c r="BH14" s="25">
        <f t="shared" si="31"/>
        <v>1005.3333333333333</v>
      </c>
      <c r="BI14" s="26">
        <f t="shared" si="12"/>
        <v>1</v>
      </c>
      <c r="BJ14" s="37">
        <f t="shared" si="32"/>
        <v>1005.3333333333333</v>
      </c>
      <c r="BK14" s="39">
        <v>199.22</v>
      </c>
      <c r="BL14" s="40"/>
      <c r="BM14" s="325"/>
      <c r="BN14" s="28">
        <f t="shared" si="33"/>
        <v>79.128999999999991</v>
      </c>
      <c r="BO14" s="40"/>
      <c r="BP14" s="40"/>
      <c r="BQ14" s="32">
        <v>10.568</v>
      </c>
      <c r="BR14" s="33">
        <v>0.56999999999999995</v>
      </c>
      <c r="BS14" s="34"/>
      <c r="BT14" s="33"/>
      <c r="BU14" s="28"/>
      <c r="BV14" s="287"/>
      <c r="BW14" s="287"/>
      <c r="BX14" s="36"/>
      <c r="BY14" s="33">
        <v>38.03</v>
      </c>
      <c r="BZ14" s="34"/>
      <c r="CA14" s="33"/>
      <c r="CB14" s="235">
        <v>43.55</v>
      </c>
      <c r="CC14" s="235"/>
      <c r="CD14" s="235"/>
      <c r="CE14" s="36">
        <v>43.09</v>
      </c>
      <c r="CF14" s="28">
        <f t="shared" si="34"/>
        <v>68.863</v>
      </c>
      <c r="CG14" s="30"/>
      <c r="CH14" s="30"/>
      <c r="CI14" s="32">
        <v>109.678</v>
      </c>
      <c r="CJ14" s="33">
        <v>3.5</v>
      </c>
      <c r="CK14" s="33"/>
      <c r="CL14" s="33"/>
      <c r="CM14" s="36">
        <v>3.5</v>
      </c>
      <c r="CN14" s="286"/>
      <c r="CO14" s="249">
        <f t="shared" si="13"/>
        <v>198.08444600000001</v>
      </c>
      <c r="CP14" s="12">
        <f t="shared" si="13"/>
        <v>0</v>
      </c>
      <c r="CQ14" s="12">
        <f t="shared" si="13"/>
        <v>0</v>
      </c>
      <c r="CR14" s="12">
        <f t="shared" si="13"/>
        <v>79.128999999999991</v>
      </c>
      <c r="CS14" s="11">
        <f t="shared" si="13"/>
        <v>0</v>
      </c>
      <c r="CT14" s="11">
        <f t="shared" si="13"/>
        <v>0</v>
      </c>
      <c r="CU14" s="272">
        <f t="shared" si="13"/>
        <v>10.568</v>
      </c>
      <c r="CV14" s="249">
        <f t="shared" si="14"/>
        <v>66.452794999999995</v>
      </c>
      <c r="CW14" s="12">
        <f t="shared" si="14"/>
        <v>0</v>
      </c>
      <c r="CX14" s="252">
        <f t="shared" si="14"/>
        <v>0</v>
      </c>
      <c r="CY14" s="272">
        <f t="shared" si="14"/>
        <v>105.83927</v>
      </c>
      <c r="CZ14" s="13"/>
      <c r="DA14" s="240">
        <f>(D14+'[2]ноябрь 20'!D14)/(AY14+'[2]ноябрь 20'!BA14)</f>
        <v>2.2220344205914753</v>
      </c>
      <c r="DB14" s="241">
        <f>(T14+'[2]ноябрь 20'!T14)/(AY14+'[2]ноябрь 20'!BA14)</f>
        <v>1.3506276189915603</v>
      </c>
      <c r="DD14" s="292">
        <f t="shared" si="15"/>
        <v>10.583</v>
      </c>
      <c r="DE14" s="291">
        <v>0.2</v>
      </c>
      <c r="DF14" s="291">
        <v>16.62</v>
      </c>
      <c r="DG14" s="145">
        <f t="shared" si="16"/>
        <v>10.561833999999999</v>
      </c>
      <c r="DH14" s="293">
        <f t="shared" si="35"/>
        <v>2.3094024612550981</v>
      </c>
      <c r="DJ14" s="40">
        <v>52.628999999999998</v>
      </c>
      <c r="DK14" s="460">
        <f t="shared" si="36"/>
        <v>79.128999999999991</v>
      </c>
      <c r="DL14" s="30">
        <v>64.063000000000002</v>
      </c>
      <c r="DM14" s="460">
        <f t="shared" si="37"/>
        <v>68.863</v>
      </c>
    </row>
    <row r="15" spans="1:117" s="76" customFormat="1" ht="16.5" customHeight="1" thickBot="1">
      <c r="A15" s="144">
        <v>9</v>
      </c>
      <c r="B15" s="122">
        <f t="shared" si="17"/>
        <v>294.75600000000003</v>
      </c>
      <c r="C15" s="123">
        <f t="shared" si="18"/>
        <v>0.46278725454274044</v>
      </c>
      <c r="D15" s="145">
        <f t="shared" si="19"/>
        <v>293.39190680000002</v>
      </c>
      <c r="E15" s="125">
        <f t="shared" si="20"/>
        <v>39.324027602491547</v>
      </c>
      <c r="F15" s="146">
        <f t="shared" si="0"/>
        <v>2.3628244084722554</v>
      </c>
      <c r="G15" s="127"/>
      <c r="H15" s="126">
        <f t="shared" si="21"/>
        <v>1.6286696206813236</v>
      </c>
      <c r="I15" s="230">
        <f>'[1]июль 20'!AI14</f>
        <v>0</v>
      </c>
      <c r="J15" s="247">
        <f>'[1]ноябрь 20'!AA14</f>
        <v>10.625</v>
      </c>
      <c r="K15" s="464">
        <f>'[1]сентябрь 20'!AM14</f>
        <v>0</v>
      </c>
      <c r="L15" s="446">
        <f t="shared" si="22"/>
        <v>91.16</v>
      </c>
      <c r="M15" s="469">
        <f t="shared" si="23"/>
        <v>0.73415478779093168</v>
      </c>
      <c r="N15" s="403">
        <f>'[1]ноябрь 20'!W14</f>
        <v>0</v>
      </c>
      <c r="O15" s="403">
        <f>'[1]ноябрь 20'!AU14</f>
        <v>7.4329999999999998</v>
      </c>
      <c r="P15" s="401">
        <f t="shared" si="1"/>
        <v>181.762</v>
      </c>
      <c r="Q15" s="122">
        <f t="shared" si="24"/>
        <v>181.762</v>
      </c>
      <c r="R15" s="123">
        <f t="shared" si="25"/>
        <v>3.52</v>
      </c>
      <c r="S15" s="129">
        <v>29.93</v>
      </c>
      <c r="T15" s="125">
        <f t="shared" si="2"/>
        <v>175.3639776</v>
      </c>
      <c r="U15" s="147">
        <f t="shared" si="3"/>
        <v>1.4122894225658369</v>
      </c>
      <c r="V15" s="130">
        <v>92.84</v>
      </c>
      <c r="W15" s="130">
        <v>69.209999999999994</v>
      </c>
      <c r="X15" s="129">
        <v>0.92</v>
      </c>
      <c r="Y15" s="131">
        <v>552</v>
      </c>
      <c r="Z15" s="150">
        <v>1171</v>
      </c>
      <c r="AA15" s="148" t="s">
        <v>122</v>
      </c>
      <c r="AB15" s="149">
        <v>75.510000000000005</v>
      </c>
      <c r="AC15" s="150">
        <v>107</v>
      </c>
      <c r="AD15" s="151">
        <v>5</v>
      </c>
      <c r="AE15" s="149"/>
      <c r="AF15" s="134">
        <f t="shared" si="4"/>
        <v>0</v>
      </c>
      <c r="AG15" s="152"/>
      <c r="AH15" s="129">
        <v>66</v>
      </c>
      <c r="AI15" s="134">
        <f t="shared" si="5"/>
        <v>531.52935491664641</v>
      </c>
      <c r="AJ15" s="136">
        <v>15.14</v>
      </c>
      <c r="AK15" s="154"/>
      <c r="AL15" s="155">
        <v>8.07</v>
      </c>
      <c r="AM15" s="478">
        <f t="shared" si="26"/>
        <v>32.6</v>
      </c>
      <c r="AN15" s="126">
        <f t="shared" si="27"/>
        <v>0.2</v>
      </c>
      <c r="AO15" s="157" t="s">
        <v>443</v>
      </c>
      <c r="AP15" s="156">
        <v>7.86</v>
      </c>
      <c r="AQ15" s="156">
        <v>9.19</v>
      </c>
      <c r="AR15" s="149"/>
      <c r="AS15" s="149">
        <v>7.37</v>
      </c>
      <c r="AT15" s="149">
        <v>163</v>
      </c>
      <c r="AU15" s="149">
        <v>1.84</v>
      </c>
      <c r="AV15" s="149"/>
      <c r="AW15" s="149"/>
      <c r="AX15" s="158">
        <f t="shared" si="6"/>
        <v>0</v>
      </c>
      <c r="AY15" s="125">
        <f t="shared" si="7"/>
        <v>124.17000000000002</v>
      </c>
      <c r="AZ15" s="125">
        <f t="shared" si="28"/>
        <v>135.54989846774293</v>
      </c>
      <c r="BA15" s="159">
        <f t="shared" si="8"/>
        <v>3.7680422535211266</v>
      </c>
      <c r="BB15" s="160">
        <f t="shared" si="9"/>
        <v>4.966800000000001</v>
      </c>
      <c r="BC15" s="161">
        <f t="shared" si="10"/>
        <v>0.81267149983794051</v>
      </c>
      <c r="BD15" s="159">
        <f t="shared" si="29"/>
        <v>8.7348422535211281</v>
      </c>
      <c r="BE15" s="167">
        <v>0.81599999999999995</v>
      </c>
      <c r="BF15" s="25">
        <f t="shared" si="30"/>
        <v>1109.21</v>
      </c>
      <c r="BG15" s="25">
        <f t="shared" si="11"/>
        <v>125.66666666666667</v>
      </c>
      <c r="BH15" s="25">
        <f t="shared" si="31"/>
        <v>1131</v>
      </c>
      <c r="BI15" s="26">
        <f t="shared" si="12"/>
        <v>1</v>
      </c>
      <c r="BJ15" s="37">
        <f t="shared" si="32"/>
        <v>1131</v>
      </c>
      <c r="BK15" s="38">
        <v>203.596</v>
      </c>
      <c r="BL15" s="42"/>
      <c r="BM15" s="31"/>
      <c r="BN15" s="28">
        <f t="shared" si="33"/>
        <v>80.551999999999992</v>
      </c>
      <c r="BO15" s="40"/>
      <c r="BP15" s="40"/>
      <c r="BQ15" s="32">
        <v>10.608000000000001</v>
      </c>
      <c r="BR15" s="33">
        <v>0.67</v>
      </c>
      <c r="BS15" s="35"/>
      <c r="BT15" s="35"/>
      <c r="BU15" s="28"/>
      <c r="BV15" s="287"/>
      <c r="BW15" s="287"/>
      <c r="BX15" s="36"/>
      <c r="BY15" s="33">
        <v>37.630000000000003</v>
      </c>
      <c r="BZ15" s="34"/>
      <c r="CA15" s="35"/>
      <c r="CB15" s="59">
        <v>43.09</v>
      </c>
      <c r="CC15" s="35"/>
      <c r="CD15" s="35"/>
      <c r="CE15" s="35">
        <v>43.24</v>
      </c>
      <c r="CF15" s="28">
        <f t="shared" si="34"/>
        <v>70.131</v>
      </c>
      <c r="CG15" s="30"/>
      <c r="CH15" s="30"/>
      <c r="CI15" s="32">
        <v>111.631</v>
      </c>
      <c r="CJ15" s="33">
        <v>3.52</v>
      </c>
      <c r="CK15" s="33"/>
      <c r="CL15" s="33"/>
      <c r="CM15" s="36">
        <v>3.52</v>
      </c>
      <c r="CN15" s="286"/>
      <c r="CO15" s="249">
        <f t="shared" si="13"/>
        <v>202.23190679999999</v>
      </c>
      <c r="CP15" s="12">
        <f t="shared" si="13"/>
        <v>0</v>
      </c>
      <c r="CQ15" s="12">
        <f t="shared" si="13"/>
        <v>0</v>
      </c>
      <c r="CR15" s="17">
        <f t="shared" si="13"/>
        <v>80.551999999999992</v>
      </c>
      <c r="CS15" s="11">
        <f t="shared" si="13"/>
        <v>0</v>
      </c>
      <c r="CT15" s="11">
        <f t="shared" si="13"/>
        <v>0</v>
      </c>
      <c r="CU15" s="272">
        <f t="shared" si="13"/>
        <v>10.608000000000001</v>
      </c>
      <c r="CV15" s="249">
        <f t="shared" si="14"/>
        <v>67.662388800000002</v>
      </c>
      <c r="CW15" s="12">
        <f t="shared" si="14"/>
        <v>0</v>
      </c>
      <c r="CX15" s="249">
        <f t="shared" si="14"/>
        <v>0</v>
      </c>
      <c r="CY15" s="274">
        <f t="shared" si="14"/>
        <v>107.7015888</v>
      </c>
      <c r="CZ15" s="13"/>
      <c r="DA15" s="240">
        <f>(D15+'[2]ноябрь 20'!D15)/(AY15+'[2]ноябрь 20'!BA15)</f>
        <v>2.1322089012643857</v>
      </c>
      <c r="DB15" s="241">
        <f>(T15+'[2]ноябрь 20'!T15)/(AY15+'[2]ноябрь 20'!BA15)</f>
        <v>1.3001362003948709</v>
      </c>
      <c r="DD15" s="292">
        <f t="shared" si="15"/>
        <v>10.625</v>
      </c>
      <c r="DE15" s="291">
        <v>0.22</v>
      </c>
      <c r="DF15" s="291">
        <v>15.4</v>
      </c>
      <c r="DG15" s="145">
        <f t="shared" si="16"/>
        <v>10.601625</v>
      </c>
      <c r="DH15" s="293">
        <f t="shared" si="35"/>
        <v>2.1621642828764398</v>
      </c>
      <c r="DJ15" s="533">
        <v>54.052</v>
      </c>
      <c r="DK15" s="460">
        <f t="shared" si="36"/>
        <v>80.551999999999992</v>
      </c>
      <c r="DL15" s="38">
        <v>65.331000000000003</v>
      </c>
      <c r="DM15" s="460">
        <f t="shared" si="37"/>
        <v>70.131</v>
      </c>
    </row>
    <row r="16" spans="1:117" s="76" customFormat="1" ht="16.5" customHeight="1" thickBot="1">
      <c r="A16" s="144">
        <v>10</v>
      </c>
      <c r="B16" s="122">
        <f t="shared" si="17"/>
        <v>304.56700000000001</v>
      </c>
      <c r="C16" s="123">
        <f t="shared" si="18"/>
        <v>0.5265104886609514</v>
      </c>
      <c r="D16" s="145">
        <f t="shared" si="19"/>
        <v>302.96342280000005</v>
      </c>
      <c r="E16" s="125">
        <f t="shared" si="20"/>
        <v>40.19454858865209</v>
      </c>
      <c r="F16" s="146">
        <f t="shared" si="0"/>
        <v>3.0278175374775147</v>
      </c>
      <c r="G16" s="127"/>
      <c r="H16" s="126">
        <f t="shared" si="21"/>
        <v>2.0926786208275039</v>
      </c>
      <c r="I16" s="230">
        <f>'[1]июль 20'!AI15</f>
        <v>0</v>
      </c>
      <c r="J16" s="247">
        <f>'[1]ноябрь 20'!AA15</f>
        <v>11.215</v>
      </c>
      <c r="K16" s="467">
        <f>'[1]сентябрь 20'!AM15</f>
        <v>0</v>
      </c>
      <c r="L16" s="446">
        <f t="shared" si="22"/>
        <v>93.570000000000007</v>
      </c>
      <c r="M16" s="468">
        <f t="shared" si="23"/>
        <v>0.93513891665001037</v>
      </c>
      <c r="N16" s="403">
        <f>'[1]ноябрь 20'!W15</f>
        <v>0</v>
      </c>
      <c r="O16" s="403">
        <f>'[1]ноябрь 20'!AU15</f>
        <v>7.8360000000000003</v>
      </c>
      <c r="P16" s="401">
        <f t="shared" si="1"/>
        <v>186.57399999999998</v>
      </c>
      <c r="Q16" s="122">
        <f t="shared" si="24"/>
        <v>186.57399999999998</v>
      </c>
      <c r="R16" s="123">
        <f t="shared" si="25"/>
        <v>3.46</v>
      </c>
      <c r="S16" s="129">
        <v>29.98</v>
      </c>
      <c r="T16" s="125">
        <f t="shared" si="2"/>
        <v>180.11853959999999</v>
      </c>
      <c r="U16" s="147">
        <f t="shared" si="3"/>
        <v>1.8001053328003203</v>
      </c>
      <c r="V16" s="130">
        <v>68.92</v>
      </c>
      <c r="W16" s="130">
        <v>23.56</v>
      </c>
      <c r="X16" s="129">
        <v>1.28</v>
      </c>
      <c r="Y16" s="131">
        <v>571</v>
      </c>
      <c r="Z16" s="150">
        <v>1175</v>
      </c>
      <c r="AA16" s="148" t="s">
        <v>165</v>
      </c>
      <c r="AB16" s="149">
        <v>75.349999999999994</v>
      </c>
      <c r="AC16" s="150">
        <v>111</v>
      </c>
      <c r="AD16" s="151">
        <v>5</v>
      </c>
      <c r="AE16" s="149"/>
      <c r="AF16" s="134">
        <f t="shared" si="4"/>
        <v>0</v>
      </c>
      <c r="AG16" s="152"/>
      <c r="AH16" s="129">
        <v>87.1</v>
      </c>
      <c r="AI16" s="134">
        <f t="shared" si="5"/>
        <v>870.47771337197696</v>
      </c>
      <c r="AJ16" s="153">
        <v>16.48</v>
      </c>
      <c r="AK16" s="154"/>
      <c r="AL16" s="155">
        <v>9.3000000000000007</v>
      </c>
      <c r="AM16" s="478">
        <v>65.25</v>
      </c>
      <c r="AN16" s="126">
        <f t="shared" si="27"/>
        <v>0.37782281412854662</v>
      </c>
      <c r="AO16" s="157" t="s">
        <v>168</v>
      </c>
      <c r="AP16" s="156">
        <v>8.15</v>
      </c>
      <c r="AQ16" s="156">
        <v>8.3699999999999992</v>
      </c>
      <c r="AR16" s="149"/>
      <c r="AS16" s="149">
        <v>7.42</v>
      </c>
      <c r="AT16" s="149">
        <v>172.7</v>
      </c>
      <c r="AU16" s="149">
        <v>1.91</v>
      </c>
      <c r="AV16" s="149"/>
      <c r="AW16" s="149"/>
      <c r="AX16" s="158">
        <f t="shared" si="6"/>
        <v>0</v>
      </c>
      <c r="AY16" s="125">
        <f t="shared" si="7"/>
        <v>100.05999999999997</v>
      </c>
      <c r="AZ16" s="125">
        <f t="shared" si="28"/>
        <v>143.77009862869866</v>
      </c>
      <c r="BA16" s="159">
        <f t="shared" si="8"/>
        <v>5.0064098591549282</v>
      </c>
      <c r="BB16" s="160">
        <f t="shared" si="9"/>
        <v>4.0023999999999988</v>
      </c>
      <c r="BC16" s="161">
        <f t="shared" si="10"/>
        <v>0.61913649022055872</v>
      </c>
      <c r="BD16" s="160">
        <f t="shared" si="29"/>
        <v>9.0088098591549262</v>
      </c>
      <c r="BE16" s="162">
        <v>0.79500000000000004</v>
      </c>
      <c r="BF16" s="25">
        <f t="shared" si="30"/>
        <v>1209.27</v>
      </c>
      <c r="BG16" s="25">
        <f t="shared" si="11"/>
        <v>125.66666666666667</v>
      </c>
      <c r="BH16" s="25">
        <f t="shared" si="31"/>
        <v>1256.6666666666667</v>
      </c>
      <c r="BI16" s="26">
        <f t="shared" si="12"/>
        <v>1</v>
      </c>
      <c r="BJ16" s="37">
        <f t="shared" si="32"/>
        <v>1256.6666666666667</v>
      </c>
      <c r="BK16" s="328">
        <v>210.99700000000001</v>
      </c>
      <c r="BL16" s="31"/>
      <c r="BM16" s="40"/>
      <c r="BN16" s="28">
        <f t="shared" si="33"/>
        <v>82.079000000000008</v>
      </c>
      <c r="BO16" s="42"/>
      <c r="BP16" s="40"/>
      <c r="BQ16" s="32">
        <v>11.491</v>
      </c>
      <c r="BR16" s="33">
        <v>0.76</v>
      </c>
      <c r="BS16" s="34"/>
      <c r="BT16" s="35"/>
      <c r="BU16" s="28"/>
      <c r="BV16" s="287"/>
      <c r="BW16" s="287"/>
      <c r="BX16" s="36"/>
      <c r="BY16" s="33">
        <v>38.64</v>
      </c>
      <c r="BZ16" s="34"/>
      <c r="CA16" s="235"/>
      <c r="CB16" s="305">
        <v>43.7</v>
      </c>
      <c r="CC16" s="404"/>
      <c r="CD16" s="235"/>
      <c r="CE16" s="36">
        <v>43.7</v>
      </c>
      <c r="CF16" s="28">
        <f t="shared" si="34"/>
        <v>72.24799999999999</v>
      </c>
      <c r="CG16" s="30"/>
      <c r="CH16" s="30"/>
      <c r="CI16" s="32">
        <v>114.32599999999999</v>
      </c>
      <c r="CJ16" s="33">
        <v>3.46</v>
      </c>
      <c r="CK16" s="33"/>
      <c r="CL16" s="33"/>
      <c r="CM16" s="36">
        <v>3.46</v>
      </c>
      <c r="CN16" s="286"/>
      <c r="CO16" s="249">
        <f t="shared" si="13"/>
        <v>209.3934228</v>
      </c>
      <c r="CP16" s="12">
        <f t="shared" si="13"/>
        <v>0</v>
      </c>
      <c r="CQ16" s="12">
        <f t="shared" si="13"/>
        <v>0</v>
      </c>
      <c r="CR16" s="11">
        <f t="shared" si="13"/>
        <v>82.079000000000008</v>
      </c>
      <c r="CS16" s="11">
        <f t="shared" si="13"/>
        <v>0</v>
      </c>
      <c r="CT16" s="11">
        <f t="shared" si="13"/>
        <v>0</v>
      </c>
      <c r="CU16" s="272">
        <f t="shared" si="13"/>
        <v>11.491</v>
      </c>
      <c r="CV16" s="249">
        <f t="shared" si="14"/>
        <v>69.748219199999994</v>
      </c>
      <c r="CW16" s="12">
        <f t="shared" si="14"/>
        <v>0</v>
      </c>
      <c r="CX16" s="249">
        <f t="shared" si="14"/>
        <v>0</v>
      </c>
      <c r="CY16" s="272">
        <f t="shared" si="14"/>
        <v>110.3703204</v>
      </c>
      <c r="CZ16" s="13"/>
      <c r="DA16" s="240">
        <f>(D16+'[2]ноябрь 20'!D16)/(AY16+'[2]ноябрь 20'!BA16)</f>
        <v>2.4254525564636613</v>
      </c>
      <c r="DB16" s="241">
        <f>(T16+'[2]ноябрь 20'!T16)/(AY16+'[2]ноябрь 20'!BA16)</f>
        <v>1.4729429639394205</v>
      </c>
      <c r="DD16" s="292">
        <f t="shared" si="15"/>
        <v>11.215</v>
      </c>
      <c r="DE16" s="291">
        <v>0.31</v>
      </c>
      <c r="DF16" s="291">
        <v>18.079999999999998</v>
      </c>
      <c r="DG16" s="145">
        <f t="shared" si="16"/>
        <v>11.1802335</v>
      </c>
      <c r="DH16" s="293">
        <f t="shared" si="35"/>
        <v>2.6826625305905774</v>
      </c>
      <c r="DJ16" s="535">
        <v>55.579000000000001</v>
      </c>
      <c r="DK16" s="460">
        <f t="shared" si="36"/>
        <v>82.079000000000008</v>
      </c>
      <c r="DL16" s="38">
        <v>67.447999999999993</v>
      </c>
      <c r="DM16" s="460">
        <f t="shared" si="37"/>
        <v>72.24799999999999</v>
      </c>
    </row>
    <row r="17" spans="1:117" s="76" customFormat="1" ht="16.5" customHeight="1" thickBot="1">
      <c r="A17" s="144">
        <v>11</v>
      </c>
      <c r="B17" s="122">
        <f t="shared" si="17"/>
        <v>308.96000000000004</v>
      </c>
      <c r="C17" s="123">
        <f t="shared" si="18"/>
        <v>0.8409531330916622</v>
      </c>
      <c r="D17" s="145">
        <f t="shared" si="19"/>
        <v>306.36179120000003</v>
      </c>
      <c r="E17" s="125">
        <f t="shared" si="20"/>
        <v>38.879655100983946</v>
      </c>
      <c r="F17" s="146">
        <f t="shared" si="0"/>
        <v>2.3747135198821803</v>
      </c>
      <c r="G17" s="127">
        <v>39.97</v>
      </c>
      <c r="H17" s="126">
        <f t="shared" si="21"/>
        <v>1.6442895217425009</v>
      </c>
      <c r="I17" s="230">
        <f>'[1]июль 20'!AI16</f>
        <v>0</v>
      </c>
      <c r="J17" s="247">
        <f>'[1]ноябрь 20'!AA16</f>
        <v>10.381</v>
      </c>
      <c r="K17" s="465">
        <f>'[1]сентябрь 20'!AM16</f>
        <v>0</v>
      </c>
      <c r="L17" s="446">
        <f t="shared" si="22"/>
        <v>94.231999999999999</v>
      </c>
      <c r="M17" s="469">
        <f t="shared" si="23"/>
        <v>0.73042399813967918</v>
      </c>
      <c r="N17" s="403">
        <f>'[1]ноябрь 20'!W16</f>
        <v>0</v>
      </c>
      <c r="O17" s="403">
        <f>'[1]ноябрь 20'!AU16</f>
        <v>7.8339999999999996</v>
      </c>
      <c r="P17" s="401">
        <f t="shared" si="1"/>
        <v>188.51599999999999</v>
      </c>
      <c r="Q17" s="122">
        <f t="shared" si="24"/>
        <v>188.51599999999999</v>
      </c>
      <c r="R17" s="123">
        <f t="shared" si="25"/>
        <v>3.27</v>
      </c>
      <c r="S17" s="129">
        <v>4.2</v>
      </c>
      <c r="T17" s="125">
        <f t="shared" si="2"/>
        <v>182.35152679999999</v>
      </c>
      <c r="U17" s="147">
        <f t="shared" si="3"/>
        <v>1.4134681559569027</v>
      </c>
      <c r="V17" s="130">
        <v>129.01</v>
      </c>
      <c r="W17" s="130">
        <v>51.34</v>
      </c>
      <c r="X17" s="129">
        <v>1.0900000000000001</v>
      </c>
      <c r="Y17" s="131">
        <v>582</v>
      </c>
      <c r="Z17" s="150">
        <v>1182</v>
      </c>
      <c r="AA17" s="148" t="s">
        <v>391</v>
      </c>
      <c r="AB17" s="149">
        <v>76.08</v>
      </c>
      <c r="AC17" s="150">
        <v>113</v>
      </c>
      <c r="AD17" s="151">
        <v>5</v>
      </c>
      <c r="AE17" s="149"/>
      <c r="AF17" s="134">
        <f t="shared" si="4"/>
        <v>0</v>
      </c>
      <c r="AG17" s="152"/>
      <c r="AH17" s="129">
        <v>92.4</v>
      </c>
      <c r="AI17" s="134">
        <f t="shared" si="5"/>
        <v>716.22354856212712</v>
      </c>
      <c r="AJ17" s="136">
        <v>14.84</v>
      </c>
      <c r="AK17" s="154"/>
      <c r="AL17" s="155">
        <v>13.71</v>
      </c>
      <c r="AM17" s="478">
        <f>AT17*0.2</f>
        <v>34.550000000000004</v>
      </c>
      <c r="AN17" s="126">
        <f t="shared" si="27"/>
        <v>0.2</v>
      </c>
      <c r="AO17" s="157" t="s">
        <v>428</v>
      </c>
      <c r="AP17" s="156">
        <v>8.2200000000000006</v>
      </c>
      <c r="AQ17" s="156">
        <v>8.93</v>
      </c>
      <c r="AR17" s="149"/>
      <c r="AS17" s="149">
        <v>6.59</v>
      </c>
      <c r="AT17" s="149">
        <v>172.75</v>
      </c>
      <c r="AU17" s="149">
        <v>4.5199999999999996</v>
      </c>
      <c r="AV17" s="149"/>
      <c r="AW17" s="149"/>
      <c r="AX17" s="158">
        <f t="shared" si="6"/>
        <v>0</v>
      </c>
      <c r="AY17" s="125">
        <f t="shared" si="7"/>
        <v>129.01</v>
      </c>
      <c r="AZ17" s="125">
        <f t="shared" si="28"/>
        <v>138.50669541323279</v>
      </c>
      <c r="BA17" s="159">
        <f t="shared" si="8"/>
        <v>4.7169549295774651</v>
      </c>
      <c r="BB17" s="160">
        <f t="shared" si="9"/>
        <v>5.1604000000000001</v>
      </c>
      <c r="BC17" s="161">
        <f t="shared" si="10"/>
        <v>0.82401833553297488</v>
      </c>
      <c r="BD17" s="160">
        <f t="shared" si="29"/>
        <v>9.8773549295774643</v>
      </c>
      <c r="BE17" s="162">
        <v>0.79800000000000004</v>
      </c>
      <c r="BF17" s="25">
        <f t="shared" si="30"/>
        <v>1338.28</v>
      </c>
      <c r="BG17" s="25">
        <f t="shared" si="11"/>
        <v>125.66666666666667</v>
      </c>
      <c r="BH17" s="25">
        <f t="shared" si="31"/>
        <v>1382.3333333333335</v>
      </c>
      <c r="BI17" s="26">
        <f t="shared" si="12"/>
        <v>1</v>
      </c>
      <c r="BJ17" s="37">
        <f t="shared" si="32"/>
        <v>1382.3333333333335</v>
      </c>
      <c r="BK17" s="39">
        <v>214.72800000000001</v>
      </c>
      <c r="BL17" s="31"/>
      <c r="BM17" s="31"/>
      <c r="BN17" s="28">
        <f t="shared" si="33"/>
        <v>83.048000000000002</v>
      </c>
      <c r="BO17" s="42"/>
      <c r="BP17" s="40"/>
      <c r="BQ17" s="32">
        <v>11.183999999999999</v>
      </c>
      <c r="BR17" s="33">
        <v>1.21</v>
      </c>
      <c r="BS17" s="34"/>
      <c r="BT17" s="35"/>
      <c r="BU17" s="28"/>
      <c r="BV17" s="287"/>
      <c r="BW17" s="287"/>
      <c r="BX17" s="36"/>
      <c r="BY17" s="33">
        <v>37.11</v>
      </c>
      <c r="BZ17" s="34"/>
      <c r="CA17" s="35"/>
      <c r="CB17" s="536">
        <v>42.93</v>
      </c>
      <c r="CC17" s="404"/>
      <c r="CD17" s="235"/>
      <c r="CE17" s="36">
        <v>42.78</v>
      </c>
      <c r="CF17" s="28">
        <f t="shared" si="34"/>
        <v>73.908999999999992</v>
      </c>
      <c r="CG17" s="42"/>
      <c r="CH17" s="234"/>
      <c r="CI17" s="233">
        <v>114.607</v>
      </c>
      <c r="CJ17" s="33">
        <v>3.27</v>
      </c>
      <c r="CK17" s="33"/>
      <c r="CL17" s="33"/>
      <c r="CM17" s="36">
        <v>3.27</v>
      </c>
      <c r="CN17" s="286"/>
      <c r="CO17" s="249">
        <f t="shared" si="13"/>
        <v>212.12979120000003</v>
      </c>
      <c r="CP17" s="12">
        <f t="shared" si="13"/>
        <v>0</v>
      </c>
      <c r="CQ17" s="12">
        <f t="shared" si="13"/>
        <v>0</v>
      </c>
      <c r="CR17" s="12">
        <f t="shared" si="13"/>
        <v>83.048000000000002</v>
      </c>
      <c r="CS17" s="11">
        <f t="shared" si="13"/>
        <v>0</v>
      </c>
      <c r="CT17" s="11">
        <f t="shared" si="13"/>
        <v>0</v>
      </c>
      <c r="CU17" s="272">
        <f t="shared" si="13"/>
        <v>11.183999999999999</v>
      </c>
      <c r="CV17" s="249">
        <f t="shared" si="14"/>
        <v>71.49217569999999</v>
      </c>
      <c r="CW17" s="12">
        <f t="shared" si="14"/>
        <v>0</v>
      </c>
      <c r="CX17" s="254">
        <f t="shared" si="14"/>
        <v>0</v>
      </c>
      <c r="CY17" s="272">
        <f t="shared" si="14"/>
        <v>110.8593511</v>
      </c>
      <c r="CZ17" s="13"/>
      <c r="DA17" s="240">
        <f>(D17+'[2]ноябрь 20'!D17)/(AY17+'[2]ноябрь 20'!BA17)</f>
        <v>2.0420535035753105</v>
      </c>
      <c r="DB17" s="241">
        <f>(T17+'[2]ноябрь 20'!T17)/(AY17+'[2]ноябрь 20'!BA17)</f>
        <v>1.2605298406269665</v>
      </c>
      <c r="DD17" s="292">
        <f t="shared" si="15"/>
        <v>10.381</v>
      </c>
      <c r="DE17" s="291">
        <v>0.17</v>
      </c>
      <c r="DF17" s="291">
        <v>13.42</v>
      </c>
      <c r="DG17" s="145">
        <f t="shared" si="16"/>
        <v>10.363352300000001</v>
      </c>
      <c r="DH17" s="293">
        <f t="shared" si="35"/>
        <v>1.8280256028654047</v>
      </c>
      <c r="DJ17" s="534">
        <v>56.548000000000002</v>
      </c>
      <c r="DK17" s="460">
        <f t="shared" si="36"/>
        <v>83.048000000000002</v>
      </c>
      <c r="DL17" s="38">
        <v>69.108999999999995</v>
      </c>
      <c r="DM17" s="460">
        <f t="shared" si="37"/>
        <v>73.908999999999992</v>
      </c>
    </row>
    <row r="18" spans="1:117" s="76" customFormat="1" ht="16.5" customHeight="1" thickBot="1">
      <c r="A18" s="144">
        <v>12</v>
      </c>
      <c r="B18" s="122">
        <f t="shared" si="17"/>
        <v>299.14600000000002</v>
      </c>
      <c r="C18" s="123">
        <f t="shared" si="18"/>
        <v>1.1504345035534487</v>
      </c>
      <c r="D18" s="145">
        <f t="shared" si="19"/>
        <v>295.70452119999999</v>
      </c>
      <c r="E18" s="125">
        <f t="shared" si="20"/>
        <v>39.258386473494546</v>
      </c>
      <c r="F18" s="146">
        <f t="shared" si="0"/>
        <v>2.3372156275687637</v>
      </c>
      <c r="G18" s="127"/>
      <c r="H18" s="126">
        <f t="shared" si="21"/>
        <v>1.611417334808726</v>
      </c>
      <c r="I18" s="230">
        <f>'[1]июль 20'!AI17</f>
        <v>0</v>
      </c>
      <c r="J18" s="247">
        <f>'[1]ноябрь 20'!AA17</f>
        <v>10.872999999999999</v>
      </c>
      <c r="K18" s="464">
        <f>'[1]сентябрь 20'!AM17</f>
        <v>0</v>
      </c>
      <c r="L18" s="446">
        <f t="shared" si="22"/>
        <v>91.828000000000003</v>
      </c>
      <c r="M18" s="468">
        <f t="shared" si="23"/>
        <v>0.72579829276003793</v>
      </c>
      <c r="N18" s="403">
        <f>'[1]ноябрь 20'!W17</f>
        <v>0</v>
      </c>
      <c r="O18" s="403">
        <f>'[1]ноябрь 20'!AU17</f>
        <v>7.5519999999999996</v>
      </c>
      <c r="P18" s="401">
        <f t="shared" si="1"/>
        <v>179.536</v>
      </c>
      <c r="Q18" s="122">
        <f t="shared" si="24"/>
        <v>179.536</v>
      </c>
      <c r="R18" s="123">
        <f t="shared" si="25"/>
        <v>3.0599999999999996</v>
      </c>
      <c r="S18" s="129">
        <v>10.01</v>
      </c>
      <c r="T18" s="125">
        <f t="shared" si="2"/>
        <v>174.04219839999999</v>
      </c>
      <c r="U18" s="147">
        <f t="shared" si="3"/>
        <v>1.3756101675624406</v>
      </c>
      <c r="V18" s="130">
        <v>80.45</v>
      </c>
      <c r="W18" s="130">
        <v>29.04</v>
      </c>
      <c r="X18" s="129">
        <v>1.1200000000000001</v>
      </c>
      <c r="Y18" s="131">
        <v>578</v>
      </c>
      <c r="Z18" s="150">
        <v>1182</v>
      </c>
      <c r="AA18" s="148" t="s">
        <v>188</v>
      </c>
      <c r="AB18" s="149">
        <v>75.2</v>
      </c>
      <c r="AC18" s="150">
        <v>109</v>
      </c>
      <c r="AD18" s="151">
        <v>5</v>
      </c>
      <c r="AE18" s="149"/>
      <c r="AF18" s="134">
        <f t="shared" si="4"/>
        <v>0</v>
      </c>
      <c r="AG18" s="152"/>
      <c r="AH18" s="129">
        <v>74.75</v>
      </c>
      <c r="AI18" s="134">
        <f t="shared" si="5"/>
        <v>590.81568131520714</v>
      </c>
      <c r="AJ18" s="153">
        <v>15.33</v>
      </c>
      <c r="AK18" s="154"/>
      <c r="AL18" s="155">
        <v>5.89</v>
      </c>
      <c r="AM18" s="478">
        <f>AT18*0.2</f>
        <v>32.300000000000004</v>
      </c>
      <c r="AN18" s="126">
        <f t="shared" si="27"/>
        <v>0.20000000000000004</v>
      </c>
      <c r="AO18" s="157" t="s">
        <v>407</v>
      </c>
      <c r="AP18" s="156">
        <v>8.0299999999999994</v>
      </c>
      <c r="AQ18" s="156">
        <v>8.65</v>
      </c>
      <c r="AR18" s="151"/>
      <c r="AS18" s="149">
        <v>7.45</v>
      </c>
      <c r="AT18" s="149">
        <v>161.5</v>
      </c>
      <c r="AU18" s="149">
        <v>3.21</v>
      </c>
      <c r="AV18" s="149"/>
      <c r="AW18" s="149"/>
      <c r="AX18" s="158">
        <f t="shared" si="6"/>
        <v>0</v>
      </c>
      <c r="AY18" s="125">
        <f t="shared" si="7"/>
        <v>126.52</v>
      </c>
      <c r="AZ18" s="125">
        <f t="shared" si="28"/>
        <v>137.04147166318009</v>
      </c>
      <c r="BA18" s="159">
        <f t="shared" si="8"/>
        <v>4.3139172535211268</v>
      </c>
      <c r="BB18" s="160">
        <f t="shared" si="9"/>
        <v>5.0607999999999995</v>
      </c>
      <c r="BC18" s="161">
        <f t="shared" si="10"/>
        <v>0.81957105709860412</v>
      </c>
      <c r="BD18" s="160">
        <f t="shared" si="29"/>
        <v>9.3747172535211263</v>
      </c>
      <c r="BE18" s="162">
        <v>0.79900000000000004</v>
      </c>
      <c r="BF18" s="25">
        <f t="shared" si="30"/>
        <v>1464.8</v>
      </c>
      <c r="BG18" s="25">
        <f t="shared" si="11"/>
        <v>125.66666666666667</v>
      </c>
      <c r="BH18" s="25">
        <f t="shared" si="31"/>
        <v>1508.0000000000002</v>
      </c>
      <c r="BI18" s="26">
        <f t="shared" si="12"/>
        <v>1</v>
      </c>
      <c r="BJ18" s="37">
        <f t="shared" si="32"/>
        <v>1508.0000000000002</v>
      </c>
      <c r="BK18" s="38">
        <v>207.31800000000001</v>
      </c>
      <c r="BL18" s="31"/>
      <c r="BM18" s="31"/>
      <c r="BN18" s="28">
        <f t="shared" si="33"/>
        <v>81.037999999999997</v>
      </c>
      <c r="BO18" s="42"/>
      <c r="BP18" s="40"/>
      <c r="BQ18" s="411">
        <v>10.79</v>
      </c>
      <c r="BR18" s="41">
        <v>1.66</v>
      </c>
      <c r="BS18" s="34"/>
      <c r="BT18" s="35"/>
      <c r="BU18" s="28"/>
      <c r="BV18" s="287"/>
      <c r="BW18" s="287"/>
      <c r="BX18" s="36"/>
      <c r="BY18" s="34">
        <v>37.26</v>
      </c>
      <c r="BZ18" s="34"/>
      <c r="CA18" s="35"/>
      <c r="CB18" s="405">
        <v>43.85</v>
      </c>
      <c r="CC18" s="404"/>
      <c r="CD18" s="235"/>
      <c r="CE18" s="405">
        <v>43.17</v>
      </c>
      <c r="CF18" s="28">
        <f t="shared" si="34"/>
        <v>71.287999999999997</v>
      </c>
      <c r="CG18" s="42"/>
      <c r="CH18" s="234"/>
      <c r="CI18" s="233">
        <v>108.248</v>
      </c>
      <c r="CJ18" s="33">
        <v>3.06</v>
      </c>
      <c r="CK18" s="33"/>
      <c r="CL18" s="33"/>
      <c r="CM18" s="36">
        <v>3.06</v>
      </c>
      <c r="CN18" s="286"/>
      <c r="CO18" s="249">
        <f t="shared" si="13"/>
        <v>203.87652120000001</v>
      </c>
      <c r="CP18" s="12">
        <f t="shared" si="13"/>
        <v>0</v>
      </c>
      <c r="CQ18" s="12">
        <f t="shared" si="13"/>
        <v>0</v>
      </c>
      <c r="CR18" s="12">
        <f t="shared" si="13"/>
        <v>81.037999999999997</v>
      </c>
      <c r="CS18" s="11">
        <f t="shared" si="13"/>
        <v>0</v>
      </c>
      <c r="CT18" s="11">
        <f t="shared" si="13"/>
        <v>0</v>
      </c>
      <c r="CU18" s="272">
        <f t="shared" si="13"/>
        <v>10.79</v>
      </c>
      <c r="CV18" s="249">
        <f t="shared" si="14"/>
        <v>69.106587199999993</v>
      </c>
      <c r="CW18" s="11">
        <f t="shared" si="14"/>
        <v>0</v>
      </c>
      <c r="CX18" s="249">
        <f t="shared" si="14"/>
        <v>0</v>
      </c>
      <c r="CY18" s="272">
        <f t="shared" si="14"/>
        <v>104.9356112</v>
      </c>
      <c r="CZ18" s="13"/>
      <c r="DA18" s="240">
        <f>(D18+'[2]ноябрь 20'!D18)/(AY18+'[2]ноябрь 20'!BA18)</f>
        <v>2.4472677725809135</v>
      </c>
      <c r="DB18" s="241">
        <f>(T18+'[2]ноябрь 20'!T18)/(AY18+'[2]ноябрь 20'!BA18)</f>
        <v>1.5128733359240549</v>
      </c>
      <c r="DD18" s="292">
        <f t="shared" si="15"/>
        <v>10.872999999999999</v>
      </c>
      <c r="DE18" s="291">
        <v>0.23</v>
      </c>
      <c r="DF18" s="291">
        <v>15.76</v>
      </c>
      <c r="DG18" s="145">
        <f t="shared" si="16"/>
        <v>10.847992099999999</v>
      </c>
      <c r="DH18" s="293">
        <f t="shared" si="35"/>
        <v>2.273462174148936</v>
      </c>
      <c r="DJ18" s="234">
        <v>54.537999999999997</v>
      </c>
      <c r="DK18" s="460">
        <f t="shared" si="36"/>
        <v>81.037999999999997</v>
      </c>
      <c r="DL18" s="38">
        <v>66.488</v>
      </c>
      <c r="DM18" s="460">
        <f t="shared" si="37"/>
        <v>71.287999999999997</v>
      </c>
    </row>
    <row r="19" spans="1:117" s="76" customFormat="1" ht="16.5" customHeight="1" thickBot="1">
      <c r="A19" s="144">
        <v>13</v>
      </c>
      <c r="B19" s="122">
        <f t="shared" si="17"/>
        <v>279.017</v>
      </c>
      <c r="C19" s="123">
        <f t="shared" si="18"/>
        <v>0.83218208926337822</v>
      </c>
      <c r="D19" s="145">
        <f t="shared" si="19"/>
        <v>276.69507049999999</v>
      </c>
      <c r="E19" s="125">
        <f t="shared" si="20"/>
        <v>39.582621238132447</v>
      </c>
      <c r="F19" s="146">
        <f t="shared" si="0"/>
        <v>2.2388143903228417</v>
      </c>
      <c r="G19" s="127"/>
      <c r="H19" s="126">
        <f t="shared" si="21"/>
        <v>1.5338868071850478</v>
      </c>
      <c r="I19" s="230">
        <f>'[1]июль 20'!AI18</f>
        <v>0</v>
      </c>
      <c r="J19" s="247">
        <f>'[1]ноябрь 20'!AA18</f>
        <v>10.138999999999999</v>
      </c>
      <c r="K19" s="464">
        <f>'[1]сентябрь 20'!AM18</f>
        <v>0</v>
      </c>
      <c r="L19" s="446">
        <f t="shared" si="22"/>
        <v>87.122000000000014</v>
      </c>
      <c r="M19" s="469">
        <f t="shared" si="23"/>
        <v>0.70492758313779447</v>
      </c>
      <c r="N19" s="403">
        <f>'[1]ноябрь 20'!W18</f>
        <v>0</v>
      </c>
      <c r="O19" s="403">
        <f>'[1]ноябрь 20'!AU18</f>
        <v>7.1420000000000003</v>
      </c>
      <c r="P19" s="401">
        <f t="shared" si="1"/>
        <v>165.28199999999998</v>
      </c>
      <c r="Q19" s="122">
        <f t="shared" si="24"/>
        <v>165.28199999999998</v>
      </c>
      <c r="R19" s="123">
        <f t="shared" si="25"/>
        <v>3.1100000000000003</v>
      </c>
      <c r="S19" s="129">
        <v>9.65</v>
      </c>
      <c r="T19" s="125">
        <f t="shared" si="2"/>
        <v>160.14172979999998</v>
      </c>
      <c r="U19" s="147">
        <f t="shared" si="3"/>
        <v>1.295749897240877</v>
      </c>
      <c r="V19" s="130">
        <v>123.59</v>
      </c>
      <c r="W19" s="130">
        <v>44.73</v>
      </c>
      <c r="X19" s="129">
        <v>1.1100000000000001</v>
      </c>
      <c r="Y19" s="131">
        <v>582</v>
      </c>
      <c r="Z19" s="150">
        <v>1165</v>
      </c>
      <c r="AA19" s="148" t="s">
        <v>249</v>
      </c>
      <c r="AB19" s="149">
        <v>75.92</v>
      </c>
      <c r="AC19" s="150">
        <v>101</v>
      </c>
      <c r="AD19" s="151">
        <v>5</v>
      </c>
      <c r="AE19" s="149">
        <v>3.85</v>
      </c>
      <c r="AF19" s="134">
        <f t="shared" si="4"/>
        <v>31.151387652722715</v>
      </c>
      <c r="AG19" s="152"/>
      <c r="AH19" s="129">
        <v>82.85</v>
      </c>
      <c r="AI19" s="134">
        <f t="shared" si="5"/>
        <v>670.36167974755244</v>
      </c>
      <c r="AJ19" s="136">
        <v>18.63</v>
      </c>
      <c r="AK19" s="154"/>
      <c r="AL19" s="155">
        <v>10</v>
      </c>
      <c r="AM19" s="478">
        <f>AT19*0.2</f>
        <v>32.97</v>
      </c>
      <c r="AN19" s="126">
        <f t="shared" si="27"/>
        <v>0.2</v>
      </c>
      <c r="AO19" s="157" t="s">
        <v>350</v>
      </c>
      <c r="AP19" s="156">
        <v>7.64</v>
      </c>
      <c r="AQ19" s="156">
        <v>9.0500000000000007</v>
      </c>
      <c r="AR19" s="151"/>
      <c r="AS19" s="149">
        <v>8.3000000000000007</v>
      </c>
      <c r="AT19" s="149">
        <v>164.85</v>
      </c>
      <c r="AU19" s="149">
        <v>1.71</v>
      </c>
      <c r="AV19" s="164"/>
      <c r="AW19" s="149"/>
      <c r="AX19" s="158">
        <f t="shared" si="6"/>
        <v>0</v>
      </c>
      <c r="AY19" s="125">
        <f t="shared" si="7"/>
        <v>123.58999999999999</v>
      </c>
      <c r="AZ19" s="125">
        <f t="shared" si="28"/>
        <v>127.83478252963981</v>
      </c>
      <c r="BA19" s="159">
        <f t="shared" si="8"/>
        <v>5.3269049295774646</v>
      </c>
      <c r="BB19" s="160">
        <f t="shared" si="9"/>
        <v>4.9436</v>
      </c>
      <c r="BC19" s="161">
        <f t="shared" si="10"/>
        <v>0.8567094531313082</v>
      </c>
      <c r="BD19" s="160">
        <f t="shared" si="29"/>
        <v>10.270504929577465</v>
      </c>
      <c r="BE19" s="162">
        <v>0.80400000000000005</v>
      </c>
      <c r="BF19" s="25">
        <f t="shared" si="30"/>
        <v>1588.3899999999999</v>
      </c>
      <c r="BG19" s="25">
        <f t="shared" si="11"/>
        <v>125.66666666666667</v>
      </c>
      <c r="BH19" s="25">
        <f t="shared" si="31"/>
        <v>1633.666666666667</v>
      </c>
      <c r="BI19" s="26">
        <f t="shared" si="12"/>
        <v>1</v>
      </c>
      <c r="BJ19" s="37">
        <f t="shared" si="32"/>
        <v>1633.666666666667</v>
      </c>
      <c r="BK19" s="38">
        <v>191.89500000000001</v>
      </c>
      <c r="BL19" s="31"/>
      <c r="BM19" s="31"/>
      <c r="BN19" s="28">
        <f t="shared" si="33"/>
        <v>76.912000000000006</v>
      </c>
      <c r="BO19" s="42"/>
      <c r="BP19" s="40"/>
      <c r="BQ19" s="411">
        <v>10.210000000000001</v>
      </c>
      <c r="BR19" s="33">
        <v>1.21</v>
      </c>
      <c r="BS19" s="34"/>
      <c r="BT19" s="35"/>
      <c r="BU19" s="28"/>
      <c r="BV19" s="287"/>
      <c r="BW19" s="512"/>
      <c r="BX19" s="36"/>
      <c r="BY19" s="33">
        <v>37.869999999999997</v>
      </c>
      <c r="BZ19" s="34"/>
      <c r="CA19" s="35"/>
      <c r="CB19" s="405">
        <v>43.39</v>
      </c>
      <c r="CC19" s="404"/>
      <c r="CD19" s="235"/>
      <c r="CE19" s="413">
        <v>43.09</v>
      </c>
      <c r="CF19" s="28">
        <f t="shared" si="34"/>
        <v>66.459000000000003</v>
      </c>
      <c r="CG19" s="41"/>
      <c r="CH19" s="30"/>
      <c r="CI19" s="32">
        <v>98.822999999999993</v>
      </c>
      <c r="CJ19" s="33">
        <v>3.11</v>
      </c>
      <c r="CK19" s="33"/>
      <c r="CL19" s="33"/>
      <c r="CM19" s="36">
        <v>3.11</v>
      </c>
      <c r="CN19" s="286"/>
      <c r="CO19" s="249">
        <f t="shared" si="13"/>
        <v>189.57307050000003</v>
      </c>
      <c r="CP19" s="12">
        <f t="shared" si="13"/>
        <v>0</v>
      </c>
      <c r="CQ19" s="12">
        <f t="shared" si="13"/>
        <v>0</v>
      </c>
      <c r="CR19" s="12">
        <f t="shared" si="13"/>
        <v>76.912000000000006</v>
      </c>
      <c r="CS19" s="11">
        <f t="shared" si="13"/>
        <v>0</v>
      </c>
      <c r="CT19" s="11">
        <f t="shared" si="13"/>
        <v>0</v>
      </c>
      <c r="CU19" s="272">
        <f t="shared" si="13"/>
        <v>10.210000000000001</v>
      </c>
      <c r="CV19" s="249">
        <f t="shared" si="14"/>
        <v>64.392125100000001</v>
      </c>
      <c r="CW19" s="251">
        <f t="shared" si="14"/>
        <v>0</v>
      </c>
      <c r="CX19" s="249">
        <f t="shared" si="14"/>
        <v>0</v>
      </c>
      <c r="CY19" s="272">
        <f t="shared" si="14"/>
        <v>95.749604699999992</v>
      </c>
      <c r="CZ19" s="13"/>
      <c r="DA19" s="240">
        <f>(D19+'[2]ноябрь 20'!D19)/(AY19+'[2]ноябрь 20'!BA19)</f>
        <v>2.257108375787634</v>
      </c>
      <c r="DB19" s="241">
        <f>(T19+'[2]ноябрь 20'!T19)/(AY19+'[2]ноябрь 20'!BA19)</f>
        <v>1.3652820802582684</v>
      </c>
      <c r="DD19" s="292">
        <f t="shared" si="15"/>
        <v>10.138999999999999</v>
      </c>
      <c r="DE19" s="291">
        <v>0.16</v>
      </c>
      <c r="DF19" s="291">
        <v>14.21</v>
      </c>
      <c r="DG19" s="145">
        <f t="shared" si="16"/>
        <v>10.122777599999999</v>
      </c>
      <c r="DH19" s="293">
        <f t="shared" si="35"/>
        <v>1.894687430136986</v>
      </c>
      <c r="DJ19" s="234">
        <v>50.411999999999999</v>
      </c>
      <c r="DK19" s="460">
        <f t="shared" si="36"/>
        <v>76.912000000000006</v>
      </c>
      <c r="DL19" s="41">
        <v>61.658999999999999</v>
      </c>
      <c r="DM19" s="460">
        <f t="shared" si="37"/>
        <v>66.459000000000003</v>
      </c>
    </row>
    <row r="20" spans="1:117" s="76" customFormat="1" ht="16.5" customHeight="1" thickBot="1">
      <c r="A20" s="144">
        <v>14</v>
      </c>
      <c r="B20" s="122">
        <f t="shared" si="17"/>
        <v>287</v>
      </c>
      <c r="C20" s="123">
        <f t="shared" si="18"/>
        <v>1.1932057142857142</v>
      </c>
      <c r="D20" s="145">
        <f t="shared" si="19"/>
        <v>283.5754996</v>
      </c>
      <c r="E20" s="125">
        <f t="shared" si="20"/>
        <v>39.582777142857147</v>
      </c>
      <c r="F20" s="146">
        <f t="shared" si="0"/>
        <v>2.3451496824346676</v>
      </c>
      <c r="G20" s="127">
        <v>17.100000000000001</v>
      </c>
      <c r="H20" s="126">
        <f t="shared" si="21"/>
        <v>1.6086958286470394</v>
      </c>
      <c r="I20" s="230">
        <f>'[1]июль 20'!AI19</f>
        <v>0</v>
      </c>
      <c r="J20" s="247">
        <f>'[1]ноябрь 20'!AA19</f>
        <v>10.484</v>
      </c>
      <c r="K20" s="464">
        <f>'[1]сентябрь 20'!AM19</f>
        <v>0</v>
      </c>
      <c r="L20" s="446">
        <f t="shared" si="22"/>
        <v>89.052000000000007</v>
      </c>
      <c r="M20" s="468">
        <f t="shared" si="23"/>
        <v>0.73645385378762829</v>
      </c>
      <c r="N20" s="403">
        <f>'[1]ноябрь 20'!W19</f>
        <v>0</v>
      </c>
      <c r="O20" s="403">
        <f>'[1]ноябрь 20'!AU19</f>
        <v>7.13</v>
      </c>
      <c r="P20" s="401">
        <f t="shared" si="1"/>
        <v>169.059</v>
      </c>
      <c r="Q20" s="122">
        <f t="shared" si="24"/>
        <v>169.059</v>
      </c>
      <c r="R20" s="123">
        <f t="shared" si="25"/>
        <v>2.91</v>
      </c>
      <c r="S20" s="129"/>
      <c r="T20" s="125">
        <f t="shared" si="2"/>
        <v>164.1393831</v>
      </c>
      <c r="U20" s="147">
        <f t="shared" si="3"/>
        <v>1.3574212958981147</v>
      </c>
      <c r="V20" s="130">
        <v>50.33</v>
      </c>
      <c r="W20" s="130">
        <v>23.52</v>
      </c>
      <c r="X20" s="129">
        <v>1.1200000000000001</v>
      </c>
      <c r="Y20" s="131">
        <v>565</v>
      </c>
      <c r="Z20" s="150">
        <v>1175</v>
      </c>
      <c r="AA20" s="168" t="s">
        <v>433</v>
      </c>
      <c r="AB20" s="149">
        <v>75.209999999999994</v>
      </c>
      <c r="AC20" s="150">
        <v>104</v>
      </c>
      <c r="AD20" s="151">
        <v>5</v>
      </c>
      <c r="AE20" s="149"/>
      <c r="AF20" s="134">
        <f t="shared" si="4"/>
        <v>0</v>
      </c>
      <c r="AG20" s="152"/>
      <c r="AH20" s="129">
        <v>80.650000000000006</v>
      </c>
      <c r="AI20" s="134">
        <f t="shared" si="5"/>
        <v>666.96989745286146</v>
      </c>
      <c r="AJ20" s="153">
        <v>14.74</v>
      </c>
      <c r="AK20" s="154"/>
      <c r="AL20" s="155">
        <v>7.06</v>
      </c>
      <c r="AM20" s="478">
        <f t="shared" ref="AM20:AM37" si="38">AT20*0.2</f>
        <v>31.42</v>
      </c>
      <c r="AN20" s="126">
        <f t="shared" si="27"/>
        <v>0.2</v>
      </c>
      <c r="AO20" s="157" t="s">
        <v>447</v>
      </c>
      <c r="AP20" s="156">
        <v>7.08</v>
      </c>
      <c r="AQ20" s="156">
        <v>8.59</v>
      </c>
      <c r="AR20" s="149"/>
      <c r="AS20" s="149">
        <v>9.0299999999999994</v>
      </c>
      <c r="AT20" s="149">
        <v>157.1</v>
      </c>
      <c r="AU20" s="149">
        <v>2.2999999999999998</v>
      </c>
      <c r="AV20" s="149"/>
      <c r="AW20" s="149"/>
      <c r="AX20" s="158">
        <f t="shared" si="6"/>
        <v>0</v>
      </c>
      <c r="AY20" s="125">
        <f t="shared" si="7"/>
        <v>120.91999999999999</v>
      </c>
      <c r="AZ20" s="125">
        <f t="shared" si="28"/>
        <v>132.46884622833858</v>
      </c>
      <c r="BA20" s="159">
        <f t="shared" si="8"/>
        <v>5.6415242957746479</v>
      </c>
      <c r="BB20" s="160">
        <f t="shared" si="9"/>
        <v>4.8367999999999993</v>
      </c>
      <c r="BC20" s="161">
        <f t="shared" si="10"/>
        <v>0.81021216581799682</v>
      </c>
      <c r="BD20" s="160">
        <f t="shared" si="29"/>
        <v>10.478324295774648</v>
      </c>
      <c r="BE20" s="162">
        <v>0.80400000000000005</v>
      </c>
      <c r="BF20" s="25">
        <f t="shared" si="30"/>
        <v>1709.31</v>
      </c>
      <c r="BG20" s="25">
        <f t="shared" si="11"/>
        <v>125.66666666666667</v>
      </c>
      <c r="BH20" s="25">
        <f t="shared" si="31"/>
        <v>1759.3333333333337</v>
      </c>
      <c r="BI20" s="26">
        <f t="shared" si="12"/>
        <v>1</v>
      </c>
      <c r="BJ20" s="37">
        <f t="shared" si="32"/>
        <v>1759.3333333333337</v>
      </c>
      <c r="BK20" s="38">
        <v>197.94800000000001</v>
      </c>
      <c r="BL20" s="31"/>
      <c r="BM20" s="31"/>
      <c r="BN20" s="28">
        <f t="shared" si="33"/>
        <v>81.359000000000009</v>
      </c>
      <c r="BO20" s="42"/>
      <c r="BP20" s="40"/>
      <c r="BQ20" s="411">
        <v>7.6929999999999996</v>
      </c>
      <c r="BR20" s="33">
        <v>1.73</v>
      </c>
      <c r="BS20" s="34"/>
      <c r="BT20" s="35"/>
      <c r="BU20" s="28"/>
      <c r="BV20" s="287"/>
      <c r="BW20" s="287"/>
      <c r="BX20" s="36"/>
      <c r="BY20" s="33">
        <v>37.869999999999997</v>
      </c>
      <c r="BZ20" s="34"/>
      <c r="CA20" s="35"/>
      <c r="CB20" s="405">
        <v>43.39</v>
      </c>
      <c r="CC20" s="404"/>
      <c r="CD20" s="235"/>
      <c r="CE20" s="413">
        <v>43.39</v>
      </c>
      <c r="CF20" s="28">
        <f t="shared" si="34"/>
        <v>68.225999999999999</v>
      </c>
      <c r="CG20" s="30"/>
      <c r="CH20" s="31"/>
      <c r="CI20" s="32">
        <v>100.833</v>
      </c>
      <c r="CJ20" s="33">
        <v>2.91</v>
      </c>
      <c r="CK20" s="33"/>
      <c r="CL20" s="35"/>
      <c r="CM20" s="36">
        <v>2.91</v>
      </c>
      <c r="CN20" s="286"/>
      <c r="CO20" s="249">
        <f t="shared" si="13"/>
        <v>194.52349959999998</v>
      </c>
      <c r="CP20" s="12">
        <f t="shared" si="13"/>
        <v>0</v>
      </c>
      <c r="CQ20" s="12">
        <f t="shared" si="13"/>
        <v>0</v>
      </c>
      <c r="CR20" s="12">
        <f t="shared" si="13"/>
        <v>81.359000000000009</v>
      </c>
      <c r="CS20" s="11">
        <f t="shared" si="13"/>
        <v>0</v>
      </c>
      <c r="CT20" s="11">
        <f t="shared" si="13"/>
        <v>0</v>
      </c>
      <c r="CU20" s="272">
        <f t="shared" si="13"/>
        <v>7.6929999999999996</v>
      </c>
      <c r="CV20" s="249">
        <f t="shared" si="14"/>
        <v>66.240623400000004</v>
      </c>
      <c r="CW20" s="12">
        <f t="shared" si="14"/>
        <v>0</v>
      </c>
      <c r="CX20" s="249">
        <f t="shared" si="14"/>
        <v>0</v>
      </c>
      <c r="CY20" s="272">
        <f t="shared" si="14"/>
        <v>97.898759699999999</v>
      </c>
      <c r="CZ20" s="13"/>
      <c r="DA20" s="240">
        <f>(D20+'[2]ноябрь 20'!D20)/(AY20+'[2]ноябрь 20'!BA20)</f>
        <v>2.0999629923777841</v>
      </c>
      <c r="DB20" s="241">
        <f>(T20+'[2]ноябрь 20'!T20)/(AY20+'[2]ноябрь 20'!BA20)</f>
        <v>1.2580081392697302</v>
      </c>
      <c r="DD20" s="292">
        <f t="shared" si="15"/>
        <v>10.484</v>
      </c>
      <c r="DE20" s="291">
        <v>0.35</v>
      </c>
      <c r="DF20" s="407">
        <v>15.68</v>
      </c>
      <c r="DG20" s="145">
        <f t="shared" si="16"/>
        <v>10.447306000000001</v>
      </c>
      <c r="DH20" s="293">
        <f t="shared" si="35"/>
        <v>2.1780848036165406</v>
      </c>
      <c r="DJ20" s="234">
        <v>54.859000000000002</v>
      </c>
      <c r="DK20" s="460">
        <f t="shared" si="36"/>
        <v>81.359000000000009</v>
      </c>
      <c r="DL20" s="30">
        <v>63.426000000000002</v>
      </c>
      <c r="DM20" s="460">
        <f t="shared" si="37"/>
        <v>68.225999999999999</v>
      </c>
    </row>
    <row r="21" spans="1:117" s="76" customFormat="1" ht="16.5" customHeight="1" thickBot="1">
      <c r="A21" s="144">
        <v>15</v>
      </c>
      <c r="B21" s="122">
        <f t="shared" si="17"/>
        <v>258.97699999999998</v>
      </c>
      <c r="C21" s="123">
        <f t="shared" si="18"/>
        <v>1.3724008695752903</v>
      </c>
      <c r="D21" s="145">
        <f t="shared" si="19"/>
        <v>255.42279739999998</v>
      </c>
      <c r="E21" s="125">
        <f t="shared" si="20"/>
        <v>39.461448391169874</v>
      </c>
      <c r="F21" s="146">
        <f t="shared" si="0"/>
        <v>2.7458911782412381</v>
      </c>
      <c r="G21" s="127">
        <v>17.010000000000002</v>
      </c>
      <c r="H21" s="126">
        <f t="shared" si="21"/>
        <v>1.8627370178456244</v>
      </c>
      <c r="I21" s="230">
        <f>'[1]июль 20'!AI20</f>
        <v>0</v>
      </c>
      <c r="J21" s="247">
        <f>'[1]ноябрь 20'!AA20</f>
        <v>9.2349999999999994</v>
      </c>
      <c r="K21" s="464">
        <f>'[1]сентябрь 20'!AM20</f>
        <v>0</v>
      </c>
      <c r="L21" s="446">
        <f t="shared" si="22"/>
        <v>82.150999999999996</v>
      </c>
      <c r="M21" s="469">
        <f t="shared" si="23"/>
        <v>0.88315416039561367</v>
      </c>
      <c r="N21" s="403">
        <f>'[1]ноябрь 20'!W20</f>
        <v>0</v>
      </c>
      <c r="O21" s="403">
        <f>'[1]ноябрь 20'!AU20</f>
        <v>5.3120000000000003</v>
      </c>
      <c r="P21" s="401">
        <f t="shared" si="1"/>
        <v>152.87899999999999</v>
      </c>
      <c r="Q21" s="122">
        <f t="shared" si="24"/>
        <v>152.87899999999999</v>
      </c>
      <c r="R21" s="123">
        <f t="shared" si="25"/>
        <v>3.18</v>
      </c>
      <c r="S21" s="129"/>
      <c r="T21" s="125">
        <f t="shared" si="2"/>
        <v>148.01744779999999</v>
      </c>
      <c r="U21" s="147">
        <f t="shared" si="3"/>
        <v>1.5912432573640074</v>
      </c>
      <c r="V21" s="130">
        <v>93.02</v>
      </c>
      <c r="W21" s="130">
        <v>93.02</v>
      </c>
      <c r="X21" s="129">
        <v>0.63</v>
      </c>
      <c r="Y21" s="131">
        <v>551</v>
      </c>
      <c r="Z21" s="150">
        <v>1163</v>
      </c>
      <c r="AA21" s="168" t="s">
        <v>448</v>
      </c>
      <c r="AB21" s="149">
        <v>75.680000000000007</v>
      </c>
      <c r="AC21" s="150">
        <v>93</v>
      </c>
      <c r="AD21" s="151">
        <v>5</v>
      </c>
      <c r="AE21" s="149"/>
      <c r="AF21" s="134">
        <f t="shared" si="4"/>
        <v>0</v>
      </c>
      <c r="AG21" s="152"/>
      <c r="AH21" s="129">
        <v>66.75</v>
      </c>
      <c r="AI21" s="134">
        <f t="shared" si="5"/>
        <v>717.58761556654474</v>
      </c>
      <c r="AJ21" s="136">
        <v>15.43</v>
      </c>
      <c r="AK21" s="154"/>
      <c r="AL21" s="155">
        <v>6.24</v>
      </c>
      <c r="AM21" s="478">
        <f t="shared" si="38"/>
        <v>24.3</v>
      </c>
      <c r="AN21" s="126">
        <f t="shared" si="27"/>
        <v>0.2</v>
      </c>
      <c r="AO21" s="157" t="s">
        <v>331</v>
      </c>
      <c r="AP21" s="156">
        <v>6.63</v>
      </c>
      <c r="AQ21" s="156">
        <v>7.83</v>
      </c>
      <c r="AR21" s="149"/>
      <c r="AS21" s="149">
        <v>12.79</v>
      </c>
      <c r="AT21" s="149">
        <v>121.5</v>
      </c>
      <c r="AU21" s="149">
        <v>2.06</v>
      </c>
      <c r="AV21" s="149"/>
      <c r="AW21" s="149"/>
      <c r="AX21" s="158">
        <f t="shared" si="6"/>
        <v>0</v>
      </c>
      <c r="AY21" s="125">
        <f t="shared" si="7"/>
        <v>93.02000000000001</v>
      </c>
      <c r="AZ21" s="125">
        <f t="shared" si="28"/>
        <v>117.71485667325896</v>
      </c>
      <c r="BA21" s="159">
        <f t="shared" si="8"/>
        <v>6.6134207746478868</v>
      </c>
      <c r="BB21" s="160">
        <f t="shared" si="9"/>
        <v>3.7208000000000006</v>
      </c>
      <c r="BC21" s="161">
        <f t="shared" si="10"/>
        <v>0.69843304670175232</v>
      </c>
      <c r="BD21" s="160">
        <f t="shared" si="29"/>
        <v>10.334220774647887</v>
      </c>
      <c r="BE21" s="162">
        <v>0.79800000000000004</v>
      </c>
      <c r="BF21" s="25">
        <f t="shared" si="30"/>
        <v>1802.33</v>
      </c>
      <c r="BG21" s="25">
        <f t="shared" si="11"/>
        <v>125.66666666666667</v>
      </c>
      <c r="BH21" s="25">
        <f t="shared" si="31"/>
        <v>1885.0000000000005</v>
      </c>
      <c r="BI21" s="26">
        <f t="shared" si="12"/>
        <v>1</v>
      </c>
      <c r="BJ21" s="37">
        <f t="shared" si="32"/>
        <v>1885.0000000000005</v>
      </c>
      <c r="BK21" s="38">
        <v>176.82599999999999</v>
      </c>
      <c r="BL21" s="31"/>
      <c r="BM21" s="31"/>
      <c r="BN21" s="28">
        <f t="shared" si="33"/>
        <v>77.566000000000003</v>
      </c>
      <c r="BO21" s="42"/>
      <c r="BP21" s="40"/>
      <c r="BQ21" s="411">
        <v>4.585</v>
      </c>
      <c r="BR21" s="33">
        <v>2.0099999999999998</v>
      </c>
      <c r="BS21" s="34"/>
      <c r="BT21" s="35"/>
      <c r="BU21" s="35"/>
      <c r="BV21" s="235"/>
      <c r="BW21" s="235"/>
      <c r="BX21" s="36"/>
      <c r="BY21" s="33">
        <v>37.57</v>
      </c>
      <c r="BZ21" s="34"/>
      <c r="CA21" s="35"/>
      <c r="CB21" s="405">
        <v>43.55</v>
      </c>
      <c r="CC21" s="404"/>
      <c r="CD21" s="235"/>
      <c r="CE21" s="413">
        <v>43.24</v>
      </c>
      <c r="CF21" s="28">
        <f t="shared" si="34"/>
        <v>61.57</v>
      </c>
      <c r="CG21" s="30"/>
      <c r="CH21" s="31"/>
      <c r="CI21" s="32">
        <v>91.308999999999997</v>
      </c>
      <c r="CJ21" s="33">
        <v>3.18</v>
      </c>
      <c r="CK21" s="33"/>
      <c r="CL21" s="35"/>
      <c r="CM21" s="36">
        <v>3.18</v>
      </c>
      <c r="CN21" s="286"/>
      <c r="CO21" s="249">
        <f t="shared" si="13"/>
        <v>173.2717974</v>
      </c>
      <c r="CP21" s="12">
        <f t="shared" si="13"/>
        <v>0</v>
      </c>
      <c r="CQ21" s="12">
        <f t="shared" si="13"/>
        <v>0</v>
      </c>
      <c r="CR21" s="12">
        <f t="shared" si="13"/>
        <v>77.566000000000003</v>
      </c>
      <c r="CS21" s="11">
        <f t="shared" si="13"/>
        <v>0</v>
      </c>
      <c r="CT21" s="11">
        <f t="shared" si="13"/>
        <v>0</v>
      </c>
      <c r="CU21" s="272">
        <f t="shared" si="13"/>
        <v>4.585</v>
      </c>
      <c r="CV21" s="249">
        <f t="shared" si="14"/>
        <v>59.612074</v>
      </c>
      <c r="CW21" s="12">
        <f t="shared" si="14"/>
        <v>0</v>
      </c>
      <c r="CX21" s="249">
        <f t="shared" si="14"/>
        <v>0</v>
      </c>
      <c r="CY21" s="272">
        <f t="shared" si="14"/>
        <v>88.405373799999992</v>
      </c>
      <c r="CZ21" s="13"/>
      <c r="DA21" s="240">
        <f>(D21+'[2]ноябрь 20'!D21)/(AY21+'[2]ноябрь 20'!BA21)</f>
        <v>2.1682262690282665</v>
      </c>
      <c r="DB21" s="241">
        <f>(T21+'[2]ноябрь 20'!T21)/(AY21+'[2]ноябрь 20'!BA21)</f>
        <v>1.2912472169229892</v>
      </c>
      <c r="DD21" s="292">
        <f t="shared" si="15"/>
        <v>9.2349999999999994</v>
      </c>
      <c r="DE21" s="291">
        <v>0.13</v>
      </c>
      <c r="DF21" s="291">
        <v>11.86</v>
      </c>
      <c r="DG21" s="145">
        <f t="shared" si="16"/>
        <v>9.2229945000000004</v>
      </c>
      <c r="DH21" s="293">
        <f t="shared" si="35"/>
        <v>1.4453582818446089</v>
      </c>
      <c r="DJ21" s="234">
        <v>51.066000000000003</v>
      </c>
      <c r="DK21" s="460">
        <f t="shared" si="36"/>
        <v>77.566000000000003</v>
      </c>
      <c r="DL21" s="30">
        <v>56.77</v>
      </c>
      <c r="DM21" s="460">
        <f t="shared" si="37"/>
        <v>61.57</v>
      </c>
    </row>
    <row r="22" spans="1:117" s="76" customFormat="1" ht="16.5" customHeight="1" thickBot="1">
      <c r="A22" s="144">
        <v>16</v>
      </c>
      <c r="B22" s="122">
        <f t="shared" si="17"/>
        <v>268.84699999999998</v>
      </c>
      <c r="C22" s="123">
        <f t="shared" si="18"/>
        <v>0.85599802117933255</v>
      </c>
      <c r="D22" s="145">
        <f t="shared" si="19"/>
        <v>266.54567500000002</v>
      </c>
      <c r="E22" s="125">
        <f t="shared" si="20"/>
        <v>39.391194024854286</v>
      </c>
      <c r="F22" s="146">
        <f t="shared" si="0"/>
        <v>2.3792348031777206</v>
      </c>
      <c r="G22" s="127"/>
      <c r="H22" s="126">
        <f t="shared" si="21"/>
        <v>1.6228213424975455</v>
      </c>
      <c r="I22" s="230">
        <f>'[1]июль 20'!AI21</f>
        <v>0</v>
      </c>
      <c r="J22" s="247">
        <f>'[1]ноябрь 20'!AA21</f>
        <v>9.734</v>
      </c>
      <c r="K22" s="464">
        <f>'[1]сентябрь 20'!AM21</f>
        <v>0</v>
      </c>
      <c r="L22" s="446">
        <f t="shared" si="22"/>
        <v>84.741</v>
      </c>
      <c r="M22" s="468">
        <f t="shared" si="23"/>
        <v>0.75641346068017501</v>
      </c>
      <c r="N22" s="403">
        <f>'[1]ноябрь 20'!W21</f>
        <v>0</v>
      </c>
      <c r="O22" s="403">
        <f>'[1]ноябрь 20'!AU21</f>
        <v>5.883</v>
      </c>
      <c r="P22" s="401">
        <f t="shared" si="1"/>
        <v>159.39499999999998</v>
      </c>
      <c r="Q22" s="122">
        <f t="shared" si="24"/>
        <v>159.39499999999998</v>
      </c>
      <c r="R22" s="123">
        <f t="shared" si="25"/>
        <v>2.9400000000000004</v>
      </c>
      <c r="S22" s="129">
        <v>1.86</v>
      </c>
      <c r="T22" s="125">
        <f t="shared" si="2"/>
        <v>154.70878699999997</v>
      </c>
      <c r="U22" s="147">
        <f t="shared" si="3"/>
        <v>1.380958555743997</v>
      </c>
      <c r="V22" s="130">
        <v>75.38</v>
      </c>
      <c r="W22" s="130">
        <v>65.58</v>
      </c>
      <c r="X22" s="129">
        <v>1.0900000000000001</v>
      </c>
      <c r="Y22" s="131">
        <v>590</v>
      </c>
      <c r="Z22" s="150">
        <v>1159</v>
      </c>
      <c r="AA22" s="148" t="s">
        <v>449</v>
      </c>
      <c r="AB22" s="149">
        <v>75.02</v>
      </c>
      <c r="AC22" s="150">
        <v>97</v>
      </c>
      <c r="AD22" s="151">
        <v>5</v>
      </c>
      <c r="AE22" s="149"/>
      <c r="AF22" s="134">
        <f t="shared" si="4"/>
        <v>0</v>
      </c>
      <c r="AG22" s="152"/>
      <c r="AH22" s="129">
        <v>71.55</v>
      </c>
      <c r="AI22" s="134">
        <f t="shared" si="5"/>
        <v>638.66821387128448</v>
      </c>
      <c r="AJ22" s="153">
        <v>15.76</v>
      </c>
      <c r="AK22" s="154"/>
      <c r="AL22" s="155">
        <v>7.75</v>
      </c>
      <c r="AM22" s="478">
        <f t="shared" si="38"/>
        <v>29.49</v>
      </c>
      <c r="AN22" s="126">
        <f t="shared" si="27"/>
        <v>0.2</v>
      </c>
      <c r="AO22" s="157" t="s">
        <v>370</v>
      </c>
      <c r="AP22" s="156">
        <v>7.47</v>
      </c>
      <c r="AQ22" s="156">
        <v>8.34</v>
      </c>
      <c r="AR22" s="151"/>
      <c r="AS22" s="149">
        <v>8.15</v>
      </c>
      <c r="AT22" s="149">
        <v>147.44999999999999</v>
      </c>
      <c r="AU22" s="149">
        <v>1.82</v>
      </c>
      <c r="AV22" s="149"/>
      <c r="AW22" s="149"/>
      <c r="AX22" s="158">
        <f t="shared" si="6"/>
        <v>0</v>
      </c>
      <c r="AY22" s="125">
        <f t="shared" si="7"/>
        <v>112.02999999999999</v>
      </c>
      <c r="AZ22" s="125">
        <f t="shared" si="28"/>
        <v>123.94719163847759</v>
      </c>
      <c r="BA22" s="159">
        <f t="shared" si="8"/>
        <v>4.5172235915492962</v>
      </c>
      <c r="BB22" s="160">
        <f t="shared" si="9"/>
        <v>4.4811999999999994</v>
      </c>
      <c r="BC22" s="161">
        <f t="shared" si="10"/>
        <v>0.80046179870212431</v>
      </c>
      <c r="BD22" s="160">
        <f t="shared" si="29"/>
        <v>8.9984235915492956</v>
      </c>
      <c r="BE22" s="162">
        <v>0.79800000000000004</v>
      </c>
      <c r="BF22" s="25">
        <f t="shared" si="30"/>
        <v>1914.36</v>
      </c>
      <c r="BG22" s="25">
        <f t="shared" si="11"/>
        <v>125.66666666666667</v>
      </c>
      <c r="BH22" s="25">
        <f t="shared" si="31"/>
        <v>2010.6666666666672</v>
      </c>
      <c r="BI22" s="26">
        <f t="shared" si="12"/>
        <v>1</v>
      </c>
      <c r="BJ22" s="37">
        <f t="shared" si="32"/>
        <v>2010.6666666666672</v>
      </c>
      <c r="BK22" s="38">
        <v>184.10599999999999</v>
      </c>
      <c r="BL22" s="31"/>
      <c r="BM22" s="31"/>
      <c r="BN22" s="28">
        <f t="shared" si="33"/>
        <v>79.819999999999993</v>
      </c>
      <c r="BO22" s="42"/>
      <c r="BP22" s="40"/>
      <c r="BQ22" s="411">
        <v>4.9210000000000003</v>
      </c>
      <c r="BR22" s="33">
        <v>1.25</v>
      </c>
      <c r="BS22" s="34"/>
      <c r="BT22" s="35"/>
      <c r="BU22" s="35"/>
      <c r="BV22" s="235"/>
      <c r="BW22" s="235"/>
      <c r="BX22" s="36"/>
      <c r="BY22" s="33">
        <v>37.65</v>
      </c>
      <c r="BZ22" s="34"/>
      <c r="CA22" s="35"/>
      <c r="CB22" s="405">
        <v>43.17</v>
      </c>
      <c r="CC22" s="404"/>
      <c r="CD22" s="235"/>
      <c r="CE22" s="413">
        <v>43.24</v>
      </c>
      <c r="CF22" s="28">
        <f t="shared" si="34"/>
        <v>64.009</v>
      </c>
      <c r="CG22" s="30"/>
      <c r="CH22" s="31"/>
      <c r="CI22" s="32">
        <v>95.385999999999996</v>
      </c>
      <c r="CJ22" s="33">
        <v>2.94</v>
      </c>
      <c r="CK22" s="33"/>
      <c r="CL22" s="35"/>
      <c r="CM22" s="36">
        <v>2.94</v>
      </c>
      <c r="CN22" s="286"/>
      <c r="CO22" s="249">
        <f t="shared" si="13"/>
        <v>181.804675</v>
      </c>
      <c r="CP22" s="12">
        <f t="shared" si="13"/>
        <v>0</v>
      </c>
      <c r="CQ22" s="12">
        <f t="shared" si="13"/>
        <v>0</v>
      </c>
      <c r="CR22" s="12">
        <f t="shared" si="13"/>
        <v>79.819999999999993</v>
      </c>
      <c r="CS22" s="11">
        <f t="shared" si="13"/>
        <v>0</v>
      </c>
      <c r="CT22" s="11">
        <f t="shared" si="13"/>
        <v>0</v>
      </c>
      <c r="CU22" s="272">
        <f t="shared" si="13"/>
        <v>4.9210000000000003</v>
      </c>
      <c r="CV22" s="249">
        <f t="shared" si="14"/>
        <v>62.1271354</v>
      </c>
      <c r="CW22" s="12">
        <f t="shared" si="14"/>
        <v>0</v>
      </c>
      <c r="CX22" s="249">
        <f t="shared" si="14"/>
        <v>0</v>
      </c>
      <c r="CY22" s="272">
        <f t="shared" si="14"/>
        <v>92.581651600000001</v>
      </c>
      <c r="CZ22" s="13"/>
      <c r="DA22" s="240">
        <f>(D22+'[2]ноябрь 20'!D22)/(AY22+'[2]ноябрь 20'!BA22)</f>
        <v>2.2697472674965087</v>
      </c>
      <c r="DB22" s="241">
        <f>(T22+'[2]ноябрь 20'!T22)/(AY22+'[2]ноябрь 20'!BA22)</f>
        <v>1.3477130468394529</v>
      </c>
      <c r="DD22" s="292">
        <f t="shared" si="15"/>
        <v>9.734</v>
      </c>
      <c r="DE22" s="291">
        <v>0.2</v>
      </c>
      <c r="DF22" s="291">
        <v>13.63</v>
      </c>
      <c r="DG22" s="145">
        <f t="shared" si="16"/>
        <v>9.7145320000000002</v>
      </c>
      <c r="DH22" s="293">
        <f t="shared" si="35"/>
        <v>1.7649836198347109</v>
      </c>
      <c r="DJ22" s="234">
        <v>53.32</v>
      </c>
      <c r="DK22" s="460">
        <f t="shared" si="36"/>
        <v>79.819999999999993</v>
      </c>
      <c r="DL22" s="30">
        <v>59.209000000000003</v>
      </c>
      <c r="DM22" s="460">
        <f t="shared" si="37"/>
        <v>64.009</v>
      </c>
    </row>
    <row r="23" spans="1:117" s="76" customFormat="1" ht="16.5" customHeight="1" thickBot="1">
      <c r="A23" s="144">
        <v>17</v>
      </c>
      <c r="B23" s="122">
        <f t="shared" si="17"/>
        <v>116.756</v>
      </c>
      <c r="C23" s="123">
        <f t="shared" si="18"/>
        <v>0.66322510192195683</v>
      </c>
      <c r="D23" s="145">
        <f t="shared" si="19"/>
        <v>115.98164490000001</v>
      </c>
      <c r="E23" s="125">
        <f t="shared" si="20"/>
        <v>40.145326150262086</v>
      </c>
      <c r="F23" s="146">
        <f t="shared" si="0"/>
        <v>3.5841052194066751</v>
      </c>
      <c r="G23" s="127"/>
      <c r="H23" s="126">
        <f t="shared" si="21"/>
        <v>2.0937158498145862</v>
      </c>
      <c r="I23" s="230">
        <f>'[1]июль 20'!AI22</f>
        <v>0</v>
      </c>
      <c r="J23" s="247">
        <f>'[1]ноябрь 20'!AA22</f>
        <v>3.4470000000000001</v>
      </c>
      <c r="K23" s="464">
        <f>'[1]сентябрь 20'!AM22</f>
        <v>0</v>
      </c>
      <c r="L23" s="446">
        <f t="shared" si="22"/>
        <v>48.228999999999999</v>
      </c>
      <c r="M23" s="469">
        <f t="shared" si="23"/>
        <v>1.4903893695920889</v>
      </c>
      <c r="N23" s="403">
        <f>'[1]ноябрь 20'!W22</f>
        <v>0</v>
      </c>
      <c r="O23" s="403">
        <f>'[1]ноябрь 20'!AU22</f>
        <v>2.0409999999999999</v>
      </c>
      <c r="P23" s="401">
        <f t="shared" si="1"/>
        <v>68.881</v>
      </c>
      <c r="Q23" s="122">
        <f t="shared" si="24"/>
        <v>68.881</v>
      </c>
      <c r="R23" s="123">
        <f t="shared" si="25"/>
        <v>2.8399999999999994</v>
      </c>
      <c r="S23" s="129"/>
      <c r="T23" s="125">
        <f t="shared" si="2"/>
        <v>66.924779600000008</v>
      </c>
      <c r="U23" s="147">
        <f t="shared" si="3"/>
        <v>2.0681328677379485</v>
      </c>
      <c r="V23" s="130">
        <v>32.36</v>
      </c>
      <c r="W23" s="130">
        <v>15.23</v>
      </c>
      <c r="X23" s="129">
        <v>0.99</v>
      </c>
      <c r="Y23" s="131">
        <v>545</v>
      </c>
      <c r="Z23" s="150">
        <v>1076</v>
      </c>
      <c r="AA23" s="148" t="s">
        <v>450</v>
      </c>
      <c r="AB23" s="149">
        <v>75.709999999999994</v>
      </c>
      <c r="AC23" s="150">
        <v>38</v>
      </c>
      <c r="AD23" s="151">
        <v>2</v>
      </c>
      <c r="AE23" s="149">
        <v>4.1500000000000004</v>
      </c>
      <c r="AF23" s="134">
        <f t="shared" si="4"/>
        <v>128.24474660074168</v>
      </c>
      <c r="AG23" s="152"/>
      <c r="AH23" s="129">
        <v>23.05</v>
      </c>
      <c r="AI23" s="134">
        <f t="shared" si="5"/>
        <v>712.29913473423994</v>
      </c>
      <c r="AJ23" s="136">
        <v>7.14</v>
      </c>
      <c r="AK23" s="154"/>
      <c r="AL23" s="155">
        <v>2.77</v>
      </c>
      <c r="AM23" s="478">
        <f t="shared" si="38"/>
        <v>8.5400000000000009</v>
      </c>
      <c r="AN23" s="126">
        <f t="shared" si="27"/>
        <v>0.2</v>
      </c>
      <c r="AO23" s="157" t="s">
        <v>331</v>
      </c>
      <c r="AP23" s="156">
        <v>6.29</v>
      </c>
      <c r="AQ23" s="156">
        <v>8.3699999999999992</v>
      </c>
      <c r="AR23" s="151"/>
      <c r="AS23" s="149">
        <v>11.12</v>
      </c>
      <c r="AT23" s="149">
        <v>42.7</v>
      </c>
      <c r="AU23" s="149">
        <v>0.97</v>
      </c>
      <c r="AV23" s="149"/>
      <c r="AW23" s="149"/>
      <c r="AX23" s="158">
        <f t="shared" si="6"/>
        <v>0</v>
      </c>
      <c r="AY23" s="125">
        <f t="shared" si="7"/>
        <v>32.36</v>
      </c>
      <c r="AZ23" s="125">
        <f t="shared" si="28"/>
        <v>54.373493193662341</v>
      </c>
      <c r="BA23" s="159">
        <f t="shared" si="8"/>
        <v>1.9855464788732393</v>
      </c>
      <c r="BB23" s="160">
        <f t="shared" si="9"/>
        <v>1.2944</v>
      </c>
      <c r="BC23" s="161">
        <f t="shared" si="10"/>
        <v>0.52618383843954852</v>
      </c>
      <c r="BD23" s="160">
        <f t="shared" si="29"/>
        <v>3.2799464788732395</v>
      </c>
      <c r="BE23" s="162">
        <v>0.79100000000000004</v>
      </c>
      <c r="BF23" s="25">
        <f t="shared" si="30"/>
        <v>1946.7199999999998</v>
      </c>
      <c r="BG23" s="25">
        <f t="shared" si="11"/>
        <v>125.66666666666667</v>
      </c>
      <c r="BH23" s="25">
        <f t="shared" si="31"/>
        <v>2136.3333333333339</v>
      </c>
      <c r="BI23" s="26">
        <f t="shared" si="12"/>
        <v>1</v>
      </c>
      <c r="BJ23" s="37">
        <f t="shared" si="32"/>
        <v>2136.3333333333339</v>
      </c>
      <c r="BK23" s="38">
        <v>68.527000000000001</v>
      </c>
      <c r="BL23" s="31"/>
      <c r="BM23" s="31"/>
      <c r="BN23" s="28">
        <f t="shared" si="33"/>
        <v>46.341999999999999</v>
      </c>
      <c r="BO23" s="42"/>
      <c r="BP23" s="40"/>
      <c r="BQ23" s="411">
        <v>1.887</v>
      </c>
      <c r="BR23" s="33">
        <v>1.1299999999999999</v>
      </c>
      <c r="BS23" s="34"/>
      <c r="BT23" s="35"/>
      <c r="BU23" s="35"/>
      <c r="BV23" s="235"/>
      <c r="BW23" s="235"/>
      <c r="BX23" s="36"/>
      <c r="BY23" s="33">
        <v>37.869999999999997</v>
      </c>
      <c r="BZ23" s="34"/>
      <c r="CA23" s="35"/>
      <c r="CB23" s="405">
        <v>43.39</v>
      </c>
      <c r="CC23" s="404"/>
      <c r="CD23" s="235"/>
      <c r="CE23" s="413">
        <v>43.09</v>
      </c>
      <c r="CF23" s="28">
        <f t="shared" si="34"/>
        <v>32.896000000000001</v>
      </c>
      <c r="CG23" s="30"/>
      <c r="CH23" s="31"/>
      <c r="CI23" s="32">
        <v>35.984999999999999</v>
      </c>
      <c r="CJ23" s="33">
        <v>2.84</v>
      </c>
      <c r="CK23" s="33"/>
      <c r="CL23" s="35"/>
      <c r="CM23" s="36">
        <v>2.84</v>
      </c>
      <c r="CN23" s="286"/>
      <c r="CO23" s="249">
        <f t="shared" ref="CO23:CU37" si="39">BK23*((100-BR23)/100)</f>
        <v>67.752644900000007</v>
      </c>
      <c r="CP23" s="12">
        <f t="shared" si="39"/>
        <v>0</v>
      </c>
      <c r="CQ23" s="12">
        <f t="shared" si="39"/>
        <v>0</v>
      </c>
      <c r="CR23" s="12">
        <f t="shared" si="39"/>
        <v>46.341999999999999</v>
      </c>
      <c r="CS23" s="11">
        <f t="shared" si="39"/>
        <v>0</v>
      </c>
      <c r="CT23" s="11">
        <f t="shared" si="39"/>
        <v>0</v>
      </c>
      <c r="CU23" s="272">
        <f t="shared" si="39"/>
        <v>1.887</v>
      </c>
      <c r="CV23" s="249">
        <f t="shared" si="14"/>
        <v>31.961753600000002</v>
      </c>
      <c r="CW23" s="11">
        <f t="shared" si="14"/>
        <v>0</v>
      </c>
      <c r="CX23" s="249">
        <f t="shared" si="14"/>
        <v>0</v>
      </c>
      <c r="CY23" s="272">
        <f t="shared" si="14"/>
        <v>34.963025999999999</v>
      </c>
      <c r="CZ23" s="13"/>
      <c r="DA23" s="240">
        <f>(D23+'[2]ноябрь 20'!D23)/(AY23+'[2]ноябрь 20'!BA23)</f>
        <v>2.3316147087671131</v>
      </c>
      <c r="DB23" s="241">
        <f>(T23+'[2]ноябрь 20'!T23)/(AY23+'[2]ноябрь 20'!BA23)</f>
        <v>1.3751144305110592</v>
      </c>
      <c r="DD23" s="292">
        <f t="shared" si="15"/>
        <v>3.4470000000000001</v>
      </c>
      <c r="DE23" s="291">
        <v>0.17</v>
      </c>
      <c r="DF23" s="291">
        <v>15.06</v>
      </c>
      <c r="DG23" s="145">
        <f t="shared" si="16"/>
        <v>3.4411401000000001</v>
      </c>
      <c r="DH23" s="293">
        <f t="shared" si="35"/>
        <v>0.68450098938053128</v>
      </c>
      <c r="DJ23" s="234">
        <v>19.841999999999999</v>
      </c>
      <c r="DK23" s="460">
        <f t="shared" si="36"/>
        <v>46.341999999999999</v>
      </c>
      <c r="DL23" s="30">
        <v>28.096</v>
      </c>
      <c r="DM23" s="460">
        <f t="shared" si="37"/>
        <v>32.896000000000001</v>
      </c>
    </row>
    <row r="24" spans="1:117" s="76" customFormat="1" ht="16.5" customHeight="1" thickBot="1">
      <c r="A24" s="144">
        <v>18</v>
      </c>
      <c r="B24" s="122">
        <f t="shared" si="17"/>
        <v>291.608</v>
      </c>
      <c r="C24" s="123">
        <f t="shared" si="18"/>
        <v>1.1679366821212038</v>
      </c>
      <c r="D24" s="145">
        <f t="shared" si="19"/>
        <v>288.20220319999999</v>
      </c>
      <c r="E24" s="125">
        <f t="shared" si="20"/>
        <v>39.220143000192039</v>
      </c>
      <c r="F24" s="146">
        <f t="shared" si="0"/>
        <v>2.1640051298993841</v>
      </c>
      <c r="G24" s="127">
        <v>22.14</v>
      </c>
      <c r="H24" s="126">
        <f t="shared" si="21"/>
        <v>1.4966226400360412</v>
      </c>
      <c r="I24" s="230">
        <f>'[1]июль 20'!AI23</f>
        <v>0</v>
      </c>
      <c r="J24" s="247">
        <f>'[1]ноябрь 20'!AA23</f>
        <v>10.557</v>
      </c>
      <c r="K24" s="464">
        <f>'[1]сентябрь 20'!AM23</f>
        <v>0</v>
      </c>
      <c r="L24" s="446">
        <f t="shared" si="22"/>
        <v>88.881999999999991</v>
      </c>
      <c r="M24" s="468">
        <f t="shared" si="23"/>
        <v>0.6673824898633427</v>
      </c>
      <c r="N24" s="403">
        <f>'[1]ноябрь 20'!W23</f>
        <v>0</v>
      </c>
      <c r="O24" s="403">
        <f>'[1]ноябрь 20'!AU23</f>
        <v>6.6749999999999998</v>
      </c>
      <c r="P24" s="401">
        <f t="shared" si="1"/>
        <v>175.67699999999999</v>
      </c>
      <c r="Q24" s="122">
        <f t="shared" si="24"/>
        <v>175.67699999999999</v>
      </c>
      <c r="R24" s="123">
        <f t="shared" si="25"/>
        <v>2.68</v>
      </c>
      <c r="S24" s="129">
        <v>45.34</v>
      </c>
      <c r="T24" s="125">
        <f>Q24*((100-R24)/100)</f>
        <v>170.96885639999999</v>
      </c>
      <c r="U24" s="147">
        <f t="shared" si="3"/>
        <v>1.2837427271362065</v>
      </c>
      <c r="V24" s="130">
        <v>133.18</v>
      </c>
      <c r="W24" s="130">
        <v>133.18</v>
      </c>
      <c r="X24" s="129">
        <v>0.65</v>
      </c>
      <c r="Y24" s="150">
        <v>567</v>
      </c>
      <c r="Z24" s="150">
        <v>1140</v>
      </c>
      <c r="AA24" s="148" t="s">
        <v>174</v>
      </c>
      <c r="AB24" s="149">
        <v>75.62</v>
      </c>
      <c r="AC24" s="150">
        <v>106</v>
      </c>
      <c r="AD24" s="151">
        <v>5</v>
      </c>
      <c r="AE24" s="149">
        <v>18</v>
      </c>
      <c r="AF24" s="134">
        <f t="shared" si="4"/>
        <v>135.1554287430545</v>
      </c>
      <c r="AG24" s="152"/>
      <c r="AH24" s="129">
        <v>91.3</v>
      </c>
      <c r="AI24" s="134">
        <f t="shared" si="5"/>
        <v>685.5383691244931</v>
      </c>
      <c r="AJ24" s="153">
        <v>17.989999999999998</v>
      </c>
      <c r="AK24" s="154"/>
      <c r="AL24" s="155">
        <v>7.03</v>
      </c>
      <c r="AM24" s="478">
        <f t="shared" si="38"/>
        <v>34.6</v>
      </c>
      <c r="AN24" s="126">
        <f t="shared" si="27"/>
        <v>0.2</v>
      </c>
      <c r="AO24" s="157" t="s">
        <v>356</v>
      </c>
      <c r="AP24" s="156">
        <v>7.53</v>
      </c>
      <c r="AQ24" s="156">
        <v>8.24</v>
      </c>
      <c r="AR24" s="151"/>
      <c r="AS24" s="149">
        <v>8.91</v>
      </c>
      <c r="AT24" s="149">
        <v>173</v>
      </c>
      <c r="AU24" s="149">
        <v>1.81</v>
      </c>
      <c r="AV24" s="164"/>
      <c r="AW24" s="149"/>
      <c r="AX24" s="158">
        <f t="shared" si="6"/>
        <v>0</v>
      </c>
      <c r="AY24" s="125">
        <f t="shared" si="7"/>
        <v>133.18</v>
      </c>
      <c r="AZ24" s="125">
        <f t="shared" si="28"/>
        <v>132.58339856885945</v>
      </c>
      <c r="BA24" s="159">
        <f t="shared" si="8"/>
        <v>6.3016288732394354</v>
      </c>
      <c r="BB24" s="160">
        <f t="shared" si="9"/>
        <v>5.3272000000000004</v>
      </c>
      <c r="BC24" s="161">
        <f t="shared" si="10"/>
        <v>0.8909825825136104</v>
      </c>
      <c r="BD24" s="160">
        <f t="shared" si="29"/>
        <v>11.628828873239435</v>
      </c>
      <c r="BE24" s="162">
        <v>0.79700000000000004</v>
      </c>
      <c r="BF24" s="25">
        <f t="shared" si="30"/>
        <v>2079.8999999999996</v>
      </c>
      <c r="BG24" s="25">
        <f t="shared" si="11"/>
        <v>125.66666666666667</v>
      </c>
      <c r="BH24" s="25">
        <f t="shared" si="31"/>
        <v>2262.0000000000005</v>
      </c>
      <c r="BI24" s="26">
        <f t="shared" si="12"/>
        <v>1</v>
      </c>
      <c r="BJ24" s="37">
        <f t="shared" si="32"/>
        <v>2262.0000000000005</v>
      </c>
      <c r="BK24" s="38">
        <v>202.726</v>
      </c>
      <c r="BL24" s="31"/>
      <c r="BM24" s="31"/>
      <c r="BN24" s="28">
        <f t="shared" si="33"/>
        <v>83.503999999999991</v>
      </c>
      <c r="BO24" s="42"/>
      <c r="BP24" s="40"/>
      <c r="BQ24" s="411">
        <v>5.3780000000000001</v>
      </c>
      <c r="BR24" s="33">
        <v>1.68</v>
      </c>
      <c r="BS24" s="34"/>
      <c r="BT24" s="35"/>
      <c r="BU24" s="35"/>
      <c r="BV24" s="235"/>
      <c r="BW24" s="235"/>
      <c r="BX24" s="36"/>
      <c r="BY24" s="33">
        <v>37.26</v>
      </c>
      <c r="BZ24" s="34"/>
      <c r="CA24" s="35"/>
      <c r="CB24" s="405">
        <v>43.7</v>
      </c>
      <c r="CC24" s="404"/>
      <c r="CD24" s="235"/>
      <c r="CE24" s="413">
        <v>43.55</v>
      </c>
      <c r="CF24" s="28">
        <f t="shared" si="34"/>
        <v>69.503999999999991</v>
      </c>
      <c r="CG24" s="30"/>
      <c r="CH24" s="31"/>
      <c r="CI24" s="32">
        <v>106.173</v>
      </c>
      <c r="CJ24" s="33">
        <v>2.68</v>
      </c>
      <c r="CK24" s="33"/>
      <c r="CL24" s="35"/>
      <c r="CM24" s="36">
        <v>2.68</v>
      </c>
      <c r="CN24" s="286"/>
      <c r="CO24" s="249">
        <f t="shared" si="39"/>
        <v>199.32020319999998</v>
      </c>
      <c r="CP24" s="12">
        <f t="shared" si="39"/>
        <v>0</v>
      </c>
      <c r="CQ24" s="12">
        <f t="shared" si="39"/>
        <v>0</v>
      </c>
      <c r="CR24" s="12">
        <f t="shared" si="39"/>
        <v>83.503999999999991</v>
      </c>
      <c r="CS24" s="11">
        <f t="shared" si="39"/>
        <v>0</v>
      </c>
      <c r="CT24" s="11">
        <f t="shared" si="39"/>
        <v>0</v>
      </c>
      <c r="CU24" s="272">
        <f t="shared" si="39"/>
        <v>5.3780000000000001</v>
      </c>
      <c r="CV24" s="249">
        <f t="shared" si="14"/>
        <v>67.641292799999988</v>
      </c>
      <c r="CW24" s="12">
        <f t="shared" si="14"/>
        <v>0</v>
      </c>
      <c r="CX24" s="249">
        <f t="shared" si="14"/>
        <v>0</v>
      </c>
      <c r="CY24" s="272">
        <f t="shared" si="14"/>
        <v>103.32756359999999</v>
      </c>
      <c r="CZ24" s="13"/>
      <c r="DA24" s="240">
        <f>(D24+'[2]ноябрь 20'!D24)/(AY24+'[2]ноябрь 20'!BA24)</f>
        <v>2.0533295306161059</v>
      </c>
      <c r="DB24" s="241">
        <f>(T24+'[2]ноябрь 20'!T24)/(AY24+'[2]ноябрь 20'!BA24)</f>
        <v>1.2218943697755729</v>
      </c>
      <c r="DD24" s="292">
        <f t="shared" si="15"/>
        <v>10.557</v>
      </c>
      <c r="DE24" s="291">
        <v>0.33</v>
      </c>
      <c r="DF24" s="291">
        <v>15.03</v>
      </c>
      <c r="DG24" s="145">
        <f t="shared" si="16"/>
        <v>10.5221619</v>
      </c>
      <c r="DH24" s="293">
        <f t="shared" si="35"/>
        <v>2.0913527288680238</v>
      </c>
      <c r="DJ24" s="234">
        <v>57.003999999999998</v>
      </c>
      <c r="DK24" s="460">
        <f t="shared" si="36"/>
        <v>83.503999999999991</v>
      </c>
      <c r="DL24" s="30">
        <v>64.703999999999994</v>
      </c>
      <c r="DM24" s="460">
        <f t="shared" si="37"/>
        <v>69.503999999999991</v>
      </c>
    </row>
    <row r="25" spans="1:117" s="76" customFormat="1" ht="16.5" customHeight="1" thickBot="1">
      <c r="A25" s="144">
        <v>19</v>
      </c>
      <c r="B25" s="122">
        <f t="shared" si="17"/>
        <v>319.17199999999997</v>
      </c>
      <c r="C25" s="123">
        <f t="shared" si="18"/>
        <v>1.4305076886443673</v>
      </c>
      <c r="D25" s="145">
        <f t="shared" si="19"/>
        <v>314.60621999999995</v>
      </c>
      <c r="E25" s="125">
        <f t="shared" si="20"/>
        <v>39.02066277743662</v>
      </c>
      <c r="F25" s="146">
        <f t="shared" si="0"/>
        <v>2.3502631107126848</v>
      </c>
      <c r="G25" s="127">
        <v>12.96</v>
      </c>
      <c r="H25" s="126">
        <f t="shared" si="21"/>
        <v>1.6713224264156581</v>
      </c>
      <c r="I25" s="230">
        <f>'[1]июль 20'!AI24</f>
        <v>0</v>
      </c>
      <c r="J25" s="247">
        <f>'[1]ноябрь 20'!AA24</f>
        <v>11.75</v>
      </c>
      <c r="K25" s="465">
        <f>'[1]сентябрь 20'!AM24</f>
        <v>0</v>
      </c>
      <c r="L25" s="446">
        <f t="shared" si="22"/>
        <v>90.882999999999996</v>
      </c>
      <c r="M25" s="469">
        <f t="shared" si="23"/>
        <v>0.67894068429702681</v>
      </c>
      <c r="N25" s="403">
        <f>'[1]ноябрь 20'!W24</f>
        <v>0</v>
      </c>
      <c r="O25" s="403">
        <f>'[1]ноябрь 20'!AU24</f>
        <v>8.4260000000000002</v>
      </c>
      <c r="P25" s="401">
        <f t="shared" si="1"/>
        <v>193.631</v>
      </c>
      <c r="Q25" s="122">
        <f t="shared" si="24"/>
        <v>193.631</v>
      </c>
      <c r="R25" s="123">
        <f>IF(Q25=0,0,(CI25*CM25+CG25*CK25+CH25*CL25+CF25*CJ25)/Q25)</f>
        <v>2.54</v>
      </c>
      <c r="S25" s="129">
        <v>25.24</v>
      </c>
      <c r="T25" s="125">
        <f t="shared" si="2"/>
        <v>188.71277259999999</v>
      </c>
      <c r="U25" s="147">
        <f t="shared" si="3"/>
        <v>1.4097771746600927</v>
      </c>
      <c r="V25" s="130">
        <v>133.86000000000001</v>
      </c>
      <c r="W25" s="130">
        <v>80.430000000000007</v>
      </c>
      <c r="X25" s="129">
        <v>0.77</v>
      </c>
      <c r="Y25" s="150">
        <v>577</v>
      </c>
      <c r="Z25" s="150">
        <v>1166</v>
      </c>
      <c r="AA25" s="148" t="s">
        <v>451</v>
      </c>
      <c r="AB25" s="149">
        <v>76.02</v>
      </c>
      <c r="AC25" s="150">
        <v>117</v>
      </c>
      <c r="AD25" s="151">
        <v>5</v>
      </c>
      <c r="AE25" s="149">
        <v>8</v>
      </c>
      <c r="AF25" s="134">
        <f t="shared" si="4"/>
        <v>59.763932466756323</v>
      </c>
      <c r="AG25" s="152"/>
      <c r="AH25" s="129">
        <v>89.85</v>
      </c>
      <c r="AI25" s="134">
        <f t="shared" si="5"/>
        <v>671.22366651725679</v>
      </c>
      <c r="AJ25" s="136">
        <v>16.54</v>
      </c>
      <c r="AK25" s="154"/>
      <c r="AL25" s="155">
        <v>8.31</v>
      </c>
      <c r="AM25" s="478">
        <f t="shared" si="38"/>
        <v>35.020000000000003</v>
      </c>
      <c r="AN25" s="126">
        <f t="shared" si="27"/>
        <v>0.2</v>
      </c>
      <c r="AO25" s="157" t="s">
        <v>349</v>
      </c>
      <c r="AP25" s="156">
        <v>7.42</v>
      </c>
      <c r="AQ25" s="156">
        <v>8.5299999999999994</v>
      </c>
      <c r="AR25" s="152"/>
      <c r="AS25" s="149">
        <v>8.31</v>
      </c>
      <c r="AT25" s="149">
        <v>175.1</v>
      </c>
      <c r="AU25" s="149">
        <v>2.09</v>
      </c>
      <c r="AV25" s="164"/>
      <c r="AW25" s="149"/>
      <c r="AX25" s="158">
        <f t="shared" si="6"/>
        <v>0</v>
      </c>
      <c r="AY25" s="125">
        <f t="shared" si="7"/>
        <v>133.85999999999999</v>
      </c>
      <c r="AZ25" s="125">
        <f t="shared" si="28"/>
        <v>143.87751265889798</v>
      </c>
      <c r="BA25" s="159">
        <f t="shared" si="8"/>
        <v>5.7839355633802816</v>
      </c>
      <c r="BB25" s="160">
        <f t="shared" si="9"/>
        <v>5.3543999999999992</v>
      </c>
      <c r="BC25" s="161">
        <f t="shared" si="10"/>
        <v>0.82892786594630752</v>
      </c>
      <c r="BD25" s="160">
        <f t="shared" si="29"/>
        <v>11.138335563380281</v>
      </c>
      <c r="BE25" s="162">
        <v>0.79900000000000004</v>
      </c>
      <c r="BF25" s="25">
        <f t="shared" si="30"/>
        <v>2213.7599999999998</v>
      </c>
      <c r="BG25" s="25">
        <f t="shared" si="11"/>
        <v>125.66666666666667</v>
      </c>
      <c r="BH25" s="25">
        <f t="shared" si="31"/>
        <v>2387.666666666667</v>
      </c>
      <c r="BI25" s="26">
        <f t="shared" si="12"/>
        <v>1</v>
      </c>
      <c r="BJ25" s="37">
        <f t="shared" si="32"/>
        <v>2387.666666666667</v>
      </c>
      <c r="BK25" s="38">
        <v>228.28899999999999</v>
      </c>
      <c r="BL25" s="31"/>
      <c r="BM25" s="31"/>
      <c r="BN25" s="28">
        <f t="shared" si="33"/>
        <v>84.966999999999999</v>
      </c>
      <c r="BO25" s="42"/>
      <c r="BP25" s="40"/>
      <c r="BQ25" s="411">
        <v>5.9160000000000004</v>
      </c>
      <c r="BR25" s="33">
        <v>2</v>
      </c>
      <c r="BS25" s="34"/>
      <c r="BT25" s="35"/>
      <c r="BU25" s="35"/>
      <c r="BV25" s="235"/>
      <c r="BW25" s="235"/>
      <c r="BX25" s="36"/>
      <c r="BY25" s="33">
        <v>37.11</v>
      </c>
      <c r="BZ25" s="34"/>
      <c r="CA25" s="35"/>
      <c r="CB25" s="405">
        <v>43.85</v>
      </c>
      <c r="CC25" s="404"/>
      <c r="CD25" s="235"/>
      <c r="CE25" s="413">
        <v>43.39</v>
      </c>
      <c r="CF25" s="28">
        <f t="shared" si="34"/>
        <v>76.216999999999999</v>
      </c>
      <c r="CG25" s="30"/>
      <c r="CH25" s="31"/>
      <c r="CI25" s="32">
        <v>117.414</v>
      </c>
      <c r="CJ25" s="33">
        <v>2.54</v>
      </c>
      <c r="CK25" s="33"/>
      <c r="CL25" s="35"/>
      <c r="CM25" s="36">
        <v>2.54</v>
      </c>
      <c r="CN25" s="286"/>
      <c r="CO25" s="249">
        <f t="shared" si="39"/>
        <v>223.72321999999997</v>
      </c>
      <c r="CP25" s="12">
        <f t="shared" si="39"/>
        <v>0</v>
      </c>
      <c r="CQ25" s="12">
        <f t="shared" si="39"/>
        <v>0</v>
      </c>
      <c r="CR25" s="12">
        <f t="shared" si="39"/>
        <v>84.966999999999999</v>
      </c>
      <c r="CS25" s="11">
        <f t="shared" si="39"/>
        <v>0</v>
      </c>
      <c r="CT25" s="11">
        <f t="shared" si="39"/>
        <v>0</v>
      </c>
      <c r="CU25" s="272">
        <f t="shared" si="39"/>
        <v>5.9160000000000004</v>
      </c>
      <c r="CV25" s="249">
        <f t="shared" si="14"/>
        <v>74.281088199999985</v>
      </c>
      <c r="CW25" s="251">
        <f t="shared" si="14"/>
        <v>0</v>
      </c>
      <c r="CX25" s="249">
        <f t="shared" si="14"/>
        <v>0</v>
      </c>
      <c r="CY25" s="272">
        <f t="shared" si="14"/>
        <v>114.43168439999999</v>
      </c>
      <c r="CZ25" s="13"/>
      <c r="DA25" s="240">
        <f>(D25+'[2]ноябрь 20'!D25)/(AY25+'[2]ноябрь 20'!BA25)</f>
        <v>2.2559848230913775</v>
      </c>
      <c r="DB25" s="241">
        <f>(T25+'[2]ноябрь 20'!T25)/(AY25+'[2]ноябрь 20'!BA25)</f>
        <v>1.347431240342315</v>
      </c>
      <c r="DD25" s="292">
        <f t="shared" si="15"/>
        <v>11.75</v>
      </c>
      <c r="DE25" s="291">
        <v>0.13</v>
      </c>
      <c r="DF25" s="291">
        <v>18.79</v>
      </c>
      <c r="DG25" s="145">
        <f t="shared" si="16"/>
        <v>11.734725000000001</v>
      </c>
      <c r="DH25" s="293">
        <f t="shared" si="35"/>
        <v>2.9004930643251776</v>
      </c>
      <c r="DJ25" s="234">
        <v>58.466999999999999</v>
      </c>
      <c r="DK25" s="460">
        <f t="shared" si="36"/>
        <v>84.966999999999999</v>
      </c>
      <c r="DL25" s="30">
        <v>71.417000000000002</v>
      </c>
      <c r="DM25" s="460">
        <f t="shared" si="37"/>
        <v>76.216999999999999</v>
      </c>
    </row>
    <row r="26" spans="1:117" s="76" customFormat="1" ht="16.5" customHeight="1" thickBot="1">
      <c r="A26" s="144">
        <v>20</v>
      </c>
      <c r="B26" s="122">
        <f t="shared" si="17"/>
        <v>316.65300000000002</v>
      </c>
      <c r="C26" s="123">
        <f t="shared" si="18"/>
        <v>0.73601447009818322</v>
      </c>
      <c r="D26" s="145">
        <f t="shared" si="19"/>
        <v>314.32238810000001</v>
      </c>
      <c r="E26" s="125">
        <f t="shared" si="20"/>
        <v>40.024276131917269</v>
      </c>
      <c r="F26" s="146">
        <f t="shared" si="0"/>
        <v>2.7461330429844488</v>
      </c>
      <c r="G26" s="127">
        <v>18.23</v>
      </c>
      <c r="H26" s="126">
        <f t="shared" si="21"/>
        <v>1.9565122147475098</v>
      </c>
      <c r="I26" s="230">
        <f>'[1]июль 20'!AI25</f>
        <v>0</v>
      </c>
      <c r="J26" s="247">
        <f>'[1]ноябрь 20'!AA25</f>
        <v>11.617000000000001</v>
      </c>
      <c r="K26" s="464">
        <f>'[1]сентябрь 20'!AM25</f>
        <v>0</v>
      </c>
      <c r="L26" s="446">
        <f t="shared" si="22"/>
        <v>90.38</v>
      </c>
      <c r="M26" s="468">
        <f t="shared" si="23"/>
        <v>0.78962082823693858</v>
      </c>
      <c r="N26" s="403">
        <f>'[1]ноябрь 20'!W25</f>
        <v>0</v>
      </c>
      <c r="O26" s="403">
        <f>'[1]ноябрь 20'!AU25</f>
        <v>8.2449999999999992</v>
      </c>
      <c r="P26" s="401">
        <f t="shared" si="1"/>
        <v>190.45699999999999</v>
      </c>
      <c r="Q26" s="122">
        <f t="shared" si="24"/>
        <v>190.45699999999999</v>
      </c>
      <c r="R26" s="123">
        <f t="shared" si="25"/>
        <v>2.12</v>
      </c>
      <c r="S26" s="129">
        <v>2.62</v>
      </c>
      <c r="T26" s="125">
        <f t="shared" si="2"/>
        <v>186.41931159999999</v>
      </c>
      <c r="U26" s="147">
        <f t="shared" si="3"/>
        <v>1.6286852315219289</v>
      </c>
      <c r="V26" s="169">
        <v>114.46</v>
      </c>
      <c r="W26" s="169">
        <v>114.46</v>
      </c>
      <c r="X26" s="170">
        <v>0.66</v>
      </c>
      <c r="Y26" s="166">
        <v>529</v>
      </c>
      <c r="Z26" s="166">
        <v>1159</v>
      </c>
      <c r="AA26" s="148" t="s">
        <v>150</v>
      </c>
      <c r="AB26" s="164">
        <v>75.77</v>
      </c>
      <c r="AC26" s="166">
        <v>116</v>
      </c>
      <c r="AD26" s="171">
        <v>5</v>
      </c>
      <c r="AE26" s="164"/>
      <c r="AF26" s="172">
        <f t="shared" si="4"/>
        <v>0</v>
      </c>
      <c r="AG26" s="173"/>
      <c r="AH26" s="170">
        <v>79.2</v>
      </c>
      <c r="AI26" s="134">
        <f t="shared" si="5"/>
        <v>691.94478420408882</v>
      </c>
      <c r="AJ26" s="174">
        <v>19.850000000000001</v>
      </c>
      <c r="AK26" s="175"/>
      <c r="AL26" s="176">
        <v>7.92</v>
      </c>
      <c r="AM26" s="478">
        <v>47.93</v>
      </c>
      <c r="AN26" s="126">
        <f t="shared" si="27"/>
        <v>0.28402962962962963</v>
      </c>
      <c r="AO26" s="178" t="s">
        <v>356</v>
      </c>
      <c r="AP26" s="177">
        <v>7.36</v>
      </c>
      <c r="AQ26" s="177">
        <v>8.5399999999999991</v>
      </c>
      <c r="AR26" s="171"/>
      <c r="AS26" s="164">
        <v>8.36</v>
      </c>
      <c r="AT26" s="149">
        <v>168.75</v>
      </c>
      <c r="AU26" s="164">
        <v>1.56</v>
      </c>
      <c r="AV26" s="164"/>
      <c r="AW26" s="164"/>
      <c r="AX26" s="179">
        <f t="shared" si="6"/>
        <v>0</v>
      </c>
      <c r="AY26" s="125">
        <f t="shared" si="7"/>
        <v>114.46000000000001</v>
      </c>
      <c r="AZ26" s="125">
        <f t="shared" si="28"/>
        <v>147.53535072992995</v>
      </c>
      <c r="BA26" s="159">
        <f t="shared" si="8"/>
        <v>5.1290366197183088</v>
      </c>
      <c r="BB26" s="159">
        <f t="shared" si="9"/>
        <v>4.5784000000000002</v>
      </c>
      <c r="BC26" s="180">
        <f t="shared" si="10"/>
        <v>0.68936975779566567</v>
      </c>
      <c r="BD26" s="159">
        <f t="shared" si="29"/>
        <v>9.7074366197183082</v>
      </c>
      <c r="BE26" s="167">
        <v>0.79300000000000004</v>
      </c>
      <c r="BF26" s="25">
        <f t="shared" si="30"/>
        <v>2328.2199999999998</v>
      </c>
      <c r="BG26" s="25">
        <f t="shared" si="11"/>
        <v>125.66666666666667</v>
      </c>
      <c r="BH26" s="25">
        <f t="shared" si="31"/>
        <v>2513.3333333333335</v>
      </c>
      <c r="BI26" s="26">
        <f t="shared" si="12"/>
        <v>1</v>
      </c>
      <c r="BJ26" s="37">
        <f t="shared" si="32"/>
        <v>2513.3333333333335</v>
      </c>
      <c r="BK26" s="38">
        <v>226.273</v>
      </c>
      <c r="BL26" s="43"/>
      <c r="BM26" s="31"/>
      <c r="BN26" s="28">
        <f t="shared" si="33"/>
        <v>84.581999999999994</v>
      </c>
      <c r="BO26" s="42"/>
      <c r="BP26" s="40"/>
      <c r="BQ26" s="412">
        <v>5.798</v>
      </c>
      <c r="BR26" s="33">
        <v>1.03</v>
      </c>
      <c r="BS26" s="34"/>
      <c r="BT26" s="35"/>
      <c r="BU26" s="35"/>
      <c r="BV26" s="235"/>
      <c r="BW26" s="235"/>
      <c r="BX26" s="36"/>
      <c r="BY26" s="33">
        <v>38.79</v>
      </c>
      <c r="BZ26" s="34"/>
      <c r="CA26" s="35"/>
      <c r="CB26" s="405">
        <v>43.09</v>
      </c>
      <c r="CC26" s="404"/>
      <c r="CD26" s="235"/>
      <c r="CE26" s="413">
        <v>43.47</v>
      </c>
      <c r="CF26" s="28">
        <f t="shared" si="34"/>
        <v>75.605999999999995</v>
      </c>
      <c r="CG26" s="30"/>
      <c r="CH26" s="43"/>
      <c r="CI26" s="32">
        <v>114.851</v>
      </c>
      <c r="CJ26" s="33">
        <v>2.12</v>
      </c>
      <c r="CK26" s="33"/>
      <c r="CL26" s="35"/>
      <c r="CM26" s="36">
        <v>2.12</v>
      </c>
      <c r="CN26" s="286"/>
      <c r="CO26" s="249">
        <f t="shared" si="39"/>
        <v>223.94238809999999</v>
      </c>
      <c r="CP26" s="12">
        <f t="shared" si="39"/>
        <v>0</v>
      </c>
      <c r="CQ26" s="12">
        <f t="shared" si="39"/>
        <v>0</v>
      </c>
      <c r="CR26" s="12">
        <f t="shared" si="39"/>
        <v>84.581999999999994</v>
      </c>
      <c r="CS26" s="11">
        <f t="shared" si="39"/>
        <v>0</v>
      </c>
      <c r="CT26" s="11">
        <f t="shared" si="39"/>
        <v>0</v>
      </c>
      <c r="CU26" s="272">
        <f t="shared" si="39"/>
        <v>5.798</v>
      </c>
      <c r="CV26" s="249">
        <f t="shared" si="14"/>
        <v>74.003152799999995</v>
      </c>
      <c r="CW26" s="12">
        <f t="shared" si="14"/>
        <v>0</v>
      </c>
      <c r="CX26" s="249">
        <f t="shared" si="14"/>
        <v>0</v>
      </c>
      <c r="CY26" s="274">
        <f t="shared" si="14"/>
        <v>112.41615880000001</v>
      </c>
      <c r="CZ26" s="13"/>
      <c r="DA26" s="240">
        <f>(D26+'[2]ноябрь 20'!D26)/(AY26+'[2]ноябрь 20'!BA26)</f>
        <v>2.5733789787764496</v>
      </c>
      <c r="DB26" s="241">
        <f>(T26+'[2]ноябрь 20'!T26)/(AY26+'[2]ноябрь 20'!BA26)</f>
        <v>1.5236825148628779</v>
      </c>
      <c r="DD26" s="292">
        <f t="shared" si="15"/>
        <v>11.617000000000001</v>
      </c>
      <c r="DE26" s="291">
        <v>0.19</v>
      </c>
      <c r="DF26" s="291">
        <v>16.899999999999999</v>
      </c>
      <c r="DG26" s="145">
        <f t="shared" si="16"/>
        <v>11.594927700000001</v>
      </c>
      <c r="DH26" s="293">
        <f t="shared" si="35"/>
        <v>2.5861723390523954</v>
      </c>
      <c r="DJ26" s="406">
        <v>58.082000000000001</v>
      </c>
      <c r="DK26" s="460">
        <f t="shared" si="36"/>
        <v>84.581999999999994</v>
      </c>
      <c r="DL26" s="30">
        <v>70.805999999999997</v>
      </c>
      <c r="DM26" s="460">
        <f t="shared" si="37"/>
        <v>75.605999999999995</v>
      </c>
    </row>
    <row r="27" spans="1:117" s="76" customFormat="1" ht="16.5" customHeight="1" thickBot="1">
      <c r="A27" s="144">
        <v>21</v>
      </c>
      <c r="B27" s="122">
        <f t="shared" si="17"/>
        <v>311.81</v>
      </c>
      <c r="C27" s="123">
        <f t="shared" si="18"/>
        <v>2.3748823963310994</v>
      </c>
      <c r="D27" s="145">
        <f t="shared" si="19"/>
        <v>304.40487919999998</v>
      </c>
      <c r="E27" s="125">
        <f t="shared" si="20"/>
        <v>39.593749847663645</v>
      </c>
      <c r="F27" s="146">
        <f t="shared" si="0"/>
        <v>2.3967000960554286</v>
      </c>
      <c r="G27" s="127"/>
      <c r="H27" s="126">
        <f t="shared" si="21"/>
        <v>1.692550816471144</v>
      </c>
      <c r="I27" s="230">
        <f>'[1]июль 20'!AI26</f>
        <v>0</v>
      </c>
      <c r="J27" s="247">
        <f>'[1]ноябрь 20'!AA26</f>
        <v>11.522</v>
      </c>
      <c r="K27" s="464">
        <f>'[1]сентябрь 20'!AM26</f>
        <v>0</v>
      </c>
      <c r="L27" s="446">
        <f t="shared" si="22"/>
        <v>89.433999999999997</v>
      </c>
      <c r="M27" s="469">
        <f t="shared" si="23"/>
        <v>0.70414927958428464</v>
      </c>
      <c r="N27" s="403">
        <f>'[1]ноябрь 20'!W26</f>
        <v>0</v>
      </c>
      <c r="O27" s="403">
        <f>'[1]ноябрь 20'!AU26</f>
        <v>7.4829999999999997</v>
      </c>
      <c r="P27" s="401">
        <f t="shared" si="1"/>
        <v>189.09100000000001</v>
      </c>
      <c r="Q27" s="122">
        <f t="shared" si="24"/>
        <v>189.09100000000001</v>
      </c>
      <c r="R27" s="123">
        <f t="shared" si="25"/>
        <v>1.73</v>
      </c>
      <c r="S27" s="129"/>
      <c r="T27" s="125">
        <f t="shared" si="2"/>
        <v>185.81972569999999</v>
      </c>
      <c r="U27" s="147">
        <f t="shared" si="3"/>
        <v>1.46303224706716</v>
      </c>
      <c r="V27" s="130">
        <v>127.01</v>
      </c>
      <c r="W27" s="130">
        <v>127.01</v>
      </c>
      <c r="X27" s="129">
        <v>0.47</v>
      </c>
      <c r="Y27" s="150">
        <v>530</v>
      </c>
      <c r="Z27" s="150">
        <v>1156</v>
      </c>
      <c r="AA27" s="148" t="s">
        <v>174</v>
      </c>
      <c r="AB27" s="149">
        <v>76.3</v>
      </c>
      <c r="AC27" s="150">
        <v>114</v>
      </c>
      <c r="AD27" s="151">
        <v>5</v>
      </c>
      <c r="AE27" s="149"/>
      <c r="AF27" s="134">
        <f t="shared" si="4"/>
        <v>0</v>
      </c>
      <c r="AG27" s="152"/>
      <c r="AH27" s="129">
        <v>94.4</v>
      </c>
      <c r="AI27" s="134">
        <f t="shared" si="5"/>
        <v>743.24856310526729</v>
      </c>
      <c r="AJ27" s="136">
        <v>17.899999999999999</v>
      </c>
      <c r="AK27" s="154"/>
      <c r="AL27" s="155">
        <v>9.23</v>
      </c>
      <c r="AM27" s="478">
        <f t="shared" si="38"/>
        <v>33.610000000000007</v>
      </c>
      <c r="AN27" s="126">
        <f t="shared" si="27"/>
        <v>0.20000000000000004</v>
      </c>
      <c r="AO27" s="157" t="s">
        <v>294</v>
      </c>
      <c r="AP27" s="156">
        <v>6.46</v>
      </c>
      <c r="AQ27" s="156">
        <v>8.15</v>
      </c>
      <c r="AR27" s="151"/>
      <c r="AS27" s="149">
        <v>11.09</v>
      </c>
      <c r="AT27" s="149">
        <v>168.05</v>
      </c>
      <c r="AU27" s="149">
        <v>1.8</v>
      </c>
      <c r="AV27" s="164"/>
      <c r="AW27" s="149"/>
      <c r="AX27" s="158">
        <f t="shared" si="6"/>
        <v>0</v>
      </c>
      <c r="AY27" s="125">
        <f t="shared" si="7"/>
        <v>127.01</v>
      </c>
      <c r="AZ27" s="125">
        <f t="shared" si="28"/>
        <v>140.28956704485623</v>
      </c>
      <c r="BA27" s="159">
        <f t="shared" si="8"/>
        <v>8.1097577464788717</v>
      </c>
      <c r="BB27" s="160">
        <f t="shared" si="9"/>
        <v>5.0804</v>
      </c>
      <c r="BC27" s="161">
        <f t="shared" si="10"/>
        <v>0.8040521355969571</v>
      </c>
      <c r="BD27" s="160">
        <f t="shared" si="29"/>
        <v>13.190157746478871</v>
      </c>
      <c r="BE27" s="162">
        <v>0.79300000000000004</v>
      </c>
      <c r="BF27" s="25">
        <f t="shared" si="30"/>
        <v>2455.23</v>
      </c>
      <c r="BG27" s="25">
        <f t="shared" si="11"/>
        <v>125.66666666666667</v>
      </c>
      <c r="BH27" s="25">
        <f t="shared" si="31"/>
        <v>2639</v>
      </c>
      <c r="BI27" s="26">
        <f t="shared" si="12"/>
        <v>1</v>
      </c>
      <c r="BJ27" s="37">
        <f t="shared" si="32"/>
        <v>2639</v>
      </c>
      <c r="BK27" s="38">
        <v>222.376</v>
      </c>
      <c r="BL27" s="31"/>
      <c r="BM27" s="31"/>
      <c r="BN27" s="28">
        <f t="shared" si="33"/>
        <v>83.765999999999991</v>
      </c>
      <c r="BO27" s="42"/>
      <c r="BP27" s="40"/>
      <c r="BQ27" s="411">
        <v>5.6680000000000001</v>
      </c>
      <c r="BR27" s="33">
        <v>3.33</v>
      </c>
      <c r="BS27" s="34"/>
      <c r="BT27" s="35"/>
      <c r="BU27" s="35"/>
      <c r="BV27" s="235"/>
      <c r="BW27" s="235"/>
      <c r="BX27" s="36"/>
      <c r="BY27" s="33">
        <v>38.18</v>
      </c>
      <c r="BZ27" s="34"/>
      <c r="CA27" s="35"/>
      <c r="CB27" s="405">
        <v>43.09</v>
      </c>
      <c r="CC27" s="404"/>
      <c r="CD27" s="235"/>
      <c r="CE27" s="413">
        <v>43.39</v>
      </c>
      <c r="CF27" s="28">
        <f t="shared" si="34"/>
        <v>74.378999999999991</v>
      </c>
      <c r="CG27" s="30"/>
      <c r="CH27" s="31"/>
      <c r="CI27" s="32">
        <v>114.712</v>
      </c>
      <c r="CJ27" s="33">
        <v>1.73</v>
      </c>
      <c r="CK27" s="33"/>
      <c r="CL27" s="35"/>
      <c r="CM27" s="36">
        <v>1.73</v>
      </c>
      <c r="CN27" s="286"/>
      <c r="CO27" s="249">
        <f t="shared" si="39"/>
        <v>214.97087920000001</v>
      </c>
      <c r="CP27" s="12">
        <f t="shared" si="39"/>
        <v>0</v>
      </c>
      <c r="CQ27" s="12">
        <f t="shared" si="39"/>
        <v>0</v>
      </c>
      <c r="CR27" s="12">
        <f t="shared" si="39"/>
        <v>83.765999999999991</v>
      </c>
      <c r="CS27" s="11">
        <f t="shared" si="39"/>
        <v>0</v>
      </c>
      <c r="CT27" s="11">
        <f t="shared" si="39"/>
        <v>0</v>
      </c>
      <c r="CU27" s="272">
        <f t="shared" si="39"/>
        <v>5.6680000000000001</v>
      </c>
      <c r="CV27" s="249">
        <f t="shared" si="14"/>
        <v>73.092243299999978</v>
      </c>
      <c r="CW27" s="11">
        <f t="shared" si="14"/>
        <v>0</v>
      </c>
      <c r="CX27" s="249">
        <f t="shared" si="14"/>
        <v>0</v>
      </c>
      <c r="CY27" s="272">
        <f t="shared" si="14"/>
        <v>112.7274824</v>
      </c>
      <c r="CZ27" s="13"/>
      <c r="DA27" s="240">
        <f>(D27+'[2]ноябрь 20'!D27)/(AY27+'[2]ноябрь 20'!BA27)</f>
        <v>2.1473305932994946</v>
      </c>
      <c r="DB27" s="241">
        <f>(T27+'[2]ноябрь 20'!T27)/(AY27+'[2]ноябрь 20'!BA27)</f>
        <v>1.2911418557354761</v>
      </c>
      <c r="DD27" s="292">
        <f t="shared" si="15"/>
        <v>11.522</v>
      </c>
      <c r="DE27" s="291">
        <v>0.15</v>
      </c>
      <c r="DF27" s="291">
        <v>15.84</v>
      </c>
      <c r="DG27" s="145">
        <f t="shared" si="16"/>
        <v>11.504716999999999</v>
      </c>
      <c r="DH27" s="293">
        <f t="shared" si="35"/>
        <v>2.3883973431192658</v>
      </c>
      <c r="DJ27" s="234">
        <v>57.265999999999998</v>
      </c>
      <c r="DK27" s="460">
        <f t="shared" si="36"/>
        <v>83.765999999999991</v>
      </c>
      <c r="DL27" s="30">
        <v>69.578999999999994</v>
      </c>
      <c r="DM27" s="460">
        <f t="shared" si="37"/>
        <v>74.378999999999991</v>
      </c>
    </row>
    <row r="28" spans="1:117" s="76" customFormat="1" ht="16.5" customHeight="1" thickBot="1">
      <c r="A28" s="144">
        <v>22</v>
      </c>
      <c r="B28" s="122">
        <f t="shared" si="17"/>
        <v>311.40300000000002</v>
      </c>
      <c r="C28" s="123">
        <f t="shared" si="18"/>
        <v>1.8061539869558092</v>
      </c>
      <c r="D28" s="145">
        <f t="shared" si="19"/>
        <v>305.77858230000004</v>
      </c>
      <c r="E28" s="125">
        <f t="shared" si="20"/>
        <v>39.032850646910909</v>
      </c>
      <c r="F28" s="146">
        <f t="shared" si="0"/>
        <v>2.3079370692127714</v>
      </c>
      <c r="G28" s="127">
        <v>22.11</v>
      </c>
      <c r="H28" s="126">
        <f t="shared" si="21"/>
        <v>1.6354787704732434</v>
      </c>
      <c r="I28" s="230">
        <f>'[1]июль 20'!AI27</f>
        <v>0</v>
      </c>
      <c r="J28" s="247">
        <f>'[1]ноябрь 20'!AA27</f>
        <v>11.241</v>
      </c>
      <c r="K28" s="464">
        <f>'[1]сентябрь 20'!AM27</f>
        <v>0</v>
      </c>
      <c r="L28" s="446">
        <f t="shared" si="22"/>
        <v>89.093999999999994</v>
      </c>
      <c r="M28" s="468">
        <f t="shared" si="23"/>
        <v>0.67245829873952756</v>
      </c>
      <c r="N28" s="403">
        <f>'[1]ноябрь 20'!W27</f>
        <v>0</v>
      </c>
      <c r="O28" s="403">
        <f>'[1]ноябрь 20'!AU27</f>
        <v>8.4420000000000002</v>
      </c>
      <c r="P28" s="401">
        <f t="shared" si="1"/>
        <v>188.86099999999999</v>
      </c>
      <c r="Q28" s="122">
        <f t="shared" si="24"/>
        <v>188.86099999999999</v>
      </c>
      <c r="R28" s="123">
        <f t="shared" si="25"/>
        <v>2.06</v>
      </c>
      <c r="S28" s="129"/>
      <c r="T28" s="125">
        <f t="shared" si="2"/>
        <v>184.97046339999997</v>
      </c>
      <c r="U28" s="147">
        <f t="shared" si="3"/>
        <v>1.3961088640652124</v>
      </c>
      <c r="V28" s="130">
        <v>132.49</v>
      </c>
      <c r="W28" s="130">
        <v>105.8</v>
      </c>
      <c r="X28" s="129">
        <v>0.79</v>
      </c>
      <c r="Y28" s="150">
        <v>570</v>
      </c>
      <c r="Z28" s="150">
        <v>1158</v>
      </c>
      <c r="AA28" s="148" t="s">
        <v>159</v>
      </c>
      <c r="AB28" s="149">
        <v>75.83</v>
      </c>
      <c r="AC28" s="150">
        <v>114</v>
      </c>
      <c r="AD28" s="151">
        <v>5</v>
      </c>
      <c r="AE28" s="149"/>
      <c r="AF28" s="134">
        <f t="shared" si="4"/>
        <v>0</v>
      </c>
      <c r="AG28" s="152"/>
      <c r="AH28" s="129">
        <v>82.85</v>
      </c>
      <c r="AI28" s="134">
        <f t="shared" si="5"/>
        <v>625.33021360102657</v>
      </c>
      <c r="AJ28" s="153">
        <v>15.62</v>
      </c>
      <c r="AK28" s="154"/>
      <c r="AL28" s="155">
        <v>10.77</v>
      </c>
      <c r="AM28" s="478">
        <f t="shared" si="38"/>
        <v>35.110000000000007</v>
      </c>
      <c r="AN28" s="126">
        <f t="shared" si="27"/>
        <v>0.2</v>
      </c>
      <c r="AO28" s="157" t="s">
        <v>429</v>
      </c>
      <c r="AP28" s="156">
        <v>7.19</v>
      </c>
      <c r="AQ28" s="156">
        <v>8.48</v>
      </c>
      <c r="AR28" s="151"/>
      <c r="AS28" s="149">
        <v>8.31</v>
      </c>
      <c r="AT28" s="149">
        <v>175.55</v>
      </c>
      <c r="AU28" s="149">
        <v>2.82</v>
      </c>
      <c r="AV28" s="164"/>
      <c r="AW28" s="149"/>
      <c r="AX28" s="158">
        <f t="shared" si="6"/>
        <v>0</v>
      </c>
      <c r="AY28" s="125">
        <f t="shared" si="7"/>
        <v>132.48999999999998</v>
      </c>
      <c r="AZ28" s="125">
        <f t="shared" si="28"/>
        <v>139.89863656871515</v>
      </c>
      <c r="BA28" s="159">
        <f t="shared" si="8"/>
        <v>5.333322887323944</v>
      </c>
      <c r="BB28" s="160">
        <f t="shared" si="9"/>
        <v>5.299599999999999</v>
      </c>
      <c r="BC28" s="161">
        <f t="shared" si="10"/>
        <v>0.84175716828813274</v>
      </c>
      <c r="BD28" s="160">
        <f t="shared" si="29"/>
        <v>10.632922887323943</v>
      </c>
      <c r="BE28" s="162">
        <v>0.79600000000000004</v>
      </c>
      <c r="BF28" s="25">
        <f t="shared" si="30"/>
        <v>2587.7199999999998</v>
      </c>
      <c r="BG28" s="25">
        <f t="shared" si="11"/>
        <v>125.66666666666667</v>
      </c>
      <c r="BH28" s="25">
        <f t="shared" si="31"/>
        <v>2764.6666666666665</v>
      </c>
      <c r="BI28" s="26">
        <f t="shared" si="12"/>
        <v>1</v>
      </c>
      <c r="BJ28" s="37">
        <f t="shared" si="32"/>
        <v>2764.6666666666665</v>
      </c>
      <c r="BK28" s="38">
        <v>222.309</v>
      </c>
      <c r="BL28" s="31"/>
      <c r="BM28" s="31"/>
      <c r="BN28" s="28">
        <f t="shared" si="33"/>
        <v>83.387</v>
      </c>
      <c r="BO28" s="42"/>
      <c r="BP28" s="40"/>
      <c r="BQ28" s="411">
        <v>5.7069999999999999</v>
      </c>
      <c r="BR28" s="33">
        <v>2.5299999999999998</v>
      </c>
      <c r="BS28" s="34"/>
      <c r="BT28" s="35"/>
      <c r="BU28" s="35"/>
      <c r="BV28" s="235"/>
      <c r="BW28" s="235"/>
      <c r="BX28" s="36"/>
      <c r="BY28" s="33">
        <v>37.11</v>
      </c>
      <c r="BZ28" s="34"/>
      <c r="CA28" s="35"/>
      <c r="CB28" s="405">
        <v>43.85</v>
      </c>
      <c r="CC28" s="404"/>
      <c r="CD28" s="235"/>
      <c r="CE28" s="36">
        <v>43.55</v>
      </c>
      <c r="CF28" s="28">
        <f t="shared" si="34"/>
        <v>74.272999999999996</v>
      </c>
      <c r="CG28" s="30"/>
      <c r="CH28" s="31"/>
      <c r="CI28" s="32">
        <v>114.58799999999999</v>
      </c>
      <c r="CJ28" s="33">
        <v>2.06</v>
      </c>
      <c r="CK28" s="33"/>
      <c r="CL28" s="35"/>
      <c r="CM28" s="36">
        <v>2.06</v>
      </c>
      <c r="CN28" s="286"/>
      <c r="CO28" s="249">
        <f t="shared" si="39"/>
        <v>216.68458229999999</v>
      </c>
      <c r="CP28" s="12">
        <f t="shared" si="39"/>
        <v>0</v>
      </c>
      <c r="CQ28" s="12">
        <f t="shared" si="39"/>
        <v>0</v>
      </c>
      <c r="CR28" s="12">
        <f t="shared" si="39"/>
        <v>83.387</v>
      </c>
      <c r="CS28" s="11">
        <f t="shared" si="39"/>
        <v>0</v>
      </c>
      <c r="CT28" s="11">
        <f t="shared" si="39"/>
        <v>0</v>
      </c>
      <c r="CU28" s="272">
        <f t="shared" si="39"/>
        <v>5.7069999999999999</v>
      </c>
      <c r="CV28" s="249">
        <f t="shared" si="14"/>
        <v>72.742976199999987</v>
      </c>
      <c r="CW28" s="12">
        <f t="shared" si="14"/>
        <v>0</v>
      </c>
      <c r="CX28" s="249">
        <f t="shared" si="14"/>
        <v>0</v>
      </c>
      <c r="CY28" s="272">
        <f t="shared" si="14"/>
        <v>112.22748719999998</v>
      </c>
      <c r="CZ28" s="13"/>
      <c r="DA28" s="240">
        <f>(D28+'[2]ноябрь 20'!D28)/(AY28+'[2]ноябрь 20'!BA28)</f>
        <v>2.2105053471496006</v>
      </c>
      <c r="DB28" s="241">
        <f>(T28+'[2]ноябрь 20'!T28)/(AY28+'[2]ноябрь 20'!BA28)</f>
        <v>1.3140017859289026</v>
      </c>
      <c r="DD28" s="292">
        <f t="shared" si="15"/>
        <v>11.241</v>
      </c>
      <c r="DE28" s="305">
        <v>0.21</v>
      </c>
      <c r="DF28" s="291">
        <v>16.84</v>
      </c>
      <c r="DG28" s="145">
        <f t="shared" si="16"/>
        <v>11.217393899999999</v>
      </c>
      <c r="DH28" s="293">
        <f t="shared" si="35"/>
        <v>2.4911105535540021</v>
      </c>
      <c r="DJ28" s="234">
        <v>56.887</v>
      </c>
      <c r="DK28" s="460">
        <f t="shared" si="36"/>
        <v>83.387</v>
      </c>
      <c r="DL28" s="30">
        <v>69.472999999999999</v>
      </c>
      <c r="DM28" s="460">
        <f t="shared" si="37"/>
        <v>74.272999999999996</v>
      </c>
    </row>
    <row r="29" spans="1:117" s="76" customFormat="1" ht="16.5" customHeight="1" thickBot="1">
      <c r="A29" s="144">
        <v>23</v>
      </c>
      <c r="B29" s="122">
        <f t="shared" si="17"/>
        <v>319.37299999999999</v>
      </c>
      <c r="C29" s="123">
        <f t="shared" si="18"/>
        <v>0.79371362012443147</v>
      </c>
      <c r="D29" s="145">
        <f t="shared" si="19"/>
        <v>316.83809299999996</v>
      </c>
      <c r="E29" s="125">
        <f t="shared" si="20"/>
        <v>39.415483838646352</v>
      </c>
      <c r="F29" s="146">
        <f t="shared" si="0"/>
        <v>2.2960945938111452</v>
      </c>
      <c r="G29" s="127">
        <v>38.67</v>
      </c>
      <c r="H29" s="126">
        <f t="shared" si="21"/>
        <v>1.6366047757083846</v>
      </c>
      <c r="I29" s="230">
        <f>'[1]июль 20'!AI28</f>
        <v>0</v>
      </c>
      <c r="J29" s="247">
        <f>'[1]ноябрь 20'!AA28</f>
        <v>11.933</v>
      </c>
      <c r="K29" s="464">
        <f>'[1]сентябрь 20'!AM28</f>
        <v>0</v>
      </c>
      <c r="L29" s="446">
        <f t="shared" si="22"/>
        <v>91.003</v>
      </c>
      <c r="M29" s="469">
        <f t="shared" si="23"/>
        <v>0.65948981810276097</v>
      </c>
      <c r="N29" s="403">
        <f>'[1]ноябрь 20'!W28</f>
        <v>0</v>
      </c>
      <c r="O29" s="403">
        <f>'[1]ноябрь 20'!AU28</f>
        <v>9.2959999999999994</v>
      </c>
      <c r="P29" s="401">
        <f t="shared" si="1"/>
        <v>192.47</v>
      </c>
      <c r="Q29" s="122">
        <f t="shared" si="24"/>
        <v>192.47</v>
      </c>
      <c r="R29" s="123">
        <f t="shared" si="25"/>
        <v>2.21</v>
      </c>
      <c r="S29" s="129">
        <v>34.76</v>
      </c>
      <c r="T29" s="125">
        <f t="shared" si="2"/>
        <v>188.21641300000002</v>
      </c>
      <c r="U29" s="147">
        <f t="shared" si="3"/>
        <v>1.3639858902819044</v>
      </c>
      <c r="V29" s="130">
        <v>137.99</v>
      </c>
      <c r="W29" s="130">
        <v>82.34</v>
      </c>
      <c r="X29" s="129">
        <v>0.82</v>
      </c>
      <c r="Y29" s="150">
        <v>558</v>
      </c>
      <c r="Z29" s="150">
        <v>1170</v>
      </c>
      <c r="AA29" s="148" t="s">
        <v>141</v>
      </c>
      <c r="AB29" s="149">
        <v>75.989999999999995</v>
      </c>
      <c r="AC29" s="150">
        <v>117</v>
      </c>
      <c r="AD29" s="151">
        <v>5</v>
      </c>
      <c r="AE29" s="149"/>
      <c r="AF29" s="134">
        <f t="shared" si="4"/>
        <v>0</v>
      </c>
      <c r="AG29" s="152"/>
      <c r="AH29" s="129">
        <v>93.2</v>
      </c>
      <c r="AI29" s="134">
        <f t="shared" si="5"/>
        <v>675.41126168562937</v>
      </c>
      <c r="AJ29" s="136">
        <v>21.32</v>
      </c>
      <c r="AK29" s="154"/>
      <c r="AL29" s="155">
        <v>8.44</v>
      </c>
      <c r="AM29" s="478">
        <f t="shared" si="38"/>
        <v>35.760000000000005</v>
      </c>
      <c r="AN29" s="126">
        <f t="shared" si="27"/>
        <v>0.2</v>
      </c>
      <c r="AO29" s="157" t="s">
        <v>452</v>
      </c>
      <c r="AP29" s="156">
        <v>6.88</v>
      </c>
      <c r="AQ29" s="156">
        <v>9.6</v>
      </c>
      <c r="AR29" s="149"/>
      <c r="AS29" s="149">
        <v>8.93</v>
      </c>
      <c r="AT29" s="149">
        <v>178.8</v>
      </c>
      <c r="AU29" s="149">
        <v>3.39</v>
      </c>
      <c r="AV29" s="164"/>
      <c r="AW29" s="149"/>
      <c r="AX29" s="158">
        <f t="shared" si="6"/>
        <v>0</v>
      </c>
      <c r="AY29" s="125">
        <f t="shared" si="7"/>
        <v>137.99</v>
      </c>
      <c r="AZ29" s="125">
        <f t="shared" si="28"/>
        <v>145.30825267773633</v>
      </c>
      <c r="BA29" s="159">
        <f t="shared" si="8"/>
        <v>6.447208450704224</v>
      </c>
      <c r="BB29" s="160">
        <f t="shared" si="9"/>
        <v>5.5196000000000005</v>
      </c>
      <c r="BC29" s="161">
        <f t="shared" si="10"/>
        <v>0.83965292735016728</v>
      </c>
      <c r="BD29" s="160">
        <f t="shared" si="29"/>
        <v>11.966808450704224</v>
      </c>
      <c r="BE29" s="162">
        <v>0.79800000000000004</v>
      </c>
      <c r="BF29" s="25">
        <f t="shared" si="30"/>
        <v>2725.71</v>
      </c>
      <c r="BG29" s="25">
        <f t="shared" si="11"/>
        <v>125.66666666666667</v>
      </c>
      <c r="BH29" s="25">
        <f t="shared" si="31"/>
        <v>2890.333333333333</v>
      </c>
      <c r="BI29" s="26">
        <f t="shared" si="12"/>
        <v>1</v>
      </c>
      <c r="BJ29" s="37">
        <f t="shared" si="32"/>
        <v>2890.333333333333</v>
      </c>
      <c r="BK29" s="328">
        <v>228.37</v>
      </c>
      <c r="BL29" s="31"/>
      <c r="BM29" s="31"/>
      <c r="BN29" s="28">
        <f t="shared" si="33"/>
        <v>85.12</v>
      </c>
      <c r="BO29" s="40"/>
      <c r="BP29" s="40"/>
      <c r="BQ29" s="32">
        <v>5.883</v>
      </c>
      <c r="BR29" s="33">
        <v>1.1100000000000001</v>
      </c>
      <c r="BS29" s="34"/>
      <c r="BT29" s="35"/>
      <c r="BU29" s="35"/>
      <c r="BV29" s="235"/>
      <c r="BW29" s="235"/>
      <c r="BX29" s="36"/>
      <c r="BY29" s="33">
        <v>37.72</v>
      </c>
      <c r="BZ29" s="34"/>
      <c r="CA29" s="35"/>
      <c r="CB29" s="35">
        <v>43.7</v>
      </c>
      <c r="CC29" s="235"/>
      <c r="CD29" s="235"/>
      <c r="CE29" s="36">
        <v>43.24</v>
      </c>
      <c r="CF29" s="28">
        <f t="shared" si="34"/>
        <v>76.204999999999998</v>
      </c>
      <c r="CG29" s="30"/>
      <c r="CH29" s="31"/>
      <c r="CI29" s="32">
        <v>116.265</v>
      </c>
      <c r="CJ29" s="33">
        <v>2.21</v>
      </c>
      <c r="CK29" s="33"/>
      <c r="CL29" s="35"/>
      <c r="CM29" s="36">
        <v>2.21</v>
      </c>
      <c r="CN29" s="286"/>
      <c r="CO29" s="249">
        <f t="shared" si="39"/>
        <v>225.835093</v>
      </c>
      <c r="CP29" s="12">
        <f t="shared" si="39"/>
        <v>0</v>
      </c>
      <c r="CQ29" s="12">
        <f t="shared" si="39"/>
        <v>0</v>
      </c>
      <c r="CR29" s="12">
        <f t="shared" si="39"/>
        <v>85.12</v>
      </c>
      <c r="CS29" s="11">
        <f t="shared" si="39"/>
        <v>0</v>
      </c>
      <c r="CT29" s="11">
        <f t="shared" si="39"/>
        <v>0</v>
      </c>
      <c r="CU29" s="272">
        <f t="shared" si="39"/>
        <v>5.883</v>
      </c>
      <c r="CV29" s="249">
        <f t="shared" si="14"/>
        <v>74.520869500000003</v>
      </c>
      <c r="CW29" s="12">
        <f t="shared" si="14"/>
        <v>0</v>
      </c>
      <c r="CX29" s="249">
        <f t="shared" si="14"/>
        <v>0</v>
      </c>
      <c r="CY29" s="272">
        <f t="shared" si="14"/>
        <v>113.69554350000001</v>
      </c>
      <c r="CZ29" s="13"/>
      <c r="DA29" s="240">
        <f>(D29+'[2]ноябрь 20'!D29)/(AY29+'[2]ноябрь 20'!BA29)</f>
        <v>2.0733241416764989</v>
      </c>
      <c r="DB29" s="241">
        <f>(T29+'[2]ноябрь 20'!T29)/(AY29+'[2]ноябрь 20'!BA29)</f>
        <v>1.211870004480833</v>
      </c>
      <c r="DD29" s="292">
        <f t="shared" si="15"/>
        <v>11.933</v>
      </c>
      <c r="DE29" s="291">
        <v>0.56000000000000005</v>
      </c>
      <c r="DF29" s="291">
        <v>11.77</v>
      </c>
      <c r="DG29" s="145">
        <f t="shared" si="16"/>
        <v>11.866175199999999</v>
      </c>
      <c r="DH29" s="293">
        <f t="shared" si="35"/>
        <v>1.8379376510593499</v>
      </c>
      <c r="DJ29" s="31">
        <v>58.62</v>
      </c>
      <c r="DK29" s="460">
        <f t="shared" si="36"/>
        <v>85.12</v>
      </c>
      <c r="DL29" s="30">
        <v>71.405000000000001</v>
      </c>
      <c r="DM29" s="460">
        <f t="shared" si="37"/>
        <v>76.204999999999998</v>
      </c>
    </row>
    <row r="30" spans="1:117" s="76" customFormat="1" ht="16.5" customHeight="1" thickBot="1">
      <c r="A30" s="144">
        <v>24</v>
      </c>
      <c r="B30" s="122">
        <f t="shared" si="17"/>
        <v>306.86399999999998</v>
      </c>
      <c r="C30" s="123">
        <f t="shared" si="18"/>
        <v>1.6254985922102299</v>
      </c>
      <c r="D30" s="145">
        <f t="shared" si="19"/>
        <v>301.87592999999993</v>
      </c>
      <c r="E30" s="125">
        <f t="shared" si="20"/>
        <v>39.317689367276714</v>
      </c>
      <c r="F30" s="146">
        <f t="shared" si="0"/>
        <v>2.3289301805276961</v>
      </c>
      <c r="G30" s="127">
        <v>28.02</v>
      </c>
      <c r="H30" s="126">
        <f t="shared" si="21"/>
        <v>1.6493359821015277</v>
      </c>
      <c r="I30" s="230">
        <f>'[1]июль 20'!AI29</f>
        <v>0</v>
      </c>
      <c r="J30" s="247">
        <f>'[1]ноябрь 20'!AA29</f>
        <v>11.246</v>
      </c>
      <c r="K30" s="464">
        <f>'[1]сентябрь 20'!AM29</f>
        <v>0</v>
      </c>
      <c r="L30" s="446">
        <f t="shared" si="22"/>
        <v>88.088999999999999</v>
      </c>
      <c r="M30" s="468">
        <f t="shared" si="23"/>
        <v>0.67959419842616886</v>
      </c>
      <c r="N30" s="403">
        <f>'[1]ноябрь 20'!W29</f>
        <v>0</v>
      </c>
      <c r="O30" s="403">
        <f>'[1]ноябрь 20'!AU29</f>
        <v>8.8689999999999998</v>
      </c>
      <c r="P30" s="401">
        <f t="shared" si="1"/>
        <v>184.31599999999997</v>
      </c>
      <c r="Q30" s="122">
        <f t="shared" si="24"/>
        <v>184.31599999999997</v>
      </c>
      <c r="R30" s="123">
        <f t="shared" si="25"/>
        <v>2.25</v>
      </c>
      <c r="S30" s="129">
        <v>2.33</v>
      </c>
      <c r="T30" s="125">
        <f t="shared" si="2"/>
        <v>180.16888999999998</v>
      </c>
      <c r="U30" s="147">
        <f t="shared" si="3"/>
        <v>1.3899775497608395</v>
      </c>
      <c r="V30" s="169">
        <v>104.8</v>
      </c>
      <c r="W30" s="169">
        <v>102.8</v>
      </c>
      <c r="X30" s="170">
        <v>0.8</v>
      </c>
      <c r="Y30" s="166">
        <v>555</v>
      </c>
      <c r="Z30" s="166">
        <v>1169</v>
      </c>
      <c r="AA30" s="148" t="s">
        <v>159</v>
      </c>
      <c r="AB30" s="164">
        <v>75.87</v>
      </c>
      <c r="AC30" s="166">
        <v>112</v>
      </c>
      <c r="AD30" s="171">
        <v>5</v>
      </c>
      <c r="AE30" s="164"/>
      <c r="AF30" s="172">
        <f t="shared" si="4"/>
        <v>0</v>
      </c>
      <c r="AG30" s="173"/>
      <c r="AH30" s="170">
        <v>97.45</v>
      </c>
      <c r="AI30" s="134">
        <f t="shared" si="5"/>
        <v>751.81299182224984</v>
      </c>
      <c r="AJ30" s="174">
        <v>17.63</v>
      </c>
      <c r="AK30" s="175"/>
      <c r="AL30" s="176">
        <v>7.87</v>
      </c>
      <c r="AM30" s="478">
        <f t="shared" si="38"/>
        <v>33.869999999999997</v>
      </c>
      <c r="AN30" s="126">
        <f t="shared" si="27"/>
        <v>0.19999999999999998</v>
      </c>
      <c r="AO30" s="178" t="s">
        <v>351</v>
      </c>
      <c r="AP30" s="177">
        <v>7.17</v>
      </c>
      <c r="AQ30" s="177">
        <v>8.8000000000000007</v>
      </c>
      <c r="AR30" s="171"/>
      <c r="AS30" s="164">
        <v>8.7799999999999994</v>
      </c>
      <c r="AT30" s="149">
        <v>169.35</v>
      </c>
      <c r="AU30" s="164">
        <v>2.0099999999999998</v>
      </c>
      <c r="AV30" s="164"/>
      <c r="AW30" s="164"/>
      <c r="AX30" s="179">
        <f t="shared" si="6"/>
        <v>0</v>
      </c>
      <c r="AY30" s="125">
        <f t="shared" si="7"/>
        <v>129.61999999999998</v>
      </c>
      <c r="AZ30" s="125">
        <f t="shared" si="28"/>
        <v>138.8043968084836</v>
      </c>
      <c r="BA30" s="159">
        <f t="shared" si="8"/>
        <v>6.6279725352112679</v>
      </c>
      <c r="BB30" s="159">
        <f t="shared" si="9"/>
        <v>5.1847999999999992</v>
      </c>
      <c r="BC30" s="180">
        <f t="shared" si="10"/>
        <v>0.82856317601859086</v>
      </c>
      <c r="BD30" s="159">
        <f t="shared" si="29"/>
        <v>11.812772535211266</v>
      </c>
      <c r="BE30" s="167">
        <v>0.79900000000000004</v>
      </c>
      <c r="BF30" s="25">
        <f t="shared" si="30"/>
        <v>2855.33</v>
      </c>
      <c r="BG30" s="25">
        <f t="shared" si="11"/>
        <v>125.66666666666667</v>
      </c>
      <c r="BH30" s="25">
        <f t="shared" si="31"/>
        <v>3015.9999999999995</v>
      </c>
      <c r="BI30" s="26">
        <f t="shared" si="12"/>
        <v>1</v>
      </c>
      <c r="BJ30" s="37">
        <f t="shared" si="32"/>
        <v>3015.9999999999995</v>
      </c>
      <c r="BK30" s="38">
        <v>218.77500000000001</v>
      </c>
      <c r="BL30" s="31"/>
      <c r="BM30" s="31"/>
      <c r="BN30" s="28">
        <f t="shared" si="33"/>
        <v>82.451999999999998</v>
      </c>
      <c r="BO30" s="40"/>
      <c r="BP30" s="40"/>
      <c r="BQ30" s="44">
        <v>5.6369999999999996</v>
      </c>
      <c r="BR30" s="45">
        <v>2.2799999999999998</v>
      </c>
      <c r="BS30" s="46"/>
      <c r="BT30" s="47"/>
      <c r="BU30" s="47"/>
      <c r="BV30" s="283"/>
      <c r="BW30" s="283"/>
      <c r="BX30" s="48"/>
      <c r="BY30" s="45">
        <v>37.67</v>
      </c>
      <c r="BZ30" s="46"/>
      <c r="CA30" s="47"/>
      <c r="CB30" s="47">
        <v>43.39</v>
      </c>
      <c r="CC30" s="283"/>
      <c r="CD30" s="283"/>
      <c r="CE30" s="48">
        <v>43.7</v>
      </c>
      <c r="CF30" s="28">
        <f t="shared" si="34"/>
        <v>73.164999999999992</v>
      </c>
      <c r="CG30" s="49"/>
      <c r="CH30" s="43"/>
      <c r="CI30" s="32">
        <v>111.151</v>
      </c>
      <c r="CJ30" s="33">
        <v>2.25</v>
      </c>
      <c r="CK30" s="33"/>
      <c r="CL30" s="35"/>
      <c r="CM30" s="36">
        <v>2.25</v>
      </c>
      <c r="CN30" s="286"/>
      <c r="CO30" s="249">
        <f t="shared" si="39"/>
        <v>213.78692999999998</v>
      </c>
      <c r="CP30" s="12">
        <f t="shared" si="39"/>
        <v>0</v>
      </c>
      <c r="CQ30" s="12">
        <f t="shared" si="39"/>
        <v>0</v>
      </c>
      <c r="CR30" s="12">
        <f t="shared" si="39"/>
        <v>82.451999999999998</v>
      </c>
      <c r="CS30" s="11">
        <f t="shared" si="39"/>
        <v>0</v>
      </c>
      <c r="CT30" s="11">
        <f t="shared" si="39"/>
        <v>0</v>
      </c>
      <c r="CU30" s="272">
        <f t="shared" si="39"/>
        <v>5.6369999999999996</v>
      </c>
      <c r="CV30" s="249">
        <f t="shared" si="14"/>
        <v>71.518787499999988</v>
      </c>
      <c r="CW30" s="11">
        <f t="shared" si="14"/>
        <v>0</v>
      </c>
      <c r="CX30" s="252">
        <f t="shared" si="14"/>
        <v>0</v>
      </c>
      <c r="CY30" s="272">
        <f t="shared" si="14"/>
        <v>108.6501025</v>
      </c>
      <c r="CZ30" s="13"/>
      <c r="DA30" s="240">
        <f>(D30+'[2]ноябрь 20'!D30)/(AY30+'[2]ноябрь 20'!BA30)</f>
        <v>2.1959140773537182</v>
      </c>
      <c r="DB30" s="241">
        <f>(T30+'[2]ноябрь 20'!T30)/(AY30+'[2]ноябрь 20'!BA30)</f>
        <v>1.2987626921555386</v>
      </c>
      <c r="DD30" s="292">
        <f t="shared" si="15"/>
        <v>11.246</v>
      </c>
      <c r="DE30" s="291">
        <v>0.18</v>
      </c>
      <c r="DF30" s="291">
        <v>15.09</v>
      </c>
      <c r="DG30" s="145">
        <f t="shared" si="16"/>
        <v>11.2257572</v>
      </c>
      <c r="DH30" s="293">
        <f t="shared" si="35"/>
        <v>2.2327227645709766</v>
      </c>
      <c r="DJ30" s="31">
        <v>55.951999999999998</v>
      </c>
      <c r="DK30" s="460">
        <f t="shared" si="36"/>
        <v>82.451999999999998</v>
      </c>
      <c r="DL30" s="49">
        <v>68.364999999999995</v>
      </c>
      <c r="DM30" s="460">
        <f t="shared" si="37"/>
        <v>73.164999999999992</v>
      </c>
    </row>
    <row r="31" spans="1:117" s="76" customFormat="1" ht="16.5" customHeight="1" thickBot="1">
      <c r="A31" s="144">
        <v>25</v>
      </c>
      <c r="B31" s="122">
        <f t="shared" si="17"/>
        <v>309.52799999999996</v>
      </c>
      <c r="C31" s="123">
        <f t="shared" si="18"/>
        <v>0.99210077925098872</v>
      </c>
      <c r="D31" s="145">
        <f t="shared" si="19"/>
        <v>306.45717029999997</v>
      </c>
      <c r="E31" s="125">
        <f t="shared" si="20"/>
        <v>40.342808792742495</v>
      </c>
      <c r="F31" s="146">
        <f t="shared" si="0"/>
        <v>2.2737584975515652</v>
      </c>
      <c r="G31" s="127">
        <v>19.43</v>
      </c>
      <c r="H31" s="126">
        <f t="shared" si="21"/>
        <v>1.6163538381065439</v>
      </c>
      <c r="I31" s="230">
        <f>'[1]июль 20'!AI30</f>
        <v>0</v>
      </c>
      <c r="J31" s="247">
        <f>'[1]ноябрь 20'!AA30</f>
        <v>11.159000000000001</v>
      </c>
      <c r="K31" s="464">
        <f>'[1]сентябрь 20'!AM30</f>
        <v>0</v>
      </c>
      <c r="L31" s="446">
        <f t="shared" si="22"/>
        <v>88.60499999999999</v>
      </c>
      <c r="M31" s="469">
        <f t="shared" si="23"/>
        <v>0.65740465944502147</v>
      </c>
      <c r="N31" s="403">
        <f>'[1]ноябрь 20'!W30</f>
        <v>0</v>
      </c>
      <c r="O31" s="403">
        <f>'[1]ноябрь 20'!AU30</f>
        <v>7.8470000000000004</v>
      </c>
      <c r="P31" s="401">
        <f t="shared" si="1"/>
        <v>186.35499999999999</v>
      </c>
      <c r="Q31" s="122">
        <f t="shared" si="24"/>
        <v>186.35499999999999</v>
      </c>
      <c r="R31" s="123">
        <f>IF(Q31=0,0,(CI31*CM31+CG31*CK31+CH31*CL31+CF31*CJ31)/Q31)</f>
        <v>2.7999999999999994</v>
      </c>
      <c r="S31" s="129">
        <v>3.07</v>
      </c>
      <c r="T31" s="125">
        <f t="shared" si="2"/>
        <v>181.13705999999999</v>
      </c>
      <c r="U31" s="147">
        <f t="shared" si="3"/>
        <v>1.3439461344413117</v>
      </c>
      <c r="V31" s="130">
        <v>134.78</v>
      </c>
      <c r="W31" s="130">
        <v>106.31</v>
      </c>
      <c r="X31" s="129">
        <v>0.71</v>
      </c>
      <c r="Y31" s="150">
        <v>550</v>
      </c>
      <c r="Z31" s="150">
        <v>1160</v>
      </c>
      <c r="AA31" s="148" t="s">
        <v>114</v>
      </c>
      <c r="AB31" s="149">
        <v>76.25</v>
      </c>
      <c r="AC31" s="150">
        <v>113</v>
      </c>
      <c r="AD31" s="151">
        <v>5</v>
      </c>
      <c r="AE31" s="149"/>
      <c r="AF31" s="134">
        <f t="shared" si="4"/>
        <v>0</v>
      </c>
      <c r="AG31" s="152"/>
      <c r="AH31" s="129">
        <v>96.1</v>
      </c>
      <c r="AI31" s="134">
        <f t="shared" si="5"/>
        <v>713.01380026710194</v>
      </c>
      <c r="AJ31" s="136">
        <v>14.68</v>
      </c>
      <c r="AK31" s="154"/>
      <c r="AL31" s="155">
        <v>8.42</v>
      </c>
      <c r="AM31" s="478">
        <f t="shared" si="38"/>
        <v>35.22</v>
      </c>
      <c r="AN31" s="126">
        <f t="shared" si="27"/>
        <v>0.2</v>
      </c>
      <c r="AO31" s="157" t="s">
        <v>351</v>
      </c>
      <c r="AP31" s="156">
        <v>7.22</v>
      </c>
      <c r="AQ31" s="156">
        <v>8.76</v>
      </c>
      <c r="AR31" s="151"/>
      <c r="AS31" s="149">
        <v>8.76</v>
      </c>
      <c r="AT31" s="149">
        <v>176.1</v>
      </c>
      <c r="AU31" s="149">
        <v>2.3199999999999998</v>
      </c>
      <c r="AV31" s="164"/>
      <c r="AW31" s="149"/>
      <c r="AX31" s="158">
        <f t="shared" si="6"/>
        <v>0</v>
      </c>
      <c r="AY31" s="125">
        <f t="shared" si="7"/>
        <v>134.78</v>
      </c>
      <c r="AZ31" s="125">
        <f t="shared" si="28"/>
        <v>143.53967417044512</v>
      </c>
      <c r="BA31" s="159">
        <f t="shared" si="8"/>
        <v>6.5212647887323936</v>
      </c>
      <c r="BB31" s="160">
        <f t="shared" si="9"/>
        <v>5.3912000000000004</v>
      </c>
      <c r="BC31" s="161">
        <f t="shared" si="10"/>
        <v>0.83124564121288158</v>
      </c>
      <c r="BD31" s="160">
        <f t="shared" si="29"/>
        <v>11.912464788732393</v>
      </c>
      <c r="BE31" s="162">
        <v>0.8</v>
      </c>
      <c r="BF31" s="25">
        <f t="shared" si="30"/>
        <v>2990.11</v>
      </c>
      <c r="BG31" s="25">
        <f t="shared" si="11"/>
        <v>125.66666666666667</v>
      </c>
      <c r="BH31" s="25">
        <f t="shared" si="31"/>
        <v>3141.6666666666661</v>
      </c>
      <c r="BI31" s="26">
        <f t="shared" si="12"/>
        <v>1</v>
      </c>
      <c r="BJ31" s="37">
        <f t="shared" si="32"/>
        <v>3141.6666666666661</v>
      </c>
      <c r="BK31" s="38">
        <v>220.923</v>
      </c>
      <c r="BL31" s="31"/>
      <c r="BM31" s="31"/>
      <c r="BN31" s="28">
        <f t="shared" si="33"/>
        <v>82.99199999999999</v>
      </c>
      <c r="BO31" s="40"/>
      <c r="BP31" s="40"/>
      <c r="BQ31" s="32">
        <v>5.6130000000000004</v>
      </c>
      <c r="BR31" s="33">
        <v>1.39</v>
      </c>
      <c r="BS31" s="34"/>
      <c r="BT31" s="35"/>
      <c r="BU31" s="35"/>
      <c r="BV31" s="235"/>
      <c r="BW31" s="235"/>
      <c r="BX31" s="36"/>
      <c r="BY31" s="33">
        <v>38.94</v>
      </c>
      <c r="BZ31" s="34"/>
      <c r="CA31" s="35"/>
      <c r="CB31" s="35">
        <v>43.85</v>
      </c>
      <c r="CC31" s="235"/>
      <c r="CD31" s="235"/>
      <c r="CE31" s="36">
        <v>43.7</v>
      </c>
      <c r="CF31" s="28">
        <f t="shared" si="34"/>
        <v>73.772999999999996</v>
      </c>
      <c r="CG31" s="30"/>
      <c r="CH31" s="31"/>
      <c r="CI31" s="32">
        <v>112.58199999999999</v>
      </c>
      <c r="CJ31" s="33">
        <v>2.8</v>
      </c>
      <c r="CK31" s="33"/>
      <c r="CL31" s="35"/>
      <c r="CM31" s="36">
        <v>2.8</v>
      </c>
      <c r="CN31" s="286"/>
      <c r="CO31" s="249">
        <f t="shared" si="39"/>
        <v>217.85217029999998</v>
      </c>
      <c r="CP31" s="12">
        <f t="shared" si="39"/>
        <v>0</v>
      </c>
      <c r="CQ31" s="12">
        <f t="shared" si="39"/>
        <v>0</v>
      </c>
      <c r="CR31" s="12">
        <f t="shared" si="39"/>
        <v>82.99199999999999</v>
      </c>
      <c r="CS31" s="11">
        <f t="shared" si="39"/>
        <v>0</v>
      </c>
      <c r="CT31" s="11">
        <f t="shared" si="39"/>
        <v>0</v>
      </c>
      <c r="CU31" s="272">
        <f t="shared" si="39"/>
        <v>5.6130000000000004</v>
      </c>
      <c r="CV31" s="249">
        <f t="shared" si="14"/>
        <v>71.70735599999999</v>
      </c>
      <c r="CW31" s="12">
        <f t="shared" si="14"/>
        <v>0</v>
      </c>
      <c r="CX31" s="249">
        <f t="shared" si="14"/>
        <v>0</v>
      </c>
      <c r="CY31" s="272">
        <f t="shared" si="14"/>
        <v>109.42970399999999</v>
      </c>
      <c r="CZ31" s="13"/>
      <c r="DA31" s="240">
        <f>(D31+'[2]ноябрь 20'!D31)/(AY31+'[2]ноябрь 20'!BA31)</f>
        <v>2.2006302104496442</v>
      </c>
      <c r="DB31" s="241">
        <f>(T31+'[2]ноябрь 20'!T31)/(AY31+'[2]ноябрь 20'!BA31)</f>
        <v>1.2985839247222797</v>
      </c>
      <c r="DD31" s="292">
        <f t="shared" si="15"/>
        <v>11.159000000000001</v>
      </c>
      <c r="DE31" s="291">
        <v>0.04</v>
      </c>
      <c r="DF31" s="291">
        <v>13.6</v>
      </c>
      <c r="DG31" s="145">
        <f t="shared" si="16"/>
        <v>11.1545364</v>
      </c>
      <c r="DH31" s="293">
        <f t="shared" si="35"/>
        <v>1.9895304267540985</v>
      </c>
      <c r="DJ31" s="31">
        <v>56.491999999999997</v>
      </c>
      <c r="DK31" s="460">
        <f t="shared" si="36"/>
        <v>82.99199999999999</v>
      </c>
      <c r="DL31" s="30">
        <v>68.972999999999999</v>
      </c>
      <c r="DM31" s="460">
        <f t="shared" si="37"/>
        <v>73.772999999999996</v>
      </c>
    </row>
    <row r="32" spans="1:117" s="76" customFormat="1" ht="16.5" customHeight="1" thickBot="1">
      <c r="A32" s="144">
        <v>26</v>
      </c>
      <c r="B32" s="122">
        <f t="shared" si="17"/>
        <v>321.58299999999997</v>
      </c>
      <c r="C32" s="123">
        <f t="shared" si="18"/>
        <v>1.4316677187537898</v>
      </c>
      <c r="D32" s="145">
        <f t="shared" si="19"/>
        <v>316.97899999999998</v>
      </c>
      <c r="E32" s="125">
        <f t="shared" si="20"/>
        <v>40.706253097956051</v>
      </c>
      <c r="F32" s="146">
        <f t="shared" si="0"/>
        <v>2.4082890138276856</v>
      </c>
      <c r="G32" s="127">
        <v>9.8699999999999992</v>
      </c>
      <c r="H32" s="126">
        <f t="shared" si="21"/>
        <v>1.7139948336119128</v>
      </c>
      <c r="I32" s="230">
        <f>'[1]июль 20'!AI31</f>
        <v>0</v>
      </c>
      <c r="J32" s="247">
        <f>'[1]ноябрь 20'!AA31</f>
        <v>11.0801</v>
      </c>
      <c r="K32" s="464">
        <f>'[1]сентябрь 20'!AM31</f>
        <v>0</v>
      </c>
      <c r="L32" s="446">
        <f t="shared" si="22"/>
        <v>91.382999999999996</v>
      </c>
      <c r="M32" s="468">
        <f t="shared" si="23"/>
        <v>0.69429418021577261</v>
      </c>
      <c r="N32" s="403">
        <f>'[1]ноябрь 20'!W31</f>
        <v>0</v>
      </c>
      <c r="O32" s="403">
        <f>'[1]ноябрь 20'!AU31</f>
        <v>8.2750000000000004</v>
      </c>
      <c r="P32" s="401">
        <f t="shared" si="1"/>
        <v>191.80500000000001</v>
      </c>
      <c r="Q32" s="122">
        <f t="shared" si="24"/>
        <v>191.80500000000001</v>
      </c>
      <c r="R32" s="123">
        <f t="shared" si="25"/>
        <v>2.83</v>
      </c>
      <c r="S32" s="129">
        <v>6.03</v>
      </c>
      <c r="T32" s="125">
        <f t="shared" si="2"/>
        <v>186.37691850000002</v>
      </c>
      <c r="U32" s="147">
        <f t="shared" si="3"/>
        <v>1.4160227814921744</v>
      </c>
      <c r="V32" s="130">
        <v>131.62</v>
      </c>
      <c r="W32" s="130">
        <v>55.05</v>
      </c>
      <c r="X32" s="129">
        <v>1.1599999999999999</v>
      </c>
      <c r="Y32" s="150">
        <v>546</v>
      </c>
      <c r="Z32" s="150">
        <v>1174</v>
      </c>
      <c r="AA32" s="148" t="s">
        <v>195</v>
      </c>
      <c r="AB32" s="149">
        <v>75.56</v>
      </c>
      <c r="AC32" s="150">
        <v>118</v>
      </c>
      <c r="AD32" s="151">
        <v>5</v>
      </c>
      <c r="AE32" s="149">
        <v>5.55</v>
      </c>
      <c r="AF32" s="134">
        <f t="shared" si="4"/>
        <v>42.166843944689255</v>
      </c>
      <c r="AG32" s="152"/>
      <c r="AH32" s="129">
        <v>77.2</v>
      </c>
      <c r="AI32" s="134">
        <f t="shared" si="5"/>
        <v>586.53700045585776</v>
      </c>
      <c r="AJ32" s="153">
        <v>24.66</v>
      </c>
      <c r="AK32" s="154"/>
      <c r="AL32" s="155">
        <v>8.91</v>
      </c>
      <c r="AM32" s="478">
        <f t="shared" si="38"/>
        <v>34.6</v>
      </c>
      <c r="AN32" s="126">
        <f t="shared" si="27"/>
        <v>0.2</v>
      </c>
      <c r="AO32" s="157" t="s">
        <v>452</v>
      </c>
      <c r="AP32" s="156">
        <v>7.42</v>
      </c>
      <c r="AQ32" s="156">
        <v>8.52</v>
      </c>
      <c r="AR32" s="151"/>
      <c r="AS32" s="149">
        <v>11.01</v>
      </c>
      <c r="AT32" s="149">
        <v>173</v>
      </c>
      <c r="AU32" s="149">
        <v>2.13</v>
      </c>
      <c r="AV32" s="149"/>
      <c r="AW32" s="149"/>
      <c r="AX32" s="158">
        <f t="shared" si="6"/>
        <v>0</v>
      </c>
      <c r="AY32" s="125">
        <f t="shared" si="7"/>
        <v>131.62</v>
      </c>
      <c r="AZ32" s="125">
        <f t="shared" si="28"/>
        <v>151.08433145426562</v>
      </c>
      <c r="BA32" s="159">
        <f t="shared" si="8"/>
        <v>6.58429014084507</v>
      </c>
      <c r="BB32" s="160">
        <f t="shared" si="9"/>
        <v>5.2648000000000001</v>
      </c>
      <c r="BC32" s="161">
        <f t="shared" si="10"/>
        <v>0.77076540963029649</v>
      </c>
      <c r="BD32" s="160">
        <f t="shared" si="29"/>
        <v>11.849090140845071</v>
      </c>
      <c r="BE32" s="162">
        <v>0.79900000000000004</v>
      </c>
      <c r="BF32" s="25">
        <f t="shared" si="30"/>
        <v>3121.73</v>
      </c>
      <c r="BG32" s="25">
        <f t="shared" si="11"/>
        <v>125.66666666666667</v>
      </c>
      <c r="BH32" s="25">
        <f t="shared" si="31"/>
        <v>3267.3333333333326</v>
      </c>
      <c r="BI32" s="26">
        <f t="shared" si="12"/>
        <v>1</v>
      </c>
      <c r="BJ32" s="37">
        <f t="shared" si="32"/>
        <v>3267.3333333333326</v>
      </c>
      <c r="BK32" s="38">
        <v>230.2</v>
      </c>
      <c r="BL32" s="31"/>
      <c r="BM32" s="31"/>
      <c r="BN32" s="28">
        <f t="shared" si="33"/>
        <v>85.49799999999999</v>
      </c>
      <c r="BO32" s="40"/>
      <c r="BP32" s="40"/>
      <c r="BQ32" s="32">
        <v>5.8849999999999998</v>
      </c>
      <c r="BR32" s="33">
        <v>2</v>
      </c>
      <c r="BS32" s="34"/>
      <c r="BT32" s="35"/>
      <c r="BU32" s="35"/>
      <c r="BV32" s="235"/>
      <c r="BW32" s="235"/>
      <c r="BX32" s="36"/>
      <c r="BY32" s="33">
        <v>39.51</v>
      </c>
      <c r="BZ32" s="34"/>
      <c r="CA32" s="35"/>
      <c r="CB32" s="35">
        <v>43.73</v>
      </c>
      <c r="CC32" s="235"/>
      <c r="CD32" s="235"/>
      <c r="CE32" s="36">
        <v>43.57</v>
      </c>
      <c r="CF32" s="28">
        <f t="shared" si="34"/>
        <v>76.762</v>
      </c>
      <c r="CG32" s="30"/>
      <c r="CH32" s="31"/>
      <c r="CI32" s="50">
        <v>115.04300000000001</v>
      </c>
      <c r="CJ32" s="33">
        <v>2.83</v>
      </c>
      <c r="CK32" s="33"/>
      <c r="CL32" s="35"/>
      <c r="CM32" s="36">
        <v>2.83</v>
      </c>
      <c r="CN32" s="286"/>
      <c r="CO32" s="249">
        <f t="shared" si="39"/>
        <v>225.59599999999998</v>
      </c>
      <c r="CP32" s="12">
        <f t="shared" si="39"/>
        <v>0</v>
      </c>
      <c r="CQ32" s="12">
        <f t="shared" si="39"/>
        <v>0</v>
      </c>
      <c r="CR32" s="12">
        <f t="shared" si="39"/>
        <v>85.49799999999999</v>
      </c>
      <c r="CS32" s="11">
        <f t="shared" si="39"/>
        <v>0</v>
      </c>
      <c r="CT32" s="11">
        <f t="shared" si="39"/>
        <v>0</v>
      </c>
      <c r="CU32" s="272">
        <f t="shared" si="39"/>
        <v>5.8849999999999998</v>
      </c>
      <c r="CV32" s="249">
        <f t="shared" si="14"/>
        <v>74.589635400000006</v>
      </c>
      <c r="CW32" s="11">
        <f t="shared" si="14"/>
        <v>0</v>
      </c>
      <c r="CX32" s="249">
        <f t="shared" si="14"/>
        <v>0</v>
      </c>
      <c r="CY32" s="272">
        <f t="shared" si="14"/>
        <v>111.78728310000001</v>
      </c>
      <c r="CZ32" s="13"/>
      <c r="DA32" s="240">
        <f>(D32+'[2]ноябрь 20'!D32)/(AY32+'[2]ноябрь 20'!BA32)</f>
        <v>2.2303327655924354</v>
      </c>
      <c r="DB32" s="241">
        <f>(T32+'[2]ноябрь 20'!T32)/(AY32+'[2]ноябрь 20'!BA32)</f>
        <v>1.3210784934906199</v>
      </c>
      <c r="DD32" s="292">
        <f t="shared" si="15"/>
        <v>11.0801</v>
      </c>
      <c r="DE32" s="291">
        <v>0.21</v>
      </c>
      <c r="DF32" s="291">
        <v>13.71</v>
      </c>
      <c r="DG32" s="145">
        <f t="shared" si="16"/>
        <v>11.05683179</v>
      </c>
      <c r="DH32" s="293">
        <f t="shared" si="35"/>
        <v>2.006209156179195</v>
      </c>
      <c r="DJ32" s="31">
        <v>58.997999999999998</v>
      </c>
      <c r="DK32" s="460">
        <f t="shared" si="36"/>
        <v>85.49799999999999</v>
      </c>
      <c r="DL32" s="30">
        <v>71.962000000000003</v>
      </c>
      <c r="DM32" s="460">
        <f t="shared" si="37"/>
        <v>76.762</v>
      </c>
    </row>
    <row r="33" spans="1:117" s="76" customFormat="1" ht="16.5" customHeight="1" thickBot="1">
      <c r="A33" s="144">
        <v>27</v>
      </c>
      <c r="B33" s="122">
        <f t="shared" si="17"/>
        <v>301.76299999999998</v>
      </c>
      <c r="C33" s="123">
        <f t="shared" si="18"/>
        <v>1.428081573950418</v>
      </c>
      <c r="D33" s="145">
        <f t="shared" si="19"/>
        <v>297.45357819999998</v>
      </c>
      <c r="E33" s="125">
        <f t="shared" si="20"/>
        <v>40.228324413529826</v>
      </c>
      <c r="F33" s="146">
        <f t="shared" si="0"/>
        <v>2.1878021344513092</v>
      </c>
      <c r="G33" s="127">
        <v>21.42</v>
      </c>
      <c r="H33" s="126">
        <f t="shared" si="21"/>
        <v>1.4704955736981469</v>
      </c>
      <c r="I33" s="230">
        <f>'[1]июль 20'!AI32</f>
        <v>0</v>
      </c>
      <c r="J33" s="247">
        <f>'[1]ноябрь 20'!AA32</f>
        <v>10.952</v>
      </c>
      <c r="K33" s="464">
        <f>'[1]сентябрь 20'!AM32</f>
        <v>0</v>
      </c>
      <c r="L33" s="446">
        <f t="shared" si="22"/>
        <v>97.525000000000006</v>
      </c>
      <c r="M33" s="469">
        <f t="shared" si="23"/>
        <v>0.71730656075316279</v>
      </c>
      <c r="N33" s="403">
        <f>'[1]ноябрь 20'!W32</f>
        <v>0</v>
      </c>
      <c r="O33" s="403">
        <f>'[1]ноябрь 20'!AU32</f>
        <v>6.665</v>
      </c>
      <c r="P33" s="401">
        <f t="shared" si="1"/>
        <v>177.71300000000002</v>
      </c>
      <c r="Q33" s="122">
        <f t="shared" si="24"/>
        <v>177.71300000000002</v>
      </c>
      <c r="R33" s="123">
        <f t="shared" si="25"/>
        <v>2.91</v>
      </c>
      <c r="S33" s="129">
        <v>26.77</v>
      </c>
      <c r="T33" s="125">
        <f t="shared" si="2"/>
        <v>172.54155170000001</v>
      </c>
      <c r="U33" s="147">
        <f t="shared" si="3"/>
        <v>1.2690611334215949</v>
      </c>
      <c r="V33" s="130">
        <v>110.11</v>
      </c>
      <c r="W33" s="130">
        <v>110.7</v>
      </c>
      <c r="X33" s="129">
        <v>0.74</v>
      </c>
      <c r="Y33" s="150">
        <v>547</v>
      </c>
      <c r="Z33" s="150">
        <v>1167</v>
      </c>
      <c r="AA33" s="148" t="s">
        <v>120</v>
      </c>
      <c r="AB33" s="149">
        <v>75.489999999999995</v>
      </c>
      <c r="AC33" s="150">
        <v>110</v>
      </c>
      <c r="AD33" s="151">
        <v>5</v>
      </c>
      <c r="AE33" s="149">
        <v>2.2999999999999998</v>
      </c>
      <c r="AF33" s="134">
        <f t="shared" si="4"/>
        <v>16.916740217711091</v>
      </c>
      <c r="AG33" s="152"/>
      <c r="AH33" s="129">
        <v>92.45</v>
      </c>
      <c r="AI33" s="134">
        <f t="shared" si="5"/>
        <v>679.97940570756123</v>
      </c>
      <c r="AJ33" s="136">
        <v>18.98</v>
      </c>
      <c r="AK33" s="154"/>
      <c r="AL33" s="155">
        <v>9.02</v>
      </c>
      <c r="AM33" s="478">
        <f t="shared" si="38"/>
        <v>35.46</v>
      </c>
      <c r="AN33" s="126">
        <f t="shared" si="27"/>
        <v>0.19999999999999998</v>
      </c>
      <c r="AO33" s="157" t="s">
        <v>362</v>
      </c>
      <c r="AP33" s="156">
        <v>6.97</v>
      </c>
      <c r="AQ33" s="156">
        <v>9.11</v>
      </c>
      <c r="AR33" s="151"/>
      <c r="AS33" s="149">
        <v>9.8699999999999992</v>
      </c>
      <c r="AT33" s="149">
        <v>177.3</v>
      </c>
      <c r="AU33" s="149">
        <v>3.14</v>
      </c>
      <c r="AV33" s="149"/>
      <c r="AW33" s="149"/>
      <c r="AX33" s="158">
        <f t="shared" si="6"/>
        <v>0</v>
      </c>
      <c r="AY33" s="125">
        <f t="shared" si="7"/>
        <v>135.95999999999998</v>
      </c>
      <c r="AZ33" s="125">
        <f t="shared" si="28"/>
        <v>141.49791902417431</v>
      </c>
      <c r="BA33" s="159">
        <f t="shared" si="8"/>
        <v>7.0685186619718303</v>
      </c>
      <c r="BB33" s="160">
        <f t="shared" si="9"/>
        <v>5.4383999999999997</v>
      </c>
      <c r="BC33" s="161">
        <f t="shared" si="10"/>
        <v>0.85772770835839829</v>
      </c>
      <c r="BD33" s="160">
        <f t="shared" si="29"/>
        <v>12.506918661971831</v>
      </c>
      <c r="BE33" s="162">
        <v>0.80100000000000005</v>
      </c>
      <c r="BF33" s="25">
        <f t="shared" si="30"/>
        <v>3257.69</v>
      </c>
      <c r="BG33" s="25">
        <f t="shared" si="11"/>
        <v>125.66666666666667</v>
      </c>
      <c r="BH33" s="25">
        <f t="shared" si="31"/>
        <v>3392.9999999999991</v>
      </c>
      <c r="BI33" s="26">
        <f t="shared" si="12"/>
        <v>1</v>
      </c>
      <c r="BJ33" s="37">
        <f t="shared" si="32"/>
        <v>3392.9999999999991</v>
      </c>
      <c r="BK33" s="38">
        <v>204.238</v>
      </c>
      <c r="BL33" s="31"/>
      <c r="BM33" s="31"/>
      <c r="BN33" s="28">
        <f t="shared" si="33"/>
        <v>81.491</v>
      </c>
      <c r="BO33" s="40"/>
      <c r="BP33" s="40"/>
      <c r="BQ33" s="32">
        <v>16.033999999999999</v>
      </c>
      <c r="BR33" s="33">
        <v>2.11</v>
      </c>
      <c r="BS33" s="34"/>
      <c r="BT33" s="35"/>
      <c r="BU33" s="35"/>
      <c r="BV33" s="235"/>
      <c r="BW33" s="235"/>
      <c r="BX33" s="36"/>
      <c r="BY33" s="33">
        <v>38.42</v>
      </c>
      <c r="BZ33" s="34"/>
      <c r="CA33" s="35"/>
      <c r="CB33" s="35">
        <v>44.04</v>
      </c>
      <c r="CC33" s="235"/>
      <c r="CD33" s="235"/>
      <c r="CE33" s="36">
        <v>43.89</v>
      </c>
      <c r="CF33" s="28">
        <f t="shared" si="34"/>
        <v>71.956000000000003</v>
      </c>
      <c r="CG33" s="30"/>
      <c r="CH33" s="31"/>
      <c r="CI33" s="32">
        <v>105.75700000000001</v>
      </c>
      <c r="CJ33" s="33">
        <v>2.91</v>
      </c>
      <c r="CK33" s="33"/>
      <c r="CL33" s="35"/>
      <c r="CM33" s="36">
        <v>2.91</v>
      </c>
      <c r="CN33" s="270"/>
      <c r="CO33" s="249">
        <f t="shared" si="39"/>
        <v>199.9285782</v>
      </c>
      <c r="CP33" s="12">
        <f t="shared" si="39"/>
        <v>0</v>
      </c>
      <c r="CQ33" s="12">
        <f t="shared" si="39"/>
        <v>0</v>
      </c>
      <c r="CR33" s="12">
        <f t="shared" si="39"/>
        <v>81.491</v>
      </c>
      <c r="CS33" s="11">
        <f t="shared" si="39"/>
        <v>0</v>
      </c>
      <c r="CT33" s="11">
        <f t="shared" si="39"/>
        <v>0</v>
      </c>
      <c r="CU33" s="272">
        <f t="shared" si="39"/>
        <v>16.033999999999999</v>
      </c>
      <c r="CV33" s="249">
        <f t="shared" si="14"/>
        <v>69.862080399999996</v>
      </c>
      <c r="CW33" s="12">
        <f t="shared" si="14"/>
        <v>0</v>
      </c>
      <c r="CX33" s="254">
        <f t="shared" si="14"/>
        <v>0</v>
      </c>
      <c r="CY33" s="275">
        <f t="shared" si="14"/>
        <v>102.6794713</v>
      </c>
      <c r="CZ33" s="13"/>
      <c r="DA33" s="240">
        <f>(D33+'[2]ноябрь 20'!D33)/(AY33+'[2]ноябрь 20'!BA33)</f>
        <v>2.0978499571809723</v>
      </c>
      <c r="DB33" s="241">
        <f>(T33+'[2]ноябрь 20'!T33)/(AY33+'[2]ноябрь 20'!BA33)</f>
        <v>1.2331660095008787</v>
      </c>
      <c r="DD33" s="292">
        <f t="shared" si="15"/>
        <v>10.952</v>
      </c>
      <c r="DE33" s="291">
        <v>1.08</v>
      </c>
      <c r="DF33" s="291">
        <v>21.72</v>
      </c>
      <c r="DG33" s="145">
        <f t="shared" si="16"/>
        <v>10.8337184</v>
      </c>
      <c r="DH33" s="293">
        <f t="shared" si="35"/>
        <v>3.1170799264538349</v>
      </c>
      <c r="DJ33" s="31">
        <v>54.991</v>
      </c>
      <c r="DK33" s="460">
        <f t="shared" si="36"/>
        <v>81.491</v>
      </c>
      <c r="DL33" s="30">
        <v>67.156000000000006</v>
      </c>
      <c r="DM33" s="460">
        <f t="shared" si="37"/>
        <v>71.956000000000003</v>
      </c>
    </row>
    <row r="34" spans="1:117" s="76" customFormat="1" ht="16.5" customHeight="1" thickBot="1">
      <c r="A34" s="144">
        <v>28</v>
      </c>
      <c r="B34" s="122">
        <f t="shared" si="17"/>
        <v>331.92899999999997</v>
      </c>
      <c r="C34" s="123">
        <f t="shared" si="18"/>
        <v>0.71519355042795307</v>
      </c>
      <c r="D34" s="145">
        <f t="shared" si="19"/>
        <v>329.5550652</v>
      </c>
      <c r="E34" s="125">
        <f t="shared" si="20"/>
        <v>40.632604352135552</v>
      </c>
      <c r="F34" s="146">
        <f t="shared" si="0"/>
        <v>2.3808341655830083</v>
      </c>
      <c r="G34" s="127">
        <v>20.149999999999999</v>
      </c>
      <c r="H34" s="126">
        <f t="shared" si="21"/>
        <v>1.5279155122092185</v>
      </c>
      <c r="I34" s="230">
        <f>'[1]июль 20'!AI33</f>
        <v>0</v>
      </c>
      <c r="J34" s="247">
        <f>'[1]ноябрь 20'!AA33</f>
        <v>12.154999999999999</v>
      </c>
      <c r="K34" s="464">
        <f>'[1]сентябрь 20'!AM33</f>
        <v>0</v>
      </c>
      <c r="L34" s="446">
        <f t="shared" si="22"/>
        <v>118.06099999999999</v>
      </c>
      <c r="M34" s="468">
        <f t="shared" si="23"/>
        <v>0.85291865337378991</v>
      </c>
      <c r="N34" s="403">
        <f>'[1]ноябрь 20'!W33</f>
        <v>0</v>
      </c>
      <c r="O34" s="403">
        <f>'[1]ноябрь 20'!AU33</f>
        <v>6.1189999999999998</v>
      </c>
      <c r="P34" s="401">
        <f t="shared" si="1"/>
        <v>195.73199999999997</v>
      </c>
      <c r="Q34" s="122">
        <f t="shared" si="24"/>
        <v>195.73199999999997</v>
      </c>
      <c r="R34" s="123">
        <f t="shared" si="25"/>
        <v>3.1400000000000006</v>
      </c>
      <c r="S34" s="129">
        <v>5.66</v>
      </c>
      <c r="T34" s="125">
        <f t="shared" si="2"/>
        <v>189.58601519999996</v>
      </c>
      <c r="U34" s="147">
        <f t="shared" si="3"/>
        <v>1.3696432249674901</v>
      </c>
      <c r="V34" s="169"/>
      <c r="W34" s="169">
        <v>109.89</v>
      </c>
      <c r="X34" s="170">
        <v>0.63</v>
      </c>
      <c r="Y34" s="166">
        <v>521</v>
      </c>
      <c r="Z34" s="166">
        <v>1169</v>
      </c>
      <c r="AA34" s="148" t="s">
        <v>116</v>
      </c>
      <c r="AB34" s="164">
        <v>74.599999999999994</v>
      </c>
      <c r="AC34" s="166">
        <v>122</v>
      </c>
      <c r="AD34" s="171">
        <v>5</v>
      </c>
      <c r="AE34" s="164"/>
      <c r="AF34" s="172">
        <f t="shared" si="4"/>
        <v>0</v>
      </c>
      <c r="AG34" s="173"/>
      <c r="AH34" s="170">
        <v>86.4</v>
      </c>
      <c r="AI34" s="134">
        <f t="shared" si="5"/>
        <v>624.18725617685311</v>
      </c>
      <c r="AJ34" s="174">
        <v>21.6</v>
      </c>
      <c r="AK34" s="175"/>
      <c r="AL34" s="176">
        <v>9.4600000000000009</v>
      </c>
      <c r="AM34" s="525">
        <f t="shared" si="38"/>
        <v>36.29</v>
      </c>
      <c r="AN34" s="126">
        <f t="shared" si="27"/>
        <v>0.2</v>
      </c>
      <c r="AO34" s="178" t="s">
        <v>372</v>
      </c>
      <c r="AP34" s="177">
        <v>7.52</v>
      </c>
      <c r="AQ34" s="177">
        <v>8.42</v>
      </c>
      <c r="AR34" s="171"/>
      <c r="AS34" s="164">
        <v>7.89</v>
      </c>
      <c r="AT34" s="149">
        <v>181.45</v>
      </c>
      <c r="AU34" s="164">
        <v>2.72</v>
      </c>
      <c r="AV34" s="164"/>
      <c r="AW34" s="164"/>
      <c r="AX34" s="179">
        <f t="shared" si="6"/>
        <v>0</v>
      </c>
      <c r="AY34" s="125">
        <f t="shared" si="7"/>
        <v>138.41999999999999</v>
      </c>
      <c r="AZ34" s="125">
        <f t="shared" si="28"/>
        <v>159.88452687555733</v>
      </c>
      <c r="BA34" s="159">
        <f t="shared" si="8"/>
        <v>5.2807436619718304</v>
      </c>
      <c r="BB34" s="159">
        <f t="shared" si="9"/>
        <v>5.5367999999999995</v>
      </c>
      <c r="BC34" s="180">
        <f t="shared" si="10"/>
        <v>0.77114317984040281</v>
      </c>
      <c r="BD34" s="159">
        <f t="shared" si="29"/>
        <v>10.817543661971829</v>
      </c>
      <c r="BE34" s="167">
        <v>0.80600000000000005</v>
      </c>
      <c r="BF34" s="25">
        <f t="shared" si="30"/>
        <v>3396.11</v>
      </c>
      <c r="BG34" s="25">
        <f t="shared" si="11"/>
        <v>125.66666666666667</v>
      </c>
      <c r="BH34" s="25">
        <f t="shared" si="31"/>
        <v>3518.6666666666656</v>
      </c>
      <c r="BI34" s="26">
        <f t="shared" si="12"/>
        <v>1</v>
      </c>
      <c r="BJ34" s="37">
        <f t="shared" si="32"/>
        <v>3518.6666666666656</v>
      </c>
      <c r="BK34" s="38">
        <v>213.86799999999999</v>
      </c>
      <c r="BL34" s="30"/>
      <c r="BM34" s="43"/>
      <c r="BN34" s="28">
        <f t="shared" si="33"/>
        <v>87.570999999999998</v>
      </c>
      <c r="BO34" s="281"/>
      <c r="BP34" s="281"/>
      <c r="BQ34" s="44">
        <v>30.49</v>
      </c>
      <c r="BR34" s="45">
        <v>1.1100000000000001</v>
      </c>
      <c r="BS34" s="46"/>
      <c r="BT34" s="47"/>
      <c r="BU34" s="47"/>
      <c r="BV34" s="283"/>
      <c r="BW34" s="283"/>
      <c r="BX34" s="48"/>
      <c r="BY34" s="45">
        <v>38.89</v>
      </c>
      <c r="BZ34" s="46"/>
      <c r="CA34" s="47"/>
      <c r="CB34" s="47">
        <v>43.81</v>
      </c>
      <c r="CC34" s="283"/>
      <c r="CD34" s="283"/>
      <c r="CE34" s="48">
        <v>43.73</v>
      </c>
      <c r="CF34" s="28">
        <f t="shared" si="34"/>
        <v>79.280999999999992</v>
      </c>
      <c r="CG34" s="49"/>
      <c r="CH34" s="43"/>
      <c r="CI34" s="32">
        <v>116.45099999999999</v>
      </c>
      <c r="CJ34" s="33">
        <v>3.14</v>
      </c>
      <c r="CK34" s="33"/>
      <c r="CL34" s="35"/>
      <c r="CM34" s="36">
        <v>3.14</v>
      </c>
      <c r="CN34" s="270"/>
      <c r="CO34" s="249">
        <f t="shared" si="39"/>
        <v>211.49406519999999</v>
      </c>
      <c r="CP34" s="12">
        <f t="shared" si="39"/>
        <v>0</v>
      </c>
      <c r="CQ34" s="12">
        <f t="shared" si="39"/>
        <v>0</v>
      </c>
      <c r="CR34" s="12">
        <f t="shared" si="39"/>
        <v>87.570999999999998</v>
      </c>
      <c r="CS34" s="11">
        <f t="shared" si="39"/>
        <v>0</v>
      </c>
      <c r="CT34" s="11">
        <f t="shared" si="39"/>
        <v>0</v>
      </c>
      <c r="CU34" s="272">
        <f t="shared" si="39"/>
        <v>30.49</v>
      </c>
      <c r="CV34" s="249">
        <f t="shared" si="14"/>
        <v>76.791576599999999</v>
      </c>
      <c r="CW34" s="12">
        <f t="shared" si="14"/>
        <v>0</v>
      </c>
      <c r="CX34" s="249">
        <f t="shared" si="14"/>
        <v>0</v>
      </c>
      <c r="CY34" s="272">
        <f t="shared" si="14"/>
        <v>112.79443859999999</v>
      </c>
      <c r="CZ34" s="13"/>
      <c r="DA34" s="240">
        <f>(D34+'[2]ноябрь 20'!D34)/(AY34+'[2]ноябрь 20'!BA34)</f>
        <v>2.1843892793590221</v>
      </c>
      <c r="DB34" s="241">
        <f>(T34+'[2]ноябрь 20'!T34)/(AY34+'[2]ноябрь 20'!BA34)</f>
        <v>1.2728706051128726</v>
      </c>
      <c r="DD34" s="292">
        <f t="shared" si="15"/>
        <v>12.154999999999999</v>
      </c>
      <c r="DE34" s="291">
        <v>0.84</v>
      </c>
      <c r="DF34" s="291">
        <v>19.690000000000001</v>
      </c>
      <c r="DG34" s="145">
        <f t="shared" si="16"/>
        <v>12.052897999999999</v>
      </c>
      <c r="DH34" s="293">
        <f t="shared" si="35"/>
        <v>3.1812541772117964</v>
      </c>
      <c r="DJ34" s="43">
        <v>61.070999999999998</v>
      </c>
      <c r="DK34" s="460">
        <f t="shared" si="36"/>
        <v>87.570999999999998</v>
      </c>
      <c r="DL34" s="49">
        <v>74.480999999999995</v>
      </c>
      <c r="DM34" s="460">
        <f t="shared" si="37"/>
        <v>79.280999999999992</v>
      </c>
    </row>
    <row r="35" spans="1:117" s="76" customFormat="1" ht="16.5" customHeight="1" thickBot="1">
      <c r="A35" s="144">
        <v>29</v>
      </c>
      <c r="B35" s="122">
        <f t="shared" si="17"/>
        <v>325.34699999999998</v>
      </c>
      <c r="C35" s="123">
        <f t="shared" si="18"/>
        <v>1.0778952318601371</v>
      </c>
      <c r="D35" s="145">
        <f t="shared" si="19"/>
        <v>321.84010019999999</v>
      </c>
      <c r="E35" s="125">
        <f t="shared" si="20"/>
        <v>40.998759478341583</v>
      </c>
      <c r="F35" s="146">
        <f t="shared" si="0"/>
        <v>2.3991062258665679</v>
      </c>
      <c r="G35" s="127">
        <v>13.4</v>
      </c>
      <c r="H35" s="126">
        <f t="shared" si="21"/>
        <v>1.5392254953410363</v>
      </c>
      <c r="I35" s="230">
        <f>'[1]июль 20'!AI34</f>
        <v>0</v>
      </c>
      <c r="J35" s="247">
        <f>'[1]ноябрь 20'!AA34</f>
        <v>12.084</v>
      </c>
      <c r="K35" s="464">
        <f>'[1]сентябрь 20'!AM34</f>
        <v>0</v>
      </c>
      <c r="L35" s="446">
        <f t="shared" si="22"/>
        <v>115.35300000000001</v>
      </c>
      <c r="M35" s="469">
        <f t="shared" si="23"/>
        <v>0.85988073052553138</v>
      </c>
      <c r="N35" s="403">
        <f>'[1]ноябрь 20'!W34</f>
        <v>0</v>
      </c>
      <c r="O35" s="403">
        <f>'[1]ноябрь 20'!AU34</f>
        <v>6.1470000000000002</v>
      </c>
      <c r="P35" s="401">
        <f t="shared" si="1"/>
        <v>193.18899999999999</v>
      </c>
      <c r="Q35" s="122">
        <f t="shared" si="24"/>
        <v>193.18899999999999</v>
      </c>
      <c r="R35" s="123">
        <f t="shared" si="25"/>
        <v>3.03</v>
      </c>
      <c r="S35" s="129"/>
      <c r="T35" s="125">
        <f t="shared" si="2"/>
        <v>187.33537329999999</v>
      </c>
      <c r="U35" s="147">
        <f t="shared" si="3"/>
        <v>1.3964619701826315</v>
      </c>
      <c r="V35" s="130">
        <v>76.72</v>
      </c>
      <c r="W35" s="130">
        <v>134.15</v>
      </c>
      <c r="X35" s="129">
        <v>0.56999999999999995</v>
      </c>
      <c r="Y35" s="150">
        <v>520</v>
      </c>
      <c r="Z35" s="150">
        <v>1170</v>
      </c>
      <c r="AA35" s="148" t="s">
        <v>120</v>
      </c>
      <c r="AB35" s="149">
        <v>74.680000000000007</v>
      </c>
      <c r="AC35" s="150">
        <v>119</v>
      </c>
      <c r="AD35" s="151">
        <v>5</v>
      </c>
      <c r="AE35" s="181"/>
      <c r="AF35" s="134">
        <f t="shared" si="4"/>
        <v>0</v>
      </c>
      <c r="AG35" s="182"/>
      <c r="AH35" s="129">
        <v>80.5</v>
      </c>
      <c r="AI35" s="134">
        <f t="shared" si="5"/>
        <v>600.07454342154324</v>
      </c>
      <c r="AJ35" s="136">
        <v>19.25</v>
      </c>
      <c r="AK35" s="154"/>
      <c r="AL35" s="526">
        <v>7.09</v>
      </c>
      <c r="AM35" s="528">
        <f t="shared" si="38"/>
        <v>34.770000000000003</v>
      </c>
      <c r="AN35" s="527">
        <f t="shared" si="27"/>
        <v>0.2</v>
      </c>
      <c r="AO35" s="184" t="s">
        <v>407</v>
      </c>
      <c r="AP35" s="183">
        <v>7.16</v>
      </c>
      <c r="AQ35" s="183">
        <v>7.84</v>
      </c>
      <c r="AR35" s="185"/>
      <c r="AS35" s="181">
        <v>9.59</v>
      </c>
      <c r="AT35" s="149">
        <v>173.85</v>
      </c>
      <c r="AU35" s="181">
        <v>2.16</v>
      </c>
      <c r="AV35" s="149"/>
      <c r="AW35" s="149"/>
      <c r="AX35" s="158">
        <f t="shared" si="6"/>
        <v>0</v>
      </c>
      <c r="AY35" s="125">
        <f t="shared" si="7"/>
        <v>134.14999999999998</v>
      </c>
      <c r="AZ35" s="125">
        <f t="shared" si="28"/>
        <v>156.9056855180616</v>
      </c>
      <c r="BA35" s="159">
        <f t="shared" si="8"/>
        <v>5.9802429577464782</v>
      </c>
      <c r="BB35" s="160">
        <f t="shared" si="9"/>
        <v>5.3659999999999988</v>
      </c>
      <c r="BC35" s="161">
        <f t="shared" si="10"/>
        <v>0.75924880190776545</v>
      </c>
      <c r="BD35" s="160">
        <f t="shared" si="29"/>
        <v>11.346242957746476</v>
      </c>
      <c r="BE35" s="162">
        <v>0.79900000000000004</v>
      </c>
      <c r="BF35" s="25">
        <f t="shared" si="30"/>
        <v>3530.26</v>
      </c>
      <c r="BG35" s="25">
        <f t="shared" si="11"/>
        <v>125.66666666666667</v>
      </c>
      <c r="BH35" s="25">
        <f t="shared" si="31"/>
        <v>3644.3333333333321</v>
      </c>
      <c r="BI35" s="26">
        <f t="shared" si="12"/>
        <v>1</v>
      </c>
      <c r="BJ35" s="37">
        <f t="shared" si="32"/>
        <v>3644.3333333333321</v>
      </c>
      <c r="BK35" s="38">
        <v>209.994</v>
      </c>
      <c r="BL35" s="31"/>
      <c r="BM35" s="31"/>
      <c r="BN35" s="28">
        <f t="shared" si="33"/>
        <v>86.281000000000006</v>
      </c>
      <c r="BO35" s="40"/>
      <c r="BP35" s="40"/>
      <c r="BQ35" s="32">
        <v>29.071999999999999</v>
      </c>
      <c r="BR35" s="33">
        <v>1.67</v>
      </c>
      <c r="BS35" s="34"/>
      <c r="BT35" s="35"/>
      <c r="BU35" s="35"/>
      <c r="BV35" s="235"/>
      <c r="BW35" s="235"/>
      <c r="BX35" s="36"/>
      <c r="BY35" s="33">
        <v>39.36</v>
      </c>
      <c r="BZ35" s="34"/>
      <c r="CA35" s="35"/>
      <c r="CB35" s="35">
        <v>44.04</v>
      </c>
      <c r="CC35" s="235"/>
      <c r="CD35" s="235"/>
      <c r="CE35" s="36">
        <v>43.81</v>
      </c>
      <c r="CF35" s="28">
        <f t="shared" si="34"/>
        <v>78.225999999999999</v>
      </c>
      <c r="CG35" s="30"/>
      <c r="CH35" s="31"/>
      <c r="CI35" s="50">
        <v>114.96299999999999</v>
      </c>
      <c r="CJ35" s="33">
        <v>3.03</v>
      </c>
      <c r="CK35" s="33"/>
      <c r="CL35" s="35"/>
      <c r="CM35" s="36">
        <v>3.03</v>
      </c>
      <c r="CN35" s="270"/>
      <c r="CO35" s="249">
        <f t="shared" si="39"/>
        <v>206.48710019999999</v>
      </c>
      <c r="CP35" s="12">
        <f t="shared" si="39"/>
        <v>0</v>
      </c>
      <c r="CQ35" s="12">
        <f t="shared" si="39"/>
        <v>0</v>
      </c>
      <c r="CR35" s="12">
        <f t="shared" si="39"/>
        <v>86.281000000000006</v>
      </c>
      <c r="CS35" s="11">
        <f t="shared" si="39"/>
        <v>0</v>
      </c>
      <c r="CT35" s="11">
        <f t="shared" si="39"/>
        <v>0</v>
      </c>
      <c r="CU35" s="272">
        <f t="shared" si="39"/>
        <v>29.071999999999999</v>
      </c>
      <c r="CV35" s="249">
        <f t="shared" si="14"/>
        <v>75.855752199999998</v>
      </c>
      <c r="CW35" s="12">
        <f t="shared" si="14"/>
        <v>0</v>
      </c>
      <c r="CX35" s="249">
        <f t="shared" si="14"/>
        <v>0</v>
      </c>
      <c r="CY35" s="272">
        <f t="shared" si="14"/>
        <v>111.47962109999999</v>
      </c>
      <c r="CZ35" s="13"/>
      <c r="DA35" s="240">
        <f>(D35+'[2]ноябрь 20'!D35)/(AY35+'[2]ноябрь 20'!BA35)</f>
        <v>2.246445251289598</v>
      </c>
      <c r="DB35" s="241">
        <f>(T35+'[2]ноябрь 20'!T35)/(AY35+'[2]ноябрь 20'!BA35)</f>
        <v>1.3244099358458459</v>
      </c>
      <c r="DD35" s="292">
        <f t="shared" si="15"/>
        <v>12.084</v>
      </c>
      <c r="DE35" s="291">
        <v>0.11</v>
      </c>
      <c r="DF35" s="291">
        <v>16.440000000000001</v>
      </c>
      <c r="DG35" s="145">
        <f t="shared" si="16"/>
        <v>12.0707076</v>
      </c>
      <c r="DH35" s="293">
        <f t="shared" si="35"/>
        <v>2.6572366489555441</v>
      </c>
      <c r="DJ35" s="31">
        <v>59.780999999999999</v>
      </c>
      <c r="DK35" s="460">
        <f t="shared" si="36"/>
        <v>86.281000000000006</v>
      </c>
      <c r="DL35" s="30">
        <v>73.426000000000002</v>
      </c>
      <c r="DM35" s="460">
        <f t="shared" si="37"/>
        <v>78.225999999999999</v>
      </c>
    </row>
    <row r="36" spans="1:117" s="76" customFormat="1" ht="16.5" customHeight="1" thickBot="1">
      <c r="A36" s="144">
        <v>30</v>
      </c>
      <c r="B36" s="122">
        <f t="shared" si="17"/>
        <v>316.76799999999997</v>
      </c>
      <c r="C36" s="123">
        <f t="shared" si="18"/>
        <v>0.84844403475098495</v>
      </c>
      <c r="D36" s="145">
        <f t="shared" si="19"/>
        <v>314.08040079999995</v>
      </c>
      <c r="E36" s="125">
        <f t="shared" si="20"/>
        <v>40.4160313541772</v>
      </c>
      <c r="F36" s="146">
        <f t="shared" si="0"/>
        <v>2.4307747140314211</v>
      </c>
      <c r="G36" s="127">
        <v>30.51</v>
      </c>
      <c r="H36" s="126">
        <f t="shared" si="21"/>
        <v>1.6702763005959287</v>
      </c>
      <c r="I36" s="230">
        <f>'[1]июль 20'!AI35</f>
        <v>0</v>
      </c>
      <c r="J36" s="247">
        <f>'[1]ноябрь 20'!AA35</f>
        <v>11.685</v>
      </c>
      <c r="K36" s="464">
        <f>'[1]сентябрь 20'!AM35</f>
        <v>0</v>
      </c>
      <c r="L36" s="446">
        <f t="shared" si="22"/>
        <v>98.26400000000001</v>
      </c>
      <c r="M36" s="468">
        <f t="shared" si="23"/>
        <v>0.76049841343549263</v>
      </c>
      <c r="N36" s="403">
        <f>'[1]ноябрь 20'!W35</f>
        <v>0</v>
      </c>
      <c r="O36" s="403">
        <f>'[1]ноябрь 20'!AU35</f>
        <v>6.3959999999999999</v>
      </c>
      <c r="P36" s="401">
        <f t="shared" si="1"/>
        <v>187.30700000000002</v>
      </c>
      <c r="Q36" s="122">
        <f t="shared" si="24"/>
        <v>187.30700000000002</v>
      </c>
      <c r="R36" s="123">
        <f t="shared" si="25"/>
        <v>3.1499999999999995</v>
      </c>
      <c r="S36" s="129">
        <v>18.63</v>
      </c>
      <c r="T36" s="125">
        <f t="shared" si="2"/>
        <v>181.40682949999999</v>
      </c>
      <c r="U36" s="147">
        <f t="shared" si="3"/>
        <v>1.4039689613806978</v>
      </c>
      <c r="V36" s="130">
        <v>79.680000000000007</v>
      </c>
      <c r="W36" s="130">
        <v>129.21</v>
      </c>
      <c r="X36" s="129">
        <v>0.5</v>
      </c>
      <c r="Y36" s="150">
        <v>535</v>
      </c>
      <c r="Z36" s="150">
        <v>1168</v>
      </c>
      <c r="AA36" s="148" t="s">
        <v>171</v>
      </c>
      <c r="AB36" s="149">
        <v>74.75</v>
      </c>
      <c r="AC36" s="150">
        <v>118</v>
      </c>
      <c r="AD36" s="151">
        <v>5</v>
      </c>
      <c r="AE36" s="149"/>
      <c r="AF36" s="134">
        <f t="shared" si="4"/>
        <v>0</v>
      </c>
      <c r="AG36" s="152"/>
      <c r="AH36" s="129">
        <v>95.3</v>
      </c>
      <c r="AI36" s="134">
        <f t="shared" si="5"/>
        <v>737.55901246033579</v>
      </c>
      <c r="AJ36" s="153">
        <v>17.149999999999999</v>
      </c>
      <c r="AK36" s="154"/>
      <c r="AL36" s="155">
        <v>10.35</v>
      </c>
      <c r="AM36" s="478">
        <v>41.69</v>
      </c>
      <c r="AN36" s="126">
        <f t="shared" si="27"/>
        <v>0.23001379310344827</v>
      </c>
      <c r="AO36" s="157" t="s">
        <v>454</v>
      </c>
      <c r="AP36" s="156">
        <v>7.21</v>
      </c>
      <c r="AQ36" s="156">
        <v>8.32</v>
      </c>
      <c r="AR36" s="151"/>
      <c r="AS36" s="149">
        <v>9.81</v>
      </c>
      <c r="AT36" s="149">
        <v>181.25</v>
      </c>
      <c r="AU36" s="149"/>
      <c r="AV36" s="149"/>
      <c r="AW36" s="149"/>
      <c r="AX36" s="158">
        <f t="shared" si="6"/>
        <v>0</v>
      </c>
      <c r="AY36" s="125">
        <f t="shared" si="7"/>
        <v>129.21</v>
      </c>
      <c r="AZ36" s="125">
        <f t="shared" si="28"/>
        <v>151.09827633236443</v>
      </c>
      <c r="BA36" s="159">
        <f t="shared" si="8"/>
        <v>7.2421288732394373</v>
      </c>
      <c r="BB36" s="160">
        <f t="shared" si="9"/>
        <v>5.1684000000000001</v>
      </c>
      <c r="BC36" s="161">
        <f t="shared" si="10"/>
        <v>0.76087413532966752</v>
      </c>
      <c r="BD36" s="160">
        <f t="shared" si="29"/>
        <v>12.410528873239437</v>
      </c>
      <c r="BE36" s="162">
        <v>0.79700000000000004</v>
      </c>
      <c r="BF36" s="25">
        <f t="shared" si="30"/>
        <v>3659.4700000000003</v>
      </c>
      <c r="BG36" s="25">
        <f t="shared" si="11"/>
        <v>125.66666666666667</v>
      </c>
      <c r="BH36" s="25">
        <f t="shared" si="31"/>
        <v>3769.9999999999986</v>
      </c>
      <c r="BI36" s="26">
        <f t="shared" si="12"/>
        <v>1</v>
      </c>
      <c r="BJ36" s="37">
        <f t="shared" si="32"/>
        <v>3769.9999999999986</v>
      </c>
      <c r="BK36" s="38">
        <v>218.50399999999999</v>
      </c>
      <c r="BL36" s="31"/>
      <c r="BM36" s="31"/>
      <c r="BN36" s="28">
        <f t="shared" si="33"/>
        <v>80.566000000000003</v>
      </c>
      <c r="BO36" s="40"/>
      <c r="BP36" s="40"/>
      <c r="BQ36" s="32">
        <v>17.698</v>
      </c>
      <c r="BR36" s="33">
        <v>1.23</v>
      </c>
      <c r="BS36" s="34"/>
      <c r="BT36" s="35"/>
      <c r="BU36" s="35"/>
      <c r="BV36" s="235"/>
      <c r="BW36" s="235"/>
      <c r="BX36" s="36"/>
      <c r="BY36" s="33">
        <v>39.04</v>
      </c>
      <c r="BZ36" s="34"/>
      <c r="CA36" s="35"/>
      <c r="CB36" s="35">
        <v>43.42</v>
      </c>
      <c r="CC36" s="235"/>
      <c r="CD36" s="235"/>
      <c r="CE36" s="36">
        <v>43.73</v>
      </c>
      <c r="CF36" s="28">
        <f t="shared" si="34"/>
        <v>74.266000000000005</v>
      </c>
      <c r="CG36" s="30"/>
      <c r="CH36" s="34"/>
      <c r="CI36" s="50">
        <v>113.041</v>
      </c>
      <c r="CJ36" s="33">
        <v>3.15</v>
      </c>
      <c r="CK36" s="33"/>
      <c r="CL36" s="35"/>
      <c r="CM36" s="36">
        <v>3.15</v>
      </c>
      <c r="CN36" s="270"/>
      <c r="CO36" s="249">
        <f t="shared" si="39"/>
        <v>215.81640079999997</v>
      </c>
      <c r="CP36" s="12">
        <f t="shared" si="39"/>
        <v>0</v>
      </c>
      <c r="CQ36" s="12">
        <f t="shared" si="39"/>
        <v>0</v>
      </c>
      <c r="CR36" s="12">
        <f t="shared" si="39"/>
        <v>80.566000000000003</v>
      </c>
      <c r="CS36" s="11">
        <f t="shared" si="39"/>
        <v>0</v>
      </c>
      <c r="CT36" s="11">
        <f t="shared" si="39"/>
        <v>0</v>
      </c>
      <c r="CU36" s="272">
        <f t="shared" si="39"/>
        <v>17.698</v>
      </c>
      <c r="CV36" s="249">
        <f t="shared" si="14"/>
        <v>71.926620999999997</v>
      </c>
      <c r="CW36" s="12">
        <f t="shared" si="14"/>
        <v>0</v>
      </c>
      <c r="CX36" s="249">
        <f t="shared" si="14"/>
        <v>0</v>
      </c>
      <c r="CY36" s="274">
        <f t="shared" si="14"/>
        <v>109.48020849999999</v>
      </c>
      <c r="CZ36" s="13"/>
      <c r="DA36" s="240">
        <f>(D36+'[2]ноябрь 20'!D36)/(AY36+'[2]ноябрь 20'!BA36)</f>
        <v>2.3964972215210305</v>
      </c>
      <c r="DB36" s="241">
        <f>(T36+'[2]ноябрь 20'!T36)/(AY36+'[2]ноябрь 20'!BA36)</f>
        <v>1.4092777290205172</v>
      </c>
      <c r="DD36" s="292">
        <f t="shared" si="15"/>
        <v>11.685</v>
      </c>
      <c r="DE36" s="291">
        <v>0.14000000000000001</v>
      </c>
      <c r="DF36" s="291">
        <v>18.239999999999998</v>
      </c>
      <c r="DG36" s="145">
        <f t="shared" si="16"/>
        <v>11.668641000000001</v>
      </c>
      <c r="DH36" s="293">
        <f t="shared" si="35"/>
        <v>2.8473045062207354</v>
      </c>
      <c r="DJ36" s="31">
        <v>59.066000000000003</v>
      </c>
      <c r="DK36" s="460">
        <f>DJ36+21.5</f>
        <v>80.566000000000003</v>
      </c>
      <c r="DL36" s="30">
        <v>71.927000000000007</v>
      </c>
      <c r="DM36" s="460">
        <f>DL36+2.339</f>
        <v>74.266000000000005</v>
      </c>
    </row>
    <row r="37" spans="1:117" s="76" customFormat="1" ht="16.5" customHeight="1" thickBot="1">
      <c r="A37" s="186">
        <v>31</v>
      </c>
      <c r="B37" s="122">
        <f>'[1]ноябрь 20'!K36</f>
        <v>0</v>
      </c>
      <c r="C37" s="123">
        <f t="shared" si="18"/>
        <v>0</v>
      </c>
      <c r="D37" s="187">
        <f t="shared" si="19"/>
        <v>0</v>
      </c>
      <c r="E37" s="285">
        <f t="shared" si="20"/>
        <v>0</v>
      </c>
      <c r="F37" s="189">
        <f t="shared" si="0"/>
        <v>0</v>
      </c>
      <c r="G37" s="127"/>
      <c r="H37" s="126">
        <f t="shared" si="21"/>
        <v>0</v>
      </c>
      <c r="I37" s="230">
        <f>'[1]июль 20'!AI36</f>
        <v>0</v>
      </c>
      <c r="J37" s="451">
        <f>'[1]ноябрь 20'!AA36</f>
        <v>0</v>
      </c>
      <c r="K37" s="276">
        <f>'[1]сентябрь 20'!AM36</f>
        <v>0</v>
      </c>
      <c r="L37" s="446">
        <f>'[1]ноябрь 20'!AE36</f>
        <v>0</v>
      </c>
      <c r="M37" s="128">
        <f t="shared" si="23"/>
        <v>0</v>
      </c>
      <c r="N37" s="399">
        <f>'[1]ноябрь 20'!W36</f>
        <v>0</v>
      </c>
      <c r="O37" s="399">
        <f>'[1]ноябрь 20'!AU36</f>
        <v>0</v>
      </c>
      <c r="P37" s="125">
        <f t="shared" si="1"/>
        <v>0</v>
      </c>
      <c r="Q37" s="122">
        <f>'[1]ноябрь 20'!S36</f>
        <v>0</v>
      </c>
      <c r="R37" s="123">
        <f t="shared" si="25"/>
        <v>0</v>
      </c>
      <c r="S37" s="129"/>
      <c r="T37" s="125">
        <f t="shared" si="2"/>
        <v>0</v>
      </c>
      <c r="U37" s="191">
        <f t="shared" si="3"/>
        <v>0</v>
      </c>
      <c r="V37" s="192"/>
      <c r="W37" s="192"/>
      <c r="X37" s="190"/>
      <c r="Y37" s="193"/>
      <c r="Z37" s="194"/>
      <c r="AA37" s="195"/>
      <c r="AB37" s="196"/>
      <c r="AC37" s="194"/>
      <c r="AD37" s="193"/>
      <c r="AE37" s="196"/>
      <c r="AF37" s="134">
        <f t="shared" si="4"/>
        <v>0</v>
      </c>
      <c r="AG37" s="197"/>
      <c r="AH37" s="190"/>
      <c r="AI37" s="134">
        <f t="shared" si="5"/>
        <v>0</v>
      </c>
      <c r="AJ37" s="196"/>
      <c r="AK37" s="198"/>
      <c r="AL37" s="199"/>
      <c r="AM37" s="525">
        <f t="shared" si="38"/>
        <v>0</v>
      </c>
      <c r="AN37" s="126">
        <f t="shared" si="27"/>
        <v>0</v>
      </c>
      <c r="AO37" s="201"/>
      <c r="AP37" s="200"/>
      <c r="AQ37" s="201"/>
      <c r="AR37" s="193"/>
      <c r="AS37" s="196"/>
      <c r="AT37" s="242"/>
      <c r="AU37" s="196"/>
      <c r="AV37" s="196"/>
      <c r="AW37" s="196"/>
      <c r="AX37" s="202">
        <f t="shared" si="6"/>
        <v>0</v>
      </c>
      <c r="AY37" s="188">
        <f t="shared" si="7"/>
        <v>0</v>
      </c>
      <c r="AZ37" s="125">
        <f t="shared" si="28"/>
        <v>0</v>
      </c>
      <c r="BA37" s="203">
        <f t="shared" si="8"/>
        <v>0</v>
      </c>
      <c r="BB37" s="204">
        <f t="shared" si="9"/>
        <v>0</v>
      </c>
      <c r="BC37" s="205">
        <f t="shared" si="10"/>
        <v>0</v>
      </c>
      <c r="BD37" s="206">
        <f t="shared" si="29"/>
        <v>0</v>
      </c>
      <c r="BE37" s="207"/>
      <c r="BF37" s="25">
        <f t="shared" si="30"/>
        <v>3659.4700000000003</v>
      </c>
      <c r="BG37" s="25">
        <f t="shared" si="11"/>
        <v>0</v>
      </c>
      <c r="BH37" s="25">
        <f t="shared" si="31"/>
        <v>3769.9999999999986</v>
      </c>
      <c r="BI37" s="26">
        <f t="shared" si="12"/>
        <v>0</v>
      </c>
      <c r="BJ37" s="37">
        <f t="shared" si="32"/>
        <v>3769.9999999999986</v>
      </c>
      <c r="BK37" s="51"/>
      <c r="BL37" s="53"/>
      <c r="BM37" s="53"/>
      <c r="BN37" s="53"/>
      <c r="BO37" s="282"/>
      <c r="BP37" s="282"/>
      <c r="BQ37" s="54"/>
      <c r="BR37" s="55"/>
      <c r="BS37" s="52"/>
      <c r="BT37" s="56"/>
      <c r="BU37" s="56"/>
      <c r="BV37" s="284"/>
      <c r="BW37" s="284"/>
      <c r="BX37" s="57"/>
      <c r="BY37" s="55"/>
      <c r="BZ37" s="52"/>
      <c r="CA37" s="56"/>
      <c r="CB37" s="56"/>
      <c r="CC37" s="284"/>
      <c r="CD37" s="284"/>
      <c r="CE37" s="57"/>
      <c r="CF37" s="58"/>
      <c r="CG37" s="58"/>
      <c r="CH37" s="52"/>
      <c r="CI37" s="54"/>
      <c r="CJ37" s="33"/>
      <c r="CK37" s="265"/>
      <c r="CL37" s="59"/>
      <c r="CM37" s="60"/>
      <c r="CN37" s="270"/>
      <c r="CO37" s="269">
        <f t="shared" si="39"/>
        <v>0</v>
      </c>
      <c r="CP37" s="18">
        <f t="shared" si="39"/>
        <v>0</v>
      </c>
      <c r="CQ37" s="18">
        <f t="shared" si="39"/>
        <v>0</v>
      </c>
      <c r="CR37" s="18">
        <f t="shared" si="39"/>
        <v>0</v>
      </c>
      <c r="CS37" s="251">
        <f t="shared" si="39"/>
        <v>0</v>
      </c>
      <c r="CT37" s="11">
        <f t="shared" si="39"/>
        <v>0</v>
      </c>
      <c r="CU37" s="273">
        <f t="shared" si="39"/>
        <v>0</v>
      </c>
      <c r="CV37" s="269">
        <f t="shared" si="14"/>
        <v>0</v>
      </c>
      <c r="CW37" s="18">
        <f t="shared" si="14"/>
        <v>0</v>
      </c>
      <c r="CX37" s="261">
        <f t="shared" si="14"/>
        <v>0</v>
      </c>
      <c r="CY37" s="273">
        <f t="shared" si="14"/>
        <v>0</v>
      </c>
      <c r="CZ37" s="13"/>
      <c r="DA37" s="240" t="e">
        <f>(D37+'[2]ноябрь 20'!D37)/(AY37+'[2]ноябрь 20'!BA37)</f>
        <v>#DIV/0!</v>
      </c>
      <c r="DB37" s="241" t="e">
        <f>(T37+'[2]ноябрь 20'!T37)/(AY37+'[2]ноябрь 20'!BA37)</f>
        <v>#DIV/0!</v>
      </c>
      <c r="DD37" s="292">
        <f t="shared" si="15"/>
        <v>0</v>
      </c>
      <c r="DE37" s="294"/>
      <c r="DF37" s="294"/>
      <c r="DG37" s="323">
        <f t="shared" si="16"/>
        <v>0</v>
      </c>
      <c r="DH37" s="293">
        <f t="shared" si="35"/>
        <v>0</v>
      </c>
      <c r="DJ37" s="322"/>
    </row>
    <row r="38" spans="1:117" s="214" customFormat="1" ht="16.5" customHeight="1" thickBot="1">
      <c r="A38" s="91" t="s">
        <v>56</v>
      </c>
      <c r="B38" s="329">
        <f>SUM(B7:B37)</f>
        <v>8823.9369999999999</v>
      </c>
      <c r="C38" s="330"/>
      <c r="D38" s="331">
        <f>SUM(D7:D37)</f>
        <v>8727.1282688174397</v>
      </c>
      <c r="E38" s="332"/>
      <c r="F38" s="331"/>
      <c r="G38" s="333">
        <f>SUM(G7:G37)</f>
        <v>395.48999999999995</v>
      </c>
      <c r="H38" s="329"/>
      <c r="I38" s="334">
        <f>SUM(I7:I37)</f>
        <v>0</v>
      </c>
      <c r="J38" s="329">
        <f>SUM(J7:J37)</f>
        <v>319.3381</v>
      </c>
      <c r="K38" s="329">
        <f>SUM(K7:K37)</f>
        <v>0</v>
      </c>
      <c r="L38" s="329">
        <f>SUM(L7:L37)</f>
        <v>2717.8640000000005</v>
      </c>
      <c r="M38" s="335"/>
      <c r="N38" s="329">
        <f>SUM(N7:N37)</f>
        <v>0</v>
      </c>
      <c r="O38" s="329">
        <f>SUM(O7:O37)</f>
        <v>204.39999999999998</v>
      </c>
      <c r="P38" s="330">
        <f>SUM(P7:P37)</f>
        <v>5312.864000999999</v>
      </c>
      <c r="Q38" s="396">
        <f>SUM(Q7:Q37)</f>
        <v>5312.8639999999996</v>
      </c>
      <c r="R38" s="336">
        <f>IF(Q38=0,0,(CA38*CH38+CE38*CI38+CF38*CJ38)/Q38)</f>
        <v>0</v>
      </c>
      <c r="S38" s="396">
        <f>SUM(S7:S37)</f>
        <v>384.33</v>
      </c>
      <c r="T38" s="331">
        <f>SUM(T7:T37)</f>
        <v>5159.8534465000002</v>
      </c>
      <c r="U38" s="337"/>
      <c r="V38" s="90">
        <f>SUM(V7:V37)</f>
        <v>3033.99</v>
      </c>
      <c r="W38" s="332">
        <f>SUM(W7:W37)</f>
        <v>2604.7199999999998</v>
      </c>
      <c r="X38" s="338"/>
      <c r="Y38" s="337"/>
      <c r="Z38" s="339"/>
      <c r="AA38" s="340"/>
      <c r="AB38" s="338"/>
      <c r="AC38" s="339"/>
      <c r="AD38" s="339">
        <f>SUM(AD7:AD37)</f>
        <v>142</v>
      </c>
      <c r="AE38" s="332">
        <f>SUM(AE7:AE37)</f>
        <v>47.55</v>
      </c>
      <c r="AF38" s="341"/>
      <c r="AG38" s="342">
        <f>SUM(AG7:AG37)</f>
        <v>0</v>
      </c>
      <c r="AH38" s="332">
        <f>SUM(AH7:AH37)</f>
        <v>2412.4499999999998</v>
      </c>
      <c r="AI38" s="341"/>
      <c r="AJ38" s="332">
        <f>SUM(AJ7:AJ37)</f>
        <v>495.93000000000006</v>
      </c>
      <c r="AK38" s="343"/>
      <c r="AL38" s="522">
        <f>SUM(AL7:AL37)</f>
        <v>239.93999999999997</v>
      </c>
      <c r="AM38" s="544">
        <f>SUM(AM7:AM37)</f>
        <v>1021.3199999999999</v>
      </c>
      <c r="AN38" s="345"/>
      <c r="AO38" s="342"/>
      <c r="AP38" s="332"/>
      <c r="AQ38" s="342"/>
      <c r="AR38" s="342"/>
      <c r="AS38" s="346"/>
      <c r="AT38" s="332">
        <f>SUM(AT7:AT37)</f>
        <v>4854.9500000000007</v>
      </c>
      <c r="AU38" s="332">
        <f>SUM(AU7:AU37)</f>
        <v>65.78</v>
      </c>
      <c r="AV38" s="347">
        <f>SUM(AV7:AV37)</f>
        <v>0</v>
      </c>
      <c r="AW38" s="332">
        <f>SUM(AW7:AW37)</f>
        <v>0</v>
      </c>
      <c r="AX38" s="331"/>
      <c r="AY38" s="332">
        <f>SUM(AY7:AY37)</f>
        <v>3659.4700000000003</v>
      </c>
      <c r="AZ38" s="330">
        <f>SUM(AZ7:AZ37)</f>
        <v>4075.0660841508857</v>
      </c>
      <c r="BA38" s="342">
        <f>SUM(BA7:BA37)</f>
        <v>162.65879718309859</v>
      </c>
      <c r="BB38" s="342">
        <f>SUM(BB7:BB37)</f>
        <v>146.37879999999996</v>
      </c>
      <c r="BC38" s="332"/>
      <c r="BD38" s="342">
        <f>SUM(BD7:BD37)</f>
        <v>309.03759718309863</v>
      </c>
      <c r="BE38" s="348"/>
      <c r="BF38" s="19"/>
      <c r="BG38" s="19">
        <f t="shared" si="11"/>
        <v>0</v>
      </c>
      <c r="BH38" s="19"/>
      <c r="BI38" s="208">
        <f>SUM(BI7:BI37)</f>
        <v>30</v>
      </c>
      <c r="BJ38" s="209"/>
      <c r="BK38" s="278">
        <f t="shared" ref="BK38:BQ38" si="40">SUM(BK7:BK37)</f>
        <v>6106.0730000000003</v>
      </c>
      <c r="BL38" s="61">
        <f>SUM(BL7:BL37)</f>
        <v>9.9999999999999995E-7</v>
      </c>
      <c r="BM38" s="61">
        <f t="shared" si="40"/>
        <v>9.9999999999999995E-7</v>
      </c>
      <c r="BN38" s="61">
        <f t="shared" si="40"/>
        <v>2415.5729999999999</v>
      </c>
      <c r="BO38" s="61">
        <f t="shared" si="40"/>
        <v>9.9999999999999995E-7</v>
      </c>
      <c r="BP38" s="61">
        <f t="shared" si="40"/>
        <v>9.9999999999999995E-7</v>
      </c>
      <c r="BQ38" s="64">
        <f t="shared" si="40"/>
        <v>302.29099999999994</v>
      </c>
      <c r="BR38" s="63"/>
      <c r="BS38" s="24"/>
      <c r="BT38" s="24"/>
      <c r="BU38" s="24"/>
      <c r="BV38" s="62"/>
      <c r="BW38" s="62"/>
      <c r="BX38" s="65"/>
      <c r="BY38" s="63"/>
      <c r="BZ38" s="24"/>
      <c r="CA38" s="24"/>
      <c r="CB38" s="24"/>
      <c r="CC38" s="62"/>
      <c r="CD38" s="62"/>
      <c r="CE38" s="62"/>
      <c r="CF38" s="66">
        <f>SUM(CF7:CF37)</f>
        <v>2110.4739999999993</v>
      </c>
      <c r="CG38" s="66">
        <f>SUM(CG7:CG37)</f>
        <v>9.9999999999999995E-7</v>
      </c>
      <c r="CH38" s="61">
        <f>SUM(CH7:CH37)</f>
        <v>54.366999999999997</v>
      </c>
      <c r="CI38" s="67">
        <f>SUM(CI7:CI37)</f>
        <v>3148.0230000000001</v>
      </c>
      <c r="CJ38" s="210"/>
      <c r="CK38" s="266"/>
      <c r="CL38" s="211"/>
      <c r="CM38" s="212"/>
      <c r="CN38" s="213"/>
      <c r="CO38" s="68">
        <f t="shared" ref="CO38:CY38" si="41">SUM(CO7:CO37)</f>
        <v>6009.2642696999992</v>
      </c>
      <c r="CP38" s="69">
        <f t="shared" si="41"/>
        <v>9.9999998999999992E-7</v>
      </c>
      <c r="CQ38" s="70">
        <f t="shared" si="41"/>
        <v>9.9999998999999992E-7</v>
      </c>
      <c r="CR38" s="69">
        <f t="shared" si="41"/>
        <v>2415.5729992193101</v>
      </c>
      <c r="CS38" s="72">
        <f t="shared" si="41"/>
        <v>9.9999998999999992E-7</v>
      </c>
      <c r="CT38" s="72">
        <f t="shared" si="41"/>
        <v>9.9999998999999992E-7</v>
      </c>
      <c r="CU38" s="71">
        <f t="shared" si="41"/>
        <v>302.29099989812994</v>
      </c>
      <c r="CV38" s="72">
        <f t="shared" si="41"/>
        <v>2049.7490335999996</v>
      </c>
      <c r="CW38" s="72">
        <f t="shared" si="41"/>
        <v>9.9999998999999992E-7</v>
      </c>
      <c r="CX38" s="72">
        <f t="shared" si="41"/>
        <v>53.100248899999997</v>
      </c>
      <c r="CY38" s="72">
        <f t="shared" si="41"/>
        <v>3057.004163999999</v>
      </c>
      <c r="CZ38" s="70"/>
      <c r="DA38" s="240">
        <f>(D38+'[2]ноябрь 20'!D38)/(AY38+'[2]ноябрь 20'!BA38)</f>
        <v>2.2223622254860449</v>
      </c>
      <c r="DB38" s="241">
        <f>(T38+'[2]ноябрь 20'!T38)/(AY38+'[2]ноябрь 20'!BA38)</f>
        <v>1.3304309486833179</v>
      </c>
      <c r="DD38" s="295">
        <f>SUM(DD7:DD37)</f>
        <v>319.3381</v>
      </c>
      <c r="DE38" s="296">
        <f>(SUMPRODUCT(DD7:DD37,DE7:DE37))/DD38</f>
        <v>0.28639063425253669</v>
      </c>
      <c r="DF38" s="296">
        <f>(SUMPRODUCT(DD7:DD37,DF7:DF37))/DD38</f>
        <v>15.883042239557382</v>
      </c>
      <c r="DG38" s="296">
        <f>(SUMPRODUCT(DE7:DE37,DG7:DG37))/DE38</f>
        <v>317.79532958345635</v>
      </c>
      <c r="DH38" s="324">
        <f>IF(J38=0,0,(DG38*DF38%)/(AB39/100))</f>
        <v>66.748339090012522</v>
      </c>
    </row>
    <row r="39" spans="1:117" s="214" customFormat="1" ht="16.5" customHeight="1" thickBot="1">
      <c r="A39" s="93" t="s">
        <v>57</v>
      </c>
      <c r="B39" s="349">
        <f>B38/AU2</f>
        <v>294.13123333333334</v>
      </c>
      <c r="C39" s="349">
        <f>(BK38*BR39+BM38*BT39+BQ38*BX39+BL38*BS39+BN38*BU39+BO38*BV39+BP38*BW39)/B38</f>
        <v>1.0971149406728546</v>
      </c>
      <c r="D39" s="350">
        <f>D38/AU2</f>
        <v>290.90427562724801</v>
      </c>
      <c r="E39" s="349">
        <f>(BK38*BY39+BM38*CA39+BQ38*CE39+BL38*BZ39+BN38*CB39+BO38*CC39+BP38*CD39)/B38</f>
        <v>39.778006811472011</v>
      </c>
      <c r="F39" s="351">
        <f>IF($AY$38=0,0,$D$38/$AY$38)</f>
        <v>2.384806616482015</v>
      </c>
      <c r="G39" s="352">
        <f>G38/AU2</f>
        <v>13.182999999999998</v>
      </c>
      <c r="H39" s="353">
        <f>IF($AY$38=0,0,(CP38+CO38+CS38+CQ38+CT38)/AY38)</f>
        <v>1.6421132769772673</v>
      </c>
      <c r="I39" s="349">
        <f>I38/AU2</f>
        <v>0</v>
      </c>
      <c r="J39" s="349">
        <f>J38/AU2</f>
        <v>10.644603333333333</v>
      </c>
      <c r="K39" s="349">
        <f>K38/AU2</f>
        <v>0</v>
      </c>
      <c r="L39" s="349">
        <f>L38/AU2</f>
        <v>90.595466666666681</v>
      </c>
      <c r="M39" s="354">
        <f>IF($AY$38=0,0,(CR38+CU38)/$AY$38)</f>
        <v>0.74269334059780234</v>
      </c>
      <c r="N39" s="349">
        <f>N38/AU2</f>
        <v>0</v>
      </c>
      <c r="O39" s="349">
        <f>O38/AU2</f>
        <v>6.8133333333333326</v>
      </c>
      <c r="P39" s="349">
        <f>P38/AU2</f>
        <v>177.09546669999997</v>
      </c>
      <c r="Q39" s="349">
        <f>Q38/AU2</f>
        <v>177.09546666666665</v>
      </c>
      <c r="R39" s="349">
        <f>(SUMPRODUCT(R7:R37,Q7:Q37))/Q38</f>
        <v>2.880001323203456</v>
      </c>
      <c r="S39" s="355">
        <f>S38/AU2</f>
        <v>12.811</v>
      </c>
      <c r="T39" s="356"/>
      <c r="U39" s="354">
        <f>IF($AY$38=0,0,$T$38/$AY$38)</f>
        <v>1.4100002039912882</v>
      </c>
      <c r="V39" s="349">
        <f>V38/AU2</f>
        <v>101.133</v>
      </c>
      <c r="W39" s="349">
        <f>W38/AU2</f>
        <v>86.823999999999998</v>
      </c>
      <c r="X39" s="349">
        <f>(SUMPRODUCT(X7:X37,AY7:AY37))/AY38</f>
        <v>0.77143143679275938</v>
      </c>
      <c r="Y39" s="357">
        <f>AVERAGE(Y7:Y37)</f>
        <v>562.5</v>
      </c>
      <c r="Z39" s="357">
        <f>AVERAGE(Z7:Z37)</f>
        <v>1164.9000000000001</v>
      </c>
      <c r="AA39" s="357"/>
      <c r="AB39" s="349">
        <f>(SUMPRODUCT(AB7:AB37,AY7:AY37))/AY38</f>
        <v>75.620707752762002</v>
      </c>
      <c r="AC39" s="358">
        <f>AVERAGE(AC7:AC37)</f>
        <v>107.1</v>
      </c>
      <c r="AD39" s="358">
        <f>AVERAGE(AD7:AD37)</f>
        <v>4.7333333333333334</v>
      </c>
      <c r="AE39" s="349">
        <f>AE38/AU2</f>
        <v>1.585</v>
      </c>
      <c r="AF39" s="355">
        <f>IF(AY38=0,0,AE38/AY38*1000)</f>
        <v>12.993684877864826</v>
      </c>
      <c r="AG39" s="356" t="e">
        <f>AG38/$AW$2</f>
        <v>#DIV/0!</v>
      </c>
      <c r="AH39" s="349">
        <f>AH38/AU2</f>
        <v>80.414999999999992</v>
      </c>
      <c r="AI39" s="355">
        <f>IF(AY38=0,0,AH38/AY38*1000)</f>
        <v>659.23480722618285</v>
      </c>
      <c r="AJ39" s="349">
        <f>AJ38/AU2</f>
        <v>16.531000000000002</v>
      </c>
      <c r="AK39" s="359"/>
      <c r="AL39" s="349">
        <f>AL38/AU2</f>
        <v>7.9979999999999993</v>
      </c>
      <c r="AM39" s="349">
        <f>AM38/AU2</f>
        <v>34.043999999999997</v>
      </c>
      <c r="AN39" s="360">
        <f>IF(AM39=0,0,AM39/AT39)</f>
        <v>0.21036673910132953</v>
      </c>
      <c r="AO39" s="356"/>
      <c r="AP39" s="349">
        <f>AVERAGE(AP7:AP37)</f>
        <v>7.4243333333333332</v>
      </c>
      <c r="AQ39" s="349">
        <f>AVERAGE(AQ7:AQ37)</f>
        <v>8.5250000000000004</v>
      </c>
      <c r="AR39" s="356"/>
      <c r="AS39" s="349">
        <f>AVERAGE(AS7:AS37)</f>
        <v>8.7479999999999993</v>
      </c>
      <c r="AT39" s="349">
        <f>AT38/AU2</f>
        <v>161.83166666666668</v>
      </c>
      <c r="AU39" s="349">
        <f>AU38/AU2</f>
        <v>2.1926666666666668</v>
      </c>
      <c r="AV39" s="349" t="e">
        <f>AV38/$AW$2</f>
        <v>#DIV/0!</v>
      </c>
      <c r="AW39" s="349" t="e">
        <f>AW38/$AW$2</f>
        <v>#DIV/0!</v>
      </c>
      <c r="AX39" s="349" t="e">
        <f>IF(AY39=0,0,AW39/AY39*100)</f>
        <v>#DIV/0!</v>
      </c>
      <c r="AY39" s="349">
        <f>AY38/AU2</f>
        <v>121.98233333333334</v>
      </c>
      <c r="AZ39" s="349">
        <f>AZ38/AU2</f>
        <v>135.83553613836287</v>
      </c>
      <c r="BA39" s="356"/>
      <c r="BB39" s="356"/>
      <c r="BC39" s="351">
        <f>(AY38*AB39)/(D38*E39)</f>
        <v>0.79715826265062095</v>
      </c>
      <c r="BD39" s="349">
        <f>BD38/AU2</f>
        <v>10.301253239436621</v>
      </c>
      <c r="BE39" s="361"/>
      <c r="BF39" s="19"/>
      <c r="BG39" s="19"/>
      <c r="BH39" s="19"/>
      <c r="BI39" s="19"/>
      <c r="BJ39" s="215"/>
      <c r="BK39" s="73"/>
      <c r="BL39" s="216"/>
      <c r="BM39" s="216"/>
      <c r="BN39" s="216"/>
      <c r="BO39" s="219"/>
      <c r="BP39" s="219"/>
      <c r="BQ39" s="217"/>
      <c r="BR39" s="73">
        <f>(SUMPRODUCT(BK7:BK37,BR7:BR37))/BK38</f>
        <v>1.5854499332058427</v>
      </c>
      <c r="BS39" s="29">
        <f>(SUMPRODUCT(BL7:BL37,BS7:BS37))/BL38</f>
        <v>9.9999999999999995E-7</v>
      </c>
      <c r="BT39" s="29">
        <f t="shared" ref="BT39:BX39" si="42">(SUMPRODUCT(BM7:BM37,BT7:BT37))/BM38</f>
        <v>9.9999999999999995E-7</v>
      </c>
      <c r="BU39" s="29">
        <f t="shared" si="42"/>
        <v>3.2319039830301137E-8</v>
      </c>
      <c r="BV39" s="29">
        <f t="shared" si="42"/>
        <v>9.9999999999999995E-7</v>
      </c>
      <c r="BW39" s="29">
        <f t="shared" si="42"/>
        <v>9.9999999999999995E-7</v>
      </c>
      <c r="BX39" s="74">
        <f t="shared" si="42"/>
        <v>3.3699316221786297E-8</v>
      </c>
      <c r="BY39" s="73">
        <f t="shared" ref="BY39:CE39" si="43">(SUMPRODUCT(BK7:BK37,BY7:BY37))/BK38</f>
        <v>38.092354233236314</v>
      </c>
      <c r="BZ39" s="29">
        <f t="shared" si="43"/>
        <v>9.9999999999999995E-7</v>
      </c>
      <c r="CA39" s="29">
        <f t="shared" si="43"/>
        <v>9.9999999999999995E-7</v>
      </c>
      <c r="CB39" s="29">
        <f t="shared" si="43"/>
        <v>43.562470904418944</v>
      </c>
      <c r="CC39" s="29">
        <f t="shared" si="43"/>
        <v>9.9999999999999995E-7</v>
      </c>
      <c r="CD39" s="29">
        <f t="shared" si="43"/>
        <v>9.9999999999999995E-7</v>
      </c>
      <c r="CE39" s="74">
        <f t="shared" si="43"/>
        <v>43.585822502158521</v>
      </c>
      <c r="CF39" s="218"/>
      <c r="CG39" s="218"/>
      <c r="CH39" s="216"/>
      <c r="CI39" s="219"/>
      <c r="CJ39" s="75">
        <f>(SUMPRODUCT(CF7:CF37,CJ7:CJ37))/CF38</f>
        <v>2.8773141199559911</v>
      </c>
      <c r="CK39" s="75">
        <f>(SUMPRODUCT(CG7:CG37,CK7:CK37))/CG38</f>
        <v>9.9999999999999995E-7</v>
      </c>
      <c r="CL39" s="29">
        <f>(SUMPRODUCT(CH7:CH37,CL7:CL37))/CH38</f>
        <v>2.33</v>
      </c>
      <c r="CM39" s="74">
        <f>(SUMPRODUCT(CI7:CI37,CM7:CM37))/CI38</f>
        <v>2.8913014930322931</v>
      </c>
      <c r="CN39" s="19"/>
      <c r="CO39" s="596">
        <f>CO38+CP38</f>
        <v>6009.2642706999995</v>
      </c>
      <c r="CP39" s="596"/>
      <c r="CQ39" s="597">
        <f>CQ38+CR38+CU38+CS38+CT38</f>
        <v>2717.8640021174397</v>
      </c>
      <c r="CR39" s="597"/>
      <c r="CS39" s="597"/>
      <c r="CT39" s="597"/>
      <c r="CU39" s="597"/>
      <c r="CV39" s="597">
        <f>CV38+CX38+CY38+CW38</f>
        <v>5159.8534474999988</v>
      </c>
      <c r="CW39" s="597"/>
      <c r="CX39" s="597"/>
      <c r="CY39" s="597"/>
      <c r="DA39" s="236"/>
      <c r="DB39" s="238"/>
      <c r="DD39" s="297"/>
      <c r="DE39" s="298"/>
      <c r="DF39" s="298"/>
      <c r="DG39" s="299"/>
      <c r="DH39" s="300"/>
    </row>
    <row r="40" spans="1:117" s="214" customFormat="1" ht="16.5" customHeight="1" thickBot="1">
      <c r="A40" s="94" t="s">
        <v>58</v>
      </c>
      <c r="B40" s="362"/>
      <c r="C40" s="362"/>
      <c r="D40" s="363"/>
      <c r="E40" s="364">
        <v>39.299999999999997</v>
      </c>
      <c r="F40" s="363">
        <v>2.16</v>
      </c>
      <c r="G40" s="365">
        <v>13.27</v>
      </c>
      <c r="H40" s="363">
        <v>1.7604</v>
      </c>
      <c r="I40" s="363"/>
      <c r="J40" s="363">
        <v>10.05336</v>
      </c>
      <c r="K40" s="363"/>
      <c r="L40" s="363"/>
      <c r="M40" s="363">
        <v>0.39960000000000001</v>
      </c>
      <c r="N40" s="363"/>
      <c r="O40" s="363">
        <v>5.0266799999999998</v>
      </c>
      <c r="P40" s="366"/>
      <c r="Q40" s="362"/>
      <c r="R40" s="367"/>
      <c r="S40" s="368">
        <v>11.435696999999999</v>
      </c>
      <c r="T40" s="362"/>
      <c r="U40" s="369">
        <v>1.3</v>
      </c>
      <c r="V40" s="370">
        <v>3770</v>
      </c>
      <c r="W40" s="370">
        <v>3770</v>
      </c>
      <c r="X40" s="371"/>
      <c r="Y40" s="371"/>
      <c r="Z40" s="372">
        <v>1190</v>
      </c>
      <c r="AA40" s="372"/>
      <c r="AB40" s="362">
        <v>76</v>
      </c>
      <c r="AC40" s="362"/>
      <c r="AD40" s="362"/>
      <c r="AE40" s="362"/>
      <c r="AF40" s="362"/>
      <c r="AG40" s="362"/>
      <c r="AH40" s="362"/>
      <c r="AI40" s="362">
        <v>644</v>
      </c>
      <c r="AJ40" s="373"/>
      <c r="AK40" s="374"/>
      <c r="AL40" s="375"/>
      <c r="AM40" s="362"/>
      <c r="AN40" s="362"/>
      <c r="AO40" s="362"/>
      <c r="AP40" s="362"/>
      <c r="AQ40" s="362"/>
      <c r="AR40" s="362"/>
      <c r="AS40" s="362"/>
      <c r="AT40" s="376">
        <v>3770</v>
      </c>
      <c r="AU40" s="377">
        <v>45.2</v>
      </c>
      <c r="AV40" s="377"/>
      <c r="AW40" s="378"/>
      <c r="AX40" s="362"/>
      <c r="AY40" s="379">
        <v>125.67</v>
      </c>
      <c r="AZ40" s="362"/>
      <c r="BA40" s="362"/>
      <c r="BB40" s="362"/>
      <c r="BC40" s="363">
        <v>0.9</v>
      </c>
      <c r="BD40" s="362"/>
      <c r="BE40" s="380"/>
      <c r="BF40" s="19"/>
      <c r="BG40" s="19"/>
      <c r="BH40" s="19"/>
      <c r="BI40" s="19"/>
      <c r="BJ40" s="215"/>
      <c r="BK40" s="220"/>
      <c r="BL40" s="221"/>
      <c r="BM40" s="216"/>
      <c r="BN40" s="216"/>
      <c r="BO40" s="219"/>
      <c r="BP40" s="219"/>
      <c r="BQ40" s="217"/>
      <c r="BR40" s="218"/>
      <c r="BS40" s="216"/>
      <c r="BT40" s="216"/>
      <c r="BU40" s="216"/>
      <c r="BV40" s="219"/>
      <c r="BW40" s="219"/>
      <c r="BX40" s="217"/>
      <c r="BY40" s="218"/>
      <c r="BZ40" s="216"/>
      <c r="CA40" s="216"/>
      <c r="CB40" s="216"/>
      <c r="CC40" s="219"/>
      <c r="CD40" s="219"/>
      <c r="CE40" s="217"/>
      <c r="CF40" s="218"/>
      <c r="CG40" s="218"/>
      <c r="CH40" s="216"/>
      <c r="CI40" s="219"/>
      <c r="CJ40" s="220"/>
      <c r="CK40" s="218"/>
      <c r="CL40" s="216"/>
      <c r="CM40" s="217"/>
      <c r="CN40" s="213"/>
      <c r="CO40" s="604">
        <f>CO39+CQ39</f>
        <v>8727.1282728174392</v>
      </c>
      <c r="CP40" s="604"/>
      <c r="CQ40" s="604"/>
      <c r="CR40" s="604"/>
      <c r="CS40" s="604"/>
      <c r="CT40" s="604"/>
      <c r="CU40" s="604"/>
      <c r="DA40" s="237"/>
      <c r="DB40" s="239"/>
      <c r="DD40" s="301"/>
      <c r="DE40" s="302"/>
      <c r="DF40" s="302"/>
      <c r="DG40" s="303"/>
      <c r="DH40" s="304"/>
    </row>
    <row r="41" spans="1:117" s="214" customFormat="1" ht="16.5" customHeight="1" thickBot="1">
      <c r="A41" s="95" t="s">
        <v>59</v>
      </c>
      <c r="B41" s="381"/>
      <c r="C41" s="381"/>
      <c r="D41" s="382"/>
      <c r="E41" s="381"/>
      <c r="F41" s="383">
        <f>F39-F40</f>
        <v>0.22480661648201483</v>
      </c>
      <c r="G41" s="384">
        <f>G39-G40</f>
        <v>-8.7000000000001521E-2</v>
      </c>
      <c r="H41" s="383"/>
      <c r="I41" s="385">
        <f>I39-I40</f>
        <v>0</v>
      </c>
      <c r="J41" s="385"/>
      <c r="K41" s="385"/>
      <c r="L41" s="385"/>
      <c r="M41" s="385"/>
      <c r="N41" s="385"/>
      <c r="O41" s="385"/>
      <c r="P41" s="383"/>
      <c r="Q41" s="386"/>
      <c r="R41" s="385">
        <f>R39-R40</f>
        <v>2.880001323203456</v>
      </c>
      <c r="S41" s="386"/>
      <c r="T41" s="386"/>
      <c r="U41" s="383">
        <f>U39-U40</f>
        <v>0.11000020399128818</v>
      </c>
      <c r="V41" s="383"/>
      <c r="W41" s="383"/>
      <c r="X41" s="383"/>
      <c r="Y41" s="383"/>
      <c r="Z41" s="387">
        <f>Z39-Z40</f>
        <v>-25.099999999999909</v>
      </c>
      <c r="AA41" s="388"/>
      <c r="AB41" s="381"/>
      <c r="AC41" s="381"/>
      <c r="AD41" s="381"/>
      <c r="AE41" s="381"/>
      <c r="AF41" s="381"/>
      <c r="AG41" s="381"/>
      <c r="AH41" s="381"/>
      <c r="AI41" s="381"/>
      <c r="AJ41" s="381"/>
      <c r="AK41" s="389"/>
      <c r="AL41" s="390"/>
      <c r="AM41" s="381"/>
      <c r="AN41" s="381"/>
      <c r="AO41" s="381"/>
      <c r="AP41" s="381"/>
      <c r="AQ41" s="381"/>
      <c r="AR41" s="381"/>
      <c r="AS41" s="381"/>
      <c r="AT41" s="391">
        <f>AT38+AV38-AT40</f>
        <v>1084.9500000000007</v>
      </c>
      <c r="AU41" s="392"/>
      <c r="AV41" s="393"/>
      <c r="AW41" s="390"/>
      <c r="AX41" s="381"/>
      <c r="AY41" s="385"/>
      <c r="AZ41" s="381"/>
      <c r="BA41" s="381"/>
      <c r="BB41" s="381"/>
      <c r="BC41" s="394"/>
      <c r="BD41" s="381"/>
      <c r="BE41" s="395"/>
      <c r="BF41" s="222"/>
      <c r="BG41" s="222"/>
      <c r="BH41" s="222"/>
      <c r="BI41" s="222"/>
      <c r="BJ41" s="222"/>
      <c r="BK41" s="223"/>
      <c r="BL41" s="224"/>
      <c r="BM41" s="225"/>
      <c r="BN41" s="225"/>
      <c r="BO41" s="224"/>
      <c r="BP41" s="224"/>
      <c r="BQ41" s="226"/>
      <c r="BR41" s="227"/>
      <c r="BS41" s="225"/>
      <c r="BT41" s="225"/>
      <c r="BU41" s="225"/>
      <c r="BV41" s="224"/>
      <c r="BW41" s="224"/>
      <c r="BX41" s="224"/>
      <c r="BY41" s="228"/>
      <c r="BZ41" s="225"/>
      <c r="CA41" s="225"/>
      <c r="CB41" s="225"/>
      <c r="CC41" s="224"/>
      <c r="CD41" s="224"/>
      <c r="CE41" s="226"/>
      <c r="CF41" s="227"/>
      <c r="CG41" s="227"/>
      <c r="CH41" s="225"/>
      <c r="CI41" s="224"/>
      <c r="CJ41" s="228"/>
      <c r="CK41" s="227"/>
      <c r="CL41" s="225"/>
      <c r="CM41" s="226"/>
      <c r="CN41" s="213"/>
      <c r="CO41" s="213"/>
      <c r="CP41" s="213"/>
      <c r="CQ41" s="213"/>
      <c r="DA41" s="21"/>
      <c r="DH41" s="309"/>
    </row>
    <row r="42" spans="1:117" ht="15" hidden="1" customHeight="1">
      <c r="A42" s="96"/>
      <c r="B42" s="96"/>
      <c r="C42" s="96"/>
      <c r="D42" s="97"/>
      <c r="E42" s="96"/>
      <c r="F42" s="98"/>
      <c r="G42" s="99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1"/>
      <c r="AF42" s="101"/>
      <c r="AG42" s="100"/>
      <c r="AH42" s="100"/>
      <c r="AI42" s="100"/>
      <c r="AJ42" s="100"/>
      <c r="AK42" s="100"/>
      <c r="AL42" s="100"/>
      <c r="AM42" s="100"/>
      <c r="AN42" s="100"/>
      <c r="AO42" s="100"/>
      <c r="AP42" s="100"/>
      <c r="AQ42" s="100"/>
      <c r="AR42" s="100"/>
      <c r="AS42" s="96"/>
      <c r="AT42" s="612"/>
      <c r="AU42" s="612"/>
      <c r="AV42" s="612"/>
      <c r="AW42" s="96"/>
      <c r="AX42" s="96"/>
      <c r="AY42" s="100"/>
      <c r="AZ42" s="100"/>
      <c r="BA42" s="100"/>
      <c r="BB42" s="100"/>
      <c r="BC42" s="100"/>
      <c r="BD42" s="100"/>
      <c r="BE42" s="100"/>
      <c r="BK42" s="20"/>
      <c r="BL42" s="20"/>
      <c r="BM42" s="20"/>
    </row>
    <row r="43" spans="1:117" ht="13.5" thickBot="1">
      <c r="A43" s="100"/>
      <c r="B43" s="100"/>
      <c r="C43" s="100"/>
      <c r="D43" s="102"/>
      <c r="E43" s="100"/>
      <c r="F43" s="100"/>
      <c r="G43" s="96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1"/>
      <c r="AF43" s="101"/>
      <c r="AG43" s="100"/>
      <c r="AH43" s="100"/>
      <c r="AI43" s="100"/>
      <c r="AJ43" s="100"/>
      <c r="AK43" s="100"/>
      <c r="AL43" s="100"/>
      <c r="AM43" s="100"/>
      <c r="AN43" s="100"/>
      <c r="AO43" s="100"/>
      <c r="AP43" s="100"/>
      <c r="AQ43" s="100"/>
      <c r="AR43" s="100"/>
      <c r="AS43" s="96" t="s">
        <v>60</v>
      </c>
      <c r="AT43" s="103">
        <f>AT40/BE43</f>
        <v>125.66666666666667</v>
      </c>
      <c r="AU43" s="104"/>
      <c r="AV43" s="96"/>
      <c r="AW43" s="96" t="s">
        <v>61</v>
      </c>
      <c r="AX43" s="96"/>
      <c r="AY43" s="100"/>
      <c r="AZ43" s="100"/>
      <c r="BA43" s="100"/>
      <c r="BB43" s="100"/>
      <c r="BC43" s="100"/>
      <c r="BD43" s="105" t="s">
        <v>62</v>
      </c>
      <c r="BE43" s="100">
        <v>30</v>
      </c>
      <c r="CS43" s="1"/>
    </row>
    <row r="44" spans="1:117" ht="16.5" customHeight="1" thickBot="1">
      <c r="A44" s="100"/>
      <c r="B44" s="100"/>
      <c r="C44" s="100"/>
      <c r="D44" s="102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489" t="s">
        <v>343</v>
      </c>
      <c r="AG44" s="488"/>
      <c r="AH44" s="488"/>
      <c r="AI44" s="488"/>
      <c r="AJ44" s="488"/>
      <c r="AK44" s="488"/>
      <c r="AL44" s="488"/>
      <c r="AM44" s="490">
        <f>AM38/AT38</f>
        <v>0.21036673910132953</v>
      </c>
      <c r="AN44" s="479"/>
      <c r="AO44" s="480" t="s">
        <v>88</v>
      </c>
      <c r="AP44" s="100"/>
      <c r="AQ44" s="100"/>
      <c r="AR44" s="100"/>
      <c r="AS44" s="100"/>
      <c r="AT44" s="100"/>
      <c r="AU44" s="100"/>
      <c r="AV44" s="100"/>
      <c r="AW44" s="100"/>
      <c r="AX44" s="100"/>
      <c r="AY44" s="100"/>
      <c r="AZ44" s="100"/>
      <c r="BA44" s="100"/>
      <c r="BB44" s="100"/>
      <c r="BC44" s="100"/>
      <c r="BD44" s="96"/>
      <c r="BE44" s="96"/>
    </row>
    <row r="45" spans="1:117" ht="13.5" thickBot="1">
      <c r="A45" s="100"/>
      <c r="B45" s="100"/>
      <c r="C45" s="100"/>
      <c r="D45" s="102"/>
      <c r="E45" s="100"/>
      <c r="F45" s="100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101"/>
      <c r="AE45" s="101"/>
      <c r="AF45" s="101"/>
      <c r="AG45" s="100"/>
      <c r="AH45" s="100"/>
      <c r="AI45" s="100"/>
      <c r="AJ45" s="100"/>
      <c r="AK45" s="100"/>
      <c r="AL45" s="100"/>
      <c r="AM45" s="106" t="s">
        <v>63</v>
      </c>
      <c r="AN45" s="106"/>
      <c r="AO45" s="106"/>
      <c r="AP45" s="106"/>
      <c r="AQ45" s="106"/>
      <c r="AR45" s="106"/>
      <c r="AS45" s="107" t="s">
        <v>64</v>
      </c>
      <c r="AT45" s="108">
        <v>29</v>
      </c>
      <c r="AU45" s="108"/>
      <c r="AV45" s="100"/>
      <c r="AW45" s="100"/>
      <c r="AX45" s="100"/>
      <c r="AY45" s="100"/>
      <c r="AZ45" s="100"/>
      <c r="BA45" s="100"/>
      <c r="BB45" s="100"/>
      <c r="BC45" s="100"/>
      <c r="BD45" s="96"/>
      <c r="BE45" s="96"/>
      <c r="BM45" s="1"/>
      <c r="BS45" s="1"/>
    </row>
    <row r="46" spans="1:117" ht="12.75" customHeight="1" thickBot="1">
      <c r="A46" s="100"/>
      <c r="B46" s="100"/>
      <c r="C46" s="109" t="s">
        <v>65</v>
      </c>
      <c r="D46" s="102"/>
      <c r="E46" s="100"/>
      <c r="F46" s="100"/>
      <c r="G46" s="100"/>
      <c r="H46" s="100"/>
      <c r="I46" s="100"/>
      <c r="J46" s="100"/>
      <c r="K46" s="100"/>
      <c r="L46" s="110">
        <f>AT38/AD38</f>
        <v>34.189788732394369</v>
      </c>
      <c r="M46" s="109" t="s">
        <v>88</v>
      </c>
      <c r="N46" s="606"/>
      <c r="O46" s="606"/>
      <c r="P46" s="111"/>
      <c r="Q46" s="100"/>
      <c r="R46" s="100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101"/>
      <c r="AE46" s="101"/>
      <c r="AF46" s="101"/>
      <c r="AG46" s="100"/>
      <c r="AH46" s="100"/>
      <c r="AI46" s="100"/>
      <c r="AJ46" s="100"/>
      <c r="AK46" s="100"/>
      <c r="AL46" s="100"/>
      <c r="AM46" s="100"/>
      <c r="AN46" s="100"/>
      <c r="AO46" s="106"/>
      <c r="AP46" s="106"/>
      <c r="AQ46" s="106"/>
      <c r="AR46" s="106"/>
      <c r="AS46" s="107" t="s">
        <v>66</v>
      </c>
      <c r="AT46" s="112">
        <f>AT40/AT45</f>
        <v>130</v>
      </c>
      <c r="AU46" s="112"/>
      <c r="AV46" s="100"/>
      <c r="AW46" s="100"/>
      <c r="AX46" s="100">
        <v>0</v>
      </c>
      <c r="AY46" s="100"/>
      <c r="AZ46" s="607" t="s">
        <v>67</v>
      </c>
      <c r="BA46" s="607"/>
      <c r="BB46" s="607"/>
      <c r="BC46" s="607"/>
      <c r="BD46" s="607"/>
      <c r="BE46" s="607"/>
    </row>
    <row r="47" spans="1:117">
      <c r="A47" s="100"/>
      <c r="B47" s="100"/>
      <c r="C47" s="100"/>
      <c r="D47" s="102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100"/>
      <c r="AI47" s="100"/>
      <c r="AJ47" s="100"/>
      <c r="AK47" s="100"/>
      <c r="AL47" s="100"/>
      <c r="AM47" s="100"/>
      <c r="AN47" s="100"/>
      <c r="AO47" s="100"/>
      <c r="AP47" s="100"/>
      <c r="AQ47" s="100"/>
      <c r="AR47" s="100"/>
      <c r="AS47" s="100"/>
      <c r="AT47" s="100"/>
      <c r="AU47" s="100"/>
      <c r="AV47" s="100"/>
      <c r="AW47" s="100"/>
      <c r="AX47" s="100"/>
      <c r="AY47" s="100"/>
      <c r="AZ47" s="607"/>
      <c r="BA47" s="607"/>
      <c r="BB47" s="607"/>
      <c r="BC47" s="607"/>
      <c r="BD47" s="607"/>
      <c r="BE47" s="607"/>
    </row>
    <row r="48" spans="1:117">
      <c r="A48" s="100"/>
      <c r="B48" s="100"/>
      <c r="C48" s="100"/>
      <c r="D48" s="102"/>
      <c r="E48" s="100"/>
      <c r="F48" s="100"/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13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  <c r="AE48" s="100"/>
      <c r="AF48" s="100"/>
      <c r="AG48" s="100"/>
      <c r="AH48" s="100"/>
      <c r="AI48" s="100"/>
      <c r="AJ48" s="100"/>
      <c r="AK48" s="100"/>
      <c r="AL48" s="100"/>
      <c r="AM48" s="100"/>
      <c r="AN48" s="100"/>
      <c r="AO48" s="100"/>
      <c r="AP48" s="100"/>
      <c r="AQ48" s="100"/>
      <c r="AR48" s="100"/>
      <c r="AS48" s="100"/>
      <c r="AT48" s="100"/>
      <c r="AU48" s="100"/>
      <c r="AV48" s="100"/>
      <c r="AW48" s="100"/>
      <c r="AX48" s="100"/>
      <c r="AY48" s="100"/>
      <c r="AZ48" s="608">
        <f>BF37-BJ37</f>
        <v>-110.52999999999838</v>
      </c>
      <c r="BA48" s="608"/>
      <c r="BB48" s="608"/>
      <c r="BC48" s="608"/>
      <c r="BD48" s="609" t="s">
        <v>68</v>
      </c>
      <c r="BE48" s="114"/>
    </row>
    <row r="49" spans="1:57" ht="12" customHeight="1">
      <c r="A49" s="100"/>
      <c r="B49" s="100"/>
      <c r="C49" s="100"/>
      <c r="D49" s="102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15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100"/>
      <c r="AI49" s="100"/>
      <c r="AJ49" s="100"/>
      <c r="AK49" s="100"/>
      <c r="AL49" s="100"/>
      <c r="AM49" s="100"/>
      <c r="AN49" s="100"/>
      <c r="AO49" s="100"/>
      <c r="AP49" s="100"/>
      <c r="AQ49" s="100"/>
      <c r="AR49" s="100"/>
      <c r="AS49" s="100"/>
      <c r="AT49" s="100"/>
      <c r="AU49" s="100"/>
      <c r="AV49" s="100"/>
      <c r="AW49" s="100"/>
      <c r="AX49" s="100"/>
      <c r="AY49" s="100"/>
      <c r="AZ49" s="608"/>
      <c r="BA49" s="608"/>
      <c r="BB49" s="608"/>
      <c r="BC49" s="608"/>
      <c r="BD49" s="609"/>
      <c r="BE49" s="114"/>
    </row>
    <row r="50" spans="1:57" ht="13.5" customHeight="1">
      <c r="A50" s="100"/>
      <c r="B50" s="100"/>
      <c r="C50" s="100"/>
      <c r="D50" s="102"/>
      <c r="E50" s="100"/>
      <c r="F50" s="100"/>
      <c r="G50" s="100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100"/>
      <c r="AC50" s="100"/>
      <c r="AD50" s="100"/>
      <c r="AE50" s="100"/>
      <c r="AF50" s="100"/>
      <c r="AG50" s="100"/>
      <c r="AH50" s="100"/>
      <c r="AI50" s="100"/>
      <c r="AJ50" s="100"/>
      <c r="AK50" s="100"/>
      <c r="AL50" s="100"/>
      <c r="AM50" s="100"/>
      <c r="AN50" s="100"/>
      <c r="AO50" s="100"/>
      <c r="AP50" s="100"/>
      <c r="AQ50" s="100"/>
      <c r="AR50" s="100"/>
      <c r="AS50" s="100"/>
      <c r="AT50" s="100"/>
      <c r="AU50" s="100"/>
      <c r="AV50" s="100"/>
      <c r="AW50" s="100"/>
      <c r="AX50" s="100"/>
      <c r="AY50" s="100"/>
      <c r="AZ50" s="116"/>
      <c r="BA50" s="96"/>
      <c r="BB50" s="96"/>
      <c r="BC50" s="96"/>
      <c r="BD50" s="96"/>
      <c r="BE50" s="114"/>
    </row>
    <row r="51" spans="1:57" ht="13.5" customHeight="1" thickBot="1">
      <c r="A51" s="100"/>
      <c r="B51" s="100"/>
      <c r="C51" s="100"/>
      <c r="D51" s="102"/>
      <c r="E51" s="100"/>
      <c r="F51" s="100"/>
      <c r="G51" s="100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0"/>
      <c r="AC51" s="100"/>
      <c r="AD51" s="100"/>
      <c r="AE51" s="100"/>
      <c r="AF51" s="100"/>
      <c r="AG51" s="100"/>
      <c r="AH51" s="100"/>
      <c r="AI51" s="100"/>
      <c r="AJ51" s="100"/>
      <c r="AK51" s="100"/>
      <c r="AL51" s="100"/>
      <c r="AM51" s="100"/>
      <c r="AN51" s="100"/>
      <c r="AO51" s="100"/>
      <c r="AP51" s="100"/>
      <c r="AQ51" s="100"/>
      <c r="AR51" s="100"/>
      <c r="AS51" s="100"/>
      <c r="AT51" s="100"/>
      <c r="AU51" s="100"/>
      <c r="AV51" s="100"/>
      <c r="AW51" s="100"/>
      <c r="AX51" s="100"/>
      <c r="AY51" s="100"/>
      <c r="AZ51" s="610">
        <f>AZ48/AT40*100</f>
        <v>-2.9318302387267474</v>
      </c>
      <c r="BA51" s="610"/>
      <c r="BB51" s="610"/>
      <c r="BC51" s="610"/>
      <c r="BD51" s="611" t="s">
        <v>69</v>
      </c>
      <c r="BE51" s="114"/>
    </row>
    <row r="52" spans="1:57" ht="13.5" thickBot="1">
      <c r="A52" s="100"/>
      <c r="B52" s="100"/>
      <c r="C52" s="100"/>
      <c r="D52" s="102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  <c r="AF52" s="100"/>
      <c r="AG52" s="100"/>
      <c r="AH52" s="100"/>
      <c r="AI52" s="100"/>
      <c r="AJ52" s="100"/>
      <c r="AK52" s="100"/>
      <c r="AL52" s="100"/>
      <c r="AM52" s="100"/>
      <c r="AN52" s="100"/>
      <c r="AO52" s="100"/>
      <c r="AP52" s="100"/>
      <c r="AQ52" s="100"/>
      <c r="AR52" s="100"/>
      <c r="AS52" s="100"/>
      <c r="AT52" s="100"/>
      <c r="AU52" s="100"/>
      <c r="AV52" s="100"/>
      <c r="AW52" s="100"/>
      <c r="AX52" s="100"/>
      <c r="AY52" s="100"/>
      <c r="AZ52" s="610"/>
      <c r="BA52" s="610"/>
      <c r="BB52" s="610"/>
      <c r="BC52" s="610"/>
      <c r="BD52" s="611"/>
      <c r="BE52" s="117"/>
    </row>
    <row r="53" spans="1:57">
      <c r="A53" s="100"/>
      <c r="B53" s="100"/>
      <c r="C53" s="100"/>
      <c r="D53" s="102"/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100"/>
      <c r="AI53" s="100"/>
      <c r="AJ53" s="100"/>
      <c r="AK53" s="100"/>
      <c r="AL53" s="100"/>
      <c r="AM53" s="100"/>
      <c r="AN53" s="100"/>
      <c r="AO53" s="100"/>
      <c r="AP53" s="100"/>
      <c r="AQ53" s="100"/>
      <c r="AR53" s="100"/>
      <c r="AS53" s="100"/>
      <c r="AT53" s="100"/>
      <c r="AU53" s="100"/>
      <c r="AV53" s="100"/>
      <c r="AW53" s="100"/>
      <c r="AX53" s="100"/>
      <c r="AY53" s="100"/>
      <c r="AZ53" s="100"/>
      <c r="BA53" s="100"/>
      <c r="BB53" s="100"/>
      <c r="BC53" s="100"/>
      <c r="BD53" s="100"/>
      <c r="BE53" s="100"/>
    </row>
    <row r="54" spans="1:57">
      <c r="A54" s="100"/>
      <c r="B54" s="100"/>
      <c r="C54" s="100"/>
      <c r="D54" s="102"/>
      <c r="E54" s="100"/>
      <c r="F54" s="100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100"/>
      <c r="AI54" s="100"/>
      <c r="AJ54" s="100"/>
      <c r="AK54" s="100"/>
      <c r="AL54" s="100"/>
      <c r="AM54" s="100"/>
      <c r="AN54" s="100"/>
      <c r="AO54" s="100"/>
      <c r="AP54" s="100"/>
      <c r="AQ54" s="100"/>
      <c r="AR54" s="100"/>
      <c r="AS54" s="100"/>
      <c r="AT54" s="100"/>
      <c r="AU54" s="100"/>
      <c r="AV54" s="100"/>
      <c r="AW54" s="100"/>
      <c r="AX54" s="100"/>
      <c r="AY54" s="100"/>
      <c r="AZ54" s="100"/>
      <c r="BA54" s="100"/>
      <c r="BB54" s="100"/>
      <c r="BC54" s="100"/>
      <c r="BD54" s="100"/>
      <c r="BE54" s="100"/>
    </row>
    <row r="55" spans="1:57">
      <c r="A55" s="100"/>
      <c r="B55" s="100"/>
      <c r="C55" s="100"/>
      <c r="D55" s="102"/>
      <c r="E55" s="100"/>
      <c r="F55" s="100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  <c r="AH55" s="100"/>
      <c r="AI55" s="100"/>
      <c r="AJ55" s="100"/>
      <c r="AK55" s="100"/>
      <c r="AL55" s="100"/>
      <c r="AM55" s="100"/>
      <c r="AN55" s="100"/>
      <c r="AO55" s="100"/>
      <c r="AP55" s="100"/>
      <c r="AQ55" s="100"/>
      <c r="AR55" s="100"/>
      <c r="AS55" s="100"/>
      <c r="AT55" s="100"/>
      <c r="AU55" s="100"/>
      <c r="AV55" s="100"/>
      <c r="AW55" s="100"/>
      <c r="AX55" s="100"/>
      <c r="AY55" s="100"/>
      <c r="AZ55" s="100"/>
      <c r="BA55" s="100"/>
      <c r="BB55" s="100"/>
      <c r="BC55" s="100"/>
      <c r="BD55" s="100"/>
      <c r="BE55" s="100"/>
    </row>
    <row r="56" spans="1:57" ht="13.5" thickBot="1">
      <c r="A56" s="100"/>
      <c r="B56" s="100"/>
      <c r="C56" s="100"/>
      <c r="D56" s="102"/>
      <c r="E56" s="100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/>
      <c r="AE56" s="100"/>
      <c r="AF56" s="100"/>
      <c r="AG56" s="100"/>
      <c r="AH56" s="100"/>
      <c r="AI56" s="100"/>
      <c r="AJ56" s="100"/>
      <c r="AK56" s="100"/>
      <c r="AL56" s="100"/>
      <c r="AM56" s="100"/>
      <c r="AN56" s="100"/>
      <c r="AO56" s="100"/>
      <c r="AP56" s="100"/>
      <c r="AQ56" s="100"/>
      <c r="AR56" s="100"/>
      <c r="AS56" s="100"/>
      <c r="AT56" s="100"/>
      <c r="AU56" s="100"/>
      <c r="AV56" s="100"/>
      <c r="AW56" s="100"/>
      <c r="AX56" s="100"/>
      <c r="AY56" s="100"/>
      <c r="AZ56" s="100"/>
      <c r="BA56" s="100"/>
      <c r="BB56" s="100"/>
      <c r="BC56" s="100"/>
      <c r="BD56" s="100"/>
      <c r="BE56" s="100"/>
    </row>
    <row r="57" spans="1:57" ht="15.75">
      <c r="A57" s="100"/>
      <c r="B57" s="100"/>
      <c r="C57" s="100"/>
      <c r="D57" s="102"/>
      <c r="E57" s="100"/>
      <c r="F57" s="100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100"/>
      <c r="AI57" s="100"/>
      <c r="AJ57" s="100"/>
      <c r="AK57" s="100"/>
      <c r="AL57" s="100"/>
      <c r="AM57" s="100"/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X57" s="100"/>
      <c r="AY57" s="100"/>
      <c r="AZ57" s="481" t="s">
        <v>344</v>
      </c>
      <c r="BA57" s="482"/>
      <c r="BB57" s="482"/>
      <c r="BC57" s="482"/>
      <c r="BD57" s="482"/>
      <c r="BE57" s="483"/>
    </row>
    <row r="58" spans="1:57" ht="15.75">
      <c r="A58" s="100"/>
      <c r="B58" s="100"/>
      <c r="C58" s="100"/>
      <c r="D58" s="102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  <c r="AA58" s="100"/>
      <c r="AB58" s="100"/>
      <c r="AC58" s="100"/>
      <c r="AD58" s="100"/>
      <c r="AE58" s="100"/>
      <c r="AF58" s="100"/>
      <c r="AG58" s="100"/>
      <c r="AH58" s="100"/>
      <c r="AI58" s="100"/>
      <c r="AJ58" s="100"/>
      <c r="AK58" s="100"/>
      <c r="AL58" s="100"/>
      <c r="AM58" s="100"/>
      <c r="AN58" s="100"/>
      <c r="AO58" s="100"/>
      <c r="AP58" s="100"/>
      <c r="AQ58" s="100"/>
      <c r="AR58" s="100"/>
      <c r="AS58" s="100"/>
      <c r="AT58" s="100"/>
      <c r="AU58" s="100"/>
      <c r="AV58" s="100"/>
      <c r="AW58" s="100"/>
      <c r="AX58" s="100"/>
      <c r="AY58" s="100"/>
      <c r="AZ58" s="484" t="s">
        <v>340</v>
      </c>
      <c r="BA58" s="485"/>
      <c r="BB58" s="485"/>
      <c r="BC58" s="485"/>
      <c r="BD58" s="617">
        <f>'[5]ноябрь 20'!$F$38</f>
        <v>1021.3199999999999</v>
      </c>
      <c r="BE58" s="618"/>
    </row>
    <row r="59" spans="1:57" ht="16.5" thickBot="1">
      <c r="A59" s="100"/>
      <c r="B59" s="100"/>
      <c r="C59" s="100"/>
      <c r="D59" s="102"/>
      <c r="E59" s="100"/>
      <c r="F59" s="100"/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  <c r="AE59" s="100"/>
      <c r="AF59" s="100"/>
      <c r="AG59" s="100"/>
      <c r="AH59" s="100"/>
      <c r="AI59" s="100"/>
      <c r="AJ59" s="100"/>
      <c r="AK59" s="100"/>
      <c r="AL59" s="100"/>
      <c r="AM59" s="100"/>
      <c r="AN59" s="100"/>
      <c r="AO59" s="100"/>
      <c r="AP59" s="100"/>
      <c r="AQ59" s="100"/>
      <c r="AR59" s="100"/>
      <c r="AS59" s="100"/>
      <c r="AT59" s="100"/>
      <c r="AU59" s="100"/>
      <c r="AV59" s="100"/>
      <c r="AW59" s="100"/>
      <c r="AX59" s="100"/>
      <c r="AY59" s="100"/>
      <c r="AZ59" s="484" t="s">
        <v>341</v>
      </c>
      <c r="BA59" s="485"/>
      <c r="BB59" s="485"/>
      <c r="BC59" s="485"/>
      <c r="BD59" s="619">
        <f>'[5]ноябрь 20'!$B$38</f>
        <v>1021.32</v>
      </c>
      <c r="BE59" s="620"/>
    </row>
    <row r="60" spans="1:57" ht="16.5" thickBot="1">
      <c r="A60" s="100"/>
      <c r="B60" s="100"/>
      <c r="C60" s="100"/>
      <c r="D60" s="102"/>
      <c r="E60" s="100"/>
      <c r="F60" s="100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  <c r="AE60" s="100"/>
      <c r="AF60" s="100"/>
      <c r="AG60" s="100"/>
      <c r="AH60" s="100"/>
      <c r="AI60" s="100"/>
      <c r="AJ60" s="100"/>
      <c r="AK60" s="100"/>
      <c r="AL60" s="100"/>
      <c r="AM60" s="100"/>
      <c r="AN60" s="100"/>
      <c r="AO60" s="100"/>
      <c r="AP60" s="100"/>
      <c r="AQ60" s="100"/>
      <c r="AR60" s="100"/>
      <c r="AS60" s="100"/>
      <c r="AT60" s="100"/>
      <c r="AU60" s="100"/>
      <c r="AV60" s="100"/>
      <c r="AW60" s="100"/>
      <c r="AX60" s="100"/>
      <c r="AY60" s="100"/>
      <c r="AZ60" s="486" t="s">
        <v>342</v>
      </c>
      <c r="BA60" s="487"/>
      <c r="BB60" s="487"/>
      <c r="BC60" s="487"/>
      <c r="BD60" s="621">
        <f>BD59-BD58</f>
        <v>0</v>
      </c>
      <c r="BE60" s="622"/>
    </row>
    <row r="61" spans="1:57">
      <c r="A61" s="100"/>
      <c r="B61" s="100"/>
      <c r="C61" s="100"/>
      <c r="D61" s="102"/>
      <c r="E61" s="100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/>
      <c r="AE61" s="100"/>
      <c r="AF61" s="100"/>
      <c r="AG61" s="100"/>
      <c r="AH61" s="100"/>
      <c r="AI61" s="100"/>
      <c r="AJ61" s="100"/>
      <c r="AK61" s="100"/>
      <c r="AL61" s="100"/>
      <c r="AM61" s="100"/>
      <c r="AN61" s="100"/>
      <c r="AO61" s="100"/>
      <c r="AP61" s="100"/>
      <c r="AQ61" s="100"/>
      <c r="AR61" s="100"/>
      <c r="AS61" s="100"/>
      <c r="AT61" s="100"/>
      <c r="AU61" s="100"/>
      <c r="AV61" s="100"/>
      <c r="AW61" s="100"/>
      <c r="AX61" s="100"/>
      <c r="AY61" s="100"/>
      <c r="AZ61" s="100"/>
      <c r="BA61" s="100"/>
      <c r="BB61" s="100"/>
      <c r="BC61" s="100"/>
      <c r="BD61" s="100"/>
      <c r="BE61" s="100"/>
    </row>
    <row r="62" spans="1:57">
      <c r="A62" s="100"/>
      <c r="B62" s="100"/>
      <c r="C62" s="100"/>
      <c r="D62" s="102"/>
      <c r="E62" s="100"/>
      <c r="F62" s="100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100"/>
      <c r="AC62" s="100"/>
      <c r="AD62" s="100"/>
      <c r="AE62" s="100"/>
      <c r="AF62" s="100"/>
      <c r="AG62" s="100"/>
      <c r="AH62" s="100"/>
      <c r="AI62" s="100"/>
      <c r="AJ62" s="100"/>
      <c r="AK62" s="100"/>
      <c r="AL62" s="100"/>
      <c r="AM62" s="100"/>
      <c r="AN62" s="100"/>
      <c r="AO62" s="100"/>
      <c r="AP62" s="100"/>
      <c r="AQ62" s="100"/>
      <c r="AR62" s="100"/>
      <c r="AS62" s="100"/>
      <c r="AT62" s="100"/>
      <c r="AU62" s="100"/>
      <c r="AV62" s="100"/>
      <c r="AW62" s="100"/>
      <c r="AX62" s="100"/>
      <c r="AY62" s="100"/>
      <c r="AZ62" s="100"/>
      <c r="BA62" s="100"/>
      <c r="BB62" s="100"/>
      <c r="BC62" s="100"/>
      <c r="BD62" s="100"/>
      <c r="BE62" s="100"/>
    </row>
    <row r="63" spans="1:57">
      <c r="A63" s="100"/>
      <c r="B63" s="100"/>
      <c r="C63" s="100"/>
      <c r="D63" s="102"/>
      <c r="E63" s="100"/>
      <c r="F63" s="100"/>
      <c r="G63" s="100"/>
      <c r="H63" s="100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  <c r="AA63" s="100"/>
      <c r="AB63" s="100"/>
      <c r="AC63" s="100"/>
      <c r="AD63" s="100"/>
      <c r="AE63" s="100"/>
      <c r="AF63" s="100"/>
      <c r="AG63" s="100"/>
      <c r="AH63" s="100"/>
      <c r="AI63" s="100"/>
      <c r="AJ63" s="100"/>
      <c r="AK63" s="100"/>
      <c r="AL63" s="100"/>
      <c r="AM63" s="100"/>
      <c r="AN63" s="100"/>
      <c r="AO63" s="100"/>
      <c r="AP63" s="100"/>
      <c r="AQ63" s="100"/>
      <c r="AR63" s="100"/>
      <c r="AS63" s="100"/>
      <c r="AT63" s="100"/>
      <c r="AU63" s="100"/>
      <c r="AV63" s="100"/>
      <c r="AW63" s="100"/>
      <c r="AX63" s="100"/>
      <c r="AY63" s="100"/>
      <c r="AZ63" s="100"/>
      <c r="BA63" s="100"/>
      <c r="BB63" s="100"/>
      <c r="BC63" s="100"/>
      <c r="BD63" s="100"/>
      <c r="BE63" s="100"/>
    </row>
    <row r="64" spans="1:57">
      <c r="A64" s="100"/>
      <c r="B64" s="100"/>
      <c r="C64" s="100"/>
      <c r="D64" s="102"/>
      <c r="E64" s="100"/>
      <c r="F64" s="100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  <c r="AE64" s="100"/>
      <c r="AF64" s="100"/>
      <c r="AG64" s="100"/>
      <c r="AH64" s="100"/>
      <c r="AI64" s="100"/>
      <c r="AJ64" s="100"/>
      <c r="AK64" s="100"/>
      <c r="AL64" s="100"/>
      <c r="AM64" s="100"/>
      <c r="AN64" s="100"/>
      <c r="AO64" s="100"/>
      <c r="AP64" s="100"/>
      <c r="AQ64" s="100"/>
      <c r="AR64" s="100"/>
      <c r="AS64" s="100"/>
      <c r="AT64" s="100"/>
      <c r="AU64" s="100"/>
      <c r="AV64" s="100"/>
      <c r="AW64" s="100"/>
      <c r="AX64" s="100"/>
      <c r="AY64" s="100"/>
      <c r="AZ64" s="100"/>
      <c r="BA64" s="100"/>
      <c r="BB64" s="100"/>
      <c r="BC64" s="100"/>
      <c r="BD64" s="100"/>
      <c r="BE64" s="100"/>
    </row>
    <row r="65" spans="1:57">
      <c r="A65" s="100"/>
      <c r="B65" s="100"/>
      <c r="C65" s="100"/>
      <c r="D65" s="102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/>
      <c r="AE65" s="100"/>
      <c r="AF65" s="100"/>
      <c r="AG65" s="100"/>
      <c r="AH65" s="100"/>
      <c r="AI65" s="100"/>
      <c r="AJ65" s="100"/>
      <c r="AK65" s="100"/>
      <c r="AL65" s="100"/>
      <c r="AM65" s="100"/>
      <c r="AN65" s="100"/>
      <c r="AO65" s="100"/>
      <c r="AP65" s="100"/>
      <c r="AQ65" s="100"/>
      <c r="AR65" s="100"/>
      <c r="AS65" s="100"/>
      <c r="AT65" s="100"/>
      <c r="AU65" s="100"/>
      <c r="AV65" s="100"/>
      <c r="AW65" s="100"/>
      <c r="AX65" s="100"/>
      <c r="AY65" s="100"/>
      <c r="AZ65" s="100"/>
      <c r="BA65" s="100"/>
      <c r="BB65" s="100"/>
      <c r="BC65" s="100"/>
      <c r="BD65" s="100"/>
      <c r="BE65" s="100"/>
    </row>
    <row r="66" spans="1:57">
      <c r="A66" s="100"/>
      <c r="B66" s="100"/>
      <c r="C66" s="100"/>
      <c r="D66" s="102"/>
      <c r="E66" s="100"/>
      <c r="F66" s="100"/>
      <c r="G66" s="100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/>
      <c r="AE66" s="100"/>
      <c r="AF66" s="100"/>
      <c r="AG66" s="100"/>
      <c r="AH66" s="100"/>
      <c r="AI66" s="100"/>
      <c r="AJ66" s="100"/>
      <c r="AK66" s="100"/>
      <c r="AL66" s="100"/>
      <c r="AM66" s="100"/>
      <c r="AN66" s="100"/>
      <c r="AO66" s="100"/>
      <c r="AP66" s="100"/>
      <c r="AQ66" s="100"/>
      <c r="AR66" s="100"/>
      <c r="AS66" s="100"/>
      <c r="AT66" s="100"/>
      <c r="AU66" s="100"/>
      <c r="AV66" s="100"/>
      <c r="AW66" s="100"/>
      <c r="AX66" s="100"/>
      <c r="AY66" s="100"/>
      <c r="AZ66" s="100"/>
      <c r="BA66" s="100"/>
      <c r="BB66" s="100"/>
      <c r="BC66" s="100"/>
      <c r="BD66" s="100"/>
      <c r="BE66" s="100"/>
    </row>
    <row r="67" spans="1:57">
      <c r="A67" s="100"/>
      <c r="B67" s="100"/>
      <c r="C67" s="100"/>
      <c r="D67" s="102"/>
      <c r="E67" s="100"/>
      <c r="F67" s="100"/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  <c r="AD67" s="100"/>
      <c r="AE67" s="100"/>
      <c r="AF67" s="100"/>
      <c r="AG67" s="100"/>
      <c r="AH67" s="100"/>
      <c r="AI67" s="100"/>
      <c r="AJ67" s="100"/>
      <c r="AK67" s="100"/>
      <c r="AL67" s="100"/>
      <c r="AM67" s="100"/>
      <c r="AN67" s="100"/>
      <c r="AO67" s="100"/>
      <c r="AP67" s="100"/>
      <c r="AQ67" s="100"/>
      <c r="AR67" s="100"/>
      <c r="AS67" s="100"/>
      <c r="AT67" s="100"/>
      <c r="AU67" s="100"/>
      <c r="AV67" s="100"/>
      <c r="AW67" s="100"/>
      <c r="AX67" s="100"/>
      <c r="AY67" s="100"/>
      <c r="AZ67" s="100"/>
      <c r="BA67" s="100"/>
      <c r="BB67" s="100"/>
      <c r="BC67" s="100"/>
      <c r="BD67" s="100"/>
      <c r="BE67" s="100"/>
    </row>
    <row r="68" spans="1:57">
      <c r="A68" s="100"/>
      <c r="B68" s="100"/>
      <c r="C68" s="100"/>
      <c r="D68" s="102"/>
      <c r="E68" s="100"/>
      <c r="F68" s="100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  <c r="AI68" s="100"/>
      <c r="AJ68" s="100"/>
      <c r="AK68" s="100"/>
      <c r="AL68" s="100"/>
      <c r="AM68" s="100"/>
      <c r="AN68" s="100"/>
      <c r="AO68" s="100"/>
      <c r="AP68" s="100"/>
      <c r="AQ68" s="100"/>
      <c r="AR68" s="100"/>
      <c r="AS68" s="100"/>
      <c r="AT68" s="100"/>
      <c r="AU68" s="100"/>
      <c r="AV68" s="100"/>
      <c r="AW68" s="100"/>
      <c r="AX68" s="100"/>
      <c r="AY68" s="100"/>
      <c r="AZ68" s="100"/>
      <c r="BA68" s="100"/>
      <c r="BB68" s="100"/>
      <c r="BC68" s="100"/>
      <c r="BD68" s="100"/>
      <c r="BE68" s="100"/>
    </row>
    <row r="69" spans="1:57">
      <c r="A69" s="100"/>
      <c r="B69" s="100"/>
      <c r="C69" s="100"/>
      <c r="D69" s="102"/>
      <c r="E69" s="100"/>
      <c r="F69" s="100"/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100"/>
      <c r="AC69" s="100"/>
      <c r="AD69" s="100"/>
      <c r="AE69" s="100"/>
      <c r="AF69" s="100"/>
      <c r="AG69" s="100"/>
      <c r="AH69" s="100"/>
      <c r="AI69" s="100"/>
      <c r="AJ69" s="100"/>
      <c r="AK69" s="100"/>
      <c r="AL69" s="100"/>
      <c r="AM69" s="100"/>
      <c r="AN69" s="100"/>
      <c r="AO69" s="100"/>
      <c r="AP69" s="100"/>
      <c r="AQ69" s="100"/>
      <c r="AR69" s="100"/>
      <c r="AS69" s="100"/>
      <c r="AT69" s="100"/>
      <c r="AU69" s="100"/>
      <c r="AV69" s="100"/>
      <c r="AW69" s="100"/>
      <c r="AX69" s="100"/>
      <c r="AY69" s="100"/>
      <c r="AZ69" s="100"/>
      <c r="BA69" s="100"/>
      <c r="BB69" s="100"/>
      <c r="BC69" s="100"/>
      <c r="BD69" s="100"/>
      <c r="BE69" s="100"/>
    </row>
    <row r="70" spans="1:57">
      <c r="A70" s="100"/>
      <c r="B70" s="100"/>
      <c r="C70" s="100"/>
      <c r="D70" s="102"/>
      <c r="E70" s="100"/>
      <c r="F70" s="100"/>
      <c r="G70" s="100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  <c r="AE70" s="100"/>
      <c r="AF70" s="100"/>
      <c r="AG70" s="100"/>
      <c r="AH70" s="100"/>
      <c r="AI70" s="100"/>
      <c r="AJ70" s="100"/>
      <c r="AK70" s="100"/>
      <c r="AL70" s="100"/>
      <c r="AM70" s="100"/>
      <c r="AN70" s="100"/>
      <c r="AO70" s="100"/>
      <c r="AP70" s="100"/>
      <c r="AQ70" s="100"/>
      <c r="AR70" s="100"/>
      <c r="AS70" s="100"/>
      <c r="AT70" s="100"/>
      <c r="AU70" s="100"/>
      <c r="AV70" s="100"/>
      <c r="AW70" s="100"/>
      <c r="AX70" s="100"/>
      <c r="AY70" s="100"/>
      <c r="AZ70" s="100"/>
      <c r="BA70" s="100"/>
      <c r="BB70" s="100"/>
      <c r="BC70" s="100"/>
      <c r="BD70" s="100"/>
      <c r="BE70" s="100"/>
    </row>
    <row r="71" spans="1:57" ht="18" customHeight="1">
      <c r="A71" s="318" t="s">
        <v>70</v>
      </c>
      <c r="B71" s="319"/>
      <c r="C71" s="318"/>
      <c r="D71" s="318"/>
      <c r="E71" s="318"/>
      <c r="F71" s="318"/>
      <c r="G71" s="318"/>
      <c r="H71" s="318"/>
      <c r="I71" s="318"/>
      <c r="J71" s="320"/>
      <c r="K71" s="320"/>
      <c r="L71" s="605" t="s">
        <v>158</v>
      </c>
      <c r="M71" s="605"/>
      <c r="N71" s="605"/>
      <c r="O71" s="605"/>
      <c r="P71" s="605"/>
      <c r="Q71" s="605"/>
      <c r="R71" s="109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/>
      <c r="AE71" s="100"/>
      <c r="AF71" s="100"/>
      <c r="AG71" s="100"/>
      <c r="AH71" s="100"/>
      <c r="AI71" s="100"/>
      <c r="AJ71" s="100"/>
      <c r="AK71" s="100"/>
      <c r="AL71" s="100"/>
      <c r="AM71" s="100"/>
      <c r="AN71" s="100"/>
      <c r="AO71" s="100"/>
      <c r="AP71" s="100"/>
      <c r="AQ71" s="100"/>
      <c r="AR71" s="100"/>
      <c r="AS71" s="100"/>
      <c r="AT71" s="100"/>
      <c r="AU71" s="100"/>
      <c r="AV71" s="100"/>
      <c r="AW71" s="100"/>
      <c r="AX71" s="100"/>
      <c r="AY71" s="100"/>
      <c r="AZ71" s="100"/>
      <c r="BA71" s="100"/>
      <c r="BB71" s="100"/>
      <c r="BC71" s="100"/>
      <c r="BD71" s="100"/>
      <c r="BE71" s="100"/>
    </row>
    <row r="72" spans="1:57" ht="15">
      <c r="A72" s="118"/>
      <c r="B72" s="118"/>
      <c r="C72" s="119"/>
      <c r="D72" s="120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  <c r="AE72" s="100"/>
      <c r="AF72" s="100"/>
      <c r="AG72" s="100"/>
      <c r="AH72" s="100"/>
      <c r="AI72" s="100"/>
      <c r="AJ72" s="100"/>
      <c r="AK72" s="100"/>
      <c r="AL72" s="100"/>
      <c r="AM72" s="100"/>
      <c r="AN72" s="100"/>
      <c r="AO72" s="100"/>
      <c r="AP72" s="100"/>
      <c r="AQ72" s="100"/>
      <c r="AR72" s="100"/>
      <c r="AS72" s="100"/>
      <c r="AT72" s="100"/>
      <c r="AU72" s="100"/>
      <c r="AV72" s="100"/>
      <c r="AW72" s="100"/>
      <c r="AX72" s="100"/>
      <c r="AY72" s="100"/>
      <c r="AZ72" s="100"/>
      <c r="BA72" s="100"/>
      <c r="BB72" s="100"/>
      <c r="BC72" s="100"/>
      <c r="BD72" s="100"/>
      <c r="BE72" s="100"/>
    </row>
    <row r="73" spans="1:57" ht="15.75">
      <c r="A73" s="100"/>
      <c r="B73" s="100"/>
      <c r="C73" s="100"/>
      <c r="D73" s="102"/>
      <c r="E73" s="100"/>
      <c r="F73" s="100"/>
      <c r="G73" s="100"/>
      <c r="H73" s="100"/>
      <c r="I73" s="100"/>
      <c r="J73" s="100"/>
      <c r="K73" s="100"/>
      <c r="L73" s="111"/>
      <c r="M73" s="111"/>
      <c r="N73" s="111"/>
      <c r="O73" s="111"/>
      <c r="P73" s="111"/>
      <c r="Q73" s="111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00"/>
      <c r="AK73" s="100"/>
      <c r="AL73" s="100"/>
      <c r="AM73" s="100"/>
      <c r="AN73" s="100"/>
      <c r="AO73" s="100"/>
      <c r="AP73" s="100"/>
      <c r="AQ73" s="100"/>
      <c r="AR73" s="100"/>
      <c r="AS73" s="100"/>
      <c r="AT73" s="100"/>
      <c r="AU73" s="100"/>
      <c r="AV73" s="100"/>
      <c r="AW73" s="100"/>
      <c r="AX73" s="100"/>
      <c r="AY73" s="100"/>
      <c r="AZ73" s="100"/>
      <c r="BA73" s="100"/>
      <c r="BB73" s="100"/>
      <c r="BC73" s="100"/>
      <c r="BD73" s="100"/>
      <c r="BE73" s="100"/>
    </row>
    <row r="74" spans="1:57">
      <c r="A74" s="100"/>
      <c r="B74" s="100"/>
      <c r="C74" s="100"/>
      <c r="D74" s="102"/>
      <c r="E74" s="100"/>
      <c r="F74" s="100"/>
      <c r="G74" s="100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00"/>
      <c r="AK74" s="100"/>
      <c r="AL74" s="100"/>
      <c r="AM74" s="100"/>
      <c r="AN74" s="100"/>
      <c r="AO74" s="100"/>
      <c r="AP74" s="100"/>
      <c r="AQ74" s="100"/>
      <c r="AR74" s="100"/>
      <c r="AS74" s="100"/>
      <c r="AT74" s="100"/>
      <c r="AU74" s="100"/>
      <c r="AV74" s="100"/>
      <c r="AW74" s="100"/>
      <c r="AX74" s="100"/>
      <c r="AY74" s="100"/>
      <c r="AZ74" s="100"/>
      <c r="BA74" s="100"/>
      <c r="BB74" s="100"/>
      <c r="BC74" s="100"/>
      <c r="BD74" s="100"/>
      <c r="BE74" s="100"/>
    </row>
    <row r="75" spans="1:57">
      <c r="A75" s="100"/>
      <c r="B75" s="100"/>
      <c r="C75" s="100"/>
      <c r="D75" s="102"/>
      <c r="E75" s="100"/>
      <c r="F75" s="100"/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  <c r="AD75" s="100"/>
      <c r="AE75" s="100"/>
      <c r="AF75" s="100"/>
      <c r="AG75" s="100"/>
      <c r="AH75" s="100"/>
      <c r="AI75" s="100"/>
      <c r="AJ75" s="100"/>
      <c r="AK75" s="100"/>
      <c r="AL75" s="100"/>
      <c r="AM75" s="100"/>
      <c r="AN75" s="100"/>
      <c r="AO75" s="100"/>
      <c r="AP75" s="100"/>
      <c r="AQ75" s="100"/>
      <c r="AR75" s="100"/>
      <c r="AS75" s="100"/>
      <c r="AT75" s="100"/>
      <c r="AU75" s="100"/>
      <c r="AV75" s="100"/>
      <c r="AW75" s="100"/>
      <c r="AX75" s="100"/>
      <c r="AY75" s="100"/>
      <c r="AZ75" s="100"/>
      <c r="BA75" s="100"/>
      <c r="BB75" s="100"/>
      <c r="BC75" s="100"/>
      <c r="BD75" s="100"/>
      <c r="BE75" s="100"/>
    </row>
    <row r="77" spans="1:57">
      <c r="AY77" t="s">
        <v>302</v>
      </c>
    </row>
  </sheetData>
  <sheetProtection selectLockedCells="1" selectUnlockedCells="1"/>
  <mergeCells count="81">
    <mergeCell ref="AE3:AF4"/>
    <mergeCell ref="AG3:AI4"/>
    <mergeCell ref="AI5:AI6"/>
    <mergeCell ref="AY2:BC2"/>
    <mergeCell ref="A3:A6"/>
    <mergeCell ref="B3:G3"/>
    <mergeCell ref="H3:P3"/>
    <mergeCell ref="Q3:U3"/>
    <mergeCell ref="V3:V6"/>
    <mergeCell ref="W3:W6"/>
    <mergeCell ref="X3:X6"/>
    <mergeCell ref="Y3:Y6"/>
    <mergeCell ref="Z3:Z6"/>
    <mergeCell ref="P4:P6"/>
    <mergeCell ref="L4:L6"/>
    <mergeCell ref="M4:M6"/>
    <mergeCell ref="CJ3:CM5"/>
    <mergeCell ref="B4:B6"/>
    <mergeCell ref="C4:C6"/>
    <mergeCell ref="D4:D6"/>
    <mergeCell ref="E4:E6"/>
    <mergeCell ref="F4:F6"/>
    <mergeCell ref="G4:G6"/>
    <mergeCell ref="H4:H6"/>
    <mergeCell ref="I4:I6"/>
    <mergeCell ref="J4:J6"/>
    <mergeCell ref="BD3:BD6"/>
    <mergeCell ref="BE3:BE6"/>
    <mergeCell ref="BK3:BQ5"/>
    <mergeCell ref="BR3:BX5"/>
    <mergeCell ref="BY3:CE5"/>
    <mergeCell ref="K4:K6"/>
    <mergeCell ref="AA3:AA6"/>
    <mergeCell ref="AB3:AB6"/>
    <mergeCell ref="N4:N6"/>
    <mergeCell ref="O4:O6"/>
    <mergeCell ref="DD4:DH4"/>
    <mergeCell ref="AE5:AE6"/>
    <mergeCell ref="AF5:AF6"/>
    <mergeCell ref="AG5:AG6"/>
    <mergeCell ref="AH5:AH6"/>
    <mergeCell ref="CF3:CI5"/>
    <mergeCell ref="AQ3:AQ6"/>
    <mergeCell ref="AS3:AS6"/>
    <mergeCell ref="AT3:AY4"/>
    <mergeCell ref="AZ3:AZ6"/>
    <mergeCell ref="BA3:BB4"/>
    <mergeCell ref="BC3:BC6"/>
    <mergeCell ref="Q4:Q6"/>
    <mergeCell ref="R4:R6"/>
    <mergeCell ref="S4:S6"/>
    <mergeCell ref="T4:T6"/>
    <mergeCell ref="U4:U6"/>
    <mergeCell ref="AC3:AC6"/>
    <mergeCell ref="AD3:AD6"/>
    <mergeCell ref="DA5:DB5"/>
    <mergeCell ref="CO39:CP39"/>
    <mergeCell ref="CQ39:CU39"/>
    <mergeCell ref="CV39:CY39"/>
    <mergeCell ref="AX5:AX6"/>
    <mergeCell ref="AY5:AY6"/>
    <mergeCell ref="AJ3:AK6"/>
    <mergeCell ref="AL3:AL6"/>
    <mergeCell ref="AM3:AM6"/>
    <mergeCell ref="AN3:AN6"/>
    <mergeCell ref="AO3:AO6"/>
    <mergeCell ref="AP3:AP6"/>
    <mergeCell ref="AT5:AT6"/>
    <mergeCell ref="AW5:AW6"/>
    <mergeCell ref="CO40:CU40"/>
    <mergeCell ref="BD58:BE58"/>
    <mergeCell ref="BD59:BE59"/>
    <mergeCell ref="BD60:BE60"/>
    <mergeCell ref="L71:Q71"/>
    <mergeCell ref="N46:O46"/>
    <mergeCell ref="AZ46:BE47"/>
    <mergeCell ref="AZ48:BC49"/>
    <mergeCell ref="BD48:BD49"/>
    <mergeCell ref="AZ51:BC52"/>
    <mergeCell ref="BD51:BD52"/>
    <mergeCell ref="AT42:AV42"/>
  </mergeCells>
  <printOptions horizontalCentered="1" verticalCentered="1"/>
  <pageMargins left="0" right="0" top="0" bottom="0" header="0" footer="0"/>
  <pageSetup paperSize="9" scale="46" firstPageNumber="0" orientation="landscape" r:id="rId1"/>
  <headerFooter alignWithMargins="0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>
  <dimension ref="A1:DK77"/>
  <sheetViews>
    <sheetView showZeros="0" zoomScale="90" zoomScaleNormal="90" workbookViewId="0">
      <pane xSplit="1" ySplit="6" topLeftCell="J19" activePane="bottomRight" state="frozen"/>
      <selection pane="topRight" activeCell="B1" sqref="B1"/>
      <selection pane="bottomLeft" activeCell="A7" sqref="A7"/>
      <selection pane="bottomRight" activeCell="AE29" sqref="AE29"/>
    </sheetView>
  </sheetViews>
  <sheetFormatPr defaultColWidth="8.7109375" defaultRowHeight="12.75"/>
  <cols>
    <col min="1" max="1" width="3.5703125" customWidth="1"/>
    <col min="2" max="2" width="9.7109375" customWidth="1"/>
    <col min="3" max="3" width="6" customWidth="1"/>
    <col min="4" max="4" width="12" style="1" hidden="1" customWidth="1"/>
    <col min="5" max="5" width="7.140625" customWidth="1"/>
    <col min="6" max="6" width="7.5703125" customWidth="1"/>
    <col min="7" max="7" width="7.7109375" customWidth="1"/>
    <col min="8" max="8" width="7.28515625" customWidth="1"/>
    <col min="9" max="9" width="7.42578125" hidden="1" customWidth="1"/>
    <col min="10" max="10" width="9.140625" customWidth="1"/>
    <col min="11" max="11" width="5.5703125" hidden="1" customWidth="1"/>
    <col min="12" max="12" width="10.140625" customWidth="1"/>
    <col min="13" max="13" width="7.42578125" customWidth="1"/>
    <col min="14" max="14" width="3.28515625" customWidth="1"/>
    <col min="15" max="15" width="8.42578125" customWidth="1"/>
    <col min="16" max="16" width="9.85546875" hidden="1" customWidth="1"/>
    <col min="17" max="17" width="9.28515625" customWidth="1"/>
    <col min="18" max="18" width="6" customWidth="1"/>
    <col min="19" max="19" width="8.28515625" customWidth="1"/>
    <col min="20" max="20" width="11.140625" hidden="1" customWidth="1"/>
    <col min="21" max="21" width="9.42578125" customWidth="1"/>
    <col min="22" max="22" width="8.42578125" customWidth="1"/>
    <col min="23" max="23" width="9" customWidth="1"/>
    <col min="24" max="24" width="6" customWidth="1"/>
    <col min="25" max="25" width="5.42578125" customWidth="1"/>
    <col min="26" max="26" width="6.85546875" customWidth="1"/>
    <col min="27" max="27" width="6.5703125" customWidth="1"/>
    <col min="28" max="28" width="7.5703125" customWidth="1"/>
    <col min="29" max="29" width="6.5703125" customWidth="1"/>
    <col min="30" max="30" width="4.28515625" customWidth="1"/>
    <col min="31" max="32" width="6.85546875" customWidth="1"/>
    <col min="33" max="33" width="0" hidden="1" customWidth="1"/>
    <col min="34" max="34" width="8.42578125" customWidth="1"/>
    <col min="35" max="35" width="7" customWidth="1"/>
    <col min="36" max="36" width="7.85546875" customWidth="1"/>
    <col min="37" max="37" width="0" hidden="1" customWidth="1"/>
    <col min="38" max="38" width="7.28515625" customWidth="1"/>
    <col min="39" max="39" width="7.7109375" customWidth="1"/>
    <col min="40" max="40" width="7" hidden="1" customWidth="1"/>
    <col min="41" max="41" width="9.42578125" customWidth="1"/>
    <col min="42" max="42" width="6.28515625" customWidth="1"/>
    <col min="43" max="43" width="6.85546875" customWidth="1"/>
    <col min="44" max="44" width="0" hidden="1" customWidth="1"/>
    <col min="45" max="45" width="6.7109375" customWidth="1"/>
    <col min="46" max="46" width="9.7109375" customWidth="1"/>
    <col min="47" max="47" width="7" customWidth="1"/>
    <col min="48" max="48" width="0" hidden="1" customWidth="1"/>
    <col min="49" max="49" width="6.140625" hidden="1" customWidth="1"/>
    <col min="50" max="50" width="5.140625" hidden="1" customWidth="1"/>
    <col min="51" max="51" width="8.42578125" customWidth="1"/>
    <col min="52" max="52" width="10" customWidth="1"/>
    <col min="53" max="53" width="8.7109375" hidden="1" customWidth="1"/>
    <col min="54" max="54" width="3.85546875" hidden="1" customWidth="1"/>
    <col min="55" max="55" width="6.5703125" customWidth="1"/>
    <col min="56" max="56" width="6.140625" customWidth="1"/>
    <col min="57" max="57" width="6.7109375" customWidth="1"/>
    <col min="58" max="58" width="8.85546875" customWidth="1"/>
    <col min="59" max="59" width="7.85546875" customWidth="1"/>
    <col min="60" max="60" width="9.85546875" customWidth="1"/>
    <col min="61" max="62" width="8.7109375" customWidth="1"/>
    <col min="63" max="63" width="10.28515625" customWidth="1"/>
    <col min="64" max="64" width="10.85546875" customWidth="1"/>
    <col min="65" max="65" width="10.7109375" customWidth="1"/>
    <col min="66" max="66" width="11.28515625" customWidth="1"/>
    <col min="67" max="68" width="8.85546875" customWidth="1"/>
    <col min="69" max="69" width="11.28515625" customWidth="1"/>
    <col min="70" max="70" width="7.7109375" customWidth="1"/>
    <col min="71" max="71" width="10" customWidth="1"/>
    <col min="72" max="72" width="8.85546875" customWidth="1"/>
    <col min="73" max="73" width="10.140625" customWidth="1"/>
    <col min="74" max="75" width="8.85546875" customWidth="1"/>
    <col min="76" max="76" width="9.7109375" customWidth="1"/>
    <col min="77" max="78" width="8.7109375" customWidth="1"/>
    <col min="79" max="79" width="9" customWidth="1"/>
    <col min="80" max="80" width="10.42578125" customWidth="1"/>
    <col min="81" max="81" width="8.42578125" customWidth="1"/>
    <col min="82" max="82" width="10.42578125" customWidth="1"/>
    <col min="83" max="83" width="9.85546875" customWidth="1"/>
    <col min="84" max="85" width="11.42578125" customWidth="1"/>
    <col min="86" max="86" width="11.140625" customWidth="1"/>
    <col min="87" max="87" width="11.28515625" customWidth="1"/>
    <col min="88" max="89" width="10" customWidth="1"/>
    <col min="90" max="90" width="8.7109375" customWidth="1"/>
    <col min="91" max="91" width="11.85546875" customWidth="1"/>
    <col min="92" max="92" width="8.7109375" customWidth="1"/>
    <col min="93" max="93" width="12.140625" customWidth="1"/>
    <col min="94" max="94" width="12.5703125" customWidth="1"/>
    <col min="95" max="95" width="11.7109375" customWidth="1"/>
    <col min="96" max="98" width="12.28515625" customWidth="1"/>
    <col min="99" max="99" width="13.28515625" customWidth="1"/>
    <col min="100" max="100" width="12.85546875" customWidth="1"/>
    <col min="101" max="101" width="13.42578125" customWidth="1"/>
    <col min="102" max="102" width="12.5703125" customWidth="1"/>
    <col min="103" max="103" width="14" customWidth="1"/>
    <col min="104" max="104" width="9.5703125" customWidth="1"/>
    <col min="105" max="105" width="19.140625" customWidth="1"/>
    <col min="106" max="106" width="19.42578125" customWidth="1"/>
    <col min="111" max="111" width="8.7109375" hidden="1" customWidth="1"/>
    <col min="112" max="112" width="9" bestFit="1" customWidth="1"/>
    <col min="114" max="114" width="9.7109375" bestFit="1" customWidth="1"/>
    <col min="115" max="115" width="13.28515625" customWidth="1"/>
  </cols>
  <sheetData>
    <row r="1" spans="1:115" ht="17.25" customHeight="1">
      <c r="A1" s="310" t="s">
        <v>0</v>
      </c>
      <c r="B1" s="310"/>
      <c r="C1" s="310"/>
      <c r="D1" s="311"/>
      <c r="E1" s="310"/>
      <c r="F1" s="310"/>
      <c r="G1" s="310"/>
      <c r="H1" s="310"/>
      <c r="I1" s="310"/>
      <c r="J1" s="310"/>
      <c r="K1" s="310"/>
      <c r="L1" s="310"/>
      <c r="M1" s="310"/>
      <c r="N1" s="310"/>
      <c r="O1" s="310"/>
      <c r="P1" s="77"/>
      <c r="Q1" s="77"/>
      <c r="R1" s="77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</row>
    <row r="2" spans="1:115" ht="19.5" customHeight="1" thickBot="1">
      <c r="A2" s="22"/>
      <c r="B2" s="78"/>
      <c r="C2" s="78"/>
      <c r="D2" s="79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80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80"/>
      <c r="AT2" s="312" t="s">
        <v>1</v>
      </c>
      <c r="AU2" s="313">
        <v>31</v>
      </c>
      <c r="AV2" s="314"/>
      <c r="AW2" s="314"/>
      <c r="AX2" s="315" t="s">
        <v>81</v>
      </c>
      <c r="AY2" s="556" t="s">
        <v>453</v>
      </c>
      <c r="AZ2" s="556"/>
      <c r="BA2" s="556"/>
      <c r="BB2" s="556"/>
      <c r="BC2" s="556"/>
      <c r="BD2" s="316" t="s">
        <v>107</v>
      </c>
      <c r="BE2" s="317"/>
    </row>
    <row r="3" spans="1:115" ht="39.75" customHeight="1" thickBot="1">
      <c r="A3" s="557" t="s">
        <v>3</v>
      </c>
      <c r="B3" s="558" t="s">
        <v>71</v>
      </c>
      <c r="C3" s="558"/>
      <c r="D3" s="558"/>
      <c r="E3" s="558"/>
      <c r="F3" s="558"/>
      <c r="G3" s="558"/>
      <c r="H3" s="554" t="s">
        <v>4</v>
      </c>
      <c r="I3" s="554"/>
      <c r="J3" s="554"/>
      <c r="K3" s="554"/>
      <c r="L3" s="554"/>
      <c r="M3" s="554"/>
      <c r="N3" s="554"/>
      <c r="O3" s="554"/>
      <c r="P3" s="559"/>
      <c r="Q3" s="560" t="s">
        <v>5</v>
      </c>
      <c r="R3" s="561"/>
      <c r="S3" s="561"/>
      <c r="T3" s="561"/>
      <c r="U3" s="562"/>
      <c r="V3" s="563" t="s">
        <v>6</v>
      </c>
      <c r="W3" s="563" t="s">
        <v>7</v>
      </c>
      <c r="X3" s="564" t="s">
        <v>8</v>
      </c>
      <c r="Y3" s="564" t="s">
        <v>9</v>
      </c>
      <c r="Z3" s="564" t="s">
        <v>10</v>
      </c>
      <c r="AA3" s="564" t="s">
        <v>11</v>
      </c>
      <c r="AB3" s="564" t="s">
        <v>12</v>
      </c>
      <c r="AC3" s="564" t="s">
        <v>13</v>
      </c>
      <c r="AD3" s="564" t="s">
        <v>14</v>
      </c>
      <c r="AE3" s="554" t="s">
        <v>15</v>
      </c>
      <c r="AF3" s="554"/>
      <c r="AG3" s="554" t="s">
        <v>16</v>
      </c>
      <c r="AH3" s="554"/>
      <c r="AI3" s="554"/>
      <c r="AJ3" s="593" t="s">
        <v>17</v>
      </c>
      <c r="AK3" s="593"/>
      <c r="AL3" s="564" t="s">
        <v>18</v>
      </c>
      <c r="AM3" s="599" t="s">
        <v>19</v>
      </c>
      <c r="AN3" s="600" t="s">
        <v>95</v>
      </c>
      <c r="AO3" s="603" t="s">
        <v>20</v>
      </c>
      <c r="AP3" s="564" t="s">
        <v>105</v>
      </c>
      <c r="AQ3" s="564" t="s">
        <v>21</v>
      </c>
      <c r="AR3" s="81"/>
      <c r="AS3" s="593" t="s">
        <v>22</v>
      </c>
      <c r="AT3" s="554" t="s">
        <v>23</v>
      </c>
      <c r="AU3" s="554"/>
      <c r="AV3" s="554"/>
      <c r="AW3" s="554"/>
      <c r="AX3" s="554"/>
      <c r="AY3" s="554"/>
      <c r="AZ3" s="564" t="s">
        <v>24</v>
      </c>
      <c r="BA3" s="594" t="s">
        <v>25</v>
      </c>
      <c r="BB3" s="594"/>
      <c r="BC3" s="564" t="s">
        <v>26</v>
      </c>
      <c r="BD3" s="564" t="s">
        <v>27</v>
      </c>
      <c r="BE3" s="572" t="s">
        <v>28</v>
      </c>
      <c r="BF3" s="3"/>
      <c r="BG3" s="3"/>
      <c r="BH3" s="3"/>
      <c r="BI3" s="3"/>
      <c r="BJ3" s="3"/>
      <c r="BK3" s="573" t="s">
        <v>29</v>
      </c>
      <c r="BL3" s="574"/>
      <c r="BM3" s="574"/>
      <c r="BN3" s="574"/>
      <c r="BO3" s="575"/>
      <c r="BP3" s="575"/>
      <c r="BQ3" s="576"/>
      <c r="BR3" s="573" t="s">
        <v>30</v>
      </c>
      <c r="BS3" s="585"/>
      <c r="BT3" s="585"/>
      <c r="BU3" s="585"/>
      <c r="BV3" s="585"/>
      <c r="BW3" s="585"/>
      <c r="BX3" s="586"/>
      <c r="BY3" s="566" t="s">
        <v>31</v>
      </c>
      <c r="BZ3" s="566"/>
      <c r="CA3" s="566"/>
      <c r="CB3" s="566"/>
      <c r="CC3" s="566"/>
      <c r="CD3" s="566"/>
      <c r="CE3" s="566"/>
      <c r="CF3" s="566" t="s">
        <v>87</v>
      </c>
      <c r="CG3" s="566"/>
      <c r="CH3" s="566"/>
      <c r="CI3" s="566"/>
      <c r="CJ3" s="566" t="s">
        <v>32</v>
      </c>
      <c r="CK3" s="566"/>
      <c r="CL3" s="566"/>
      <c r="CM3" s="566"/>
      <c r="CN3" s="4"/>
      <c r="CO3" s="5"/>
      <c r="CP3" s="6"/>
      <c r="CQ3" s="6"/>
    </row>
    <row r="4" spans="1:115" s="7" customFormat="1" ht="30.75" customHeight="1" thickBot="1">
      <c r="A4" s="557"/>
      <c r="B4" s="565" t="s">
        <v>72</v>
      </c>
      <c r="C4" s="613" t="s">
        <v>73</v>
      </c>
      <c r="D4" s="615" t="s">
        <v>33</v>
      </c>
      <c r="E4" s="613" t="s">
        <v>74</v>
      </c>
      <c r="F4" s="569" t="s">
        <v>75</v>
      </c>
      <c r="G4" s="569" t="s">
        <v>34</v>
      </c>
      <c r="H4" s="555" t="s">
        <v>76</v>
      </c>
      <c r="I4" s="570" t="s">
        <v>101</v>
      </c>
      <c r="J4" s="555" t="s">
        <v>89</v>
      </c>
      <c r="K4" s="565" t="s">
        <v>35</v>
      </c>
      <c r="L4" s="565" t="s">
        <v>77</v>
      </c>
      <c r="M4" s="565" t="s">
        <v>78</v>
      </c>
      <c r="N4" s="555" t="s">
        <v>101</v>
      </c>
      <c r="O4" s="565" t="s">
        <v>96</v>
      </c>
      <c r="P4" s="555" t="s">
        <v>79</v>
      </c>
      <c r="Q4" s="555" t="s">
        <v>36</v>
      </c>
      <c r="R4" s="555" t="s">
        <v>32</v>
      </c>
      <c r="S4" s="555" t="s">
        <v>37</v>
      </c>
      <c r="T4" s="555" t="s">
        <v>38</v>
      </c>
      <c r="U4" s="555" t="s">
        <v>39</v>
      </c>
      <c r="V4" s="563"/>
      <c r="W4" s="563"/>
      <c r="X4" s="564"/>
      <c r="Y4" s="564"/>
      <c r="Z4" s="564"/>
      <c r="AA4" s="564"/>
      <c r="AB4" s="564"/>
      <c r="AC4" s="564"/>
      <c r="AD4" s="564"/>
      <c r="AE4" s="554"/>
      <c r="AF4" s="554"/>
      <c r="AG4" s="554"/>
      <c r="AH4" s="554"/>
      <c r="AI4" s="554"/>
      <c r="AJ4" s="593"/>
      <c r="AK4" s="593"/>
      <c r="AL4" s="564"/>
      <c r="AM4" s="599"/>
      <c r="AN4" s="601"/>
      <c r="AO4" s="603"/>
      <c r="AP4" s="564"/>
      <c r="AQ4" s="564"/>
      <c r="AR4" s="82"/>
      <c r="AS4" s="593"/>
      <c r="AT4" s="554"/>
      <c r="AU4" s="554"/>
      <c r="AV4" s="554"/>
      <c r="AW4" s="554"/>
      <c r="AX4" s="554"/>
      <c r="AY4" s="554"/>
      <c r="AZ4" s="564"/>
      <c r="BA4" s="594"/>
      <c r="BB4" s="594"/>
      <c r="BC4" s="564"/>
      <c r="BD4" s="564"/>
      <c r="BE4" s="572"/>
      <c r="BF4" s="3"/>
      <c r="BG4" s="3"/>
      <c r="BH4" s="3"/>
      <c r="BI4" s="3"/>
      <c r="BJ4" s="3"/>
      <c r="BK4" s="577"/>
      <c r="BL4" s="578"/>
      <c r="BM4" s="578"/>
      <c r="BN4" s="578"/>
      <c r="BO4" s="579"/>
      <c r="BP4" s="579"/>
      <c r="BQ4" s="580"/>
      <c r="BR4" s="577"/>
      <c r="BS4" s="566"/>
      <c r="BT4" s="566"/>
      <c r="BU4" s="566"/>
      <c r="BV4" s="566"/>
      <c r="BW4" s="566"/>
      <c r="BX4" s="587"/>
      <c r="BY4" s="566"/>
      <c r="BZ4" s="566"/>
      <c r="CA4" s="566"/>
      <c r="CB4" s="566"/>
      <c r="CC4" s="566"/>
      <c r="CD4" s="566"/>
      <c r="CE4" s="566"/>
      <c r="CF4" s="566"/>
      <c r="CG4" s="566"/>
      <c r="CH4" s="566"/>
      <c r="CI4" s="566"/>
      <c r="CJ4" s="566"/>
      <c r="CK4" s="566"/>
      <c r="CL4" s="566"/>
      <c r="CM4" s="566"/>
      <c r="CN4" s="4"/>
      <c r="CO4" s="6"/>
      <c r="CP4" s="6"/>
      <c r="CQ4" s="262"/>
      <c r="CR4" s="231"/>
      <c r="CS4" s="231"/>
      <c r="CT4" s="231"/>
      <c r="CU4" s="231"/>
      <c r="CV4" s="231"/>
      <c r="CW4" s="231"/>
      <c r="CX4" s="231"/>
      <c r="CY4" s="231"/>
      <c r="DD4" s="590" t="s">
        <v>90</v>
      </c>
      <c r="DE4" s="591"/>
      <c r="DF4" s="591"/>
      <c r="DG4" s="591"/>
      <c r="DH4" s="592"/>
    </row>
    <row r="5" spans="1:115" s="7" customFormat="1" ht="8.25" hidden="1" customHeight="1">
      <c r="A5" s="557"/>
      <c r="B5" s="565"/>
      <c r="C5" s="614"/>
      <c r="D5" s="616"/>
      <c r="E5" s="614"/>
      <c r="F5" s="569"/>
      <c r="G5" s="569"/>
      <c r="H5" s="555"/>
      <c r="I5" s="570"/>
      <c r="J5" s="565"/>
      <c r="K5" s="565"/>
      <c r="L5" s="565"/>
      <c r="M5" s="565"/>
      <c r="N5" s="565"/>
      <c r="O5" s="565"/>
      <c r="P5" s="555"/>
      <c r="Q5" s="555"/>
      <c r="R5" s="555"/>
      <c r="S5" s="555"/>
      <c r="T5" s="555"/>
      <c r="U5" s="555"/>
      <c r="V5" s="563"/>
      <c r="W5" s="563"/>
      <c r="X5" s="564"/>
      <c r="Y5" s="564"/>
      <c r="Z5" s="564"/>
      <c r="AA5" s="564"/>
      <c r="AB5" s="564"/>
      <c r="AC5" s="564"/>
      <c r="AD5" s="564"/>
      <c r="AE5" s="555" t="s">
        <v>40</v>
      </c>
      <c r="AF5" s="555" t="s">
        <v>41</v>
      </c>
      <c r="AG5" s="555" t="s">
        <v>42</v>
      </c>
      <c r="AH5" s="555" t="s">
        <v>40</v>
      </c>
      <c r="AI5" s="555" t="s">
        <v>41</v>
      </c>
      <c r="AJ5" s="593"/>
      <c r="AK5" s="593"/>
      <c r="AL5" s="564"/>
      <c r="AM5" s="599"/>
      <c r="AN5" s="601"/>
      <c r="AO5" s="603"/>
      <c r="AP5" s="564"/>
      <c r="AQ5" s="564"/>
      <c r="AR5" s="83"/>
      <c r="AS5" s="593"/>
      <c r="AT5" s="555" t="s">
        <v>43</v>
      </c>
      <c r="AU5" s="84"/>
      <c r="AV5" s="85"/>
      <c r="AW5" s="598" t="s">
        <v>44</v>
      </c>
      <c r="AX5" s="598" t="s">
        <v>45</v>
      </c>
      <c r="AY5" s="555" t="s">
        <v>46</v>
      </c>
      <c r="AZ5" s="564"/>
      <c r="BA5" s="86" t="s">
        <v>47</v>
      </c>
      <c r="BB5" s="86" t="s">
        <v>48</v>
      </c>
      <c r="BC5" s="564"/>
      <c r="BD5" s="564"/>
      <c r="BE5" s="572"/>
      <c r="BF5" s="3"/>
      <c r="BG5" s="3"/>
      <c r="BH5" s="3"/>
      <c r="BI5" s="3"/>
      <c r="BJ5" s="3"/>
      <c r="BK5" s="581"/>
      <c r="BL5" s="582"/>
      <c r="BM5" s="582"/>
      <c r="BN5" s="582"/>
      <c r="BO5" s="583"/>
      <c r="BP5" s="583"/>
      <c r="BQ5" s="584"/>
      <c r="BR5" s="581"/>
      <c r="BS5" s="588"/>
      <c r="BT5" s="588"/>
      <c r="BU5" s="588"/>
      <c r="BV5" s="588"/>
      <c r="BW5" s="588"/>
      <c r="BX5" s="589"/>
      <c r="BY5" s="567"/>
      <c r="BZ5" s="566"/>
      <c r="CA5" s="566"/>
      <c r="CB5" s="566"/>
      <c r="CC5" s="566"/>
      <c r="CD5" s="566"/>
      <c r="CE5" s="566"/>
      <c r="CF5" s="567"/>
      <c r="CG5" s="567"/>
      <c r="CH5" s="567"/>
      <c r="CI5" s="567"/>
      <c r="CJ5" s="567"/>
      <c r="CK5" s="567"/>
      <c r="CL5" s="567"/>
      <c r="CM5" s="567"/>
      <c r="CN5" s="4"/>
      <c r="CO5"/>
      <c r="CP5"/>
      <c r="CQ5" s="255"/>
      <c r="CR5" s="256"/>
      <c r="CS5" s="256"/>
      <c r="CT5" s="256"/>
      <c r="CU5" s="256"/>
      <c r="CV5" s="257"/>
      <c r="CW5" s="257"/>
      <c r="CX5" s="257"/>
      <c r="CY5" s="258"/>
      <c r="DA5" s="595" t="s">
        <v>49</v>
      </c>
      <c r="DB5" s="595"/>
    </row>
    <row r="6" spans="1:115" s="7" customFormat="1" ht="106.5" customHeight="1" thickBot="1">
      <c r="A6" s="557"/>
      <c r="B6" s="565"/>
      <c r="C6" s="565"/>
      <c r="D6" s="568"/>
      <c r="E6" s="565"/>
      <c r="F6" s="569"/>
      <c r="G6" s="569"/>
      <c r="H6" s="555"/>
      <c r="I6" s="570"/>
      <c r="J6" s="571"/>
      <c r="K6" s="565"/>
      <c r="L6" s="565"/>
      <c r="M6" s="565"/>
      <c r="N6" s="571"/>
      <c r="O6" s="565"/>
      <c r="P6" s="565"/>
      <c r="Q6" s="565"/>
      <c r="R6" s="565"/>
      <c r="S6" s="565"/>
      <c r="T6" s="555"/>
      <c r="U6" s="555"/>
      <c r="V6" s="563"/>
      <c r="W6" s="563"/>
      <c r="X6" s="564"/>
      <c r="Y6" s="564"/>
      <c r="Z6" s="564"/>
      <c r="AA6" s="564"/>
      <c r="AB6" s="564"/>
      <c r="AC6" s="564"/>
      <c r="AD6" s="564"/>
      <c r="AE6" s="555"/>
      <c r="AF6" s="555"/>
      <c r="AG6" s="555"/>
      <c r="AH6" s="555"/>
      <c r="AI6" s="555"/>
      <c r="AJ6" s="593"/>
      <c r="AK6" s="593"/>
      <c r="AL6" s="564"/>
      <c r="AM6" s="599"/>
      <c r="AN6" s="602"/>
      <c r="AO6" s="603"/>
      <c r="AP6" s="564"/>
      <c r="AQ6" s="564"/>
      <c r="AR6" s="546"/>
      <c r="AS6" s="593"/>
      <c r="AT6" s="555"/>
      <c r="AU6" s="545" t="s">
        <v>50</v>
      </c>
      <c r="AV6" s="545" t="s">
        <v>51</v>
      </c>
      <c r="AW6" s="598"/>
      <c r="AX6" s="598"/>
      <c r="AY6" s="555"/>
      <c r="AZ6" s="555"/>
      <c r="BA6" s="87"/>
      <c r="BB6" s="88">
        <v>0.04</v>
      </c>
      <c r="BC6" s="564"/>
      <c r="BD6" s="564"/>
      <c r="BE6" s="572"/>
      <c r="BF6" s="8" t="s">
        <v>52</v>
      </c>
      <c r="BG6" s="8" t="s">
        <v>53</v>
      </c>
      <c r="BH6" s="8" t="s">
        <v>54</v>
      </c>
      <c r="BI6" s="3"/>
      <c r="BJ6" s="3"/>
      <c r="BK6" s="308" t="s">
        <v>100</v>
      </c>
      <c r="BL6" s="280" t="s">
        <v>82</v>
      </c>
      <c r="BM6" s="279" t="s">
        <v>262</v>
      </c>
      <c r="BN6" s="307" t="s">
        <v>444</v>
      </c>
      <c r="BO6" s="308" t="s">
        <v>97</v>
      </c>
      <c r="BP6" s="495" t="s">
        <v>99</v>
      </c>
      <c r="BQ6" s="495" t="s">
        <v>420</v>
      </c>
      <c r="BR6" s="308" t="s">
        <v>100</v>
      </c>
      <c r="BS6" s="280" t="s">
        <v>82</v>
      </c>
      <c r="BT6" s="279" t="s">
        <v>262</v>
      </c>
      <c r="BU6" s="327"/>
      <c r="BV6" s="308" t="s">
        <v>97</v>
      </c>
      <c r="BW6" s="495" t="s">
        <v>99</v>
      </c>
      <c r="BX6" s="306"/>
      <c r="BY6" s="308" t="s">
        <v>100</v>
      </c>
      <c r="BZ6" s="280" t="s">
        <v>82</v>
      </c>
      <c r="CA6" s="279" t="s">
        <v>262</v>
      </c>
      <c r="CB6" s="307" t="s">
        <v>444</v>
      </c>
      <c r="CC6" s="308" t="s">
        <v>97</v>
      </c>
      <c r="CD6" s="495" t="s">
        <v>99</v>
      </c>
      <c r="CE6" s="495" t="s">
        <v>420</v>
      </c>
      <c r="CF6" s="267" t="s">
        <v>106</v>
      </c>
      <c r="CG6" s="268" t="s">
        <v>85</v>
      </c>
      <c r="CH6" s="244" t="s">
        <v>430</v>
      </c>
      <c r="CI6" s="245" t="s">
        <v>408</v>
      </c>
      <c r="CJ6" s="267" t="s">
        <v>106</v>
      </c>
      <c r="CK6" s="268" t="s">
        <v>85</v>
      </c>
      <c r="CL6" s="244" t="s">
        <v>430</v>
      </c>
      <c r="CM6" s="245" t="s">
        <v>408</v>
      </c>
      <c r="CN6" s="243"/>
      <c r="CO6" s="248" t="s">
        <v>100</v>
      </c>
      <c r="CP6" s="10" t="s">
        <v>82</v>
      </c>
      <c r="CQ6" s="264" t="s">
        <v>263</v>
      </c>
      <c r="CR6" s="23" t="s">
        <v>446</v>
      </c>
      <c r="CS6" s="248" t="s">
        <v>98</v>
      </c>
      <c r="CT6" s="248" t="s">
        <v>99</v>
      </c>
      <c r="CU6" s="496" t="s">
        <v>423</v>
      </c>
      <c r="CV6" s="259" t="s">
        <v>106</v>
      </c>
      <c r="CW6" s="248" t="s">
        <v>84</v>
      </c>
      <c r="CX6" s="232" t="s">
        <v>430</v>
      </c>
      <c r="CY6" s="263" t="s">
        <v>408</v>
      </c>
      <c r="CZ6" s="253"/>
      <c r="DA6" s="321" t="s">
        <v>80</v>
      </c>
      <c r="DB6" s="321" t="s">
        <v>55</v>
      </c>
      <c r="DD6" s="288" t="s">
        <v>91</v>
      </c>
      <c r="DE6" s="289" t="s">
        <v>92</v>
      </c>
      <c r="DF6" s="290" t="s">
        <v>93</v>
      </c>
      <c r="DG6" s="290"/>
      <c r="DH6" s="289" t="s">
        <v>94</v>
      </c>
    </row>
    <row r="7" spans="1:115" s="76" customFormat="1" ht="16.5" customHeight="1" thickBot="1">
      <c r="A7" s="121">
        <v>1</v>
      </c>
      <c r="B7" s="122">
        <f>'[1]декабрь 20'!K6</f>
        <v>292.77199999999999</v>
      </c>
      <c r="C7" s="123">
        <f>IF(B7=0,0,(BK7*BR7+BL7*BS7+BM7*BT7+BN7*BU7+BQ7*BX7+BO7*BV7+BP7*BW7)/B7)</f>
        <v>0.89974752106759892</v>
      </c>
      <c r="D7" s="124">
        <f>B7*((100-C7)/100)</f>
        <v>290.13779118762</v>
      </c>
      <c r="E7" s="125">
        <f>IF(B7=0,0,(BK7*BY7+BL7*BZ7+BM7*CA7+BQ7*CE7+BN7*CB7+BO7*CC7+BP7*CD7)/B7)</f>
        <v>38.830130442801917</v>
      </c>
      <c r="F7" s="126">
        <f t="shared" ref="F7:F37" si="0">IF(AY7=0,0,D7/AY7)</f>
        <v>2.2892361621241912</v>
      </c>
      <c r="G7" s="127"/>
      <c r="H7" s="126">
        <f>IF(AY7=0,0,(CP7+CO7+CS7+CQ7+CT7)/AY7)</f>
        <v>1.6482546551996211</v>
      </c>
      <c r="I7" s="230">
        <f>'[1]июль 20'!AI6</f>
        <v>0</v>
      </c>
      <c r="J7" s="246">
        <f>'[1]декабрь 20'!AA6</f>
        <v>11.538</v>
      </c>
      <c r="K7" s="445">
        <f>'[1]сентябрь 20'!AM6</f>
        <v>0</v>
      </c>
      <c r="L7" s="446">
        <f>'[1]декабрь 20'!AE6</f>
        <v>81.238</v>
      </c>
      <c r="M7" s="443">
        <f>IF(AY7=0,0,(CR7+CU7)/AY7)</f>
        <v>0.64098153059507657</v>
      </c>
      <c r="N7" s="541">
        <f>'[1]декабрь 20'!W6</f>
        <v>0</v>
      </c>
      <c r="O7" s="540">
        <f>'[1]декабрь 20'!AU6</f>
        <v>7.7519999999999998</v>
      </c>
      <c r="P7" s="125">
        <f t="shared" ref="P7:P37" si="1">CF7+CH7+CI7+CG7</f>
        <v>184.17600199999998</v>
      </c>
      <c r="Q7" s="122">
        <f>'[1]декабрь 20'!S6</f>
        <v>184.17599999999999</v>
      </c>
      <c r="R7" s="123">
        <f>IF(Q7=0,0,(CI7*CM7+CG7*CK7+CH7*CL7+CF7*CJ7)/Q7)</f>
        <v>3.0500000000000114</v>
      </c>
      <c r="S7" s="129">
        <v>56.28</v>
      </c>
      <c r="T7" s="125">
        <f t="shared" ref="T7:T23" si="2">Q7*((100-R7)/100)</f>
        <v>178.55863199999996</v>
      </c>
      <c r="U7" s="128">
        <f t="shared" ref="U7:U8" si="3">IF(AY7=0,0,T7/AY7)</f>
        <v>1.4088577560359787</v>
      </c>
      <c r="V7" s="130">
        <v>126.74</v>
      </c>
      <c r="W7" s="130">
        <v>126.74</v>
      </c>
      <c r="X7" s="129">
        <v>0.68</v>
      </c>
      <c r="Y7" s="131">
        <v>579</v>
      </c>
      <c r="Z7" s="131">
        <v>1165</v>
      </c>
      <c r="AA7" s="132" t="s">
        <v>167</v>
      </c>
      <c r="AB7" s="129">
        <v>76.02</v>
      </c>
      <c r="AC7" s="131">
        <v>117</v>
      </c>
      <c r="AD7" s="133">
        <v>5</v>
      </c>
      <c r="AE7" s="129"/>
      <c r="AF7" s="134">
        <f t="shared" ref="AF7:AF37" si="4">IF(AY7=0,0,AE7/AY7*1000)</f>
        <v>0</v>
      </c>
      <c r="AG7" s="135"/>
      <c r="AH7" s="129">
        <v>78.900000000000006</v>
      </c>
      <c r="AI7" s="134">
        <f t="shared" ref="AI7:AI37" si="5">IF(AY7=0,0,AH7/AY7*1000)</f>
        <v>622.53432223449579</v>
      </c>
      <c r="AJ7" s="136">
        <v>21.3</v>
      </c>
      <c r="AK7" s="127"/>
      <c r="AL7" s="137">
        <v>11.23</v>
      </c>
      <c r="AM7" s="478">
        <v>38.28</v>
      </c>
      <c r="AN7" s="126">
        <f>IF(AM7=0,0,AM7/AT7)</f>
        <v>0.22637492607924306</v>
      </c>
      <c r="AO7" s="139" t="s">
        <v>168</v>
      </c>
      <c r="AP7" s="138">
        <v>7.41</v>
      </c>
      <c r="AQ7" s="138">
        <v>7.92</v>
      </c>
      <c r="AR7" s="129"/>
      <c r="AS7" s="129">
        <v>9.6199999999999992</v>
      </c>
      <c r="AT7" s="129">
        <v>169.1</v>
      </c>
      <c r="AU7" s="129">
        <v>7.15</v>
      </c>
      <c r="AV7" s="129"/>
      <c r="AW7" s="129"/>
      <c r="AX7" s="140">
        <f t="shared" ref="AX7:AX37" si="6">IF(AY7=0,0,AW7/AY7*100)</f>
        <v>0</v>
      </c>
      <c r="AY7" s="125">
        <f t="shared" ref="AY7:AY9" si="7">AT7-AL7-AM7+AV7+AW7+AU7</f>
        <v>126.74000000000001</v>
      </c>
      <c r="AZ7" s="125">
        <f>IF(AB7=0,0,((D7*0.97)*(E7/100)*0.9)/(AB7/100))+DH7</f>
        <v>132.82242749237167</v>
      </c>
      <c r="BA7" s="141">
        <f t="shared" ref="BA7:BA37" si="8">(AH7*AS7)/100*(55/71)</f>
        <v>5.8797169014084503</v>
      </c>
      <c r="BB7" s="142">
        <f t="shared" ref="BB7:BB37" si="9">AY7*$BB$6</f>
        <v>5.0696000000000003</v>
      </c>
      <c r="BC7" s="122">
        <f t="shared" ref="BC7:BC37" si="10">IF((D7*E7)=0,0,(AY7*AB7)/(D7*E7))</f>
        <v>0.855201429465268</v>
      </c>
      <c r="BD7" s="142">
        <f>BA7+BB7</f>
        <v>10.949316901408451</v>
      </c>
      <c r="BE7" s="143">
        <v>0.85499999999999998</v>
      </c>
      <c r="BF7" s="25">
        <f>AY7</f>
        <v>126.74000000000001</v>
      </c>
      <c r="BG7" s="25">
        <f t="shared" ref="BG7:BG38" si="11">IF(A7&lt;=$BE$43,$AT$43,0)</f>
        <v>116.7741935483871</v>
      </c>
      <c r="BH7" s="25">
        <f>BG7</f>
        <v>116.7741935483871</v>
      </c>
      <c r="BI7" s="26">
        <f t="shared" ref="BI7:BI14" si="12">IF(AY7&lt;&gt;0,1,0)</f>
        <v>1</v>
      </c>
      <c r="BJ7" s="27">
        <f>BG7*BI7</f>
        <v>116.7741935483871</v>
      </c>
      <c r="BK7" s="28">
        <v>139.46899999999999</v>
      </c>
      <c r="BL7" s="28">
        <v>72.064999999999998</v>
      </c>
      <c r="BM7" s="28">
        <v>9.9999999999999995E-7</v>
      </c>
      <c r="BN7" s="28">
        <v>58.463999999999999</v>
      </c>
      <c r="BO7" s="28">
        <v>9.9999999999999995E-7</v>
      </c>
      <c r="BP7" s="28">
        <v>9.9999999999999995E-7</v>
      </c>
      <c r="BQ7" s="28">
        <v>22.774000000000001</v>
      </c>
      <c r="BR7" s="28">
        <v>1</v>
      </c>
      <c r="BS7" s="28">
        <v>1.72</v>
      </c>
      <c r="BT7" s="28">
        <v>9.9999999999999995E-7</v>
      </c>
      <c r="BU7" s="28">
        <v>9.9999999999999995E-7</v>
      </c>
      <c r="BV7" s="28">
        <v>9.9999999999999995E-7</v>
      </c>
      <c r="BW7" s="28">
        <v>9.9999999999999995E-7</v>
      </c>
      <c r="BX7" s="28">
        <v>9.9999999999999995E-7</v>
      </c>
      <c r="BY7" s="28">
        <v>37.33</v>
      </c>
      <c r="BZ7" s="28">
        <v>36.08</v>
      </c>
      <c r="CA7" s="28">
        <v>9.9999999999999995E-7</v>
      </c>
      <c r="CB7" s="28">
        <v>43.89</v>
      </c>
      <c r="CC7" s="28">
        <v>9.9999999999999995E-7</v>
      </c>
      <c r="CD7" s="28">
        <v>9.9999999999999995E-7</v>
      </c>
      <c r="CE7" s="28">
        <v>43.73</v>
      </c>
      <c r="CF7" s="28">
        <v>71.451999999999998</v>
      </c>
      <c r="CG7" s="28">
        <v>9.9999999999999995E-7</v>
      </c>
      <c r="CH7" s="28">
        <v>9.9999999999999995E-7</v>
      </c>
      <c r="CI7" s="28">
        <v>112.724</v>
      </c>
      <c r="CJ7" s="28">
        <v>3.05</v>
      </c>
      <c r="CK7" s="28">
        <v>9.9999999999999995E-7</v>
      </c>
      <c r="CL7" s="28">
        <v>9.9999999999999995E-7</v>
      </c>
      <c r="CM7" s="28">
        <v>3.05</v>
      </c>
      <c r="CN7" s="286"/>
      <c r="CO7" s="252">
        <f t="shared" ref="CO7:CU22" si="13">BK7*((100-BR7)/100)</f>
        <v>138.07431</v>
      </c>
      <c r="CP7" s="11">
        <f t="shared" si="13"/>
        <v>70.825481999999994</v>
      </c>
      <c r="CQ7" s="11">
        <f t="shared" si="13"/>
        <v>9.9999998999999992E-7</v>
      </c>
      <c r="CR7" s="11">
        <f t="shared" si="13"/>
        <v>58.46399941536</v>
      </c>
      <c r="CS7" s="11">
        <f t="shared" si="13"/>
        <v>9.9999998999999992E-7</v>
      </c>
      <c r="CT7" s="11">
        <f t="shared" si="13"/>
        <v>9.9999998999999992E-7</v>
      </c>
      <c r="CU7" s="271">
        <f t="shared" si="13"/>
        <v>22.773999772260002</v>
      </c>
      <c r="CV7" s="260">
        <f t="shared" ref="CV7:CY37" si="14">CF7*((100-CJ7)/100)</f>
        <v>69.272713999999993</v>
      </c>
      <c r="CW7" s="250">
        <f t="shared" si="14"/>
        <v>9.9999998999999992E-7</v>
      </c>
      <c r="CX7" s="260">
        <f t="shared" si="14"/>
        <v>9.9999998999999992E-7</v>
      </c>
      <c r="CY7" s="271">
        <f t="shared" si="14"/>
        <v>109.28591800000001</v>
      </c>
      <c r="CZ7" s="13"/>
      <c r="DA7" s="240">
        <f>(D7+'[2]декабрь 20'!D7)/(AY7+'[2]декабрь 20'!BA7)</f>
        <v>2.0347562095243292</v>
      </c>
      <c r="DB7" s="241">
        <f>(T7+'[2]декабрь 20'!T7)/(AY7+'[2]декабрь 20'!BA7)</f>
        <v>1.2633111688859218</v>
      </c>
      <c r="DD7" s="292">
        <f t="shared" ref="DD7:DD37" si="15">J7</f>
        <v>11.538</v>
      </c>
      <c r="DE7" s="291">
        <v>0.5</v>
      </c>
      <c r="DF7" s="291">
        <v>22.81</v>
      </c>
      <c r="DG7" s="145">
        <f t="shared" ref="DG7:DG37" si="16">DD7*((100-DE7)/100)</f>
        <v>11.480309999999999</v>
      </c>
      <c r="DH7" s="293">
        <f>IF(AB7=0,0,(DG7*DF7%)/(AB7/100))</f>
        <v>3.444697067876874</v>
      </c>
      <c r="DJ7" s="322"/>
      <c r="DK7" s="537"/>
    </row>
    <row r="8" spans="1:115" s="76" customFormat="1" ht="16.5" customHeight="1" thickBot="1">
      <c r="A8" s="144">
        <v>2</v>
      </c>
      <c r="B8" s="122">
        <f>'[1]декабрь 20'!K7</f>
        <v>272.94099999999997</v>
      </c>
      <c r="C8" s="123">
        <f t="shared" ref="C8:C37" si="17">IF(B8=0,0,(BK8*BR8+BL8*BS8+BM8*BT8+BN8*BU8+BQ8*BX8+BO8*BV8+BP8*BW8)/B8)</f>
        <v>0.80280426905448432</v>
      </c>
      <c r="D8" s="145">
        <f t="shared" ref="D8" si="18">B8*((100-C8)/100)</f>
        <v>270.74981799999995</v>
      </c>
      <c r="E8" s="125">
        <f t="shared" ref="E8:E9" si="19">IF(B8=0,0,(BK8*BY8+BL8*BZ8+BM8*CA8+BQ8*CE8+BN8*CB8+BO8*CC8+BP8*CD8)/B8)</f>
        <v>39.208937059657572</v>
      </c>
      <c r="F8" s="146">
        <f t="shared" si="0"/>
        <v>2.1177146499804453</v>
      </c>
      <c r="G8" s="127">
        <v>28.06</v>
      </c>
      <c r="H8" s="126">
        <f t="shared" ref="H8:H37" si="20">IF(AY8=0,0,(CP8+CO8+CS8+CQ8+CT8)/AY8)</f>
        <v>1.520679061400078</v>
      </c>
      <c r="I8" s="230">
        <f>'[1]июль 20'!AI7</f>
        <v>0</v>
      </c>
      <c r="J8" s="247">
        <f>'[1]декабрь 20'!AA7</f>
        <v>11.029</v>
      </c>
      <c r="K8" s="464">
        <f>'[1]сентябрь 20'!AM7</f>
        <v>0</v>
      </c>
      <c r="L8" s="446">
        <f>'[1]декабрь 20'!AE7</f>
        <v>76.331000000000003</v>
      </c>
      <c r="M8" s="468">
        <f t="shared" ref="M8:M37" si="21">IF(AY8=0,0,(CR8+CU8)/AY8)</f>
        <v>0.59703558858036765</v>
      </c>
      <c r="N8" s="542">
        <f>'[1]декабрь 20'!W7</f>
        <v>0</v>
      </c>
      <c r="O8" s="403">
        <f>'[1]декабрь 20'!AU7</f>
        <v>8.6560000000000006</v>
      </c>
      <c r="P8" s="401">
        <f t="shared" si="1"/>
        <v>171.809</v>
      </c>
      <c r="Q8" s="122">
        <f>'[1]декабрь 20'!S7</f>
        <v>171.809</v>
      </c>
      <c r="R8" s="123">
        <f t="shared" ref="R8:R37" si="22">IF(Q8=0,0,(CI8*CM8+CG8*CK8+CH8*CL8+CF8*CJ8)/Q8)</f>
        <v>3.0199999999999996</v>
      </c>
      <c r="S8" s="129">
        <v>14.48</v>
      </c>
      <c r="T8" s="125">
        <f t="shared" si="2"/>
        <v>166.6203682</v>
      </c>
      <c r="U8" s="147">
        <f t="shared" si="3"/>
        <v>1.3032488713335939</v>
      </c>
      <c r="V8" s="130">
        <v>127.85</v>
      </c>
      <c r="W8" s="130">
        <v>105.47</v>
      </c>
      <c r="X8" s="129">
        <v>0.66</v>
      </c>
      <c r="Y8" s="131">
        <v>540</v>
      </c>
      <c r="Z8" s="131">
        <v>1156</v>
      </c>
      <c r="AA8" s="148" t="s">
        <v>455</v>
      </c>
      <c r="AB8" s="149">
        <v>76.099999999999994</v>
      </c>
      <c r="AC8" s="150">
        <v>109</v>
      </c>
      <c r="AD8" s="151">
        <v>5</v>
      </c>
      <c r="AE8" s="149">
        <v>4.45</v>
      </c>
      <c r="AF8" s="134">
        <f t="shared" si="4"/>
        <v>34.806413766132188</v>
      </c>
      <c r="AG8" s="152"/>
      <c r="AH8" s="129">
        <v>87</v>
      </c>
      <c r="AI8" s="134">
        <f t="shared" si="5"/>
        <v>680.48494329292134</v>
      </c>
      <c r="AJ8" s="153">
        <v>22.6</v>
      </c>
      <c r="AK8" s="154"/>
      <c r="AL8" s="155">
        <v>10.51</v>
      </c>
      <c r="AM8" s="478">
        <v>38.83</v>
      </c>
      <c r="AN8" s="126">
        <f t="shared" ref="AN8:AN37" si="23">IF(AM8=0,0,AM8/AT8)</f>
        <v>0.22175899486007994</v>
      </c>
      <c r="AO8" s="157" t="s">
        <v>456</v>
      </c>
      <c r="AP8" s="156">
        <v>7.92</v>
      </c>
      <c r="AQ8" s="156">
        <v>7.64</v>
      </c>
      <c r="AR8" s="149"/>
      <c r="AS8" s="149">
        <v>8.02</v>
      </c>
      <c r="AT8" s="149">
        <v>175.1</v>
      </c>
      <c r="AU8" s="149">
        <v>2.09</v>
      </c>
      <c r="AV8" s="149"/>
      <c r="AW8" s="149"/>
      <c r="AX8" s="158">
        <f t="shared" si="6"/>
        <v>0</v>
      </c>
      <c r="AY8" s="125">
        <f t="shared" si="7"/>
        <v>127.85000000000001</v>
      </c>
      <c r="AZ8" s="125">
        <f t="shared" ref="AZ8:AZ37" si="24">IF(AB8=0,0,((D8*0.97)*(E8/100)*0.9)/(AB8/100))+DH8</f>
        <v>124.57119670118954</v>
      </c>
      <c r="BA8" s="159">
        <f t="shared" si="8"/>
        <v>5.4050281690140842</v>
      </c>
      <c r="BB8" s="160">
        <f t="shared" si="9"/>
        <v>5.1140000000000008</v>
      </c>
      <c r="BC8" s="161">
        <f t="shared" si="10"/>
        <v>0.91649931959606801</v>
      </c>
      <c r="BD8" s="160">
        <f t="shared" ref="BD8:BD37" si="25">BA8+BB8</f>
        <v>10.519028169014085</v>
      </c>
      <c r="BE8" s="162">
        <v>0.88500000000000001</v>
      </c>
      <c r="BF8" s="25">
        <f t="shared" ref="BF8:BF37" si="26">BF7+AY8</f>
        <v>254.59000000000003</v>
      </c>
      <c r="BG8" s="25">
        <f t="shared" si="11"/>
        <v>116.7741935483871</v>
      </c>
      <c r="BH8" s="25">
        <f t="shared" ref="BH8:BH37" si="27">BG8+BH7</f>
        <v>233.54838709677421</v>
      </c>
      <c r="BI8" s="26">
        <f t="shared" si="12"/>
        <v>1</v>
      </c>
      <c r="BJ8" s="27">
        <f t="shared" ref="BJ8:BJ37" si="28">BG8*BI8+BJ7</f>
        <v>233.54838709677421</v>
      </c>
      <c r="BK8" s="30">
        <v>23.47</v>
      </c>
      <c r="BL8" s="31">
        <v>173.14</v>
      </c>
      <c r="BM8" s="31"/>
      <c r="BN8" s="31">
        <v>54.536000000000001</v>
      </c>
      <c r="BO8" s="40"/>
      <c r="BP8" s="40"/>
      <c r="BQ8" s="32">
        <v>21.795000000000002</v>
      </c>
      <c r="BR8" s="33">
        <v>1</v>
      </c>
      <c r="BS8" s="34">
        <v>1.1299999999999999</v>
      </c>
      <c r="BT8" s="35"/>
      <c r="BU8" s="28"/>
      <c r="BV8" s="287"/>
      <c r="BW8" s="28"/>
      <c r="BX8" s="36"/>
      <c r="BY8" s="33">
        <v>37.33</v>
      </c>
      <c r="BZ8" s="34">
        <v>37.409999999999997</v>
      </c>
      <c r="CA8" s="35"/>
      <c r="CB8" s="35">
        <v>43.89</v>
      </c>
      <c r="CC8" s="235"/>
      <c r="CD8" s="235"/>
      <c r="CE8" s="36">
        <v>43.81</v>
      </c>
      <c r="CF8" s="30">
        <v>66.509</v>
      </c>
      <c r="CG8" s="30"/>
      <c r="CH8" s="31"/>
      <c r="CI8" s="32">
        <v>105.3</v>
      </c>
      <c r="CJ8" s="33">
        <v>3.02</v>
      </c>
      <c r="CK8" s="33"/>
      <c r="CL8" s="35"/>
      <c r="CM8" s="28">
        <v>3.02</v>
      </c>
      <c r="CN8" s="286"/>
      <c r="CO8" s="249">
        <f t="shared" si="13"/>
        <v>23.235299999999999</v>
      </c>
      <c r="CP8" s="12">
        <f t="shared" si="13"/>
        <v>171.18351799999999</v>
      </c>
      <c r="CQ8" s="12">
        <f t="shared" si="13"/>
        <v>0</v>
      </c>
      <c r="CR8" s="12">
        <f t="shared" si="13"/>
        <v>54.536000000000001</v>
      </c>
      <c r="CS8" s="11">
        <f t="shared" si="13"/>
        <v>0</v>
      </c>
      <c r="CT8" s="11">
        <f t="shared" si="13"/>
        <v>0</v>
      </c>
      <c r="CU8" s="272">
        <f t="shared" si="13"/>
        <v>21.795000000000002</v>
      </c>
      <c r="CV8" s="249">
        <f t="shared" si="14"/>
        <v>64.500428200000002</v>
      </c>
      <c r="CW8" s="12">
        <f t="shared" si="14"/>
        <v>0</v>
      </c>
      <c r="CX8" s="254">
        <f t="shared" si="14"/>
        <v>0</v>
      </c>
      <c r="CY8" s="272">
        <f t="shared" si="14"/>
        <v>102.11994</v>
      </c>
      <c r="CZ8" s="13"/>
      <c r="DA8" s="240">
        <f>(D8+'[2]декабрь 20'!D8)/(AY8+'[2]декабрь 20'!BA8)</f>
        <v>2.3665046241568728</v>
      </c>
      <c r="DB8" s="241">
        <f>(T8+'[2]декабрь 20'!T8)/(AY8+'[2]декабрь 20'!BA8)</f>
        <v>1.4403073143005716</v>
      </c>
      <c r="DD8" s="292">
        <f t="shared" si="15"/>
        <v>11.029</v>
      </c>
      <c r="DE8" s="291">
        <v>0.28000000000000003</v>
      </c>
      <c r="DF8" s="291">
        <v>19.3</v>
      </c>
      <c r="DG8" s="145">
        <f t="shared" si="16"/>
        <v>10.9981188</v>
      </c>
      <c r="DH8" s="293">
        <f t="shared" ref="DH8:DH37" si="29">IF(AB8=0,0,(DG8*DF8%)/(AB8/100))</f>
        <v>2.7892732304862027</v>
      </c>
      <c r="DJ8" s="322"/>
      <c r="DK8" s="537"/>
    </row>
    <row r="9" spans="1:115" s="76" customFormat="1" ht="16.5" customHeight="1" thickBot="1">
      <c r="A9" s="144">
        <v>3</v>
      </c>
      <c r="B9" s="122">
        <f>'[1]декабрь 20'!K8</f>
        <v>274.59800000000001</v>
      </c>
      <c r="C9" s="123">
        <f t="shared" si="17"/>
        <v>0.56730526078121468</v>
      </c>
      <c r="D9" s="145">
        <f>B9*((100-C9)/100)</f>
        <v>273.04019110000002</v>
      </c>
      <c r="E9" s="125">
        <f t="shared" si="19"/>
        <v>39.058631053394414</v>
      </c>
      <c r="F9" s="146">
        <f t="shared" si="0"/>
        <v>2.227263162574435</v>
      </c>
      <c r="G9" s="127">
        <v>16.93</v>
      </c>
      <c r="H9" s="126">
        <f t="shared" si="20"/>
        <v>1.5958331927563423</v>
      </c>
      <c r="I9" s="230">
        <f>'[1]июль 20'!AI8</f>
        <v>0</v>
      </c>
      <c r="J9" s="247">
        <f>'[1]декабрь 20'!AA8</f>
        <v>10.601000000000001</v>
      </c>
      <c r="K9" s="465">
        <f>'[1]сентябрь 20'!AM8</f>
        <v>0</v>
      </c>
      <c r="L9" s="446">
        <f>'[1]декабрь 20'!AE8</f>
        <v>77.406999999999996</v>
      </c>
      <c r="M9" s="469">
        <f t="shared" si="21"/>
        <v>0.63142996981809274</v>
      </c>
      <c r="N9" s="542">
        <f>'[1]декабрь 20'!W8</f>
        <v>0</v>
      </c>
      <c r="O9" s="403">
        <f>'[1]декабрь 20'!AU8</f>
        <v>8.4939999999999998</v>
      </c>
      <c r="P9" s="401">
        <f t="shared" si="1"/>
        <v>174.125</v>
      </c>
      <c r="Q9" s="122">
        <f>'[1]декабрь 20'!S8</f>
        <v>174.125</v>
      </c>
      <c r="R9" s="123">
        <f t="shared" si="22"/>
        <v>2.9900000000000007</v>
      </c>
      <c r="S9" s="129">
        <v>1.27</v>
      </c>
      <c r="T9" s="125">
        <f t="shared" si="2"/>
        <v>168.91866250000001</v>
      </c>
      <c r="U9" s="147">
        <f>IF(AY9=0,0,T9/AY9)</f>
        <v>1.3779155110531038</v>
      </c>
      <c r="V9" s="130">
        <v>122.59</v>
      </c>
      <c r="W9" s="130">
        <v>95.96</v>
      </c>
      <c r="X9" s="129">
        <v>0.52</v>
      </c>
      <c r="Y9" s="131">
        <v>552</v>
      </c>
      <c r="Z9" s="131">
        <v>1166</v>
      </c>
      <c r="AA9" s="148" t="s">
        <v>252</v>
      </c>
      <c r="AB9" s="149">
        <v>76.55</v>
      </c>
      <c r="AC9" s="150">
        <v>105</v>
      </c>
      <c r="AD9" s="151">
        <v>5</v>
      </c>
      <c r="AE9" s="149"/>
      <c r="AF9" s="134">
        <f t="shared" si="4"/>
        <v>0</v>
      </c>
      <c r="AG9" s="152"/>
      <c r="AH9" s="129">
        <v>79.849999999999994</v>
      </c>
      <c r="AI9" s="134">
        <f t="shared" si="5"/>
        <v>651.35818582266086</v>
      </c>
      <c r="AJ9" s="153">
        <v>20.28</v>
      </c>
      <c r="AK9" s="154"/>
      <c r="AL9" s="155">
        <v>8.57</v>
      </c>
      <c r="AM9" s="478">
        <v>34.65</v>
      </c>
      <c r="AN9" s="126">
        <f t="shared" si="23"/>
        <v>0.2129032258064516</v>
      </c>
      <c r="AO9" s="157" t="s">
        <v>151</v>
      </c>
      <c r="AP9" s="156">
        <v>7.52</v>
      </c>
      <c r="AQ9" s="156">
        <v>7.22</v>
      </c>
      <c r="AR9" s="149"/>
      <c r="AS9" s="149">
        <v>9.14</v>
      </c>
      <c r="AT9" s="149">
        <v>162.75</v>
      </c>
      <c r="AU9" s="149">
        <v>3.06</v>
      </c>
      <c r="AV9" s="149"/>
      <c r="AW9" s="149"/>
      <c r="AX9" s="158">
        <f t="shared" si="6"/>
        <v>0</v>
      </c>
      <c r="AY9" s="125">
        <f t="shared" si="7"/>
        <v>122.59</v>
      </c>
      <c r="AZ9" s="125">
        <f t="shared" si="24"/>
        <v>123.57581055730842</v>
      </c>
      <c r="BA9" s="159">
        <f t="shared" si="8"/>
        <v>5.6536049295774644</v>
      </c>
      <c r="BB9" s="160">
        <f t="shared" si="9"/>
        <v>4.9036</v>
      </c>
      <c r="BC9" s="161">
        <f t="shared" si="10"/>
        <v>0.87994725936710128</v>
      </c>
      <c r="BD9" s="160">
        <f t="shared" si="25"/>
        <v>10.557204929577464</v>
      </c>
      <c r="BE9" s="162">
        <v>0.88300000000000001</v>
      </c>
      <c r="BF9" s="25">
        <f t="shared" si="26"/>
        <v>377.18000000000006</v>
      </c>
      <c r="BG9" s="25">
        <f t="shared" si="11"/>
        <v>116.7741935483871</v>
      </c>
      <c r="BH9" s="25">
        <f t="shared" si="27"/>
        <v>350.32258064516134</v>
      </c>
      <c r="BI9" s="26">
        <f t="shared" si="12"/>
        <v>1</v>
      </c>
      <c r="BJ9" s="37">
        <f t="shared" si="28"/>
        <v>350.32258064516134</v>
      </c>
      <c r="BK9" s="38"/>
      <c r="BL9" s="31">
        <v>197.191</v>
      </c>
      <c r="BM9" s="31"/>
      <c r="BN9" s="31">
        <v>55.606999999999999</v>
      </c>
      <c r="BO9" s="40"/>
      <c r="BP9" s="40"/>
      <c r="BQ9" s="32">
        <v>21.8</v>
      </c>
      <c r="BR9" s="33"/>
      <c r="BS9" s="34">
        <v>0.79</v>
      </c>
      <c r="BT9" s="35"/>
      <c r="BU9" s="28"/>
      <c r="BV9" s="287"/>
      <c r="BW9" s="287"/>
      <c r="BX9" s="36"/>
      <c r="BY9" s="33"/>
      <c r="BZ9" s="34">
        <v>37.33</v>
      </c>
      <c r="CA9" s="35"/>
      <c r="CB9" s="35">
        <v>43.42</v>
      </c>
      <c r="CC9" s="235"/>
      <c r="CD9" s="235"/>
      <c r="CE9" s="36">
        <v>43.57</v>
      </c>
      <c r="CF9" s="30">
        <v>67.403000000000006</v>
      </c>
      <c r="CG9" s="30"/>
      <c r="CH9" s="31"/>
      <c r="CI9" s="32">
        <v>106.72199999999999</v>
      </c>
      <c r="CJ9" s="33">
        <v>2.99</v>
      </c>
      <c r="CK9" s="33"/>
      <c r="CL9" s="35"/>
      <c r="CM9" s="36">
        <v>2.99</v>
      </c>
      <c r="CN9" s="286"/>
      <c r="CO9" s="249">
        <f t="shared" si="13"/>
        <v>0</v>
      </c>
      <c r="CP9" s="12">
        <f t="shared" si="13"/>
        <v>195.6331911</v>
      </c>
      <c r="CQ9" s="12">
        <f t="shared" si="13"/>
        <v>0</v>
      </c>
      <c r="CR9" s="12">
        <f t="shared" si="13"/>
        <v>55.606999999999999</v>
      </c>
      <c r="CS9" s="11">
        <f t="shared" si="13"/>
        <v>0</v>
      </c>
      <c r="CT9" s="11">
        <f t="shared" si="13"/>
        <v>0</v>
      </c>
      <c r="CU9" s="272">
        <f t="shared" si="13"/>
        <v>21.8</v>
      </c>
      <c r="CV9" s="249">
        <f t="shared" si="14"/>
        <v>65.387650300000004</v>
      </c>
      <c r="CW9" s="251">
        <f t="shared" si="14"/>
        <v>0</v>
      </c>
      <c r="CX9" s="249">
        <f t="shared" si="14"/>
        <v>0</v>
      </c>
      <c r="CY9" s="272">
        <f t="shared" si="14"/>
        <v>103.53101220000001</v>
      </c>
      <c r="CZ9" s="13"/>
      <c r="DA9" s="240">
        <f>(D9+'[2]декабрь 20'!D9)/(AY9+'[2]декабрь 20'!BA9)</f>
        <v>2.2221468710213608</v>
      </c>
      <c r="DB9" s="241">
        <f>(T9+'[2]декабрь 20'!T9)/(AY9+'[2]декабрь 20'!BA9)</f>
        <v>1.3702393740863865</v>
      </c>
      <c r="DD9" s="292">
        <f t="shared" si="15"/>
        <v>10.601000000000001</v>
      </c>
      <c r="DE9" s="291">
        <v>0.23</v>
      </c>
      <c r="DF9" s="291">
        <v>14.14</v>
      </c>
      <c r="DG9" s="145">
        <f t="shared" si="16"/>
        <v>10.5766177</v>
      </c>
      <c r="DH9" s="293">
        <f t="shared" si="29"/>
        <v>1.9536691610450687</v>
      </c>
      <c r="DJ9" s="322"/>
      <c r="DK9" s="537"/>
    </row>
    <row r="10" spans="1:115" s="76" customFormat="1" ht="16.5" customHeight="1" thickBot="1">
      <c r="A10" s="144">
        <v>4</v>
      </c>
      <c r="B10" s="122">
        <f>'[1]декабрь 20'!K9</f>
        <v>255.64</v>
      </c>
      <c r="C10" s="123">
        <f t="shared" si="17"/>
        <v>0.99464833359411675</v>
      </c>
      <c r="D10" s="145">
        <f t="shared" ref="D10:D37" si="30">B10*((100-C10)/100)</f>
        <v>253.09728099999998</v>
      </c>
      <c r="E10" s="125">
        <f>IF(B10=0,0,(BK10*BY10+BL10*BZ10+BM10*CA10+BQ10*CE10+BN10*CB10+BO10*CC10+BP10*CD10)/B10)</f>
        <v>38.828615514004071</v>
      </c>
      <c r="F10" s="146">
        <f t="shared" si="0"/>
        <v>2.3078077961156196</v>
      </c>
      <c r="G10" s="127">
        <v>16.010000000000002</v>
      </c>
      <c r="H10" s="126">
        <f t="shared" si="20"/>
        <v>1.6569005288593055</v>
      </c>
      <c r="I10" s="230">
        <f>'[1]июль 20'!AI9</f>
        <v>0</v>
      </c>
      <c r="J10" s="247">
        <f>'[1]декабрь 20'!AA9</f>
        <v>9.7829999999999995</v>
      </c>
      <c r="K10" s="464">
        <f>'[1]сентябрь 20'!AM9</f>
        <v>0</v>
      </c>
      <c r="L10" s="446">
        <f>'[1]декабрь 20'!AE9</f>
        <v>71.385000000000005</v>
      </c>
      <c r="M10" s="470">
        <f t="shared" si="21"/>
        <v>0.65090726725631443</v>
      </c>
      <c r="N10" s="542">
        <f>'[1]декабрь 20'!W9</f>
        <v>0</v>
      </c>
      <c r="O10" s="403">
        <f>'[1]декабрь 20'!AU9</f>
        <v>8.6769999999999996</v>
      </c>
      <c r="P10" s="401">
        <f t="shared" si="1"/>
        <v>162.19999999999999</v>
      </c>
      <c r="Q10" s="122">
        <f>'[1]декабрь 20'!S9</f>
        <v>162.19999999999999</v>
      </c>
      <c r="R10" s="123">
        <f t="shared" si="22"/>
        <v>3.1000000000000005</v>
      </c>
      <c r="S10" s="129">
        <v>30.84</v>
      </c>
      <c r="T10" s="125">
        <f t="shared" si="2"/>
        <v>157.17179999999999</v>
      </c>
      <c r="U10" s="147">
        <f t="shared" ref="U10:U37" si="31">IF(AY10=0,0,T10/AY10)</f>
        <v>1.4331339472964348</v>
      </c>
      <c r="V10" s="130">
        <v>109.67</v>
      </c>
      <c r="W10" s="130">
        <v>88.76</v>
      </c>
      <c r="X10" s="129">
        <v>0.75</v>
      </c>
      <c r="Y10" s="131">
        <v>564</v>
      </c>
      <c r="Z10" s="131">
        <v>1171</v>
      </c>
      <c r="AA10" s="148" t="s">
        <v>414</v>
      </c>
      <c r="AB10" s="149">
        <v>76.010000000000005</v>
      </c>
      <c r="AC10" s="150">
        <v>102</v>
      </c>
      <c r="AD10" s="151">
        <v>5</v>
      </c>
      <c r="AE10" s="149"/>
      <c r="AF10" s="134">
        <f t="shared" si="4"/>
        <v>0</v>
      </c>
      <c r="AG10" s="152"/>
      <c r="AH10" s="129">
        <v>67.05</v>
      </c>
      <c r="AI10" s="134">
        <f t="shared" si="5"/>
        <v>611.37959332543096</v>
      </c>
      <c r="AJ10" s="153">
        <v>15.25</v>
      </c>
      <c r="AK10" s="154"/>
      <c r="AL10" s="155">
        <v>7.49</v>
      </c>
      <c r="AM10" s="478">
        <v>37.39</v>
      </c>
      <c r="AN10" s="126">
        <f t="shared" si="23"/>
        <v>0.24501965923984273</v>
      </c>
      <c r="AO10" s="157" t="s">
        <v>193</v>
      </c>
      <c r="AP10" s="156">
        <v>7.83</v>
      </c>
      <c r="AQ10" s="156">
        <v>6.97</v>
      </c>
      <c r="AR10" s="149"/>
      <c r="AS10" s="149">
        <v>7.47</v>
      </c>
      <c r="AT10" s="149">
        <v>152.6</v>
      </c>
      <c r="AU10" s="149">
        <v>1.95</v>
      </c>
      <c r="AV10" s="149"/>
      <c r="AW10" s="149"/>
      <c r="AX10" s="158">
        <f t="shared" si="6"/>
        <v>0</v>
      </c>
      <c r="AY10" s="125">
        <f>AT10-AL10-AM10+AV10+AW10+AU10</f>
        <v>109.66999999999999</v>
      </c>
      <c r="AZ10" s="125">
        <f t="shared" si="24"/>
        <v>114.90977141459103</v>
      </c>
      <c r="BA10" s="159">
        <f t="shared" si="8"/>
        <v>3.8799285211267605</v>
      </c>
      <c r="BB10" s="160">
        <f t="shared" si="9"/>
        <v>4.3868</v>
      </c>
      <c r="BC10" s="161">
        <f t="shared" si="10"/>
        <v>0.84824086432578027</v>
      </c>
      <c r="BD10" s="160">
        <f t="shared" si="25"/>
        <v>8.26672852112676</v>
      </c>
      <c r="BE10" s="162">
        <v>0.875</v>
      </c>
      <c r="BF10" s="25">
        <f t="shared" si="26"/>
        <v>486.85</v>
      </c>
      <c r="BG10" s="25">
        <f t="shared" si="11"/>
        <v>116.7741935483871</v>
      </c>
      <c r="BH10" s="25">
        <f t="shared" si="27"/>
        <v>467.09677419354841</v>
      </c>
      <c r="BI10" s="26">
        <f t="shared" si="12"/>
        <v>1</v>
      </c>
      <c r="BJ10" s="37">
        <f t="shared" si="28"/>
        <v>467.09677419354841</v>
      </c>
      <c r="BK10" s="38"/>
      <c r="BL10" s="31">
        <v>184.255</v>
      </c>
      <c r="BM10" s="31"/>
      <c r="BN10" s="31">
        <v>51.000999999999998</v>
      </c>
      <c r="BO10" s="40"/>
      <c r="BP10" s="40"/>
      <c r="BQ10" s="32">
        <v>20.384</v>
      </c>
      <c r="BR10" s="33"/>
      <c r="BS10" s="34">
        <v>1.38</v>
      </c>
      <c r="BT10" s="35"/>
      <c r="BU10" s="28"/>
      <c r="BV10" s="287"/>
      <c r="BW10" s="287"/>
      <c r="BX10" s="36"/>
      <c r="BY10" s="33"/>
      <c r="BZ10" s="34">
        <v>36.86</v>
      </c>
      <c r="CA10" s="35"/>
      <c r="CB10" s="35">
        <v>43.73</v>
      </c>
      <c r="CC10" s="235"/>
      <c r="CD10" s="235"/>
      <c r="CE10" s="36">
        <v>44.36</v>
      </c>
      <c r="CF10" s="30">
        <v>62.261000000000003</v>
      </c>
      <c r="CG10" s="30"/>
      <c r="CH10" s="31"/>
      <c r="CI10" s="32">
        <v>99.938999999999993</v>
      </c>
      <c r="CJ10" s="33">
        <v>3.1</v>
      </c>
      <c r="CK10" s="33"/>
      <c r="CL10" s="35"/>
      <c r="CM10" s="36">
        <v>3.1</v>
      </c>
      <c r="CN10" s="286"/>
      <c r="CO10" s="249">
        <f t="shared" si="13"/>
        <v>0</v>
      </c>
      <c r="CP10" s="12">
        <f t="shared" si="13"/>
        <v>181.71228100000002</v>
      </c>
      <c r="CQ10" s="12">
        <f t="shared" si="13"/>
        <v>0</v>
      </c>
      <c r="CR10" s="14">
        <f t="shared" si="13"/>
        <v>51.000999999999998</v>
      </c>
      <c r="CS10" s="11">
        <f t="shared" si="13"/>
        <v>0</v>
      </c>
      <c r="CT10" s="11">
        <f t="shared" si="13"/>
        <v>0</v>
      </c>
      <c r="CU10" s="272">
        <f t="shared" si="13"/>
        <v>20.384</v>
      </c>
      <c r="CV10" s="249">
        <f t="shared" si="14"/>
        <v>60.330909000000005</v>
      </c>
      <c r="CW10" s="12">
        <f t="shared" si="14"/>
        <v>0</v>
      </c>
      <c r="CX10" s="249">
        <f t="shared" si="14"/>
        <v>0</v>
      </c>
      <c r="CY10" s="272">
        <f t="shared" si="14"/>
        <v>96.840890999999999</v>
      </c>
      <c r="CZ10" s="13"/>
      <c r="DA10" s="240">
        <f>(D10+'[2]декабрь 20'!D10)/(AY10+'[2]декабрь 20'!BA10)</f>
        <v>2.151950391538521</v>
      </c>
      <c r="DB10" s="241">
        <f>(T10+'[2]декабрь 20'!T10)/(AY10+'[2]декабрь 20'!BA10)</f>
        <v>1.3262719621689714</v>
      </c>
      <c r="DD10" s="292">
        <f t="shared" si="15"/>
        <v>9.7829999999999995</v>
      </c>
      <c r="DE10" s="291">
        <v>0.13</v>
      </c>
      <c r="DF10" s="291">
        <v>15.86</v>
      </c>
      <c r="DG10" s="145">
        <f t="shared" si="16"/>
        <v>9.7702820999999993</v>
      </c>
      <c r="DH10" s="293">
        <f t="shared" si="29"/>
        <v>2.0386353651624782</v>
      </c>
      <c r="DJ10" s="322"/>
      <c r="DK10" s="537"/>
    </row>
    <row r="11" spans="1:115" s="76" customFormat="1" ht="16.5" customHeight="1" thickBot="1">
      <c r="A11" s="144">
        <v>5</v>
      </c>
      <c r="B11" s="122">
        <f>'[1]декабрь 20'!K10</f>
        <v>237.75</v>
      </c>
      <c r="C11" s="123">
        <f t="shared" si="17"/>
        <v>1.1668224605678232</v>
      </c>
      <c r="D11" s="145">
        <f t="shared" si="30"/>
        <v>234.97587959999998</v>
      </c>
      <c r="E11" s="125">
        <f t="shared" ref="E11:E37" si="32">IF(B11=0,0,(BK11*BY11+BL11*BZ11+BM11*CA11+BQ11*CE11+BN11*CB11+BO11*CC11+BP11*CD11)/B11)</f>
        <v>38.320866119873813</v>
      </c>
      <c r="F11" s="146">
        <f t="shared" si="0"/>
        <v>2.2442777421203437</v>
      </c>
      <c r="G11" s="127">
        <v>12.52</v>
      </c>
      <c r="H11" s="126">
        <f t="shared" si="20"/>
        <v>1.6090532913085005</v>
      </c>
      <c r="I11" s="230">
        <f>'[1]июль 20'!AI10</f>
        <v>0</v>
      </c>
      <c r="J11" s="247">
        <f>'[1]декабрь 20'!AA10</f>
        <v>9.3819999999999997</v>
      </c>
      <c r="K11" s="464">
        <f>'[1]сентябрь 20'!AM10</f>
        <v>0</v>
      </c>
      <c r="L11" s="446">
        <f>'[1]декабрь 20'!AE10</f>
        <v>66.507999999999996</v>
      </c>
      <c r="M11" s="468">
        <f t="shared" si="21"/>
        <v>0.63522445081184331</v>
      </c>
      <c r="N11" s="542">
        <f>'[1]декабрь 20'!W10</f>
        <v>0</v>
      </c>
      <c r="O11" s="403">
        <f>'[1]декабрь 20'!AU10</f>
        <v>9.3780000000000001</v>
      </c>
      <c r="P11" s="401">
        <f t="shared" si="1"/>
        <v>152.315</v>
      </c>
      <c r="Q11" s="122">
        <f>'[1]декабрь 20'!S10</f>
        <v>152.315</v>
      </c>
      <c r="R11" s="123">
        <f t="shared" si="22"/>
        <v>3.21</v>
      </c>
      <c r="S11" s="129"/>
      <c r="T11" s="125">
        <f t="shared" si="2"/>
        <v>147.42568850000001</v>
      </c>
      <c r="U11" s="147">
        <f t="shared" si="31"/>
        <v>1.4080772540592168</v>
      </c>
      <c r="V11" s="130">
        <v>104.7</v>
      </c>
      <c r="W11" s="130">
        <v>71.010000000000005</v>
      </c>
      <c r="X11" s="129">
        <v>0.71</v>
      </c>
      <c r="Y11" s="131">
        <v>558</v>
      </c>
      <c r="Z11" s="131">
        <v>1170</v>
      </c>
      <c r="AA11" s="148" t="s">
        <v>457</v>
      </c>
      <c r="AB11" s="149">
        <v>76.39</v>
      </c>
      <c r="AC11" s="150">
        <v>95</v>
      </c>
      <c r="AD11" s="151">
        <v>5</v>
      </c>
      <c r="AE11" s="149"/>
      <c r="AF11" s="134">
        <f t="shared" si="4"/>
        <v>0</v>
      </c>
      <c r="AG11" s="152"/>
      <c r="AH11" s="129">
        <v>75.75</v>
      </c>
      <c r="AI11" s="134">
        <f t="shared" si="5"/>
        <v>723.49570200573066</v>
      </c>
      <c r="AJ11" s="163">
        <v>16.66</v>
      </c>
      <c r="AK11" s="154"/>
      <c r="AL11" s="155">
        <v>8.86</v>
      </c>
      <c r="AM11" s="478">
        <v>36.92</v>
      </c>
      <c r="AN11" s="126">
        <f t="shared" si="23"/>
        <v>0.24929101958136396</v>
      </c>
      <c r="AO11" s="157" t="s">
        <v>404</v>
      </c>
      <c r="AP11" s="156">
        <v>7.19</v>
      </c>
      <c r="AQ11" s="156">
        <v>7.46</v>
      </c>
      <c r="AR11" s="149"/>
      <c r="AS11" s="149">
        <v>8.3000000000000007</v>
      </c>
      <c r="AT11" s="149">
        <v>148.1</v>
      </c>
      <c r="AU11" s="149">
        <v>2.38</v>
      </c>
      <c r="AV11" s="149"/>
      <c r="AW11" s="149"/>
      <c r="AX11" s="158">
        <f t="shared" si="6"/>
        <v>0</v>
      </c>
      <c r="AY11" s="125">
        <f t="shared" ref="AY11:AY13" si="33">AT11-AL11-AM11+AV11+AW11+AU11</f>
        <v>104.7</v>
      </c>
      <c r="AZ11" s="125">
        <f t="shared" si="24"/>
        <v>105.63873771855201</v>
      </c>
      <c r="BA11" s="159">
        <f t="shared" si="8"/>
        <v>4.8704049295774645</v>
      </c>
      <c r="BB11" s="160">
        <f t="shared" si="9"/>
        <v>4.1880000000000006</v>
      </c>
      <c r="BC11" s="161">
        <f t="shared" si="10"/>
        <v>0.88822826966840795</v>
      </c>
      <c r="BD11" s="160">
        <f t="shared" si="25"/>
        <v>9.0584049295774651</v>
      </c>
      <c r="BE11" s="162">
        <v>0.877</v>
      </c>
      <c r="BF11" s="25">
        <f t="shared" si="26"/>
        <v>591.55000000000007</v>
      </c>
      <c r="BG11" s="25">
        <f t="shared" si="11"/>
        <v>116.7741935483871</v>
      </c>
      <c r="BH11" s="25">
        <f t="shared" si="27"/>
        <v>583.87096774193549</v>
      </c>
      <c r="BI11" s="26">
        <f t="shared" si="12"/>
        <v>1</v>
      </c>
      <c r="BJ11" s="37">
        <f t="shared" si="28"/>
        <v>583.87096774193549</v>
      </c>
      <c r="BK11" s="38"/>
      <c r="BL11" s="31">
        <v>171.24199999999999</v>
      </c>
      <c r="BM11" s="31"/>
      <c r="BN11" s="31">
        <v>47.497999999999998</v>
      </c>
      <c r="BO11" s="40"/>
      <c r="BP11" s="40"/>
      <c r="BQ11" s="32">
        <v>19.010000000000002</v>
      </c>
      <c r="BR11" s="33"/>
      <c r="BS11" s="34">
        <v>1.62</v>
      </c>
      <c r="BT11" s="35"/>
      <c r="BU11" s="28"/>
      <c r="BV11" s="287"/>
      <c r="BW11" s="287"/>
      <c r="BX11" s="36"/>
      <c r="BY11" s="33"/>
      <c r="BZ11" s="34">
        <v>36.229999999999997</v>
      </c>
      <c r="CA11" s="35"/>
      <c r="CB11" s="35">
        <v>43.57</v>
      </c>
      <c r="CC11" s="235"/>
      <c r="CD11" s="235"/>
      <c r="CE11" s="36">
        <v>44.04</v>
      </c>
      <c r="CF11" s="30">
        <v>57.994</v>
      </c>
      <c r="CG11" s="30"/>
      <c r="CH11" s="31"/>
      <c r="CI11" s="32">
        <v>94.320999999999998</v>
      </c>
      <c r="CJ11" s="33">
        <v>3.21</v>
      </c>
      <c r="CK11" s="33"/>
      <c r="CL11" s="35"/>
      <c r="CM11" s="36">
        <v>3.21</v>
      </c>
      <c r="CN11" s="286"/>
      <c r="CO11" s="249">
        <f t="shared" si="13"/>
        <v>0</v>
      </c>
      <c r="CP11" s="12">
        <f t="shared" si="13"/>
        <v>168.4678796</v>
      </c>
      <c r="CQ11" s="15">
        <f t="shared" si="13"/>
        <v>0</v>
      </c>
      <c r="CR11" s="16">
        <f t="shared" si="13"/>
        <v>47.497999999999998</v>
      </c>
      <c r="CS11" s="11">
        <f t="shared" si="13"/>
        <v>0</v>
      </c>
      <c r="CT11" s="11">
        <f t="shared" si="13"/>
        <v>0</v>
      </c>
      <c r="CU11" s="272">
        <f t="shared" si="13"/>
        <v>19.010000000000002</v>
      </c>
      <c r="CV11" s="249">
        <f t="shared" si="14"/>
        <v>56.132392600000003</v>
      </c>
      <c r="CW11" s="12">
        <f t="shared" si="14"/>
        <v>0</v>
      </c>
      <c r="CX11" s="249">
        <f t="shared" si="14"/>
        <v>0</v>
      </c>
      <c r="CY11" s="272">
        <f t="shared" si="14"/>
        <v>91.293295900000004</v>
      </c>
      <c r="CZ11" s="13"/>
      <c r="DA11" s="240">
        <f>(D11+'[2]декабрь 20'!D11)/(AY11+'[2]декабрь 20'!BA11)</f>
        <v>2.1662679535586182</v>
      </c>
      <c r="DB11" s="241">
        <f>(T11+'[2]декабрь 20'!T11)/(AY11+'[2]декабрь 20'!BA11)</f>
        <v>1.3614595776500851</v>
      </c>
      <c r="DD11" s="292">
        <f t="shared" si="15"/>
        <v>9.3819999999999997</v>
      </c>
      <c r="DE11" s="291">
        <v>0.63</v>
      </c>
      <c r="DF11" s="407">
        <v>22.4</v>
      </c>
      <c r="DG11" s="145">
        <f t="shared" si="16"/>
        <v>9.3228933999999999</v>
      </c>
      <c r="DH11" s="293">
        <f t="shared" si="29"/>
        <v>2.7337715952349777</v>
      </c>
      <c r="DJ11" s="322"/>
      <c r="DK11" s="537"/>
    </row>
    <row r="12" spans="1:115" s="76" customFormat="1" ht="16.5" customHeight="1" thickBot="1">
      <c r="A12" s="144">
        <v>6</v>
      </c>
      <c r="B12" s="122">
        <f>'[1]декабрь 20'!K11</f>
        <v>215.42400000000001</v>
      </c>
      <c r="C12" s="123">
        <f t="shared" si="17"/>
        <v>1.0229518530897206</v>
      </c>
      <c r="D12" s="145">
        <f t="shared" si="30"/>
        <v>213.22031619999998</v>
      </c>
      <c r="E12" s="125">
        <f t="shared" si="32"/>
        <v>38.146407874702909</v>
      </c>
      <c r="F12" s="146">
        <f t="shared" si="0"/>
        <v>2.4287540289326803</v>
      </c>
      <c r="G12" s="127">
        <v>33.9</v>
      </c>
      <c r="H12" s="126">
        <f t="shared" si="20"/>
        <v>1.7426280464745416</v>
      </c>
      <c r="I12" s="230">
        <f>'[1]июль 20'!AI11</f>
        <v>0</v>
      </c>
      <c r="J12" s="247">
        <f>'[1]декабрь 20'!AA11</f>
        <v>8.8670000000000009</v>
      </c>
      <c r="K12" s="464">
        <f>'[1]сентябрь 20'!AM11</f>
        <v>0</v>
      </c>
      <c r="L12" s="446">
        <f>'[1]декабрь 20'!AE11</f>
        <v>60.234999999999999</v>
      </c>
      <c r="M12" s="469">
        <f t="shared" si="21"/>
        <v>0.68612598245813883</v>
      </c>
      <c r="N12" s="542">
        <f>'[1]декабрь 20'!W11</f>
        <v>0</v>
      </c>
      <c r="O12" s="403">
        <f>'[1]декабрь 20'!AU11</f>
        <v>8.8209999999999997</v>
      </c>
      <c r="P12" s="401">
        <f t="shared" si="1"/>
        <v>138.17000000000002</v>
      </c>
      <c r="Q12" s="122">
        <f>'[1]декабрь 20'!S11</f>
        <v>138.16999999999999</v>
      </c>
      <c r="R12" s="123">
        <f t="shared" si="22"/>
        <v>3.2300000000000009</v>
      </c>
      <c r="S12" s="129"/>
      <c r="T12" s="125">
        <f t="shared" si="2"/>
        <v>133.707109</v>
      </c>
      <c r="U12" s="147">
        <f t="shared" si="31"/>
        <v>1.5230334776170409</v>
      </c>
      <c r="V12" s="130">
        <v>87.79</v>
      </c>
      <c r="W12" s="130">
        <v>87.79</v>
      </c>
      <c r="X12" s="129">
        <v>0.69</v>
      </c>
      <c r="Y12" s="131">
        <v>603</v>
      </c>
      <c r="Z12" s="150">
        <v>1172</v>
      </c>
      <c r="AA12" s="148" t="s">
        <v>458</v>
      </c>
      <c r="AB12" s="149">
        <v>76.09</v>
      </c>
      <c r="AC12" s="150">
        <v>86</v>
      </c>
      <c r="AD12" s="151">
        <v>5</v>
      </c>
      <c r="AE12" s="149">
        <v>3.7</v>
      </c>
      <c r="AF12" s="134">
        <f t="shared" si="4"/>
        <v>42.146030299578541</v>
      </c>
      <c r="AG12" s="152"/>
      <c r="AH12" s="129">
        <v>67.900000000000006</v>
      </c>
      <c r="AI12" s="134">
        <f t="shared" si="5"/>
        <v>773.43661009226571</v>
      </c>
      <c r="AJ12" s="153">
        <v>15.89</v>
      </c>
      <c r="AK12" s="154"/>
      <c r="AL12" s="155">
        <v>7.76</v>
      </c>
      <c r="AM12" s="478">
        <v>35.19</v>
      </c>
      <c r="AN12" s="126">
        <f t="shared" si="23"/>
        <v>0.27310826542491268</v>
      </c>
      <c r="AO12" s="157" t="s">
        <v>183</v>
      </c>
      <c r="AP12" s="156">
        <v>7.03</v>
      </c>
      <c r="AQ12" s="156">
        <v>7.03</v>
      </c>
      <c r="AR12" s="149"/>
      <c r="AS12" s="149">
        <v>9.17</v>
      </c>
      <c r="AT12" s="149">
        <v>128.85</v>
      </c>
      <c r="AU12" s="149">
        <v>1.89</v>
      </c>
      <c r="AV12" s="164"/>
      <c r="AW12" s="164"/>
      <c r="AX12" s="158">
        <f t="shared" si="6"/>
        <v>0</v>
      </c>
      <c r="AY12" s="125">
        <f t="shared" si="33"/>
        <v>87.789999999999992</v>
      </c>
      <c r="AZ12" s="125">
        <f t="shared" si="24"/>
        <v>95.44432947409851</v>
      </c>
      <c r="BA12" s="159">
        <f t="shared" si="8"/>
        <v>4.8232908450704226</v>
      </c>
      <c r="BB12" s="160">
        <f t="shared" si="9"/>
        <v>3.5115999999999996</v>
      </c>
      <c r="BC12" s="161">
        <f t="shared" si="10"/>
        <v>0.82127840215188785</v>
      </c>
      <c r="BD12" s="160">
        <f t="shared" si="25"/>
        <v>8.3348908450704222</v>
      </c>
      <c r="BE12" s="162">
        <v>0.87</v>
      </c>
      <c r="BF12" s="25">
        <f t="shared" si="26"/>
        <v>679.34</v>
      </c>
      <c r="BG12" s="25">
        <f t="shared" si="11"/>
        <v>116.7741935483871</v>
      </c>
      <c r="BH12" s="25">
        <f t="shared" si="27"/>
        <v>700.64516129032256</v>
      </c>
      <c r="BI12" s="26">
        <f t="shared" si="12"/>
        <v>1</v>
      </c>
      <c r="BJ12" s="37">
        <f t="shared" si="28"/>
        <v>700.64516129032256</v>
      </c>
      <c r="BK12" s="38"/>
      <c r="BL12" s="31">
        <v>155.18899999999999</v>
      </c>
      <c r="BM12" s="31"/>
      <c r="BN12" s="31">
        <v>43.026000000000003</v>
      </c>
      <c r="BO12" s="40"/>
      <c r="BP12" s="40"/>
      <c r="BQ12" s="32">
        <v>17.209</v>
      </c>
      <c r="BR12" s="33"/>
      <c r="BS12" s="34">
        <v>1.42</v>
      </c>
      <c r="BT12" s="33"/>
      <c r="BU12" s="28"/>
      <c r="BV12" s="287"/>
      <c r="BW12" s="287"/>
      <c r="BX12" s="36"/>
      <c r="BY12" s="33"/>
      <c r="BZ12" s="34">
        <v>35.85</v>
      </c>
      <c r="CA12" s="33"/>
      <c r="CB12" s="35">
        <v>44.04</v>
      </c>
      <c r="CC12" s="235"/>
      <c r="CD12" s="235"/>
      <c r="CE12" s="36">
        <v>44.12</v>
      </c>
      <c r="CF12" s="30">
        <v>52.487000000000002</v>
      </c>
      <c r="CG12" s="30"/>
      <c r="CH12" s="31"/>
      <c r="CI12" s="32">
        <v>85.683000000000007</v>
      </c>
      <c r="CJ12" s="33">
        <v>3.23</v>
      </c>
      <c r="CK12" s="33"/>
      <c r="CL12" s="35"/>
      <c r="CM12" s="36">
        <v>3.23</v>
      </c>
      <c r="CN12" s="286"/>
      <c r="CO12" s="249">
        <f t="shared" si="13"/>
        <v>0</v>
      </c>
      <c r="CP12" s="12">
        <f t="shared" si="13"/>
        <v>152.9853162</v>
      </c>
      <c r="CQ12" s="12">
        <f t="shared" si="13"/>
        <v>0</v>
      </c>
      <c r="CR12" s="12">
        <f t="shared" si="13"/>
        <v>43.026000000000003</v>
      </c>
      <c r="CS12" s="11">
        <f t="shared" si="13"/>
        <v>0</v>
      </c>
      <c r="CT12" s="11">
        <f t="shared" si="13"/>
        <v>0</v>
      </c>
      <c r="CU12" s="272">
        <f t="shared" si="13"/>
        <v>17.209</v>
      </c>
      <c r="CV12" s="249">
        <f t="shared" si="14"/>
        <v>50.791669900000002</v>
      </c>
      <c r="CW12" s="12">
        <f t="shared" si="14"/>
        <v>0</v>
      </c>
      <c r="CX12" s="252">
        <f t="shared" si="14"/>
        <v>0</v>
      </c>
      <c r="CY12" s="272">
        <f t="shared" si="14"/>
        <v>82.9154391</v>
      </c>
      <c r="CZ12" s="13"/>
      <c r="DA12" s="240">
        <f>(D12+'[2]декабрь 20'!D12)/(AY12+'[2]декабрь 20'!BA12)</f>
        <v>2.1717428363510782</v>
      </c>
      <c r="DB12" s="241">
        <f>(T12+'[2]декабрь 20'!T12)/(AY12+'[2]декабрь 20'!BA12)</f>
        <v>1.3633106868863782</v>
      </c>
      <c r="DD12" s="292">
        <f t="shared" si="15"/>
        <v>8.8670000000000009</v>
      </c>
      <c r="DE12" s="291">
        <v>0.49</v>
      </c>
      <c r="DF12" s="291">
        <v>18.329999999999998</v>
      </c>
      <c r="DG12" s="145">
        <f t="shared" si="16"/>
        <v>8.8235517000000012</v>
      </c>
      <c r="DH12" s="293">
        <f t="shared" si="29"/>
        <v>2.1255842116046786</v>
      </c>
      <c r="DJ12" s="322"/>
      <c r="DK12" s="537"/>
    </row>
    <row r="13" spans="1:115" s="76" customFormat="1" ht="16.5" customHeight="1" thickBot="1">
      <c r="A13" s="144">
        <v>7</v>
      </c>
      <c r="B13" s="122">
        <f>'[1]декабрь 20'!K12</f>
        <v>242.74299999999999</v>
      </c>
      <c r="C13" s="123">
        <f t="shared" si="17"/>
        <v>1.2318131521815252</v>
      </c>
      <c r="D13" s="145">
        <f t="shared" si="30"/>
        <v>239.75285979999998</v>
      </c>
      <c r="E13" s="125">
        <f t="shared" si="32"/>
        <v>38.320097551731656</v>
      </c>
      <c r="F13" s="146">
        <f t="shared" si="0"/>
        <v>2.0357719266366647</v>
      </c>
      <c r="G13" s="127">
        <v>28.35</v>
      </c>
      <c r="H13" s="126">
        <f t="shared" si="20"/>
        <v>1.4593857501910505</v>
      </c>
      <c r="I13" s="230">
        <f>'[1]июль 20'!AI12</f>
        <v>0</v>
      </c>
      <c r="J13" s="247">
        <f>'[1]декабрь 20'!AA12</f>
        <v>9.6419999999999995</v>
      </c>
      <c r="K13" s="464">
        <f>'[1]сентябрь 20'!AM12</f>
        <v>0</v>
      </c>
      <c r="L13" s="446">
        <f>'[1]декабрь 20'!AE12</f>
        <v>67.881</v>
      </c>
      <c r="M13" s="468">
        <f t="shared" si="21"/>
        <v>0.57638617644561441</v>
      </c>
      <c r="N13" s="542">
        <f>'[1]декабрь 20'!W12</f>
        <v>0</v>
      </c>
      <c r="O13" s="403">
        <f>'[1]декабрь 20'!AU12</f>
        <v>9.7349999999999994</v>
      </c>
      <c r="P13" s="401">
        <f t="shared" si="1"/>
        <v>172.33500000000001</v>
      </c>
      <c r="Q13" s="122">
        <f>'[1]декабрь 20'!S12</f>
        <v>172.33500000000001</v>
      </c>
      <c r="R13" s="123">
        <f t="shared" si="22"/>
        <v>3.17</v>
      </c>
      <c r="S13" s="129">
        <v>10.79</v>
      </c>
      <c r="T13" s="125">
        <f t="shared" si="2"/>
        <v>166.87198050000001</v>
      </c>
      <c r="U13" s="147">
        <f t="shared" si="31"/>
        <v>1.4169311412074383</v>
      </c>
      <c r="V13" s="130">
        <v>117.77</v>
      </c>
      <c r="W13" s="130">
        <v>48.46</v>
      </c>
      <c r="X13" s="129">
        <v>1.42</v>
      </c>
      <c r="Y13" s="165">
        <v>561</v>
      </c>
      <c r="Z13" s="166">
        <v>1164</v>
      </c>
      <c r="AA13" s="148" t="s">
        <v>459</v>
      </c>
      <c r="AB13" s="149">
        <v>76.06</v>
      </c>
      <c r="AC13" s="150">
        <v>102</v>
      </c>
      <c r="AD13" s="151">
        <v>5</v>
      </c>
      <c r="AE13" s="149"/>
      <c r="AF13" s="134">
        <f t="shared" si="4"/>
        <v>0</v>
      </c>
      <c r="AG13" s="152"/>
      <c r="AH13" s="129">
        <v>71.3</v>
      </c>
      <c r="AI13" s="134">
        <f t="shared" si="5"/>
        <v>605.41733888086947</v>
      </c>
      <c r="AJ13" s="136">
        <v>14.69</v>
      </c>
      <c r="AK13" s="154"/>
      <c r="AL13" s="155">
        <v>9.43</v>
      </c>
      <c r="AM13" s="478">
        <v>28.08</v>
      </c>
      <c r="AN13" s="126">
        <f t="shared" si="23"/>
        <v>0.18382978723404253</v>
      </c>
      <c r="AO13" s="157" t="s">
        <v>203</v>
      </c>
      <c r="AP13" s="156">
        <v>7.65</v>
      </c>
      <c r="AQ13" s="156">
        <v>6.89</v>
      </c>
      <c r="AR13" s="149"/>
      <c r="AS13" s="149">
        <v>7.23</v>
      </c>
      <c r="AT13" s="149">
        <v>152.75</v>
      </c>
      <c r="AU13" s="149">
        <v>2.5299999999999998</v>
      </c>
      <c r="AV13" s="149"/>
      <c r="AW13" s="149"/>
      <c r="AX13" s="158">
        <f t="shared" si="6"/>
        <v>0</v>
      </c>
      <c r="AY13" s="125">
        <f t="shared" si="33"/>
        <v>117.77</v>
      </c>
      <c r="AZ13" s="125">
        <f t="shared" si="24"/>
        <v>107.40070288076028</v>
      </c>
      <c r="BA13" s="159">
        <f t="shared" si="8"/>
        <v>3.9933021126760568</v>
      </c>
      <c r="BB13" s="160">
        <f t="shared" si="9"/>
        <v>4.7107999999999999</v>
      </c>
      <c r="BC13" s="161">
        <f t="shared" si="10"/>
        <v>0.97499097112663513</v>
      </c>
      <c r="BD13" s="160">
        <f t="shared" si="25"/>
        <v>8.7041021126760576</v>
      </c>
      <c r="BE13" s="162">
        <v>0.88400000000000001</v>
      </c>
      <c r="BF13" s="25">
        <f t="shared" si="26"/>
        <v>797.11</v>
      </c>
      <c r="BG13" s="25">
        <f t="shared" si="11"/>
        <v>116.7741935483871</v>
      </c>
      <c r="BH13" s="25">
        <f t="shared" si="27"/>
        <v>817.41935483870964</v>
      </c>
      <c r="BI13" s="26">
        <f t="shared" si="12"/>
        <v>1</v>
      </c>
      <c r="BJ13" s="37">
        <f t="shared" si="28"/>
        <v>817.41935483870964</v>
      </c>
      <c r="BK13" s="39"/>
      <c r="BL13" s="40">
        <v>174.86199999999999</v>
      </c>
      <c r="BM13" s="325"/>
      <c r="BN13" s="31">
        <v>48.497999999999998</v>
      </c>
      <c r="BO13" s="40"/>
      <c r="BP13" s="40"/>
      <c r="BQ13" s="32">
        <v>19.382999999999999</v>
      </c>
      <c r="BR13" s="33"/>
      <c r="BS13" s="34">
        <v>1.71</v>
      </c>
      <c r="BT13" s="33"/>
      <c r="BU13" s="28"/>
      <c r="BV13" s="287"/>
      <c r="BW13" s="287"/>
      <c r="BX13" s="36"/>
      <c r="BY13" s="33"/>
      <c r="BZ13" s="34">
        <v>36.229999999999997</v>
      </c>
      <c r="CA13" s="33"/>
      <c r="CB13" s="35">
        <v>43.57</v>
      </c>
      <c r="CC13" s="235"/>
      <c r="CD13" s="235"/>
      <c r="CE13" s="36">
        <v>44.04</v>
      </c>
      <c r="CF13" s="30">
        <v>74.792000000000002</v>
      </c>
      <c r="CG13" s="30"/>
      <c r="CH13" s="30"/>
      <c r="CI13" s="32">
        <v>97.543000000000006</v>
      </c>
      <c r="CJ13" s="33">
        <v>3.17</v>
      </c>
      <c r="CK13" s="33"/>
      <c r="CL13" s="33"/>
      <c r="CM13" s="36">
        <v>3.17</v>
      </c>
      <c r="CN13" s="286"/>
      <c r="CO13" s="249">
        <f t="shared" si="13"/>
        <v>0</v>
      </c>
      <c r="CP13" s="12">
        <f t="shared" si="13"/>
        <v>171.87185980000001</v>
      </c>
      <c r="CQ13" s="12">
        <f t="shared" si="13"/>
        <v>0</v>
      </c>
      <c r="CR13" s="12">
        <f t="shared" si="13"/>
        <v>48.497999999999998</v>
      </c>
      <c r="CS13" s="11">
        <f t="shared" si="13"/>
        <v>0</v>
      </c>
      <c r="CT13" s="11">
        <f t="shared" si="13"/>
        <v>0</v>
      </c>
      <c r="CU13" s="272">
        <f t="shared" si="13"/>
        <v>19.382999999999999</v>
      </c>
      <c r="CV13" s="249">
        <f t="shared" si="14"/>
        <v>72.421093599999992</v>
      </c>
      <c r="CW13" s="251">
        <f t="shared" si="14"/>
        <v>0</v>
      </c>
      <c r="CX13" s="249">
        <f t="shared" si="14"/>
        <v>0</v>
      </c>
      <c r="CY13" s="272">
        <f t="shared" si="14"/>
        <v>94.4508869</v>
      </c>
      <c r="CZ13" s="13"/>
      <c r="DA13" s="240">
        <f>(D13+'[2]декабрь 20'!D13)/(AY13+'[2]декабрь 20'!BA13)</f>
        <v>2.1004425420156068</v>
      </c>
      <c r="DB13" s="241">
        <f>(T13+'[2]декабрь 20'!T13)/(AY13+'[2]декабрь 20'!BA13)</f>
        <v>1.3694402313000562</v>
      </c>
      <c r="DD13" s="292">
        <f t="shared" si="15"/>
        <v>9.6419999999999995</v>
      </c>
      <c r="DE13" s="291">
        <v>0.1</v>
      </c>
      <c r="DF13" s="291">
        <v>15.4</v>
      </c>
      <c r="DG13" s="145">
        <f t="shared" si="16"/>
        <v>9.632358</v>
      </c>
      <c r="DH13" s="293">
        <f t="shared" si="29"/>
        <v>1.9502802156192478</v>
      </c>
      <c r="DJ13" s="322"/>
      <c r="DK13" s="537"/>
    </row>
    <row r="14" spans="1:115" s="76" customFormat="1" ht="16.5" customHeight="1" thickBot="1">
      <c r="A14" s="144">
        <v>8</v>
      </c>
      <c r="B14" s="122">
        <f>'[1]декабрь 20'!K13</f>
        <v>65.198999999999998</v>
      </c>
      <c r="C14" s="123">
        <f t="shared" si="17"/>
        <v>1.0887220662893604</v>
      </c>
      <c r="D14" s="145">
        <f t="shared" si="30"/>
        <v>64.489164099999996</v>
      </c>
      <c r="E14" s="125">
        <f t="shared" si="32"/>
        <v>37.73575192871057</v>
      </c>
      <c r="F14" s="146">
        <f t="shared" si="0"/>
        <v>1.3697783368734069</v>
      </c>
      <c r="G14" s="127">
        <v>4.43</v>
      </c>
      <c r="H14" s="126">
        <f t="shared" si="20"/>
        <v>0.98341470050977065</v>
      </c>
      <c r="I14" s="230">
        <f>'[1]июль 20'!AI13</f>
        <v>0</v>
      </c>
      <c r="J14" s="247">
        <f>'[1]декабрь 20'!AA13</f>
        <v>2.6230000000000002</v>
      </c>
      <c r="K14" s="464">
        <f>'[1]сентябрь 20'!AM13</f>
        <v>0</v>
      </c>
      <c r="L14" s="446">
        <f>'[1]декабрь 20'!AE13</f>
        <v>18.190000000000001</v>
      </c>
      <c r="M14" s="471">
        <f t="shared" si="21"/>
        <v>0.38636363636363641</v>
      </c>
      <c r="N14" s="542">
        <f>'[1]декабрь 20'!W13</f>
        <v>0</v>
      </c>
      <c r="O14" s="403">
        <f>'[1]декабрь 20'!AU13</f>
        <v>2.8660000000000001</v>
      </c>
      <c r="P14" s="401">
        <f t="shared" si="1"/>
        <v>50.757999999999996</v>
      </c>
      <c r="Q14" s="122">
        <f>'[1]декабрь 20'!S13</f>
        <v>50.758000000000003</v>
      </c>
      <c r="R14" s="123">
        <f t="shared" si="22"/>
        <v>3.2099999999999995</v>
      </c>
      <c r="S14" s="129">
        <v>5.56</v>
      </c>
      <c r="T14" s="125">
        <f t="shared" si="2"/>
        <v>49.128668200000007</v>
      </c>
      <c r="U14" s="147">
        <f t="shared" si="31"/>
        <v>1.0435146176720478</v>
      </c>
      <c r="V14" s="130">
        <v>47.08</v>
      </c>
      <c r="W14" s="130"/>
      <c r="X14" s="129">
        <v>1.07</v>
      </c>
      <c r="Y14" s="131">
        <v>578</v>
      </c>
      <c r="Z14" s="150">
        <v>1185</v>
      </c>
      <c r="AA14" s="148" t="s">
        <v>122</v>
      </c>
      <c r="AB14" s="149">
        <v>75.62</v>
      </c>
      <c r="AC14" s="150">
        <v>28</v>
      </c>
      <c r="AD14" s="151">
        <v>2</v>
      </c>
      <c r="AE14" s="149">
        <v>3.3</v>
      </c>
      <c r="AF14" s="134">
        <f t="shared" si="4"/>
        <v>70.09345794392523</v>
      </c>
      <c r="AG14" s="152"/>
      <c r="AH14" s="129">
        <v>22.4</v>
      </c>
      <c r="AI14" s="134">
        <f t="shared" si="5"/>
        <v>475.78589634664399</v>
      </c>
      <c r="AJ14" s="153">
        <v>6.08</v>
      </c>
      <c r="AK14" s="154"/>
      <c r="AL14" s="155">
        <v>4.13</v>
      </c>
      <c r="AM14" s="478"/>
      <c r="AN14" s="126">
        <f t="shared" si="23"/>
        <v>0</v>
      </c>
      <c r="AO14" s="157" t="s">
        <v>456</v>
      </c>
      <c r="AP14" s="156">
        <v>6.86</v>
      </c>
      <c r="AQ14" s="156">
        <v>7.59</v>
      </c>
      <c r="AR14" s="149"/>
      <c r="AS14" s="149">
        <v>7.28</v>
      </c>
      <c r="AT14" s="149">
        <v>49.9</v>
      </c>
      <c r="AU14" s="149">
        <v>1.31</v>
      </c>
      <c r="AV14" s="149"/>
      <c r="AW14" s="149"/>
      <c r="AX14" s="158">
        <f t="shared" si="6"/>
        <v>0</v>
      </c>
      <c r="AY14" s="125">
        <f>AT14-AL14-AM14+AV14+AW14+AU14</f>
        <v>47.08</v>
      </c>
      <c r="AZ14" s="125">
        <f t="shared" si="24"/>
        <v>28.528733871825359</v>
      </c>
      <c r="BA14" s="159">
        <f t="shared" si="8"/>
        <v>1.2632338028169012</v>
      </c>
      <c r="BB14" s="160">
        <f t="shared" si="9"/>
        <v>1.8832</v>
      </c>
      <c r="BC14" s="161">
        <f t="shared" si="10"/>
        <v>1.4629630969935548</v>
      </c>
      <c r="BD14" s="159">
        <f t="shared" si="25"/>
        <v>3.146433802816901</v>
      </c>
      <c r="BE14" s="167">
        <v>0.90400000000000003</v>
      </c>
      <c r="BF14" s="25">
        <f t="shared" si="26"/>
        <v>844.19</v>
      </c>
      <c r="BG14" s="25">
        <f t="shared" si="11"/>
        <v>116.7741935483871</v>
      </c>
      <c r="BH14" s="25">
        <f t="shared" si="27"/>
        <v>934.19354838709671</v>
      </c>
      <c r="BI14" s="26">
        <f t="shared" si="12"/>
        <v>1</v>
      </c>
      <c r="BJ14" s="37">
        <f t="shared" si="28"/>
        <v>934.19354838709671</v>
      </c>
      <c r="BK14" s="39"/>
      <c r="BL14" s="40">
        <v>47.009</v>
      </c>
      <c r="BM14" s="325"/>
      <c r="BN14" s="40">
        <v>12.992000000000001</v>
      </c>
      <c r="BO14" s="40"/>
      <c r="BP14" s="40"/>
      <c r="BQ14" s="32">
        <v>5.1980000000000004</v>
      </c>
      <c r="BR14" s="33"/>
      <c r="BS14" s="34">
        <v>1.51</v>
      </c>
      <c r="BT14" s="33"/>
      <c r="BU14" s="28"/>
      <c r="BV14" s="287"/>
      <c r="BW14" s="287"/>
      <c r="BX14" s="36"/>
      <c r="BY14" s="33"/>
      <c r="BZ14" s="34">
        <v>35.450000000000003</v>
      </c>
      <c r="CA14" s="33"/>
      <c r="CB14" s="235">
        <v>43.42</v>
      </c>
      <c r="CC14" s="235"/>
      <c r="CD14" s="235"/>
      <c r="CE14" s="36">
        <v>44.2</v>
      </c>
      <c r="CF14" s="30">
        <v>23.46</v>
      </c>
      <c r="CG14" s="30"/>
      <c r="CH14" s="30"/>
      <c r="CI14" s="32">
        <v>27.297999999999998</v>
      </c>
      <c r="CJ14" s="33">
        <v>3.21</v>
      </c>
      <c r="CK14" s="33"/>
      <c r="CL14" s="33"/>
      <c r="CM14" s="36">
        <v>3.21</v>
      </c>
      <c r="CN14" s="286"/>
      <c r="CO14" s="249">
        <f t="shared" si="13"/>
        <v>0</v>
      </c>
      <c r="CP14" s="12">
        <f t="shared" si="13"/>
        <v>46.299164099999999</v>
      </c>
      <c r="CQ14" s="12">
        <f t="shared" si="13"/>
        <v>0</v>
      </c>
      <c r="CR14" s="12">
        <f t="shared" si="13"/>
        <v>12.992000000000001</v>
      </c>
      <c r="CS14" s="11">
        <f t="shared" si="13"/>
        <v>0</v>
      </c>
      <c r="CT14" s="11">
        <f t="shared" si="13"/>
        <v>0</v>
      </c>
      <c r="CU14" s="272">
        <f t="shared" si="13"/>
        <v>5.1980000000000004</v>
      </c>
      <c r="CV14" s="249">
        <f t="shared" si="14"/>
        <v>22.706934000000004</v>
      </c>
      <c r="CW14" s="12">
        <f t="shared" si="14"/>
        <v>0</v>
      </c>
      <c r="CX14" s="252">
        <f t="shared" si="14"/>
        <v>0</v>
      </c>
      <c r="CY14" s="272">
        <f t="shared" si="14"/>
        <v>26.4217342</v>
      </c>
      <c r="CZ14" s="13"/>
      <c r="DA14" s="240">
        <f>(D14+'[2]декабрь 20'!D14)/(AY14+'[2]декабрь 20'!BA14)</f>
        <v>2.1339399954463603</v>
      </c>
      <c r="DB14" s="241">
        <f>(T14+'[2]декабрь 20'!T14)/(AY14+'[2]декабрь 20'!BA14)</f>
        <v>1.3793715156658379</v>
      </c>
      <c r="DD14" s="292">
        <f t="shared" si="15"/>
        <v>2.6230000000000002</v>
      </c>
      <c r="DE14" s="291">
        <v>0.11</v>
      </c>
      <c r="DF14" s="291">
        <v>12.54</v>
      </c>
      <c r="DG14" s="145">
        <f t="shared" si="16"/>
        <v>2.6201147000000002</v>
      </c>
      <c r="DH14" s="293">
        <f t="shared" si="29"/>
        <v>0.43449138241206026</v>
      </c>
      <c r="DJ14" s="322"/>
      <c r="DK14" s="537"/>
    </row>
    <row r="15" spans="1:115" s="76" customFormat="1" ht="16.5" customHeight="1" thickBot="1">
      <c r="A15" s="144">
        <v>9</v>
      </c>
      <c r="B15" s="122">
        <f>'[1]декабрь 20'!K14</f>
        <v>10.019</v>
      </c>
      <c r="C15" s="123">
        <f t="shared" si="17"/>
        <v>1.103175965665236</v>
      </c>
      <c r="D15" s="145">
        <f t="shared" si="30"/>
        <v>9.908472800000002</v>
      </c>
      <c r="E15" s="125">
        <f t="shared" si="32"/>
        <v>38.598098612635994</v>
      </c>
      <c r="F15" s="146">
        <f t="shared" si="0"/>
        <v>0</v>
      </c>
      <c r="G15" s="127">
        <v>1</v>
      </c>
      <c r="H15" s="126">
        <f t="shared" si="20"/>
        <v>0</v>
      </c>
      <c r="I15" s="230">
        <f>'[1]июль 20'!AI14</f>
        <v>0</v>
      </c>
      <c r="J15" s="247">
        <f>'[1]декабрь 20'!AA14</f>
        <v>0.68200000000000005</v>
      </c>
      <c r="K15" s="464">
        <f>'[1]сентябрь 20'!AM14</f>
        <v>0</v>
      </c>
      <c r="L15" s="446">
        <f>'[1]декабрь 20'!AE14</f>
        <v>2.7949999999999999</v>
      </c>
      <c r="M15" s="469">
        <f t="shared" si="21"/>
        <v>0</v>
      </c>
      <c r="N15" s="542">
        <f>'[1]декабрь 20'!W14</f>
        <v>0</v>
      </c>
      <c r="O15" s="403">
        <f>'[1]декабрь 20'!AU14</f>
        <v>0.60899999999999999</v>
      </c>
      <c r="P15" s="401">
        <f t="shared" si="1"/>
        <v>9.9439999999999991</v>
      </c>
      <c r="Q15" s="122">
        <f>'[1]декабрь 20'!S14</f>
        <v>9.9440000000000008</v>
      </c>
      <c r="R15" s="123">
        <f t="shared" si="22"/>
        <v>3.1899999999999995</v>
      </c>
      <c r="S15" s="129">
        <v>1.58</v>
      </c>
      <c r="T15" s="125">
        <f t="shared" si="2"/>
        <v>9.6267864000000021</v>
      </c>
      <c r="U15" s="147">
        <f t="shared" si="31"/>
        <v>0</v>
      </c>
      <c r="V15" s="130"/>
      <c r="W15" s="130"/>
      <c r="X15" s="129"/>
      <c r="Y15" s="131">
        <v>502</v>
      </c>
      <c r="Z15" s="150">
        <v>735</v>
      </c>
      <c r="AA15" s="148" t="s">
        <v>460</v>
      </c>
      <c r="AB15" s="149"/>
      <c r="AC15" s="150">
        <v>5</v>
      </c>
      <c r="AD15" s="151"/>
      <c r="AE15" s="149"/>
      <c r="AF15" s="134">
        <f t="shared" si="4"/>
        <v>0</v>
      </c>
      <c r="AG15" s="152"/>
      <c r="AH15" s="129"/>
      <c r="AI15" s="134">
        <f t="shared" si="5"/>
        <v>0</v>
      </c>
      <c r="AJ15" s="136"/>
      <c r="AK15" s="154"/>
      <c r="AL15" s="155"/>
      <c r="AM15" s="478">
        <f t="shared" ref="AM15:AM17" si="34">AT15*0.215</f>
        <v>0</v>
      </c>
      <c r="AN15" s="126">
        <f t="shared" si="23"/>
        <v>0</v>
      </c>
      <c r="AO15" s="157"/>
      <c r="AP15" s="156"/>
      <c r="AQ15" s="156"/>
      <c r="AR15" s="149"/>
      <c r="AS15" s="149"/>
      <c r="AT15" s="149"/>
      <c r="AU15" s="149"/>
      <c r="AV15" s="149"/>
      <c r="AW15" s="149"/>
      <c r="AX15" s="158">
        <f t="shared" si="6"/>
        <v>0</v>
      </c>
      <c r="AY15" s="125">
        <f t="shared" ref="AY15:AY37" si="35">AT15-AL15-AM15+AV15+AW15+AU15</f>
        <v>0</v>
      </c>
      <c r="AZ15" s="125">
        <f t="shared" si="24"/>
        <v>0</v>
      </c>
      <c r="BA15" s="159">
        <f t="shared" si="8"/>
        <v>0</v>
      </c>
      <c r="BB15" s="160">
        <f t="shared" si="9"/>
        <v>0</v>
      </c>
      <c r="BC15" s="161">
        <f t="shared" si="10"/>
        <v>0</v>
      </c>
      <c r="BD15" s="159">
        <f t="shared" si="25"/>
        <v>0</v>
      </c>
      <c r="BE15" s="167">
        <v>0.89900000000000002</v>
      </c>
      <c r="BF15" s="25">
        <f t="shared" si="26"/>
        <v>844.19</v>
      </c>
      <c r="BG15" s="25">
        <f t="shared" si="11"/>
        <v>116.7741935483871</v>
      </c>
      <c r="BH15" s="25">
        <f t="shared" si="27"/>
        <v>1050.9677419354839</v>
      </c>
      <c r="BI15" s="26">
        <v>1</v>
      </c>
      <c r="BJ15" s="37">
        <f t="shared" si="28"/>
        <v>1050.9677419354839</v>
      </c>
      <c r="BK15" s="38"/>
      <c r="BL15" s="42">
        <v>7.2240000000000002</v>
      </c>
      <c r="BM15" s="31"/>
      <c r="BN15" s="533">
        <v>2</v>
      </c>
      <c r="BO15" s="40"/>
      <c r="BP15" s="40"/>
      <c r="BQ15" s="32">
        <v>0.79500000000000004</v>
      </c>
      <c r="BR15" s="33"/>
      <c r="BS15" s="35">
        <v>1.53</v>
      </c>
      <c r="BT15" s="35"/>
      <c r="BU15" s="28"/>
      <c r="BV15" s="287"/>
      <c r="BW15" s="287"/>
      <c r="BX15" s="36"/>
      <c r="BY15" s="33"/>
      <c r="BZ15" s="34">
        <v>36.700000000000003</v>
      </c>
      <c r="CA15" s="35"/>
      <c r="CB15" s="59">
        <v>43.43</v>
      </c>
      <c r="CC15" s="35"/>
      <c r="CD15" s="35"/>
      <c r="CE15" s="35">
        <v>43.69</v>
      </c>
      <c r="CF15" s="38">
        <v>5.7519999999999998</v>
      </c>
      <c r="CG15" s="30"/>
      <c r="CH15" s="30"/>
      <c r="CI15" s="32">
        <v>4.1920000000000002</v>
      </c>
      <c r="CJ15" s="33">
        <v>3.19</v>
      </c>
      <c r="CK15" s="33"/>
      <c r="CL15" s="33"/>
      <c r="CM15" s="36">
        <v>3.19</v>
      </c>
      <c r="CN15" s="286"/>
      <c r="CO15" s="249">
        <f t="shared" si="13"/>
        <v>0</v>
      </c>
      <c r="CP15" s="12">
        <f t="shared" si="13"/>
        <v>7.1134728000000003</v>
      </c>
      <c r="CQ15" s="12">
        <f t="shared" si="13"/>
        <v>0</v>
      </c>
      <c r="CR15" s="17">
        <f t="shared" si="13"/>
        <v>2</v>
      </c>
      <c r="CS15" s="11">
        <f t="shared" si="13"/>
        <v>0</v>
      </c>
      <c r="CT15" s="11">
        <f t="shared" si="13"/>
        <v>0</v>
      </c>
      <c r="CU15" s="272">
        <f t="shared" si="13"/>
        <v>0.79500000000000004</v>
      </c>
      <c r="CV15" s="249">
        <f t="shared" si="14"/>
        <v>5.5685112000000005</v>
      </c>
      <c r="CW15" s="12">
        <f t="shared" si="14"/>
        <v>0</v>
      </c>
      <c r="CX15" s="249">
        <f t="shared" si="14"/>
        <v>0</v>
      </c>
      <c r="CY15" s="274">
        <f t="shared" si="14"/>
        <v>4.0582752000000006</v>
      </c>
      <c r="CZ15" s="13"/>
      <c r="DA15" s="240">
        <f>(D15+'[2]декабрь 20'!D15)/(AY15+'[2]декабрь 20'!BA15)</f>
        <v>1.7243265811186521</v>
      </c>
      <c r="DB15" s="241">
        <f>(T15+'[2]декабрь 20'!T15)/(AY15+'[2]декабрь 20'!BA15)</f>
        <v>1.1006265025174833</v>
      </c>
      <c r="DD15" s="292">
        <f t="shared" si="15"/>
        <v>0.68200000000000005</v>
      </c>
      <c r="DE15" s="291">
        <v>0.48</v>
      </c>
      <c r="DF15" s="291">
        <v>18.309999999999999</v>
      </c>
      <c r="DG15" s="145">
        <f t="shared" si="16"/>
        <v>0.67872640000000006</v>
      </c>
      <c r="DH15" s="293">
        <f t="shared" si="29"/>
        <v>0</v>
      </c>
      <c r="DJ15" s="322"/>
      <c r="DK15" s="537"/>
    </row>
    <row r="16" spans="1:115" s="76" customFormat="1" ht="16.5" customHeight="1" thickBot="1">
      <c r="A16" s="144">
        <v>10</v>
      </c>
      <c r="B16" s="122">
        <f>'[1]декабрь 20'!K15</f>
        <v>107.428</v>
      </c>
      <c r="C16" s="123">
        <f t="shared" si="17"/>
        <v>1.5833618795844659</v>
      </c>
      <c r="D16" s="145">
        <f t="shared" si="30"/>
        <v>105.72702599999998</v>
      </c>
      <c r="E16" s="125">
        <f t="shared" si="32"/>
        <v>38.411760341810329</v>
      </c>
      <c r="F16" s="146">
        <f t="shared" si="0"/>
        <v>0</v>
      </c>
      <c r="G16" s="127">
        <v>11.94</v>
      </c>
      <c r="H16" s="126">
        <f t="shared" si="20"/>
        <v>0</v>
      </c>
      <c r="I16" s="230">
        <f>'[1]июль 20'!AI15</f>
        <v>0</v>
      </c>
      <c r="J16" s="247">
        <f>'[1]декабрь 20'!AA15</f>
        <v>4.18</v>
      </c>
      <c r="K16" s="467">
        <f>'[1]сентябрь 20'!AM15</f>
        <v>0</v>
      </c>
      <c r="L16" s="446">
        <f>'[1]декабрь 20'!AE15</f>
        <v>30.111000000000001</v>
      </c>
      <c r="M16" s="468">
        <f t="shared" si="21"/>
        <v>0</v>
      </c>
      <c r="N16" s="542">
        <f>'[1]декабрь 20'!W15</f>
        <v>0</v>
      </c>
      <c r="O16" s="403">
        <f>'[1]декабрь 20'!AU15</f>
        <v>4.67</v>
      </c>
      <c r="P16" s="401">
        <f t="shared" si="1"/>
        <v>79.966999999999999</v>
      </c>
      <c r="Q16" s="122">
        <f>'[1]декабрь 20'!S15</f>
        <v>79.966999999999999</v>
      </c>
      <c r="R16" s="123">
        <f t="shared" si="22"/>
        <v>2.8899999999999997</v>
      </c>
      <c r="S16" s="129">
        <v>1.28</v>
      </c>
      <c r="T16" s="125">
        <f t="shared" si="2"/>
        <v>77.655953699999998</v>
      </c>
      <c r="U16" s="147">
        <f t="shared" si="31"/>
        <v>0</v>
      </c>
      <c r="V16" s="130"/>
      <c r="W16" s="130"/>
      <c r="X16" s="129"/>
      <c r="Y16" s="131">
        <v>506</v>
      </c>
      <c r="Z16" s="150">
        <v>975</v>
      </c>
      <c r="AA16" s="148" t="s">
        <v>461</v>
      </c>
      <c r="AB16" s="149"/>
      <c r="AC16" s="150">
        <v>45</v>
      </c>
      <c r="AD16" s="151"/>
      <c r="AE16" s="149"/>
      <c r="AF16" s="134">
        <f t="shared" si="4"/>
        <v>0</v>
      </c>
      <c r="AG16" s="152"/>
      <c r="AH16" s="129">
        <v>91.35</v>
      </c>
      <c r="AI16" s="134">
        <f t="shared" si="5"/>
        <v>0</v>
      </c>
      <c r="AJ16" s="153"/>
      <c r="AK16" s="154"/>
      <c r="AL16" s="155"/>
      <c r="AM16" s="478">
        <f t="shared" si="34"/>
        <v>0</v>
      </c>
      <c r="AN16" s="126">
        <f t="shared" si="23"/>
        <v>0</v>
      </c>
      <c r="AO16" s="157" t="s">
        <v>462</v>
      </c>
      <c r="AP16" s="156">
        <v>16.29</v>
      </c>
      <c r="AQ16" s="156">
        <v>6.28</v>
      </c>
      <c r="AR16" s="149"/>
      <c r="AS16" s="149">
        <v>36.659999999999997</v>
      </c>
      <c r="AT16" s="149"/>
      <c r="AU16" s="149"/>
      <c r="AV16" s="149"/>
      <c r="AW16" s="149"/>
      <c r="AX16" s="158">
        <f t="shared" si="6"/>
        <v>0</v>
      </c>
      <c r="AY16" s="125">
        <f t="shared" si="35"/>
        <v>0</v>
      </c>
      <c r="AZ16" s="125">
        <f t="shared" si="24"/>
        <v>0</v>
      </c>
      <c r="BA16" s="159">
        <f t="shared" si="8"/>
        <v>25.942113380281686</v>
      </c>
      <c r="BB16" s="160">
        <f t="shared" si="9"/>
        <v>0</v>
      </c>
      <c r="BC16" s="161">
        <f t="shared" si="10"/>
        <v>0</v>
      </c>
      <c r="BD16" s="160">
        <f t="shared" si="25"/>
        <v>25.942113380281686</v>
      </c>
      <c r="BE16" s="162">
        <v>0.85099999999999998</v>
      </c>
      <c r="BF16" s="25">
        <f t="shared" si="26"/>
        <v>844.19</v>
      </c>
      <c r="BG16" s="25">
        <f t="shared" si="11"/>
        <v>116.7741935483871</v>
      </c>
      <c r="BH16" s="25">
        <f t="shared" si="27"/>
        <v>1167.741935483871</v>
      </c>
      <c r="BI16" s="26">
        <v>1</v>
      </c>
      <c r="BJ16" s="37">
        <f t="shared" si="28"/>
        <v>1167.741935483871</v>
      </c>
      <c r="BK16" s="328"/>
      <c r="BL16" s="31">
        <v>77.316999999999993</v>
      </c>
      <c r="BM16" s="40"/>
      <c r="BN16" s="535">
        <v>21.512</v>
      </c>
      <c r="BO16" s="42"/>
      <c r="BP16" s="40"/>
      <c r="BQ16" s="32">
        <v>8.5990000000000002</v>
      </c>
      <c r="BR16" s="33"/>
      <c r="BS16" s="34">
        <v>2.2000000000000002</v>
      </c>
      <c r="BT16" s="35"/>
      <c r="BU16" s="28"/>
      <c r="BV16" s="287"/>
      <c r="BW16" s="287"/>
      <c r="BX16" s="36"/>
      <c r="BY16" s="33"/>
      <c r="BZ16" s="34">
        <v>36.31</v>
      </c>
      <c r="CA16" s="235"/>
      <c r="CB16" s="305">
        <v>43.7</v>
      </c>
      <c r="CC16" s="404"/>
      <c r="CD16" s="235"/>
      <c r="CE16" s="36">
        <v>44.08</v>
      </c>
      <c r="CF16" s="38">
        <v>34.844999999999999</v>
      </c>
      <c r="CG16" s="30"/>
      <c r="CH16" s="30"/>
      <c r="CI16" s="32">
        <v>45.122</v>
      </c>
      <c r="CJ16" s="33">
        <v>2.89</v>
      </c>
      <c r="CK16" s="33"/>
      <c r="CL16" s="33"/>
      <c r="CM16" s="36">
        <v>2.89</v>
      </c>
      <c r="CN16" s="286"/>
      <c r="CO16" s="249">
        <f t="shared" si="13"/>
        <v>0</v>
      </c>
      <c r="CP16" s="12">
        <f t="shared" si="13"/>
        <v>75.616025999999991</v>
      </c>
      <c r="CQ16" s="12">
        <f t="shared" si="13"/>
        <v>0</v>
      </c>
      <c r="CR16" s="11">
        <f t="shared" si="13"/>
        <v>21.512</v>
      </c>
      <c r="CS16" s="11">
        <f t="shared" si="13"/>
        <v>0</v>
      </c>
      <c r="CT16" s="11">
        <f t="shared" si="13"/>
        <v>0</v>
      </c>
      <c r="CU16" s="272">
        <f t="shared" si="13"/>
        <v>8.5990000000000002</v>
      </c>
      <c r="CV16" s="249">
        <f t="shared" si="14"/>
        <v>33.837979499999996</v>
      </c>
      <c r="CW16" s="12">
        <f t="shared" si="14"/>
        <v>0</v>
      </c>
      <c r="CX16" s="249">
        <f t="shared" si="14"/>
        <v>0</v>
      </c>
      <c r="CY16" s="272">
        <f t="shared" si="14"/>
        <v>43.817974199999995</v>
      </c>
      <c r="CZ16" s="13"/>
      <c r="DA16" s="240">
        <f>(D16+'[2]декабрь 20'!D16)/(AY16+'[2]декабрь 20'!BA16)</f>
        <v>4.8246292937272868</v>
      </c>
      <c r="DB16" s="241">
        <f>(T16+'[2]декабрь 20'!T16)/(AY16+'[2]декабрь 20'!BA16)</f>
        <v>3.1134140756833619</v>
      </c>
      <c r="DD16" s="292">
        <f t="shared" si="15"/>
        <v>4.18</v>
      </c>
      <c r="DE16" s="291">
        <v>0.86</v>
      </c>
      <c r="DF16" s="291">
        <v>19.61</v>
      </c>
      <c r="DG16" s="145">
        <f t="shared" si="16"/>
        <v>4.1440520000000003</v>
      </c>
      <c r="DH16" s="293">
        <f t="shared" si="29"/>
        <v>0</v>
      </c>
      <c r="DJ16" s="322"/>
      <c r="DK16" s="537"/>
    </row>
    <row r="17" spans="1:115" s="76" customFormat="1" ht="16.5" customHeight="1" thickBot="1">
      <c r="A17" s="144">
        <v>11</v>
      </c>
      <c r="B17" s="122">
        <f>'[1]декабрь 20'!K16</f>
        <v>70.165999999999997</v>
      </c>
      <c r="C17" s="123">
        <f t="shared" si="17"/>
        <v>1.5772519453866547</v>
      </c>
      <c r="D17" s="145">
        <f t="shared" si="30"/>
        <v>69.0593054</v>
      </c>
      <c r="E17" s="125">
        <f t="shared" si="32"/>
        <v>39.40449947267907</v>
      </c>
      <c r="F17" s="146">
        <f t="shared" si="0"/>
        <v>0</v>
      </c>
      <c r="G17" s="127">
        <v>3.31</v>
      </c>
      <c r="H17" s="126">
        <f t="shared" si="20"/>
        <v>0</v>
      </c>
      <c r="I17" s="230">
        <f>'[1]июль 20'!AI16</f>
        <v>0</v>
      </c>
      <c r="J17" s="247">
        <f>'[1]декабрь 20'!AA16</f>
        <v>1.2310000000000001</v>
      </c>
      <c r="K17" s="465">
        <f>'[1]сентябрь 20'!AM16</f>
        <v>0</v>
      </c>
      <c r="L17" s="446">
        <f>'[1]декабрь 20'!AE16</f>
        <v>19.632000000000001</v>
      </c>
      <c r="M17" s="469">
        <f t="shared" si="21"/>
        <v>0</v>
      </c>
      <c r="N17" s="542">
        <f>'[1]декабрь 20'!W16</f>
        <v>0</v>
      </c>
      <c r="O17" s="403">
        <f>'[1]декабрь 20'!AU16</f>
        <v>3.1030000000000002</v>
      </c>
      <c r="P17" s="401">
        <f t="shared" si="1"/>
        <v>57.332999999999998</v>
      </c>
      <c r="Q17" s="122">
        <f>'[1]декабрь 20'!S16</f>
        <v>57.332999999999998</v>
      </c>
      <c r="R17" s="123">
        <f t="shared" si="22"/>
        <v>3.1300000000000003</v>
      </c>
      <c r="S17" s="129">
        <v>8.2899999999999991</v>
      </c>
      <c r="T17" s="125">
        <f t="shared" si="2"/>
        <v>55.538477100000001</v>
      </c>
      <c r="U17" s="147">
        <f t="shared" si="31"/>
        <v>0</v>
      </c>
      <c r="V17" s="130"/>
      <c r="W17" s="130"/>
      <c r="X17" s="129"/>
      <c r="Y17" s="131">
        <v>530</v>
      </c>
      <c r="Z17" s="150">
        <v>970</v>
      </c>
      <c r="AA17" s="148" t="s">
        <v>463</v>
      </c>
      <c r="AB17" s="149"/>
      <c r="AC17" s="150">
        <v>31</v>
      </c>
      <c r="AD17" s="151"/>
      <c r="AE17" s="149"/>
      <c r="AF17" s="134">
        <f t="shared" si="4"/>
        <v>0</v>
      </c>
      <c r="AG17" s="152"/>
      <c r="AH17" s="129">
        <v>68.5</v>
      </c>
      <c r="AI17" s="134">
        <f t="shared" si="5"/>
        <v>0</v>
      </c>
      <c r="AJ17" s="136"/>
      <c r="AK17" s="154"/>
      <c r="AL17" s="155"/>
      <c r="AM17" s="478">
        <f t="shared" si="34"/>
        <v>0</v>
      </c>
      <c r="AN17" s="126">
        <f t="shared" si="23"/>
        <v>0</v>
      </c>
      <c r="AO17" s="157" t="s">
        <v>464</v>
      </c>
      <c r="AP17" s="156">
        <v>9</v>
      </c>
      <c r="AQ17" s="156">
        <v>5.59</v>
      </c>
      <c r="AR17" s="149"/>
      <c r="AS17" s="149">
        <v>14.67</v>
      </c>
      <c r="AT17" s="149"/>
      <c r="AU17" s="149"/>
      <c r="AV17" s="149"/>
      <c r="AW17" s="149"/>
      <c r="AX17" s="158">
        <f t="shared" si="6"/>
        <v>0</v>
      </c>
      <c r="AY17" s="125">
        <f t="shared" si="35"/>
        <v>0</v>
      </c>
      <c r="AZ17" s="125">
        <f t="shared" si="24"/>
        <v>0</v>
      </c>
      <c r="BA17" s="159">
        <f t="shared" si="8"/>
        <v>7.7843978873239434</v>
      </c>
      <c r="BB17" s="160">
        <f t="shared" si="9"/>
        <v>0</v>
      </c>
      <c r="BC17" s="161">
        <f t="shared" si="10"/>
        <v>0</v>
      </c>
      <c r="BD17" s="160">
        <f t="shared" si="25"/>
        <v>7.7843978873239434</v>
      </c>
      <c r="BE17" s="162">
        <v>0.82099999999999995</v>
      </c>
      <c r="BF17" s="25">
        <f t="shared" si="26"/>
        <v>844.19</v>
      </c>
      <c r="BG17" s="25">
        <f t="shared" si="11"/>
        <v>116.7741935483871</v>
      </c>
      <c r="BH17" s="25">
        <f t="shared" si="27"/>
        <v>1284.516129032258</v>
      </c>
      <c r="BI17" s="26">
        <v>1</v>
      </c>
      <c r="BJ17" s="37">
        <f t="shared" si="28"/>
        <v>1284.516129032258</v>
      </c>
      <c r="BK17" s="39"/>
      <c r="BL17" s="31">
        <v>50.533999999999999</v>
      </c>
      <c r="BM17" s="31"/>
      <c r="BN17" s="534">
        <v>14.051</v>
      </c>
      <c r="BO17" s="42"/>
      <c r="BP17" s="40"/>
      <c r="BQ17" s="32">
        <v>5.5810000000000004</v>
      </c>
      <c r="BR17" s="33"/>
      <c r="BS17" s="34">
        <v>2.19</v>
      </c>
      <c r="BT17" s="35"/>
      <c r="BU17" s="28"/>
      <c r="BV17" s="287"/>
      <c r="BW17" s="287"/>
      <c r="BX17" s="36"/>
      <c r="BY17" s="33"/>
      <c r="BZ17" s="34">
        <v>37.799999999999997</v>
      </c>
      <c r="CA17" s="35"/>
      <c r="CB17" s="536">
        <v>43.31</v>
      </c>
      <c r="CC17" s="404"/>
      <c r="CD17" s="235"/>
      <c r="CE17" s="36">
        <v>44.1</v>
      </c>
      <c r="CF17" s="38">
        <v>27.945</v>
      </c>
      <c r="CG17" s="42"/>
      <c r="CH17" s="234"/>
      <c r="CI17" s="233">
        <v>29.388000000000002</v>
      </c>
      <c r="CJ17" s="33">
        <v>3.13</v>
      </c>
      <c r="CK17" s="33"/>
      <c r="CL17" s="33"/>
      <c r="CM17" s="36">
        <v>3.13</v>
      </c>
      <c r="CN17" s="286"/>
      <c r="CO17" s="249">
        <f t="shared" si="13"/>
        <v>0</v>
      </c>
      <c r="CP17" s="12">
        <f t="shared" si="13"/>
        <v>49.427305399999995</v>
      </c>
      <c r="CQ17" s="12">
        <f t="shared" si="13"/>
        <v>0</v>
      </c>
      <c r="CR17" s="12">
        <f t="shared" si="13"/>
        <v>14.051</v>
      </c>
      <c r="CS17" s="11">
        <f t="shared" si="13"/>
        <v>0</v>
      </c>
      <c r="CT17" s="11">
        <f t="shared" si="13"/>
        <v>0</v>
      </c>
      <c r="CU17" s="272">
        <f t="shared" si="13"/>
        <v>5.5810000000000004</v>
      </c>
      <c r="CV17" s="249">
        <f t="shared" si="14"/>
        <v>27.070321500000002</v>
      </c>
      <c r="CW17" s="12">
        <f t="shared" si="14"/>
        <v>0</v>
      </c>
      <c r="CX17" s="254">
        <f t="shared" si="14"/>
        <v>0</v>
      </c>
      <c r="CY17" s="272">
        <f t="shared" si="14"/>
        <v>28.468155600000003</v>
      </c>
      <c r="CZ17" s="13"/>
      <c r="DA17" s="240">
        <f>(D17+'[2]декабрь 20'!D17)/(AY17+'[2]декабрь 20'!BA17)</f>
        <v>2.3318943686693165</v>
      </c>
      <c r="DB17" s="241">
        <f>(T17+'[2]декабрь 20'!T17)/(AY17+'[2]декабрь 20'!BA17)</f>
        <v>1.5037856827289771</v>
      </c>
      <c r="DD17" s="292">
        <f t="shared" si="15"/>
        <v>1.2310000000000001</v>
      </c>
      <c r="DE17" s="291">
        <v>0.23</v>
      </c>
      <c r="DF17" s="291">
        <v>16.84</v>
      </c>
      <c r="DG17" s="145">
        <f t="shared" si="16"/>
        <v>1.2281686999999999</v>
      </c>
      <c r="DH17" s="293">
        <f t="shared" si="29"/>
        <v>0</v>
      </c>
      <c r="DJ17" s="322"/>
      <c r="DK17" s="537"/>
    </row>
    <row r="18" spans="1:115" s="76" customFormat="1" ht="16.5" customHeight="1" thickBot="1">
      <c r="A18" s="144">
        <v>12</v>
      </c>
      <c r="B18" s="122">
        <f>'[1]декабрь 20'!K17</f>
        <v>97.623999999999995</v>
      </c>
      <c r="C18" s="123">
        <f t="shared" si="17"/>
        <v>1.469024010489224</v>
      </c>
      <c r="D18" s="145">
        <f t="shared" si="30"/>
        <v>96.189880000000002</v>
      </c>
      <c r="E18" s="125">
        <f t="shared" si="32"/>
        <v>38.074756617225276</v>
      </c>
      <c r="F18" s="146">
        <f t="shared" si="0"/>
        <v>3.6490849772382394</v>
      </c>
      <c r="G18" s="127">
        <v>5.5</v>
      </c>
      <c r="H18" s="126">
        <f t="shared" si="20"/>
        <v>2.6125144157814866</v>
      </c>
      <c r="I18" s="230">
        <f>'[1]июль 20'!AI17</f>
        <v>0</v>
      </c>
      <c r="J18" s="247">
        <f>'[1]декабрь 20'!AA17</f>
        <v>1.39</v>
      </c>
      <c r="K18" s="464">
        <f>'[1]сентябрь 20'!AM17</f>
        <v>0</v>
      </c>
      <c r="L18" s="446">
        <f>'[1]декабрь 20'!AE17</f>
        <v>27.324000000000002</v>
      </c>
      <c r="M18" s="468">
        <f t="shared" si="21"/>
        <v>1.0365705614567524</v>
      </c>
      <c r="N18" s="542">
        <f>'[1]декабрь 20'!W17</f>
        <v>0</v>
      </c>
      <c r="O18" s="403">
        <f>'[1]декабрь 20'!AU17</f>
        <v>4.4459999999999997</v>
      </c>
      <c r="P18" s="401">
        <f t="shared" si="1"/>
        <v>69.888000000000005</v>
      </c>
      <c r="Q18" s="122">
        <f>'[1]декабрь 20'!S17</f>
        <v>69.888000000000005</v>
      </c>
      <c r="R18" s="123">
        <f t="shared" si="22"/>
        <v>3.0699999999999994</v>
      </c>
      <c r="S18" s="129"/>
      <c r="T18" s="125">
        <f t="shared" si="2"/>
        <v>67.742438400000012</v>
      </c>
      <c r="U18" s="147">
        <f t="shared" si="31"/>
        <v>2.5698952352048559</v>
      </c>
      <c r="V18" s="130">
        <v>15.98</v>
      </c>
      <c r="W18" s="130"/>
      <c r="X18" s="129">
        <v>2.68</v>
      </c>
      <c r="Y18" s="131">
        <v>547</v>
      </c>
      <c r="Z18" s="150">
        <v>1035</v>
      </c>
      <c r="AA18" s="148" t="s">
        <v>465</v>
      </c>
      <c r="AB18" s="149">
        <v>74.459999999999994</v>
      </c>
      <c r="AC18" s="150">
        <v>40</v>
      </c>
      <c r="AD18" s="151">
        <v>3</v>
      </c>
      <c r="AE18" s="149">
        <v>5.35</v>
      </c>
      <c r="AF18" s="134">
        <f t="shared" si="4"/>
        <v>202.95902883156293</v>
      </c>
      <c r="AG18" s="152"/>
      <c r="AH18" s="129">
        <v>60.1</v>
      </c>
      <c r="AI18" s="134">
        <f t="shared" si="5"/>
        <v>2279.9696509863425</v>
      </c>
      <c r="AJ18" s="153">
        <v>8</v>
      </c>
      <c r="AK18" s="154"/>
      <c r="AL18" s="155">
        <v>1.97</v>
      </c>
      <c r="AM18" s="478">
        <v>12.55</v>
      </c>
      <c r="AN18" s="126">
        <f t="shared" si="23"/>
        <v>0.31296758104738154</v>
      </c>
      <c r="AO18" s="157" t="s">
        <v>189</v>
      </c>
      <c r="AP18" s="156">
        <v>7.9</v>
      </c>
      <c r="AQ18" s="156">
        <v>7.36</v>
      </c>
      <c r="AR18" s="151"/>
      <c r="AS18" s="149">
        <v>7.44</v>
      </c>
      <c r="AT18" s="149">
        <v>40.1</v>
      </c>
      <c r="AU18" s="149">
        <v>0.78</v>
      </c>
      <c r="AV18" s="149"/>
      <c r="AW18" s="149"/>
      <c r="AX18" s="158">
        <f t="shared" si="6"/>
        <v>0</v>
      </c>
      <c r="AY18" s="125">
        <f t="shared" si="35"/>
        <v>26.360000000000003</v>
      </c>
      <c r="AZ18" s="125">
        <f t="shared" si="24"/>
        <v>43.259746451987816</v>
      </c>
      <c r="BA18" s="159">
        <f t="shared" si="8"/>
        <v>3.4637915492957747</v>
      </c>
      <c r="BB18" s="160">
        <f t="shared" si="9"/>
        <v>1.0544000000000002</v>
      </c>
      <c r="BC18" s="161">
        <f t="shared" si="10"/>
        <v>0.5359224114637906</v>
      </c>
      <c r="BD18" s="160">
        <f t="shared" si="25"/>
        <v>4.5181915492957749</v>
      </c>
      <c r="BE18" s="162">
        <v>0.80800000000000005</v>
      </c>
      <c r="BF18" s="25">
        <f t="shared" si="26"/>
        <v>870.55000000000007</v>
      </c>
      <c r="BG18" s="25">
        <f t="shared" si="11"/>
        <v>116.7741935483871</v>
      </c>
      <c r="BH18" s="25">
        <f t="shared" si="27"/>
        <v>1401.2903225806451</v>
      </c>
      <c r="BI18" s="26">
        <f t="shared" ref="BI18:BI37" si="36">IF(AY18&lt;&gt;0,1,0)</f>
        <v>1</v>
      </c>
      <c r="BJ18" s="37">
        <f t="shared" si="28"/>
        <v>1401.2903225806451</v>
      </c>
      <c r="BK18" s="38"/>
      <c r="BL18" s="31">
        <v>70.3</v>
      </c>
      <c r="BM18" s="31"/>
      <c r="BN18" s="234">
        <v>19.527999999999999</v>
      </c>
      <c r="BO18" s="42"/>
      <c r="BP18" s="40"/>
      <c r="BQ18" s="411">
        <v>7.7960000000000003</v>
      </c>
      <c r="BR18" s="41"/>
      <c r="BS18" s="34">
        <v>2.04</v>
      </c>
      <c r="BT18" s="35"/>
      <c r="BU18" s="28"/>
      <c r="BV18" s="287"/>
      <c r="BW18" s="287"/>
      <c r="BX18" s="36"/>
      <c r="BY18" s="34"/>
      <c r="BZ18" s="34">
        <v>36.03</v>
      </c>
      <c r="CA18" s="35"/>
      <c r="CB18" s="405">
        <v>43.23</v>
      </c>
      <c r="CC18" s="404"/>
      <c r="CD18" s="235"/>
      <c r="CE18" s="405">
        <v>43.6</v>
      </c>
      <c r="CF18" s="38">
        <v>29.216999999999999</v>
      </c>
      <c r="CG18" s="42"/>
      <c r="CH18" s="234"/>
      <c r="CI18" s="233">
        <v>40.670999999999999</v>
      </c>
      <c r="CJ18" s="33">
        <v>3.07</v>
      </c>
      <c r="CK18" s="33"/>
      <c r="CL18" s="33"/>
      <c r="CM18" s="36">
        <v>3.07</v>
      </c>
      <c r="CN18" s="286"/>
      <c r="CO18" s="249">
        <f t="shared" si="13"/>
        <v>0</v>
      </c>
      <c r="CP18" s="12">
        <f t="shared" si="13"/>
        <v>68.86587999999999</v>
      </c>
      <c r="CQ18" s="12">
        <f t="shared" si="13"/>
        <v>0</v>
      </c>
      <c r="CR18" s="12">
        <f t="shared" si="13"/>
        <v>19.527999999999999</v>
      </c>
      <c r="CS18" s="11">
        <f t="shared" si="13"/>
        <v>0</v>
      </c>
      <c r="CT18" s="11">
        <f t="shared" si="13"/>
        <v>0</v>
      </c>
      <c r="CU18" s="272">
        <f t="shared" si="13"/>
        <v>7.7960000000000003</v>
      </c>
      <c r="CV18" s="249">
        <f t="shared" si="14"/>
        <v>28.320038100000001</v>
      </c>
      <c r="CW18" s="11">
        <f t="shared" si="14"/>
        <v>0</v>
      </c>
      <c r="CX18" s="249">
        <f t="shared" si="14"/>
        <v>0</v>
      </c>
      <c r="CY18" s="272">
        <f t="shared" si="14"/>
        <v>39.4224003</v>
      </c>
      <c r="CZ18" s="13"/>
      <c r="DA18" s="240">
        <f>(D18+'[2]декабрь 20'!D18)/(AY18+'[2]декабрь 20'!BA18)</f>
        <v>2.2473499805842643</v>
      </c>
      <c r="DB18" s="241">
        <f>(T18+'[2]декабрь 20'!T18)/(AY18+'[2]декабрь 20'!BA18)</f>
        <v>1.4283725073182389</v>
      </c>
      <c r="DD18" s="292">
        <f t="shared" si="15"/>
        <v>1.39</v>
      </c>
      <c r="DE18" s="291">
        <v>0.11</v>
      </c>
      <c r="DF18" s="291">
        <v>17.170000000000002</v>
      </c>
      <c r="DG18" s="145">
        <f t="shared" si="16"/>
        <v>1.388471</v>
      </c>
      <c r="DH18" s="293">
        <f t="shared" si="29"/>
        <v>0.32017253652968042</v>
      </c>
      <c r="DJ18" s="322"/>
      <c r="DK18" s="537"/>
    </row>
    <row r="19" spans="1:115" s="76" customFormat="1" ht="16.5" customHeight="1" thickBot="1">
      <c r="A19" s="144">
        <v>13</v>
      </c>
      <c r="B19" s="122">
        <f>'[1]декабрь 20'!K18</f>
        <v>172.566</v>
      </c>
      <c r="C19" s="123">
        <f t="shared" si="17"/>
        <v>0.86338444421264915</v>
      </c>
      <c r="D19" s="145">
        <f t="shared" si="30"/>
        <v>171.07609199999999</v>
      </c>
      <c r="E19" s="125">
        <f t="shared" si="32"/>
        <v>38.061636301473058</v>
      </c>
      <c r="F19" s="146">
        <f t="shared" si="0"/>
        <v>2.3953527303276392</v>
      </c>
      <c r="G19" s="127">
        <v>8.6999999999999993</v>
      </c>
      <c r="H19" s="126">
        <f t="shared" si="20"/>
        <v>1.717573396807617</v>
      </c>
      <c r="I19" s="230">
        <f>'[1]июль 20'!AI18</f>
        <v>0</v>
      </c>
      <c r="J19" s="247">
        <f>'[1]декабрь 20'!AA18</f>
        <v>6.8730000000000002</v>
      </c>
      <c r="K19" s="464">
        <f>'[1]сентябрь 20'!AM18</f>
        <v>0</v>
      </c>
      <c r="L19" s="446">
        <f>'[1]декабрь 20'!AE18</f>
        <v>48.406999999999996</v>
      </c>
      <c r="M19" s="469">
        <f t="shared" si="21"/>
        <v>0.6777793335200224</v>
      </c>
      <c r="N19" s="542">
        <f>'[1]декабрь 20'!W18</f>
        <v>0</v>
      </c>
      <c r="O19" s="403">
        <f>'[1]декабрь 20'!AU18</f>
        <v>7.4880000000000004</v>
      </c>
      <c r="P19" s="401">
        <f t="shared" si="1"/>
        <v>115.947</v>
      </c>
      <c r="Q19" s="122">
        <f>'[1]декабрь 20'!S18</f>
        <v>115.947</v>
      </c>
      <c r="R19" s="123">
        <f t="shared" si="22"/>
        <v>2.9</v>
      </c>
      <c r="S19" s="129">
        <v>3.71</v>
      </c>
      <c r="T19" s="125">
        <f t="shared" si="2"/>
        <v>112.584537</v>
      </c>
      <c r="U19" s="147">
        <f t="shared" si="31"/>
        <v>1.5763726827219267</v>
      </c>
      <c r="V19" s="130">
        <v>71.42</v>
      </c>
      <c r="W19" s="130"/>
      <c r="X19" s="129">
        <v>2.2200000000000002</v>
      </c>
      <c r="Y19" s="131">
        <v>576</v>
      </c>
      <c r="Z19" s="150">
        <v>1074</v>
      </c>
      <c r="AA19" s="148" t="s">
        <v>466</v>
      </c>
      <c r="AB19" s="149">
        <v>75.709999999999994</v>
      </c>
      <c r="AC19" s="150">
        <v>69</v>
      </c>
      <c r="AD19" s="151">
        <v>4</v>
      </c>
      <c r="AE19" s="149">
        <v>7.7</v>
      </c>
      <c r="AF19" s="134">
        <f t="shared" si="4"/>
        <v>107.8129375525063</v>
      </c>
      <c r="AG19" s="152"/>
      <c r="AH19" s="129">
        <v>47.15</v>
      </c>
      <c r="AI19" s="134">
        <f t="shared" si="5"/>
        <v>660.17922150658069</v>
      </c>
      <c r="AJ19" s="136">
        <v>11.47</v>
      </c>
      <c r="AK19" s="154"/>
      <c r="AL19" s="155">
        <v>3.8</v>
      </c>
      <c r="AM19" s="478">
        <v>22.33</v>
      </c>
      <c r="AN19" s="126">
        <f t="shared" si="23"/>
        <v>0.23272537780093797</v>
      </c>
      <c r="AO19" s="157" t="s">
        <v>217</v>
      </c>
      <c r="AP19" s="156">
        <v>8.68</v>
      </c>
      <c r="AQ19" s="156">
        <v>6.63</v>
      </c>
      <c r="AR19" s="151"/>
      <c r="AS19" s="149">
        <v>6.89</v>
      </c>
      <c r="AT19" s="149">
        <v>95.95</v>
      </c>
      <c r="AU19" s="149">
        <v>1.6</v>
      </c>
      <c r="AV19" s="164"/>
      <c r="AW19" s="149"/>
      <c r="AX19" s="158">
        <f t="shared" si="6"/>
        <v>0</v>
      </c>
      <c r="AY19" s="125">
        <f t="shared" si="35"/>
        <v>71.42</v>
      </c>
      <c r="AZ19" s="125">
        <f t="shared" si="24"/>
        <v>76.344653524587429</v>
      </c>
      <c r="BA19" s="159">
        <f t="shared" si="8"/>
        <v>2.5165482394366192</v>
      </c>
      <c r="BB19" s="160">
        <f t="shared" si="9"/>
        <v>2.8568000000000002</v>
      </c>
      <c r="BC19" s="161">
        <f t="shared" si="10"/>
        <v>0.83041716225578532</v>
      </c>
      <c r="BD19" s="160">
        <f t="shared" si="25"/>
        <v>5.3733482394366199</v>
      </c>
      <c r="BE19" s="162">
        <v>0.81</v>
      </c>
      <c r="BF19" s="25">
        <f t="shared" si="26"/>
        <v>941.97</v>
      </c>
      <c r="BG19" s="25">
        <f t="shared" si="11"/>
        <v>116.7741935483871</v>
      </c>
      <c r="BH19" s="25">
        <f t="shared" si="27"/>
        <v>1518.0645161290322</v>
      </c>
      <c r="BI19" s="26">
        <f t="shared" si="36"/>
        <v>1</v>
      </c>
      <c r="BJ19" s="37">
        <f t="shared" si="28"/>
        <v>1518.0645161290322</v>
      </c>
      <c r="BK19" s="38"/>
      <c r="BL19" s="31">
        <v>124.15900000000001</v>
      </c>
      <c r="BM19" s="31"/>
      <c r="BN19" s="234">
        <v>34.566000000000003</v>
      </c>
      <c r="BO19" s="42"/>
      <c r="BP19" s="40"/>
      <c r="BQ19" s="411">
        <v>13.840999999999999</v>
      </c>
      <c r="BR19" s="33"/>
      <c r="BS19" s="34">
        <v>1.2</v>
      </c>
      <c r="BT19" s="35"/>
      <c r="BU19" s="28"/>
      <c r="BV19" s="287"/>
      <c r="BW19" s="512"/>
      <c r="BX19" s="36"/>
      <c r="BY19" s="33"/>
      <c r="BZ19" s="34">
        <v>35.86</v>
      </c>
      <c r="CA19" s="35"/>
      <c r="CB19" s="405">
        <v>43.66</v>
      </c>
      <c r="CC19" s="404"/>
      <c r="CD19" s="235"/>
      <c r="CE19" s="413">
        <v>43.83</v>
      </c>
      <c r="CF19" s="41">
        <v>44.881</v>
      </c>
      <c r="CG19" s="41"/>
      <c r="CH19" s="30"/>
      <c r="CI19" s="32">
        <v>71.066000000000003</v>
      </c>
      <c r="CJ19" s="33">
        <v>2.9</v>
      </c>
      <c r="CK19" s="33"/>
      <c r="CL19" s="33"/>
      <c r="CM19" s="36">
        <v>2.9</v>
      </c>
      <c r="CN19" s="286"/>
      <c r="CO19" s="249">
        <f t="shared" si="13"/>
        <v>0</v>
      </c>
      <c r="CP19" s="12">
        <f t="shared" si="13"/>
        <v>122.66909200000001</v>
      </c>
      <c r="CQ19" s="12">
        <f t="shared" si="13"/>
        <v>0</v>
      </c>
      <c r="CR19" s="12">
        <f t="shared" si="13"/>
        <v>34.566000000000003</v>
      </c>
      <c r="CS19" s="11">
        <f t="shared" si="13"/>
        <v>0</v>
      </c>
      <c r="CT19" s="11">
        <f t="shared" si="13"/>
        <v>0</v>
      </c>
      <c r="CU19" s="272">
        <f t="shared" si="13"/>
        <v>13.840999999999999</v>
      </c>
      <c r="CV19" s="249">
        <f t="shared" si="14"/>
        <v>43.579450999999999</v>
      </c>
      <c r="CW19" s="251">
        <f t="shared" si="14"/>
        <v>0</v>
      </c>
      <c r="CX19" s="249">
        <f t="shared" si="14"/>
        <v>0</v>
      </c>
      <c r="CY19" s="272">
        <f t="shared" si="14"/>
        <v>69.005086000000006</v>
      </c>
      <c r="CZ19" s="13"/>
      <c r="DA19" s="240">
        <f>(D19+'[2]декабрь 20'!D19)/(AY19+'[2]декабрь 20'!BA19)</f>
        <v>2.1998755503414089</v>
      </c>
      <c r="DB19" s="241">
        <f>(T19+'[2]декабрь 20'!T19)/(AY19+'[2]декабрь 20'!BA19)</f>
        <v>1.3891491688856079</v>
      </c>
      <c r="DD19" s="292">
        <f t="shared" si="15"/>
        <v>6.8730000000000002</v>
      </c>
      <c r="DE19" s="291">
        <v>0.25</v>
      </c>
      <c r="DF19" s="291">
        <v>13.94</v>
      </c>
      <c r="DG19" s="145">
        <f t="shared" si="16"/>
        <v>6.8558175000000006</v>
      </c>
      <c r="DH19" s="293">
        <f t="shared" si="29"/>
        <v>1.2623180022454104</v>
      </c>
      <c r="DJ19" s="322"/>
      <c r="DK19" s="537"/>
    </row>
    <row r="20" spans="1:115" s="76" customFormat="1" ht="16.5" customHeight="1" thickBot="1">
      <c r="A20" s="144">
        <v>14</v>
      </c>
      <c r="B20" s="122">
        <f>'[1]декабрь 20'!K19</f>
        <v>258.5</v>
      </c>
      <c r="C20" s="123">
        <f t="shared" si="17"/>
        <v>3.3546805802707924</v>
      </c>
      <c r="D20" s="145">
        <f t="shared" si="30"/>
        <v>249.82815069999998</v>
      </c>
      <c r="E20" s="125">
        <f t="shared" si="32"/>
        <v>38.567304216634433</v>
      </c>
      <c r="F20" s="146">
        <f t="shared" si="0"/>
        <v>2.051134242200328</v>
      </c>
      <c r="G20" s="127">
        <v>23.33</v>
      </c>
      <c r="H20" s="126">
        <f t="shared" si="20"/>
        <v>1.5807155229885055</v>
      </c>
      <c r="I20" s="230">
        <f>'[1]июль 20'!AI19</f>
        <v>0</v>
      </c>
      <c r="J20" s="247">
        <f>'[1]декабрь 20'!AA19</f>
        <v>17.186</v>
      </c>
      <c r="K20" s="464">
        <f>'[1]сентябрь 20'!AM19</f>
        <v>0</v>
      </c>
      <c r="L20" s="446">
        <f>'[1]декабрь 20'!AE19</f>
        <v>57.296999999999997</v>
      </c>
      <c r="M20" s="468">
        <f t="shared" si="21"/>
        <v>0.4704187192118226</v>
      </c>
      <c r="N20" s="542">
        <f>'[1]декабрь 20'!W19</f>
        <v>0</v>
      </c>
      <c r="O20" s="403">
        <f>'[1]декабрь 20'!AU19</f>
        <v>13.965</v>
      </c>
      <c r="P20" s="401">
        <f t="shared" si="1"/>
        <v>172.46100000000001</v>
      </c>
      <c r="Q20" s="122">
        <f>'[1]декабрь 20'!S19</f>
        <v>172.46100000000001</v>
      </c>
      <c r="R20" s="123">
        <f t="shared" si="22"/>
        <v>2.8699999999999997</v>
      </c>
      <c r="S20" s="129">
        <v>20.36</v>
      </c>
      <c r="T20" s="125">
        <f t="shared" si="2"/>
        <v>167.51136930000001</v>
      </c>
      <c r="U20" s="147">
        <f t="shared" si="31"/>
        <v>1.3752985985221675</v>
      </c>
      <c r="V20" s="130">
        <v>121.8</v>
      </c>
      <c r="W20" s="130">
        <v>46.97</v>
      </c>
      <c r="X20" s="129">
        <v>1.6</v>
      </c>
      <c r="Y20" s="131">
        <v>562</v>
      </c>
      <c r="Z20" s="150">
        <v>1126</v>
      </c>
      <c r="AA20" s="168" t="s">
        <v>112</v>
      </c>
      <c r="AB20" s="149">
        <v>75.430000000000007</v>
      </c>
      <c r="AC20" s="150">
        <v>103</v>
      </c>
      <c r="AD20" s="151">
        <v>5</v>
      </c>
      <c r="AE20" s="149">
        <v>11.45</v>
      </c>
      <c r="AF20" s="134">
        <f t="shared" si="4"/>
        <v>94.006568144499155</v>
      </c>
      <c r="AG20" s="152"/>
      <c r="AH20" s="129">
        <v>74.849999999999994</v>
      </c>
      <c r="AI20" s="134">
        <f t="shared" si="5"/>
        <v>614.53201970443342</v>
      </c>
      <c r="AJ20" s="153">
        <v>15.27</v>
      </c>
      <c r="AK20" s="154"/>
      <c r="AL20" s="155">
        <v>7.79</v>
      </c>
      <c r="AM20" s="478">
        <v>30.49</v>
      </c>
      <c r="AN20" s="126">
        <f t="shared" si="23"/>
        <v>0.19206299212598424</v>
      </c>
      <c r="AO20" s="157" t="s">
        <v>181</v>
      </c>
      <c r="AP20" s="156">
        <v>8.16</v>
      </c>
      <c r="AQ20" s="156">
        <v>6.76</v>
      </c>
      <c r="AR20" s="149"/>
      <c r="AS20" s="149">
        <v>6.08</v>
      </c>
      <c r="AT20" s="149">
        <v>158.75</v>
      </c>
      <c r="AU20" s="149">
        <v>1.33</v>
      </c>
      <c r="AV20" s="149"/>
      <c r="AW20" s="149"/>
      <c r="AX20" s="158">
        <f t="shared" si="6"/>
        <v>0</v>
      </c>
      <c r="AY20" s="125">
        <f t="shared" si="35"/>
        <v>121.80000000000001</v>
      </c>
      <c r="AZ20" s="125">
        <f t="shared" si="24"/>
        <v>115.05324813824046</v>
      </c>
      <c r="BA20" s="159">
        <f t="shared" si="8"/>
        <v>3.5253295774647881</v>
      </c>
      <c r="BB20" s="160">
        <f t="shared" si="9"/>
        <v>4.8720000000000008</v>
      </c>
      <c r="BC20" s="161">
        <f t="shared" si="10"/>
        <v>0.95352204734651869</v>
      </c>
      <c r="BD20" s="160">
        <f t="shared" si="25"/>
        <v>8.397329577464788</v>
      </c>
      <c r="BE20" s="162">
        <v>0.82399999999999995</v>
      </c>
      <c r="BF20" s="25">
        <f t="shared" si="26"/>
        <v>1063.77</v>
      </c>
      <c r="BG20" s="25">
        <f t="shared" si="11"/>
        <v>116.7741935483871</v>
      </c>
      <c r="BH20" s="25">
        <f t="shared" si="27"/>
        <v>1634.8387096774193</v>
      </c>
      <c r="BI20" s="26">
        <f t="shared" si="36"/>
        <v>1</v>
      </c>
      <c r="BJ20" s="37">
        <f t="shared" si="28"/>
        <v>1634.8387096774193</v>
      </c>
      <c r="BK20" s="38"/>
      <c r="BL20" s="31">
        <v>201.203</v>
      </c>
      <c r="BM20" s="31"/>
      <c r="BN20" s="234">
        <v>41.427</v>
      </c>
      <c r="BO20" s="42"/>
      <c r="BP20" s="40"/>
      <c r="BQ20" s="411">
        <v>15.87</v>
      </c>
      <c r="BR20" s="33"/>
      <c r="BS20" s="34">
        <v>4.3099999999999996</v>
      </c>
      <c r="BT20" s="35"/>
      <c r="BU20" s="28"/>
      <c r="BV20" s="287"/>
      <c r="BW20" s="287"/>
      <c r="BX20" s="36"/>
      <c r="BY20" s="33"/>
      <c r="BZ20" s="34">
        <v>37.06</v>
      </c>
      <c r="CA20" s="35"/>
      <c r="CB20" s="405">
        <v>43.78</v>
      </c>
      <c r="CC20" s="404"/>
      <c r="CD20" s="235"/>
      <c r="CE20" s="413">
        <v>44.07</v>
      </c>
      <c r="CF20" s="30">
        <v>66.528000000000006</v>
      </c>
      <c r="CG20" s="30"/>
      <c r="CH20" s="31"/>
      <c r="CI20" s="32">
        <v>105.93300000000001</v>
      </c>
      <c r="CJ20" s="33">
        <v>2.87</v>
      </c>
      <c r="CK20" s="33"/>
      <c r="CL20" s="35"/>
      <c r="CM20" s="36">
        <v>2.87</v>
      </c>
      <c r="CN20" s="286"/>
      <c r="CO20" s="249">
        <f t="shared" si="13"/>
        <v>0</v>
      </c>
      <c r="CP20" s="12">
        <f t="shared" si="13"/>
        <v>192.53115069999998</v>
      </c>
      <c r="CQ20" s="12">
        <f t="shared" si="13"/>
        <v>0</v>
      </c>
      <c r="CR20" s="12">
        <f t="shared" si="13"/>
        <v>41.427</v>
      </c>
      <c r="CS20" s="11">
        <f t="shared" si="13"/>
        <v>0</v>
      </c>
      <c r="CT20" s="11">
        <f t="shared" si="13"/>
        <v>0</v>
      </c>
      <c r="CU20" s="272">
        <f t="shared" si="13"/>
        <v>15.87</v>
      </c>
      <c r="CV20" s="249">
        <f t="shared" si="14"/>
        <v>64.618646400000003</v>
      </c>
      <c r="CW20" s="12">
        <f t="shared" si="14"/>
        <v>0</v>
      </c>
      <c r="CX20" s="249">
        <f t="shared" si="14"/>
        <v>0</v>
      </c>
      <c r="CY20" s="272">
        <f t="shared" si="14"/>
        <v>102.8927229</v>
      </c>
      <c r="CZ20" s="13"/>
      <c r="DA20" s="240">
        <f>(D20+'[2]декабрь 20'!D20)/(AY20+'[2]декабрь 20'!BA20)</f>
        <v>2.0624557791592641</v>
      </c>
      <c r="DB20" s="241">
        <f>(T20+'[2]декабрь 20'!T20)/(AY20+'[2]декабрь 20'!BA20)</f>
        <v>1.3399753212723624</v>
      </c>
      <c r="DD20" s="292">
        <f t="shared" si="15"/>
        <v>17.186</v>
      </c>
      <c r="DE20" s="291">
        <v>0.37</v>
      </c>
      <c r="DF20" s="407">
        <v>15.59</v>
      </c>
      <c r="DG20" s="145">
        <f t="shared" si="16"/>
        <v>17.122411799999998</v>
      </c>
      <c r="DH20" s="293">
        <f t="shared" si="29"/>
        <v>3.5388890356887175</v>
      </c>
      <c r="DJ20" s="322"/>
      <c r="DK20" s="537"/>
    </row>
    <row r="21" spans="1:115" s="76" customFormat="1" ht="16.5" customHeight="1" thickBot="1">
      <c r="A21" s="144">
        <v>15</v>
      </c>
      <c r="B21" s="122">
        <f>'[1]декабрь 20'!K20</f>
        <v>265.22000000000003</v>
      </c>
      <c r="C21" s="123">
        <f t="shared" si="17"/>
        <v>3.0728345524470249</v>
      </c>
      <c r="D21" s="145">
        <f t="shared" si="30"/>
        <v>257.07022820000003</v>
      </c>
      <c r="E21" s="125">
        <f t="shared" si="32"/>
        <v>38.254220797828211</v>
      </c>
      <c r="F21" s="146">
        <f t="shared" si="0"/>
        <v>1.9114449267603539</v>
      </c>
      <c r="G21" s="127">
        <v>18.32</v>
      </c>
      <c r="H21" s="126">
        <f t="shared" si="20"/>
        <v>1.4774126567031005</v>
      </c>
      <c r="I21" s="230">
        <f>'[1]июль 20'!AI20</f>
        <v>0</v>
      </c>
      <c r="J21" s="247">
        <f>'[1]декабрь 20'!AA20</f>
        <v>22.876999999999999</v>
      </c>
      <c r="K21" s="464">
        <f>'[1]сентябрь 20'!AM20</f>
        <v>0</v>
      </c>
      <c r="L21" s="446">
        <f>'[1]декабрь 20'!AE20</f>
        <v>58.372999999999998</v>
      </c>
      <c r="M21" s="469">
        <f t="shared" si="21"/>
        <v>0.43403227005725326</v>
      </c>
      <c r="N21" s="542">
        <f>'[1]декабрь 20'!W20</f>
        <v>0</v>
      </c>
      <c r="O21" s="403">
        <f>'[1]декабрь 20'!AU20</f>
        <v>12.625</v>
      </c>
      <c r="P21" s="401">
        <f t="shared" si="1"/>
        <v>173.113</v>
      </c>
      <c r="Q21" s="122">
        <f>'[1]декабрь 20'!S20</f>
        <v>173.113</v>
      </c>
      <c r="R21" s="123">
        <f t="shared" si="22"/>
        <v>2.91</v>
      </c>
      <c r="S21" s="129">
        <v>9.83</v>
      </c>
      <c r="T21" s="125">
        <f t="shared" si="2"/>
        <v>168.07541169999999</v>
      </c>
      <c r="U21" s="147">
        <f t="shared" si="31"/>
        <v>1.249724230054279</v>
      </c>
      <c r="V21" s="130">
        <v>107.35</v>
      </c>
      <c r="W21" s="130">
        <v>28.5</v>
      </c>
      <c r="X21" s="129">
        <v>1.61</v>
      </c>
      <c r="Y21" s="131">
        <v>564</v>
      </c>
      <c r="Z21" s="150">
        <v>1146</v>
      </c>
      <c r="AA21" s="168" t="s">
        <v>161</v>
      </c>
      <c r="AB21" s="149">
        <v>75.709999999999994</v>
      </c>
      <c r="AC21" s="150">
        <v>106</v>
      </c>
      <c r="AD21" s="151">
        <v>5</v>
      </c>
      <c r="AE21" s="149"/>
      <c r="AF21" s="134">
        <f t="shared" si="4"/>
        <v>0</v>
      </c>
      <c r="AG21" s="152"/>
      <c r="AH21" s="129">
        <v>93.1</v>
      </c>
      <c r="AI21" s="134">
        <f t="shared" si="5"/>
        <v>692.24477656331317</v>
      </c>
      <c r="AJ21" s="136">
        <v>12.81</v>
      </c>
      <c r="AK21" s="154"/>
      <c r="AL21" s="155">
        <v>8.34</v>
      </c>
      <c r="AM21" s="478">
        <v>28.51</v>
      </c>
      <c r="AN21" s="126">
        <f t="shared" si="23"/>
        <v>0.16815098790917132</v>
      </c>
      <c r="AO21" s="157" t="s">
        <v>467</v>
      </c>
      <c r="AP21" s="156">
        <v>7.74</v>
      </c>
      <c r="AQ21" s="156">
        <v>6.83</v>
      </c>
      <c r="AR21" s="149"/>
      <c r="AS21" s="149">
        <v>8.66</v>
      </c>
      <c r="AT21" s="149">
        <v>169.55</v>
      </c>
      <c r="AU21" s="149">
        <v>1.79</v>
      </c>
      <c r="AV21" s="149"/>
      <c r="AW21" s="149"/>
      <c r="AX21" s="158">
        <f t="shared" si="6"/>
        <v>0</v>
      </c>
      <c r="AY21" s="125">
        <f t="shared" si="35"/>
        <v>134.49</v>
      </c>
      <c r="AZ21" s="125">
        <f t="shared" si="24"/>
        <v>117.93816529849167</v>
      </c>
      <c r="BA21" s="159">
        <f t="shared" si="8"/>
        <v>6.2455676056338021</v>
      </c>
      <c r="BB21" s="160">
        <f t="shared" si="9"/>
        <v>5.3796000000000008</v>
      </c>
      <c r="BC21" s="161">
        <f t="shared" si="10"/>
        <v>1.0354093834378282</v>
      </c>
      <c r="BD21" s="160">
        <f t="shared" si="25"/>
        <v>11.625167605633802</v>
      </c>
      <c r="BE21" s="162">
        <v>0.84299999999999997</v>
      </c>
      <c r="BF21" s="25">
        <f t="shared" si="26"/>
        <v>1198.26</v>
      </c>
      <c r="BG21" s="25">
        <f t="shared" si="11"/>
        <v>116.7741935483871</v>
      </c>
      <c r="BH21" s="25">
        <f t="shared" si="27"/>
        <v>1751.6129032258063</v>
      </c>
      <c r="BI21" s="26">
        <f t="shared" si="36"/>
        <v>1</v>
      </c>
      <c r="BJ21" s="37">
        <f t="shared" si="28"/>
        <v>1751.6129032258063</v>
      </c>
      <c r="BK21" s="38"/>
      <c r="BL21" s="31">
        <v>206.84700000000001</v>
      </c>
      <c r="BM21" s="31"/>
      <c r="BN21" s="234">
        <v>47.716999999999999</v>
      </c>
      <c r="BO21" s="42"/>
      <c r="BP21" s="40"/>
      <c r="BQ21" s="411">
        <v>10.656000000000001</v>
      </c>
      <c r="BR21" s="33"/>
      <c r="BS21" s="34">
        <v>3.94</v>
      </c>
      <c r="BT21" s="35"/>
      <c r="BU21" s="35"/>
      <c r="BV21" s="235"/>
      <c r="BW21" s="235"/>
      <c r="BX21" s="36"/>
      <c r="BY21" s="33"/>
      <c r="BZ21" s="34">
        <v>36.72</v>
      </c>
      <c r="CA21" s="35"/>
      <c r="CB21" s="405">
        <v>43.72</v>
      </c>
      <c r="CC21" s="404"/>
      <c r="CD21" s="235"/>
      <c r="CE21" s="413">
        <v>43.56</v>
      </c>
      <c r="CF21" s="30">
        <v>66.995000000000005</v>
      </c>
      <c r="CG21" s="30"/>
      <c r="CH21" s="31"/>
      <c r="CI21" s="32">
        <v>106.11799999999999</v>
      </c>
      <c r="CJ21" s="33">
        <v>2.91</v>
      </c>
      <c r="CK21" s="33"/>
      <c r="CL21" s="35"/>
      <c r="CM21" s="36">
        <v>2.91</v>
      </c>
      <c r="CN21" s="286"/>
      <c r="CO21" s="249">
        <f t="shared" si="13"/>
        <v>0</v>
      </c>
      <c r="CP21" s="12">
        <f t="shared" si="13"/>
        <v>198.69722820000001</v>
      </c>
      <c r="CQ21" s="12">
        <f t="shared" si="13"/>
        <v>0</v>
      </c>
      <c r="CR21" s="12">
        <f t="shared" si="13"/>
        <v>47.716999999999999</v>
      </c>
      <c r="CS21" s="11">
        <f t="shared" si="13"/>
        <v>0</v>
      </c>
      <c r="CT21" s="11">
        <f t="shared" si="13"/>
        <v>0</v>
      </c>
      <c r="CU21" s="272">
        <f t="shared" si="13"/>
        <v>10.656000000000001</v>
      </c>
      <c r="CV21" s="249">
        <f t="shared" si="14"/>
        <v>65.0454455</v>
      </c>
      <c r="CW21" s="12">
        <f t="shared" si="14"/>
        <v>0</v>
      </c>
      <c r="CX21" s="249">
        <f t="shared" si="14"/>
        <v>0</v>
      </c>
      <c r="CY21" s="272">
        <f t="shared" si="14"/>
        <v>103.02996619999999</v>
      </c>
      <c r="CZ21" s="13"/>
      <c r="DA21" s="240">
        <f>(D21+'[2]декабрь 20'!D21)/(AY21+'[2]декабрь 20'!BA21)</f>
        <v>2.1533741624049032</v>
      </c>
      <c r="DB21" s="241">
        <f>(T21+'[2]декабрь 20'!T21)/(AY21+'[2]декабрь 20'!BA21)</f>
        <v>1.3723578769522733</v>
      </c>
      <c r="DD21" s="292">
        <f t="shared" si="15"/>
        <v>22.876999999999999</v>
      </c>
      <c r="DE21" s="291">
        <v>0.22</v>
      </c>
      <c r="DF21" s="291">
        <v>15.07</v>
      </c>
      <c r="DG21" s="145">
        <f t="shared" si="16"/>
        <v>22.8266706</v>
      </c>
      <c r="DH21" s="293">
        <f t="shared" si="29"/>
        <v>4.5436260195746936</v>
      </c>
      <c r="DJ21" s="322"/>
      <c r="DK21" s="537"/>
    </row>
    <row r="22" spans="1:115" s="76" customFormat="1" ht="16.5" customHeight="1" thickBot="1">
      <c r="A22" s="144">
        <v>16</v>
      </c>
      <c r="B22" s="122">
        <f>'[1]декабрь 20'!K21</f>
        <v>260.67200000000003</v>
      </c>
      <c r="C22" s="123">
        <f t="shared" si="17"/>
        <v>1.6516445955069969</v>
      </c>
      <c r="D22" s="145">
        <f t="shared" si="30"/>
        <v>256.36662500000006</v>
      </c>
      <c r="E22" s="125">
        <f t="shared" si="32"/>
        <v>37.559570648170876</v>
      </c>
      <c r="F22" s="146">
        <f t="shared" si="0"/>
        <v>2.053726067451735</v>
      </c>
      <c r="G22" s="127">
        <v>17.32</v>
      </c>
      <c r="H22" s="126">
        <f t="shared" si="20"/>
        <v>1.5696917808219175</v>
      </c>
      <c r="I22" s="230">
        <f>'[1]июль 20'!AI21</f>
        <v>0</v>
      </c>
      <c r="J22" s="247">
        <f>'[1]декабрь 20'!AA21</f>
        <v>25.957999999999998</v>
      </c>
      <c r="K22" s="464">
        <f>'[1]сентябрь 20'!AM21</f>
        <v>0</v>
      </c>
      <c r="L22" s="446">
        <f>'[1]декабрь 20'!AE21</f>
        <v>60.421999999999997</v>
      </c>
      <c r="M22" s="468">
        <f t="shared" si="21"/>
        <v>0.48403428662981657</v>
      </c>
      <c r="N22" s="542">
        <f>'[1]декабрь 20'!W21</f>
        <v>0</v>
      </c>
      <c r="O22" s="403">
        <f>'[1]декабрь 20'!AU21</f>
        <v>11.153</v>
      </c>
      <c r="P22" s="401">
        <f t="shared" si="1"/>
        <v>167.52500000000001</v>
      </c>
      <c r="Q22" s="122">
        <f>'[1]декабрь 20'!S21</f>
        <v>167.52500000000001</v>
      </c>
      <c r="R22" s="123">
        <f t="shared" si="22"/>
        <v>3.2499999999999996</v>
      </c>
      <c r="S22" s="129">
        <v>15.71</v>
      </c>
      <c r="T22" s="125">
        <f t="shared" si="2"/>
        <v>162.08043750000002</v>
      </c>
      <c r="U22" s="147">
        <f t="shared" si="31"/>
        <v>1.2984093366979093</v>
      </c>
      <c r="V22" s="130">
        <v>99</v>
      </c>
      <c r="W22" s="130">
        <v>72.83</v>
      </c>
      <c r="X22" s="129">
        <v>1.1000000000000001</v>
      </c>
      <c r="Y22" s="131">
        <v>548</v>
      </c>
      <c r="Z22" s="150">
        <v>1149</v>
      </c>
      <c r="AA22" s="148" t="s">
        <v>128</v>
      </c>
      <c r="AB22" s="149">
        <v>76.11</v>
      </c>
      <c r="AC22" s="150">
        <v>104</v>
      </c>
      <c r="AD22" s="151">
        <v>5</v>
      </c>
      <c r="AE22" s="149"/>
      <c r="AF22" s="134">
        <f t="shared" si="4"/>
        <v>0</v>
      </c>
      <c r="AG22" s="152"/>
      <c r="AH22" s="129">
        <v>88.6</v>
      </c>
      <c r="AI22" s="134">
        <f t="shared" si="5"/>
        <v>709.76528078186334</v>
      </c>
      <c r="AJ22" s="153">
        <v>10.56</v>
      </c>
      <c r="AK22" s="154"/>
      <c r="AL22" s="155">
        <v>8.5399999999999991</v>
      </c>
      <c r="AM22" s="478">
        <v>30.27</v>
      </c>
      <c r="AN22" s="126">
        <f t="shared" si="23"/>
        <v>0.18719851576994434</v>
      </c>
      <c r="AO22" s="157" t="s">
        <v>177</v>
      </c>
      <c r="AP22" s="156">
        <v>7.55</v>
      </c>
      <c r="AQ22" s="156">
        <v>6.71</v>
      </c>
      <c r="AR22" s="151"/>
      <c r="AS22" s="149">
        <v>7.27</v>
      </c>
      <c r="AT22" s="149">
        <v>161.69999999999999</v>
      </c>
      <c r="AU22" s="149">
        <v>1.94</v>
      </c>
      <c r="AV22" s="149"/>
      <c r="AW22" s="149"/>
      <c r="AX22" s="158">
        <f t="shared" si="6"/>
        <v>0</v>
      </c>
      <c r="AY22" s="125">
        <f t="shared" si="35"/>
        <v>124.83</v>
      </c>
      <c r="AZ22" s="125">
        <f t="shared" si="24"/>
        <v>115.68950790005928</v>
      </c>
      <c r="BA22" s="159">
        <f t="shared" si="8"/>
        <v>4.9896774647887314</v>
      </c>
      <c r="BB22" s="160">
        <f t="shared" si="9"/>
        <v>4.9931999999999999</v>
      </c>
      <c r="BC22" s="161">
        <f t="shared" si="10"/>
        <v>0.98668513943470815</v>
      </c>
      <c r="BD22" s="160">
        <f t="shared" si="25"/>
        <v>9.9828774647887322</v>
      </c>
      <c r="BE22" s="162">
        <v>0.85499999999999998</v>
      </c>
      <c r="BF22" s="25">
        <f t="shared" si="26"/>
        <v>1323.09</v>
      </c>
      <c r="BG22" s="25">
        <f t="shared" si="11"/>
        <v>116.7741935483871</v>
      </c>
      <c r="BH22" s="25">
        <f t="shared" si="27"/>
        <v>1868.3870967741934</v>
      </c>
      <c r="BI22" s="26">
        <f t="shared" si="36"/>
        <v>1</v>
      </c>
      <c r="BJ22" s="37">
        <f t="shared" si="28"/>
        <v>1868.3870967741934</v>
      </c>
      <c r="BK22" s="38"/>
      <c r="BL22" s="31">
        <v>200.25</v>
      </c>
      <c r="BM22" s="31"/>
      <c r="BN22" s="234">
        <v>50.023000000000003</v>
      </c>
      <c r="BO22" s="42"/>
      <c r="BP22" s="40"/>
      <c r="BQ22" s="411">
        <v>10.398999999999999</v>
      </c>
      <c r="BR22" s="33"/>
      <c r="BS22" s="34">
        <v>2.15</v>
      </c>
      <c r="BT22" s="35"/>
      <c r="BU22" s="35"/>
      <c r="BV22" s="235"/>
      <c r="BW22" s="235"/>
      <c r="BX22" s="36"/>
      <c r="BY22" s="33"/>
      <c r="BZ22" s="34">
        <v>35.729999999999997</v>
      </c>
      <c r="CA22" s="35"/>
      <c r="CB22" s="405">
        <v>43.63</v>
      </c>
      <c r="CC22" s="404"/>
      <c r="CD22" s="235"/>
      <c r="CE22" s="413">
        <v>43.59</v>
      </c>
      <c r="CF22" s="30">
        <v>65.61</v>
      </c>
      <c r="CG22" s="30"/>
      <c r="CH22" s="31"/>
      <c r="CI22" s="32">
        <v>101.91500000000001</v>
      </c>
      <c r="CJ22" s="33">
        <v>3.25</v>
      </c>
      <c r="CK22" s="33"/>
      <c r="CL22" s="35"/>
      <c r="CM22" s="36">
        <v>3.25</v>
      </c>
      <c r="CN22" s="286"/>
      <c r="CO22" s="249">
        <f t="shared" si="13"/>
        <v>0</v>
      </c>
      <c r="CP22" s="12">
        <f t="shared" si="13"/>
        <v>195.94462499999997</v>
      </c>
      <c r="CQ22" s="12">
        <f t="shared" si="13"/>
        <v>0</v>
      </c>
      <c r="CR22" s="12">
        <f t="shared" si="13"/>
        <v>50.023000000000003</v>
      </c>
      <c r="CS22" s="11">
        <f t="shared" si="13"/>
        <v>0</v>
      </c>
      <c r="CT22" s="11">
        <f t="shared" si="13"/>
        <v>0</v>
      </c>
      <c r="CU22" s="272">
        <f t="shared" si="13"/>
        <v>10.398999999999999</v>
      </c>
      <c r="CV22" s="249">
        <f t="shared" si="14"/>
        <v>63.477674999999998</v>
      </c>
      <c r="CW22" s="12">
        <f t="shared" si="14"/>
        <v>0</v>
      </c>
      <c r="CX22" s="249">
        <f t="shared" si="14"/>
        <v>0</v>
      </c>
      <c r="CY22" s="272">
        <f t="shared" si="14"/>
        <v>98.602762500000011</v>
      </c>
      <c r="CZ22" s="13"/>
      <c r="DA22" s="240">
        <f>(D22+'[2]декабрь 20'!D22)/(AY22+'[2]декабрь 20'!BA22)</f>
        <v>2.1002331905612595</v>
      </c>
      <c r="DB22" s="241">
        <f>(T22+'[2]декабрь 20'!T22)/(AY22+'[2]декабрь 20'!BA22)</f>
        <v>1.2939036683096219</v>
      </c>
      <c r="DD22" s="292">
        <f t="shared" si="15"/>
        <v>25.957999999999998</v>
      </c>
      <c r="DE22" s="291">
        <v>0.19</v>
      </c>
      <c r="DF22" s="291">
        <v>15.4</v>
      </c>
      <c r="DG22" s="145">
        <f t="shared" si="16"/>
        <v>25.908679799999998</v>
      </c>
      <c r="DH22" s="293">
        <f t="shared" si="29"/>
        <v>5.2423291147024038</v>
      </c>
      <c r="DJ22" s="322"/>
      <c r="DK22" s="537"/>
    </row>
    <row r="23" spans="1:115" s="76" customFormat="1" ht="16.5" customHeight="1" thickBot="1">
      <c r="A23" s="144">
        <v>17</v>
      </c>
      <c r="B23" s="122">
        <f>'[1]декабрь 20'!K22</f>
        <v>275.27300000000002</v>
      </c>
      <c r="C23" s="123">
        <f t="shared" si="17"/>
        <v>1.0449560981280399</v>
      </c>
      <c r="D23" s="145">
        <f t="shared" si="30"/>
        <v>272.39651800000001</v>
      </c>
      <c r="E23" s="125">
        <f t="shared" si="32"/>
        <v>37.61091908759667</v>
      </c>
      <c r="F23" s="146">
        <f t="shared" si="0"/>
        <v>2.0315969421241049</v>
      </c>
      <c r="G23" s="127">
        <v>20.2</v>
      </c>
      <c r="H23" s="126">
        <f t="shared" si="20"/>
        <v>1.5109376342482097</v>
      </c>
      <c r="I23" s="230">
        <f>'[1]июль 20'!AI22</f>
        <v>0</v>
      </c>
      <c r="J23" s="247">
        <f>'[1]декабрь 20'!AA22</f>
        <v>27.492999999999999</v>
      </c>
      <c r="K23" s="464">
        <f>'[1]сентябрь 20'!AM22</f>
        <v>0</v>
      </c>
      <c r="L23" s="446">
        <f>'[1]декабрь 20'!AE22</f>
        <v>69.81</v>
      </c>
      <c r="M23" s="469">
        <f t="shared" si="21"/>
        <v>0.52065930787589498</v>
      </c>
      <c r="N23" s="542">
        <f>'[1]декабрь 20'!W22</f>
        <v>0</v>
      </c>
      <c r="O23" s="403">
        <f>'[1]декабрь 20'!AU22</f>
        <v>10.993</v>
      </c>
      <c r="P23" s="401">
        <f t="shared" si="1"/>
        <v>173.649</v>
      </c>
      <c r="Q23" s="122">
        <f>'[1]декабрь 20'!S22</f>
        <v>173.649</v>
      </c>
      <c r="R23" s="123">
        <f t="shared" si="22"/>
        <v>3.21</v>
      </c>
      <c r="S23" s="129">
        <v>27.58</v>
      </c>
      <c r="T23" s="125">
        <f t="shared" si="2"/>
        <v>168.07486710000001</v>
      </c>
      <c r="U23" s="147">
        <f t="shared" si="31"/>
        <v>1.253541669898568</v>
      </c>
      <c r="V23" s="130">
        <v>134.08000000000001</v>
      </c>
      <c r="W23" s="130">
        <v>51.57</v>
      </c>
      <c r="X23" s="129">
        <v>1.19</v>
      </c>
      <c r="Y23" s="131">
        <v>501</v>
      </c>
      <c r="Z23" s="150">
        <v>1159</v>
      </c>
      <c r="AA23" s="148" t="s">
        <v>174</v>
      </c>
      <c r="AB23" s="149">
        <v>76.650000000000006</v>
      </c>
      <c r="AC23" s="150">
        <v>110</v>
      </c>
      <c r="AD23" s="151">
        <v>5</v>
      </c>
      <c r="AE23" s="149">
        <v>3.75</v>
      </c>
      <c r="AF23" s="134">
        <f t="shared" si="4"/>
        <v>27.968377088305488</v>
      </c>
      <c r="AG23" s="152"/>
      <c r="AH23" s="129">
        <v>93.15</v>
      </c>
      <c r="AI23" s="134">
        <f t="shared" si="5"/>
        <v>694.73448687350833</v>
      </c>
      <c r="AJ23" s="136">
        <v>12.56</v>
      </c>
      <c r="AK23" s="154"/>
      <c r="AL23" s="155">
        <v>7.47</v>
      </c>
      <c r="AM23" s="478">
        <v>34.799999999999997</v>
      </c>
      <c r="AN23" s="126">
        <f t="shared" si="23"/>
        <v>0.2003454231433506</v>
      </c>
      <c r="AO23" s="157" t="s">
        <v>239</v>
      </c>
      <c r="AP23" s="156">
        <v>7.43</v>
      </c>
      <c r="AQ23" s="156">
        <v>7.3</v>
      </c>
      <c r="AR23" s="151"/>
      <c r="AS23" s="149">
        <v>5.13</v>
      </c>
      <c r="AT23" s="149">
        <v>173.7</v>
      </c>
      <c r="AU23" s="149">
        <v>2.65</v>
      </c>
      <c r="AV23" s="149"/>
      <c r="AW23" s="149"/>
      <c r="AX23" s="158">
        <f t="shared" si="6"/>
        <v>0</v>
      </c>
      <c r="AY23" s="125">
        <f t="shared" si="35"/>
        <v>134.08000000000001</v>
      </c>
      <c r="AZ23" s="125">
        <f t="shared" si="24"/>
        <v>124.2466631123347</v>
      </c>
      <c r="BA23" s="159">
        <f t="shared" si="8"/>
        <v>3.7017285211267605</v>
      </c>
      <c r="BB23" s="160">
        <f t="shared" si="9"/>
        <v>5.3632000000000009</v>
      </c>
      <c r="BC23" s="161">
        <f t="shared" si="10"/>
        <v>1.0031379541297292</v>
      </c>
      <c r="BD23" s="160">
        <f t="shared" si="25"/>
        <v>9.0649285211267614</v>
      </c>
      <c r="BE23" s="162">
        <v>0.86699999999999999</v>
      </c>
      <c r="BF23" s="25">
        <f t="shared" si="26"/>
        <v>1457.1699999999998</v>
      </c>
      <c r="BG23" s="25">
        <f t="shared" si="11"/>
        <v>116.7741935483871</v>
      </c>
      <c r="BH23" s="25">
        <f t="shared" si="27"/>
        <v>1985.1612903225805</v>
      </c>
      <c r="BI23" s="26">
        <f t="shared" si="36"/>
        <v>1</v>
      </c>
      <c r="BJ23" s="37">
        <f t="shared" si="28"/>
        <v>1985.1612903225805</v>
      </c>
      <c r="BK23" s="38"/>
      <c r="BL23" s="31">
        <v>205.46299999999999</v>
      </c>
      <c r="BM23" s="31"/>
      <c r="BN23" s="234">
        <v>58.843000000000004</v>
      </c>
      <c r="BO23" s="42"/>
      <c r="BP23" s="40"/>
      <c r="BQ23" s="411">
        <v>10.967000000000001</v>
      </c>
      <c r="BR23" s="33"/>
      <c r="BS23" s="34">
        <v>1.4</v>
      </c>
      <c r="BT23" s="35"/>
      <c r="BU23" s="35"/>
      <c r="BV23" s="235"/>
      <c r="BW23" s="235"/>
      <c r="BX23" s="36"/>
      <c r="BY23" s="33"/>
      <c r="BZ23" s="34">
        <v>35.51</v>
      </c>
      <c r="CA23" s="35"/>
      <c r="CB23" s="405">
        <v>43.81</v>
      </c>
      <c r="CC23" s="404"/>
      <c r="CD23" s="235"/>
      <c r="CE23" s="413">
        <v>43.71</v>
      </c>
      <c r="CF23" s="30">
        <v>69.290000000000006</v>
      </c>
      <c r="CG23" s="30"/>
      <c r="CH23" s="31"/>
      <c r="CI23" s="32">
        <v>104.35899999999999</v>
      </c>
      <c r="CJ23" s="33">
        <v>3.21</v>
      </c>
      <c r="CK23" s="33"/>
      <c r="CL23" s="35"/>
      <c r="CM23" s="36">
        <v>3.21</v>
      </c>
      <c r="CN23" s="286"/>
      <c r="CO23" s="249">
        <f t="shared" ref="CO23:CU37" si="37">BK23*((100-BR23)/100)</f>
        <v>0</v>
      </c>
      <c r="CP23" s="12">
        <f t="shared" si="37"/>
        <v>202.58651799999998</v>
      </c>
      <c r="CQ23" s="12">
        <f t="shared" si="37"/>
        <v>0</v>
      </c>
      <c r="CR23" s="12">
        <f t="shared" si="37"/>
        <v>58.843000000000004</v>
      </c>
      <c r="CS23" s="11">
        <f t="shared" si="37"/>
        <v>0</v>
      </c>
      <c r="CT23" s="11">
        <f t="shared" si="37"/>
        <v>0</v>
      </c>
      <c r="CU23" s="272">
        <f t="shared" si="37"/>
        <v>10.967000000000001</v>
      </c>
      <c r="CV23" s="249">
        <f t="shared" si="14"/>
        <v>67.065791000000019</v>
      </c>
      <c r="CW23" s="11">
        <f t="shared" si="14"/>
        <v>0</v>
      </c>
      <c r="CX23" s="249">
        <f t="shared" si="14"/>
        <v>0</v>
      </c>
      <c r="CY23" s="272">
        <f t="shared" si="14"/>
        <v>101.0090761</v>
      </c>
      <c r="CZ23" s="13"/>
      <c r="DA23" s="240">
        <f>(D23+'[2]декабрь 20'!D23)/(AY23+'[2]декабрь 20'!BA23)</f>
        <v>2.115139419615546</v>
      </c>
      <c r="DB23" s="241">
        <f>(T23+'[2]декабрь 20'!T23)/(AY23+'[2]декабрь 20'!BA23)</f>
        <v>1.2808877840156367</v>
      </c>
      <c r="DD23" s="292">
        <f t="shared" si="15"/>
        <v>27.492999999999999</v>
      </c>
      <c r="DE23" s="291">
        <v>0.19</v>
      </c>
      <c r="DF23" s="291">
        <v>21.12</v>
      </c>
      <c r="DG23" s="145">
        <f t="shared" si="16"/>
        <v>27.440763299999997</v>
      </c>
      <c r="DH23" s="293">
        <f t="shared" si="29"/>
        <v>7.560977441565556</v>
      </c>
      <c r="DJ23" s="322"/>
      <c r="DK23" s="537"/>
    </row>
    <row r="24" spans="1:115" s="76" customFormat="1" ht="16.5" customHeight="1" thickBot="1">
      <c r="A24" s="144">
        <v>18</v>
      </c>
      <c r="B24" s="122">
        <f>'[1]декабрь 20'!K23</f>
        <v>277.63200000000001</v>
      </c>
      <c r="C24" s="123">
        <f t="shared" si="17"/>
        <v>0.66604642116182566</v>
      </c>
      <c r="D24" s="145">
        <f t="shared" si="30"/>
        <v>275.78284200000002</v>
      </c>
      <c r="E24" s="125">
        <f t="shared" si="32"/>
        <v>38.672715537113874</v>
      </c>
      <c r="F24" s="146">
        <f t="shared" si="0"/>
        <v>2.1718604662151519</v>
      </c>
      <c r="G24" s="127">
        <v>18.09</v>
      </c>
      <c r="H24" s="126">
        <f t="shared" si="20"/>
        <v>1.6035032446054496</v>
      </c>
      <c r="I24" s="230">
        <f>'[1]июль 20'!AI23</f>
        <v>0</v>
      </c>
      <c r="J24" s="247">
        <f>'[1]декабрь 20'!AA23</f>
        <v>27.940999999999999</v>
      </c>
      <c r="K24" s="464">
        <f>'[1]сентябрь 20'!AM23</f>
        <v>0</v>
      </c>
      <c r="L24" s="446">
        <f>'[1]декабрь 20'!AE23</f>
        <v>72.17</v>
      </c>
      <c r="M24" s="468">
        <f t="shared" si="21"/>
        <v>0.56835722160970226</v>
      </c>
      <c r="N24" s="542">
        <f>'[1]декабрь 20'!W23</f>
        <v>0</v>
      </c>
      <c r="O24" s="403">
        <f>'[1]декабрь 20'!AU23</f>
        <v>10.054</v>
      </c>
      <c r="P24" s="401">
        <f t="shared" si="1"/>
        <v>173.904</v>
      </c>
      <c r="Q24" s="122">
        <f>'[1]декабрь 20'!S23</f>
        <v>173.904</v>
      </c>
      <c r="R24" s="123">
        <f t="shared" si="22"/>
        <v>3.0400000000000005</v>
      </c>
      <c r="S24" s="129">
        <v>9.1199999999999992</v>
      </c>
      <c r="T24" s="125">
        <f>Q24*((100-R24)/100)</f>
        <v>168.61731839999999</v>
      </c>
      <c r="U24" s="147">
        <f t="shared" si="31"/>
        <v>1.3279045392975271</v>
      </c>
      <c r="V24" s="130">
        <v>126.98</v>
      </c>
      <c r="W24" s="130">
        <v>101.41</v>
      </c>
      <c r="X24" s="129">
        <v>0.73</v>
      </c>
      <c r="Y24" s="150">
        <v>501</v>
      </c>
      <c r="Z24" s="150">
        <v>1158</v>
      </c>
      <c r="AA24" s="148" t="s">
        <v>112</v>
      </c>
      <c r="AB24" s="149">
        <v>75.69</v>
      </c>
      <c r="AC24" s="150">
        <v>111</v>
      </c>
      <c r="AD24" s="151">
        <v>5</v>
      </c>
      <c r="AE24" s="149">
        <v>1.75</v>
      </c>
      <c r="AF24" s="134">
        <f t="shared" si="4"/>
        <v>13.781697905181918</v>
      </c>
      <c r="AG24" s="152"/>
      <c r="AH24" s="129">
        <v>93.85</v>
      </c>
      <c r="AI24" s="134">
        <f t="shared" si="5"/>
        <v>739.09277051504159</v>
      </c>
      <c r="AJ24" s="153">
        <v>11.75</v>
      </c>
      <c r="AK24" s="154"/>
      <c r="AL24" s="155">
        <v>7.02</v>
      </c>
      <c r="AM24" s="478">
        <v>35.229999999999997</v>
      </c>
      <c r="AN24" s="126">
        <f t="shared" si="23"/>
        <v>0.20982727814175101</v>
      </c>
      <c r="AO24" s="157" t="s">
        <v>239</v>
      </c>
      <c r="AP24" s="156">
        <v>7.58</v>
      </c>
      <c r="AQ24" s="156">
        <v>7.16</v>
      </c>
      <c r="AR24" s="151"/>
      <c r="AS24" s="149">
        <v>7.25</v>
      </c>
      <c r="AT24" s="149">
        <v>167.9</v>
      </c>
      <c r="AU24" s="149">
        <v>1.33</v>
      </c>
      <c r="AV24" s="164"/>
      <c r="AW24" s="149"/>
      <c r="AX24" s="158">
        <f t="shared" si="6"/>
        <v>0</v>
      </c>
      <c r="AY24" s="125">
        <f t="shared" si="35"/>
        <v>126.98</v>
      </c>
      <c r="AZ24" s="125">
        <f t="shared" si="24"/>
        <v>131.28150631748053</v>
      </c>
      <c r="BA24" s="159">
        <f t="shared" si="8"/>
        <v>5.2708010563380272</v>
      </c>
      <c r="BB24" s="160">
        <f t="shared" si="9"/>
        <v>5.0792000000000002</v>
      </c>
      <c r="BC24" s="161">
        <f t="shared" si="10"/>
        <v>0.90116002122430661</v>
      </c>
      <c r="BD24" s="160">
        <f t="shared" si="25"/>
        <v>10.350001056338026</v>
      </c>
      <c r="BE24" s="162">
        <v>0.86899999999999999</v>
      </c>
      <c r="BF24" s="25">
        <f t="shared" si="26"/>
        <v>1584.1499999999999</v>
      </c>
      <c r="BG24" s="25">
        <f t="shared" si="11"/>
        <v>116.7741935483871</v>
      </c>
      <c r="BH24" s="25">
        <f t="shared" si="27"/>
        <v>2101.9354838709678</v>
      </c>
      <c r="BI24" s="26">
        <f t="shared" si="36"/>
        <v>1</v>
      </c>
      <c r="BJ24" s="37">
        <f t="shared" si="28"/>
        <v>2101.9354838709678</v>
      </c>
      <c r="BK24" s="38"/>
      <c r="BL24" s="31">
        <v>205.46199999999999</v>
      </c>
      <c r="BM24" s="31"/>
      <c r="BN24" s="234">
        <v>61.012</v>
      </c>
      <c r="BO24" s="42"/>
      <c r="BP24" s="40"/>
      <c r="BQ24" s="411">
        <v>11.157999999999999</v>
      </c>
      <c r="BR24" s="33"/>
      <c r="BS24" s="34">
        <v>0.9</v>
      </c>
      <c r="BT24" s="35"/>
      <c r="BU24" s="35"/>
      <c r="BV24" s="235"/>
      <c r="BW24" s="235"/>
      <c r="BX24" s="36"/>
      <c r="BY24" s="33"/>
      <c r="BZ24" s="34">
        <v>36.909999999999997</v>
      </c>
      <c r="CA24" s="35"/>
      <c r="CB24" s="405">
        <v>43.64</v>
      </c>
      <c r="CC24" s="404"/>
      <c r="CD24" s="235"/>
      <c r="CE24" s="413">
        <v>43.97</v>
      </c>
      <c r="CF24" s="30">
        <v>70.007000000000005</v>
      </c>
      <c r="CG24" s="30"/>
      <c r="CH24" s="31"/>
      <c r="CI24" s="32">
        <v>103.89700000000001</v>
      </c>
      <c r="CJ24" s="33">
        <v>3.04</v>
      </c>
      <c r="CK24" s="33"/>
      <c r="CL24" s="35"/>
      <c r="CM24" s="36">
        <v>3.04</v>
      </c>
      <c r="CN24" s="286"/>
      <c r="CO24" s="249">
        <f t="shared" si="37"/>
        <v>0</v>
      </c>
      <c r="CP24" s="12">
        <f t="shared" si="37"/>
        <v>203.612842</v>
      </c>
      <c r="CQ24" s="12">
        <f t="shared" si="37"/>
        <v>0</v>
      </c>
      <c r="CR24" s="12">
        <f t="shared" si="37"/>
        <v>61.012</v>
      </c>
      <c r="CS24" s="11">
        <f t="shared" si="37"/>
        <v>0</v>
      </c>
      <c r="CT24" s="11">
        <f t="shared" si="37"/>
        <v>0</v>
      </c>
      <c r="CU24" s="272">
        <f t="shared" si="37"/>
        <v>11.157999999999999</v>
      </c>
      <c r="CV24" s="249">
        <f t="shared" si="14"/>
        <v>67.878787200000005</v>
      </c>
      <c r="CW24" s="12">
        <f t="shared" si="14"/>
        <v>0</v>
      </c>
      <c r="CX24" s="249">
        <f t="shared" si="14"/>
        <v>0</v>
      </c>
      <c r="CY24" s="272">
        <f t="shared" si="14"/>
        <v>100.7385312</v>
      </c>
      <c r="CZ24" s="13"/>
      <c r="DA24" s="240">
        <f>(D24+'[2]декабрь 20'!D24)/(AY24+'[2]декабрь 20'!BA24)</f>
        <v>2.2184687715807421</v>
      </c>
      <c r="DB24" s="241">
        <f>(T24+'[2]декабрь 20'!T24)/(AY24+'[2]декабрь 20'!BA24)</f>
        <v>1.3377797062865351</v>
      </c>
      <c r="DD24" s="292">
        <f t="shared" si="15"/>
        <v>27.940999999999999</v>
      </c>
      <c r="DE24" s="291">
        <v>0.35</v>
      </c>
      <c r="DF24" s="291">
        <v>22.48</v>
      </c>
      <c r="DG24" s="145">
        <f t="shared" si="16"/>
        <v>27.843206500000001</v>
      </c>
      <c r="DH24" s="293">
        <f t="shared" si="29"/>
        <v>8.2694580805918871</v>
      </c>
      <c r="DJ24" s="322"/>
    </row>
    <row r="25" spans="1:115" s="76" customFormat="1" ht="16.5" customHeight="1" thickBot="1">
      <c r="A25" s="144">
        <v>19</v>
      </c>
      <c r="B25" s="122">
        <f>'[1]декабрь 20'!K24</f>
        <v>282.39299999999997</v>
      </c>
      <c r="C25" s="123">
        <f t="shared" si="17"/>
        <v>1.5620065653185453</v>
      </c>
      <c r="D25" s="145">
        <f t="shared" si="30"/>
        <v>277.98200279999998</v>
      </c>
      <c r="E25" s="125">
        <f t="shared" si="32"/>
        <v>39.078062027033248</v>
      </c>
      <c r="F25" s="146">
        <f t="shared" si="0"/>
        <v>1.9673177834394902</v>
      </c>
      <c r="G25" s="127">
        <v>19.79</v>
      </c>
      <c r="H25" s="126">
        <f t="shared" si="20"/>
        <v>1.4482731974522292</v>
      </c>
      <c r="I25" s="230">
        <f>'[1]июль 20'!AI24</f>
        <v>0</v>
      </c>
      <c r="J25" s="247">
        <f>'[1]декабрь 20'!AA24</f>
        <v>28.256</v>
      </c>
      <c r="K25" s="465">
        <f>'[1]сентябрь 20'!AM24</f>
        <v>0</v>
      </c>
      <c r="L25" s="446">
        <f>'[1]декабрь 20'!AE24</f>
        <v>73.340999999999994</v>
      </c>
      <c r="M25" s="469">
        <f t="shared" si="21"/>
        <v>0.51904458598726111</v>
      </c>
      <c r="N25" s="542">
        <f>'[1]декабрь 20'!W24</f>
        <v>0</v>
      </c>
      <c r="O25" s="403">
        <f>'[1]декабрь 20'!AU24</f>
        <v>8.99</v>
      </c>
      <c r="P25" s="401">
        <f t="shared" si="1"/>
        <v>177.012</v>
      </c>
      <c r="Q25" s="122">
        <f>'[1]декабрь 20'!S24</f>
        <v>177.012</v>
      </c>
      <c r="R25" s="123">
        <f>IF(Q25=0,0,(CI25*CM25+CG25*CK25+CH25*CL25+CF25*CJ25)/Q25)</f>
        <v>3.49</v>
      </c>
      <c r="S25" s="129"/>
      <c r="T25" s="125">
        <f t="shared" ref="T25:T37" si="38">Q25*((100-R25)/100)</f>
        <v>170.83428120000002</v>
      </c>
      <c r="U25" s="147">
        <f t="shared" si="31"/>
        <v>1.2090182675159236</v>
      </c>
      <c r="V25" s="130">
        <v>141.30000000000001</v>
      </c>
      <c r="W25" s="130">
        <v>141.30000000000001</v>
      </c>
      <c r="X25" s="129">
        <v>0.39</v>
      </c>
      <c r="Y25" s="150">
        <v>504</v>
      </c>
      <c r="Z25" s="150">
        <v>1161</v>
      </c>
      <c r="AA25" s="148" t="s">
        <v>130</v>
      </c>
      <c r="AB25" s="149">
        <v>76.44</v>
      </c>
      <c r="AC25" s="150">
        <v>113</v>
      </c>
      <c r="AD25" s="151">
        <v>5</v>
      </c>
      <c r="AE25" s="149"/>
      <c r="AF25" s="134">
        <f t="shared" si="4"/>
        <v>0</v>
      </c>
      <c r="AG25" s="152"/>
      <c r="AH25" s="129">
        <v>100.5</v>
      </c>
      <c r="AI25" s="134">
        <f t="shared" si="5"/>
        <v>711.25265392781307</v>
      </c>
      <c r="AJ25" s="136">
        <v>13.95</v>
      </c>
      <c r="AK25" s="154"/>
      <c r="AL25" s="155">
        <v>5.51</v>
      </c>
      <c r="AM25" s="478">
        <v>37.44</v>
      </c>
      <c r="AN25" s="126">
        <f t="shared" si="23"/>
        <v>0.20475799835931091</v>
      </c>
      <c r="AO25" s="157" t="s">
        <v>291</v>
      </c>
      <c r="AP25" s="156">
        <v>7.17</v>
      </c>
      <c r="AQ25" s="156">
        <v>7.16</v>
      </c>
      <c r="AR25" s="152"/>
      <c r="AS25" s="149">
        <v>10.16</v>
      </c>
      <c r="AT25" s="149">
        <v>182.85</v>
      </c>
      <c r="AU25" s="149">
        <v>1.4</v>
      </c>
      <c r="AV25" s="164"/>
      <c r="AW25" s="149"/>
      <c r="AX25" s="158">
        <f t="shared" si="6"/>
        <v>0</v>
      </c>
      <c r="AY25" s="125">
        <f t="shared" si="35"/>
        <v>141.30000000000001</v>
      </c>
      <c r="AZ25" s="125">
        <f t="shared" si="24"/>
        <v>130.78545892365946</v>
      </c>
      <c r="BA25" s="159">
        <f t="shared" si="8"/>
        <v>7.9097746478873239</v>
      </c>
      <c r="BB25" s="160">
        <f t="shared" si="9"/>
        <v>5.6520000000000001</v>
      </c>
      <c r="BC25" s="161">
        <f t="shared" si="10"/>
        <v>0.99429016298122463</v>
      </c>
      <c r="BD25" s="160">
        <f t="shared" si="25"/>
        <v>13.561774647887324</v>
      </c>
      <c r="BE25" s="162">
        <v>0.879</v>
      </c>
      <c r="BF25" s="25">
        <f t="shared" si="26"/>
        <v>1725.4499999999998</v>
      </c>
      <c r="BG25" s="25">
        <f t="shared" si="11"/>
        <v>116.7741935483871</v>
      </c>
      <c r="BH25" s="25">
        <f t="shared" si="27"/>
        <v>2218.7096774193551</v>
      </c>
      <c r="BI25" s="26">
        <f t="shared" si="36"/>
        <v>1</v>
      </c>
      <c r="BJ25" s="37">
        <f t="shared" si="28"/>
        <v>2218.7096774193551</v>
      </c>
      <c r="BK25" s="38"/>
      <c r="BL25" s="31">
        <v>209.05199999999999</v>
      </c>
      <c r="BM25" s="31"/>
      <c r="BN25" s="234">
        <v>62.137</v>
      </c>
      <c r="BO25" s="42"/>
      <c r="BP25" s="40"/>
      <c r="BQ25" s="411">
        <v>11.204000000000001</v>
      </c>
      <c r="BR25" s="33"/>
      <c r="BS25" s="34">
        <v>2.11</v>
      </c>
      <c r="BT25" s="35"/>
      <c r="BU25" s="35"/>
      <c r="BV25" s="235"/>
      <c r="BW25" s="235"/>
      <c r="BX25" s="36"/>
      <c r="BY25" s="33"/>
      <c r="BZ25" s="34">
        <v>37.479999999999997</v>
      </c>
      <c r="CA25" s="35"/>
      <c r="CB25" s="405">
        <v>43.65</v>
      </c>
      <c r="CC25" s="404"/>
      <c r="CD25" s="235"/>
      <c r="CE25" s="413">
        <v>43.54</v>
      </c>
      <c r="CF25" s="30">
        <v>71.135999999999996</v>
      </c>
      <c r="CG25" s="30"/>
      <c r="CH25" s="31"/>
      <c r="CI25" s="32">
        <v>105.876</v>
      </c>
      <c r="CJ25" s="33">
        <v>3.49</v>
      </c>
      <c r="CK25" s="33"/>
      <c r="CL25" s="35"/>
      <c r="CM25" s="36">
        <v>3.49</v>
      </c>
      <c r="CN25" s="286"/>
      <c r="CO25" s="249">
        <f t="shared" si="37"/>
        <v>0</v>
      </c>
      <c r="CP25" s="12">
        <f t="shared" si="37"/>
        <v>204.6410028</v>
      </c>
      <c r="CQ25" s="12">
        <f t="shared" si="37"/>
        <v>0</v>
      </c>
      <c r="CR25" s="12">
        <f t="shared" si="37"/>
        <v>62.137</v>
      </c>
      <c r="CS25" s="11">
        <f t="shared" si="37"/>
        <v>0</v>
      </c>
      <c r="CT25" s="11">
        <f t="shared" si="37"/>
        <v>0</v>
      </c>
      <c r="CU25" s="272">
        <f t="shared" si="37"/>
        <v>11.204000000000001</v>
      </c>
      <c r="CV25" s="249">
        <f t="shared" si="14"/>
        <v>68.653353600000003</v>
      </c>
      <c r="CW25" s="251">
        <f t="shared" si="14"/>
        <v>0</v>
      </c>
      <c r="CX25" s="249">
        <f t="shared" si="14"/>
        <v>0</v>
      </c>
      <c r="CY25" s="272">
        <f t="shared" si="14"/>
        <v>102.18092760000002</v>
      </c>
      <c r="CZ25" s="13"/>
      <c r="DA25" s="240">
        <f>(D25+'[2]декабрь 20'!D25)/(AY25+'[2]декабрь 20'!BA25)</f>
        <v>2.0771587847816404</v>
      </c>
      <c r="DB25" s="241">
        <f>(T25+'[2]декабрь 20'!T25)/(AY25+'[2]декабрь 20'!BA25)</f>
        <v>1.2560441360556975</v>
      </c>
      <c r="DD25" s="292">
        <f t="shared" si="15"/>
        <v>28.256</v>
      </c>
      <c r="DE25" s="291">
        <v>0.3</v>
      </c>
      <c r="DF25" s="291">
        <v>18.239999999999998</v>
      </c>
      <c r="DG25" s="145">
        <f t="shared" si="16"/>
        <v>28.171232</v>
      </c>
      <c r="DH25" s="293">
        <f t="shared" si="29"/>
        <v>6.7221778084772366</v>
      </c>
      <c r="DJ25" s="322"/>
    </row>
    <row r="26" spans="1:115" s="76" customFormat="1" ht="16.5" customHeight="1" thickBot="1">
      <c r="A26" s="144">
        <v>20</v>
      </c>
      <c r="B26" s="122">
        <f>'[1]декабрь 20'!K25</f>
        <v>305.17500000000001</v>
      </c>
      <c r="C26" s="123">
        <f t="shared" si="17"/>
        <v>0.78462750880642262</v>
      </c>
      <c r="D26" s="145">
        <f t="shared" si="30"/>
        <v>302.78051299999998</v>
      </c>
      <c r="E26" s="125">
        <f t="shared" si="32"/>
        <v>38.46994698124027</v>
      </c>
      <c r="F26" s="146">
        <f t="shared" si="0"/>
        <v>2.1357163927488183</v>
      </c>
      <c r="G26" s="127">
        <v>30.88</v>
      </c>
      <c r="H26" s="126">
        <f t="shared" si="20"/>
        <v>1.5765007617972771</v>
      </c>
      <c r="I26" s="230">
        <f>'[1]июль 20'!AI25</f>
        <v>0</v>
      </c>
      <c r="J26" s="247">
        <f>'[1]декабрь 20'!AA25</f>
        <v>30.542000000000002</v>
      </c>
      <c r="K26" s="464">
        <f>'[1]сентябрь 20'!AM25</f>
        <v>0</v>
      </c>
      <c r="L26" s="446">
        <f>'[1]декабрь 20'!AE25</f>
        <v>79.28</v>
      </c>
      <c r="M26" s="468">
        <f t="shared" si="21"/>
        <v>0.55921563095154114</v>
      </c>
      <c r="N26" s="542">
        <f>'[1]декабрь 20'!W25</f>
        <v>0</v>
      </c>
      <c r="O26" s="403">
        <f>'[1]декабрь 20'!AU25</f>
        <v>9.7840000000000007</v>
      </c>
      <c r="P26" s="401">
        <f t="shared" si="1"/>
        <v>192.97</v>
      </c>
      <c r="Q26" s="122">
        <f>'[1]декабрь 20'!S25</f>
        <v>192.97</v>
      </c>
      <c r="R26" s="123">
        <f t="shared" si="22"/>
        <v>3.39</v>
      </c>
      <c r="S26" s="129">
        <v>11.85</v>
      </c>
      <c r="T26" s="125">
        <f t="shared" si="38"/>
        <v>186.42831699999999</v>
      </c>
      <c r="U26" s="147">
        <f t="shared" si="31"/>
        <v>1.3150054101714042</v>
      </c>
      <c r="V26" s="169">
        <v>141.77000000000001</v>
      </c>
      <c r="W26" s="169">
        <v>141.77000000000001</v>
      </c>
      <c r="X26" s="170">
        <v>0.6</v>
      </c>
      <c r="Y26" s="166">
        <v>481</v>
      </c>
      <c r="Z26" s="166">
        <v>1172</v>
      </c>
      <c r="AA26" s="148" t="s">
        <v>120</v>
      </c>
      <c r="AB26" s="164">
        <v>75.94</v>
      </c>
      <c r="AC26" s="166">
        <v>122</v>
      </c>
      <c r="AD26" s="171">
        <v>5</v>
      </c>
      <c r="AE26" s="164"/>
      <c r="AF26" s="172">
        <f t="shared" si="4"/>
        <v>0</v>
      </c>
      <c r="AG26" s="173"/>
      <c r="AH26" s="170">
        <v>94.6</v>
      </c>
      <c r="AI26" s="134">
        <f t="shared" si="5"/>
        <v>667.27798546942222</v>
      </c>
      <c r="AJ26" s="174">
        <v>16.71</v>
      </c>
      <c r="AK26" s="175"/>
      <c r="AL26" s="176">
        <v>7.19</v>
      </c>
      <c r="AM26" s="478">
        <v>33.159999999999997</v>
      </c>
      <c r="AN26" s="126">
        <f t="shared" si="23"/>
        <v>0.18345781466113414</v>
      </c>
      <c r="AO26" s="178" t="s">
        <v>199</v>
      </c>
      <c r="AP26" s="177">
        <v>7.36</v>
      </c>
      <c r="AQ26" s="177">
        <v>6.91</v>
      </c>
      <c r="AR26" s="171"/>
      <c r="AS26" s="164">
        <v>7.98</v>
      </c>
      <c r="AT26" s="149">
        <v>180.75</v>
      </c>
      <c r="AU26" s="164">
        <v>1.37</v>
      </c>
      <c r="AV26" s="164"/>
      <c r="AW26" s="164"/>
      <c r="AX26" s="179">
        <f t="shared" si="6"/>
        <v>0</v>
      </c>
      <c r="AY26" s="125">
        <f t="shared" si="35"/>
        <v>141.77000000000001</v>
      </c>
      <c r="AZ26" s="125">
        <f t="shared" si="24"/>
        <v>142.04489165847727</v>
      </c>
      <c r="BA26" s="159">
        <f t="shared" si="8"/>
        <v>5.847878873239436</v>
      </c>
      <c r="BB26" s="159">
        <f t="shared" si="9"/>
        <v>5.6708000000000007</v>
      </c>
      <c r="BC26" s="180">
        <f t="shared" si="10"/>
        <v>0.92428397608969304</v>
      </c>
      <c r="BD26" s="159">
        <f t="shared" si="25"/>
        <v>11.518678873239438</v>
      </c>
      <c r="BE26" s="167">
        <v>0.88200000000000001</v>
      </c>
      <c r="BF26" s="25">
        <f t="shared" si="26"/>
        <v>1867.2199999999998</v>
      </c>
      <c r="BG26" s="25">
        <f t="shared" si="11"/>
        <v>116.7741935483871</v>
      </c>
      <c r="BH26" s="25">
        <f t="shared" si="27"/>
        <v>2335.4838709677424</v>
      </c>
      <c r="BI26" s="26">
        <f t="shared" si="36"/>
        <v>1</v>
      </c>
      <c r="BJ26" s="37">
        <f t="shared" si="28"/>
        <v>2335.4838709677424</v>
      </c>
      <c r="BK26" s="38"/>
      <c r="BL26" s="43">
        <v>225.89500000000001</v>
      </c>
      <c r="BM26" s="31"/>
      <c r="BN26" s="406">
        <v>67.081999999999994</v>
      </c>
      <c r="BO26" s="42"/>
      <c r="BP26" s="40"/>
      <c r="BQ26" s="412">
        <v>12.198</v>
      </c>
      <c r="BR26" s="33"/>
      <c r="BS26" s="34">
        <v>1.06</v>
      </c>
      <c r="BT26" s="35"/>
      <c r="BU26" s="35"/>
      <c r="BV26" s="235"/>
      <c r="BW26" s="235"/>
      <c r="BX26" s="36"/>
      <c r="BY26" s="33"/>
      <c r="BZ26" s="34">
        <v>36.71</v>
      </c>
      <c r="CA26" s="35"/>
      <c r="CB26" s="405">
        <v>43.44</v>
      </c>
      <c r="CC26" s="404"/>
      <c r="CD26" s="235"/>
      <c r="CE26" s="413">
        <v>43.73</v>
      </c>
      <c r="CF26" s="30">
        <v>77.53</v>
      </c>
      <c r="CG26" s="30"/>
      <c r="CH26" s="43"/>
      <c r="CI26" s="32">
        <v>115.44</v>
      </c>
      <c r="CJ26" s="33">
        <v>3.39</v>
      </c>
      <c r="CK26" s="33"/>
      <c r="CL26" s="35"/>
      <c r="CM26" s="36">
        <v>3.39</v>
      </c>
      <c r="CN26" s="286"/>
      <c r="CO26" s="249">
        <f t="shared" si="37"/>
        <v>0</v>
      </c>
      <c r="CP26" s="12">
        <f t="shared" si="37"/>
        <v>223.50051299999998</v>
      </c>
      <c r="CQ26" s="12">
        <f t="shared" si="37"/>
        <v>0</v>
      </c>
      <c r="CR26" s="12">
        <f t="shared" si="37"/>
        <v>67.081999999999994</v>
      </c>
      <c r="CS26" s="11">
        <f t="shared" si="37"/>
        <v>0</v>
      </c>
      <c r="CT26" s="11">
        <f t="shared" si="37"/>
        <v>0</v>
      </c>
      <c r="CU26" s="272">
        <f t="shared" si="37"/>
        <v>12.198</v>
      </c>
      <c r="CV26" s="249">
        <f t="shared" si="14"/>
        <v>74.901732999999993</v>
      </c>
      <c r="CW26" s="12">
        <f t="shared" si="14"/>
        <v>0</v>
      </c>
      <c r="CX26" s="249">
        <f t="shared" si="14"/>
        <v>0</v>
      </c>
      <c r="CY26" s="274">
        <f t="shared" si="14"/>
        <v>111.526584</v>
      </c>
      <c r="CZ26" s="13"/>
      <c r="DA26" s="240">
        <f>(D26+'[2]декабрь 20'!D26)/(AY26+'[2]декабрь 20'!BA26)</f>
        <v>2.1200465165969171</v>
      </c>
      <c r="DB26" s="241">
        <f>(T26+'[2]декабрь 20'!T26)/(AY26+'[2]декабрь 20'!BA26)</f>
        <v>1.2674958202282238</v>
      </c>
      <c r="DD26" s="292">
        <f t="shared" si="15"/>
        <v>30.542000000000002</v>
      </c>
      <c r="DE26" s="291">
        <v>0.57999999999999996</v>
      </c>
      <c r="DF26" s="291">
        <v>20.36</v>
      </c>
      <c r="DG26" s="145">
        <f t="shared" si="16"/>
        <v>30.364856400000001</v>
      </c>
      <c r="DH26" s="293">
        <f t="shared" si="29"/>
        <v>8.1410123295233081</v>
      </c>
      <c r="DJ26" s="322"/>
    </row>
    <row r="27" spans="1:115" s="76" customFormat="1" ht="16.5" customHeight="1" thickBot="1">
      <c r="A27" s="144">
        <v>21</v>
      </c>
      <c r="B27" s="122">
        <f>'[1]декабрь 20'!K26</f>
        <v>292.73</v>
      </c>
      <c r="C27" s="123">
        <f t="shared" si="17"/>
        <v>3.3143858162812148</v>
      </c>
      <c r="D27" s="145">
        <f t="shared" si="30"/>
        <v>283.02779839999999</v>
      </c>
      <c r="E27" s="125">
        <f t="shared" si="32"/>
        <v>38.701810815427187</v>
      </c>
      <c r="F27" s="146">
        <f t="shared" si="0"/>
        <v>2.0546482642468238</v>
      </c>
      <c r="G27" s="127">
        <v>12.17</v>
      </c>
      <c r="H27" s="126">
        <f t="shared" si="20"/>
        <v>1.5017408232304899</v>
      </c>
      <c r="I27" s="230">
        <f>'[1]июль 20'!AI26</f>
        <v>0</v>
      </c>
      <c r="J27" s="247">
        <f>'[1]декабрь 20'!AA26</f>
        <v>18.077999999999999</v>
      </c>
      <c r="K27" s="464">
        <f>'[1]сентябрь 20'!AM26</f>
        <v>0</v>
      </c>
      <c r="L27" s="446">
        <f>'[1]декабрь 20'!AE26</f>
        <v>76.162999999999997</v>
      </c>
      <c r="M27" s="469">
        <f t="shared" si="21"/>
        <v>0.55290744101633393</v>
      </c>
      <c r="N27" s="542">
        <f>'[1]декабрь 20'!W26</f>
        <v>0</v>
      </c>
      <c r="O27" s="403">
        <f>'[1]декабрь 20'!AU26</f>
        <v>9.4770000000000003</v>
      </c>
      <c r="P27" s="401">
        <f t="shared" si="1"/>
        <v>183.46600000000001</v>
      </c>
      <c r="Q27" s="122">
        <f>'[1]декабрь 20'!S26</f>
        <v>183.46600000000001</v>
      </c>
      <c r="R27" s="123">
        <f t="shared" si="22"/>
        <v>3.120596186759399</v>
      </c>
      <c r="S27" s="129">
        <v>14.2</v>
      </c>
      <c r="T27" s="125">
        <f t="shared" si="38"/>
        <v>177.74076700000001</v>
      </c>
      <c r="U27" s="147">
        <f t="shared" si="31"/>
        <v>1.2903140980036298</v>
      </c>
      <c r="V27" s="130">
        <v>137.75</v>
      </c>
      <c r="W27" s="130">
        <v>109.36</v>
      </c>
      <c r="X27" s="129">
        <v>0.75</v>
      </c>
      <c r="Y27" s="150">
        <v>519</v>
      </c>
      <c r="Z27" s="150">
        <v>1168</v>
      </c>
      <c r="AA27" s="148" t="s">
        <v>116</v>
      </c>
      <c r="AB27" s="149">
        <v>76.45</v>
      </c>
      <c r="AC27" s="150">
        <v>117</v>
      </c>
      <c r="AD27" s="151">
        <v>5</v>
      </c>
      <c r="AE27" s="149"/>
      <c r="AF27" s="134">
        <f t="shared" si="4"/>
        <v>0</v>
      </c>
      <c r="AG27" s="152"/>
      <c r="AH27" s="129">
        <v>85.25</v>
      </c>
      <c r="AI27" s="134">
        <f t="shared" si="5"/>
        <v>618.87477313974591</v>
      </c>
      <c r="AJ27" s="136">
        <v>16.399999999999999</v>
      </c>
      <c r="AK27" s="154"/>
      <c r="AL27" s="155">
        <v>9.58</v>
      </c>
      <c r="AM27" s="478">
        <v>33.86</v>
      </c>
      <c r="AN27" s="126">
        <f t="shared" si="23"/>
        <v>0.18889818688981869</v>
      </c>
      <c r="AO27" s="157" t="s">
        <v>468</v>
      </c>
      <c r="AP27" s="156">
        <v>7.33</v>
      </c>
      <c r="AQ27" s="156">
        <v>6.97</v>
      </c>
      <c r="AR27" s="151"/>
      <c r="AS27" s="149">
        <v>8.83</v>
      </c>
      <c r="AT27" s="149">
        <v>179.25</v>
      </c>
      <c r="AU27" s="149">
        <v>1.94</v>
      </c>
      <c r="AV27" s="164"/>
      <c r="AW27" s="149"/>
      <c r="AX27" s="158">
        <f t="shared" si="6"/>
        <v>0</v>
      </c>
      <c r="AY27" s="125">
        <f t="shared" si="35"/>
        <v>137.75</v>
      </c>
      <c r="AZ27" s="125">
        <f t="shared" si="24"/>
        <v>128.24557214803582</v>
      </c>
      <c r="BA27" s="159">
        <f t="shared" si="8"/>
        <v>5.8312200704225354</v>
      </c>
      <c r="BB27" s="160">
        <f t="shared" si="9"/>
        <v>5.51</v>
      </c>
      <c r="BC27" s="161">
        <f t="shared" si="10"/>
        <v>0.96141018465631622</v>
      </c>
      <c r="BD27" s="160">
        <f t="shared" si="25"/>
        <v>11.341220070422535</v>
      </c>
      <c r="BE27" s="162">
        <v>0.88700000000000001</v>
      </c>
      <c r="BF27" s="25">
        <f t="shared" si="26"/>
        <v>2004.9699999999998</v>
      </c>
      <c r="BG27" s="25">
        <f t="shared" si="11"/>
        <v>116.7741935483871</v>
      </c>
      <c r="BH27" s="25">
        <f t="shared" si="27"/>
        <v>2452.2580645161297</v>
      </c>
      <c r="BI27" s="26">
        <f t="shared" si="36"/>
        <v>1</v>
      </c>
      <c r="BJ27" s="37">
        <f t="shared" si="28"/>
        <v>2452.2580645161297</v>
      </c>
      <c r="BK27" s="38"/>
      <c r="BL27" s="31">
        <v>216.56700000000001</v>
      </c>
      <c r="BM27" s="31"/>
      <c r="BN27" s="234">
        <v>64.366</v>
      </c>
      <c r="BO27" s="42"/>
      <c r="BP27" s="40"/>
      <c r="BQ27" s="411">
        <v>11.797000000000001</v>
      </c>
      <c r="BR27" s="33"/>
      <c r="BS27" s="34">
        <v>4.4800000000000004</v>
      </c>
      <c r="BT27" s="35"/>
      <c r="BU27" s="35"/>
      <c r="BV27" s="235"/>
      <c r="BW27" s="235"/>
      <c r="BX27" s="36"/>
      <c r="BY27" s="33"/>
      <c r="BZ27" s="34">
        <v>36.909999999999997</v>
      </c>
      <c r="CA27" s="35"/>
      <c r="CB27" s="405">
        <v>43.82</v>
      </c>
      <c r="CC27" s="404"/>
      <c r="CD27" s="235"/>
      <c r="CE27" s="413">
        <v>43.67</v>
      </c>
      <c r="CF27" s="30">
        <v>73.751000000000005</v>
      </c>
      <c r="CG27" s="30"/>
      <c r="CH27" s="31"/>
      <c r="CI27" s="32">
        <v>109.715</v>
      </c>
      <c r="CJ27" s="33">
        <v>3.3</v>
      </c>
      <c r="CK27" s="33"/>
      <c r="CL27" s="35"/>
      <c r="CM27" s="36">
        <v>3</v>
      </c>
      <c r="CN27" s="286"/>
      <c r="CO27" s="249">
        <f t="shared" si="37"/>
        <v>0</v>
      </c>
      <c r="CP27" s="12">
        <f t="shared" si="37"/>
        <v>206.86479839999998</v>
      </c>
      <c r="CQ27" s="12">
        <f t="shared" si="37"/>
        <v>0</v>
      </c>
      <c r="CR27" s="12">
        <f t="shared" si="37"/>
        <v>64.366</v>
      </c>
      <c r="CS27" s="11">
        <f t="shared" si="37"/>
        <v>0</v>
      </c>
      <c r="CT27" s="11">
        <f t="shared" si="37"/>
        <v>0</v>
      </c>
      <c r="CU27" s="272">
        <f t="shared" si="37"/>
        <v>11.797000000000001</v>
      </c>
      <c r="CV27" s="249">
        <f t="shared" si="14"/>
        <v>71.317217000000014</v>
      </c>
      <c r="CW27" s="11">
        <f t="shared" si="14"/>
        <v>0</v>
      </c>
      <c r="CX27" s="249">
        <f t="shared" si="14"/>
        <v>0</v>
      </c>
      <c r="CY27" s="272">
        <f t="shared" si="14"/>
        <v>106.42355000000001</v>
      </c>
      <c r="CZ27" s="13"/>
      <c r="DA27" s="240">
        <f>(D27+'[2]декабрь 20'!D27)/(AY27+'[2]декабрь 20'!BA27)</f>
        <v>2.1631526212553496</v>
      </c>
      <c r="DB27" s="241">
        <f>(T27+'[2]декабрь 20'!T27)/(AY27+'[2]декабрь 20'!BA27)</f>
        <v>1.3341731872993936</v>
      </c>
      <c r="DD27" s="292">
        <f t="shared" si="15"/>
        <v>18.077999999999999</v>
      </c>
      <c r="DE27" s="291">
        <v>1.65</v>
      </c>
      <c r="DF27" s="291">
        <v>13.6</v>
      </c>
      <c r="DG27" s="145">
        <f t="shared" si="16"/>
        <v>17.779712999999997</v>
      </c>
      <c r="DH27" s="293">
        <f t="shared" si="29"/>
        <v>3.1629051249182467</v>
      </c>
      <c r="DJ27" s="322"/>
    </row>
    <row r="28" spans="1:115" s="76" customFormat="1" ht="16.5" customHeight="1" thickBot="1">
      <c r="A28" s="144">
        <v>22</v>
      </c>
      <c r="B28" s="122">
        <f>'[1]декабрь 20'!K27</f>
        <v>300.077</v>
      </c>
      <c r="C28" s="123">
        <f t="shared" si="17"/>
        <v>1.1281567730949058</v>
      </c>
      <c r="D28" s="145">
        <f t="shared" si="30"/>
        <v>296.69166100000001</v>
      </c>
      <c r="E28" s="125">
        <f t="shared" si="32"/>
        <v>38.782250389066803</v>
      </c>
      <c r="F28" s="146">
        <f t="shared" si="0"/>
        <v>2.3047592713431211</v>
      </c>
      <c r="G28" s="127">
        <v>29.15</v>
      </c>
      <c r="H28" s="126">
        <f t="shared" si="20"/>
        <v>1.6986690048939641</v>
      </c>
      <c r="I28" s="230">
        <f>'[1]июль 20'!AI27</f>
        <v>0</v>
      </c>
      <c r="J28" s="247">
        <f>'[1]декабрь 20'!AA27</f>
        <v>12.002000000000001</v>
      </c>
      <c r="K28" s="464">
        <f>'[1]сентябрь 20'!AM27</f>
        <v>0</v>
      </c>
      <c r="L28" s="446">
        <f>'[1]декабрь 20'!AE27</f>
        <v>78.022000000000006</v>
      </c>
      <c r="M28" s="468">
        <f t="shared" si="21"/>
        <v>0.60609026644915709</v>
      </c>
      <c r="N28" s="542">
        <f>'[1]декабрь 20'!W27</f>
        <v>0</v>
      </c>
      <c r="O28" s="403">
        <f>'[1]декабрь 20'!AU27</f>
        <v>10.173999999999999</v>
      </c>
      <c r="P28" s="401">
        <f t="shared" si="1"/>
        <v>189.53800000000001</v>
      </c>
      <c r="Q28" s="122">
        <f>'[1]декабрь 20'!S27</f>
        <v>189.53800000000001</v>
      </c>
      <c r="R28" s="123">
        <f t="shared" si="22"/>
        <v>3.34</v>
      </c>
      <c r="S28" s="129">
        <v>11.36</v>
      </c>
      <c r="T28" s="125">
        <f t="shared" si="38"/>
        <v>183.20743080000003</v>
      </c>
      <c r="U28" s="147">
        <f t="shared" si="31"/>
        <v>1.4231914145886739</v>
      </c>
      <c r="V28" s="130">
        <v>128.72999999999999</v>
      </c>
      <c r="W28" s="130">
        <v>104.71</v>
      </c>
      <c r="X28" s="129">
        <v>0.56999999999999995</v>
      </c>
      <c r="Y28" s="150">
        <v>509</v>
      </c>
      <c r="Z28" s="150">
        <v>1152</v>
      </c>
      <c r="AA28" s="148" t="s">
        <v>114</v>
      </c>
      <c r="AB28" s="149">
        <v>76.180000000000007</v>
      </c>
      <c r="AC28" s="150">
        <v>120</v>
      </c>
      <c r="AD28" s="151">
        <v>5</v>
      </c>
      <c r="AE28" s="149"/>
      <c r="AF28" s="134">
        <f t="shared" si="4"/>
        <v>0</v>
      </c>
      <c r="AG28" s="152"/>
      <c r="AH28" s="129">
        <v>91.15</v>
      </c>
      <c r="AI28" s="134">
        <f t="shared" si="5"/>
        <v>708.07115668453343</v>
      </c>
      <c r="AJ28" s="153">
        <v>19.079999999999998</v>
      </c>
      <c r="AK28" s="154"/>
      <c r="AL28" s="155">
        <v>10.57</v>
      </c>
      <c r="AM28" s="478">
        <v>40.76</v>
      </c>
      <c r="AN28" s="126">
        <f t="shared" si="23"/>
        <v>0.22997066125028209</v>
      </c>
      <c r="AO28" s="157" t="s">
        <v>197</v>
      </c>
      <c r="AP28" s="156">
        <v>7.19</v>
      </c>
      <c r="AQ28" s="156">
        <v>6.92</v>
      </c>
      <c r="AR28" s="151"/>
      <c r="AS28" s="149">
        <v>8.5299999999999994</v>
      </c>
      <c r="AT28" s="149">
        <v>177.24</v>
      </c>
      <c r="AU28" s="149">
        <v>2.82</v>
      </c>
      <c r="AV28" s="164"/>
      <c r="AW28" s="149"/>
      <c r="AX28" s="158">
        <f t="shared" si="6"/>
        <v>0</v>
      </c>
      <c r="AY28" s="125">
        <f t="shared" si="35"/>
        <v>128.73000000000002</v>
      </c>
      <c r="AZ28" s="125">
        <f t="shared" si="24"/>
        <v>134.35771630348333</v>
      </c>
      <c r="BA28" s="159">
        <f t="shared" si="8"/>
        <v>6.0229609154929573</v>
      </c>
      <c r="BB28" s="160">
        <f t="shared" si="9"/>
        <v>5.1492000000000004</v>
      </c>
      <c r="BC28" s="161">
        <f t="shared" si="10"/>
        <v>0.8522801854005192</v>
      </c>
      <c r="BD28" s="160">
        <f t="shared" si="25"/>
        <v>11.172160915492958</v>
      </c>
      <c r="BE28" s="162">
        <v>0.88500000000000001</v>
      </c>
      <c r="BF28" s="25">
        <f t="shared" si="26"/>
        <v>2133.6999999999998</v>
      </c>
      <c r="BG28" s="25">
        <f t="shared" si="11"/>
        <v>116.7741935483871</v>
      </c>
      <c r="BH28" s="25">
        <f t="shared" si="27"/>
        <v>2569.032258064517</v>
      </c>
      <c r="BI28" s="26">
        <f t="shared" si="36"/>
        <v>1</v>
      </c>
      <c r="BJ28" s="37">
        <f t="shared" si="28"/>
        <v>2569.032258064517</v>
      </c>
      <c r="BK28" s="38">
        <v>137.65</v>
      </c>
      <c r="BL28" s="31">
        <v>84.405000000000001</v>
      </c>
      <c r="BM28" s="31"/>
      <c r="BN28" s="234">
        <v>66.033000000000001</v>
      </c>
      <c r="BO28" s="42"/>
      <c r="BP28" s="40"/>
      <c r="BQ28" s="411">
        <v>11.989000000000001</v>
      </c>
      <c r="BR28" s="33">
        <v>1</v>
      </c>
      <c r="BS28" s="34">
        <v>2.38</v>
      </c>
      <c r="BT28" s="35"/>
      <c r="BU28" s="35"/>
      <c r="BV28" s="235"/>
      <c r="BW28" s="235"/>
      <c r="BX28" s="36"/>
      <c r="BY28" s="33">
        <v>37.33</v>
      </c>
      <c r="BZ28" s="34">
        <v>37.049999999999997</v>
      </c>
      <c r="CA28" s="35"/>
      <c r="CB28" s="405">
        <v>43.12</v>
      </c>
      <c r="CC28" s="404"/>
      <c r="CD28" s="235"/>
      <c r="CE28" s="36">
        <v>43.76</v>
      </c>
      <c r="CF28" s="30">
        <v>75.646000000000001</v>
      </c>
      <c r="CG28" s="30"/>
      <c r="CH28" s="31"/>
      <c r="CI28" s="32">
        <v>113.892</v>
      </c>
      <c r="CJ28" s="33">
        <v>3.34</v>
      </c>
      <c r="CK28" s="33"/>
      <c r="CL28" s="35"/>
      <c r="CM28" s="36">
        <v>3.34</v>
      </c>
      <c r="CN28" s="286"/>
      <c r="CO28" s="249">
        <f t="shared" si="37"/>
        <v>136.27350000000001</v>
      </c>
      <c r="CP28" s="12">
        <f t="shared" si="37"/>
        <v>82.396161000000006</v>
      </c>
      <c r="CQ28" s="12">
        <f t="shared" si="37"/>
        <v>0</v>
      </c>
      <c r="CR28" s="12">
        <f t="shared" si="37"/>
        <v>66.033000000000001</v>
      </c>
      <c r="CS28" s="11">
        <f t="shared" si="37"/>
        <v>0</v>
      </c>
      <c r="CT28" s="11">
        <f t="shared" si="37"/>
        <v>0</v>
      </c>
      <c r="CU28" s="272">
        <f t="shared" si="37"/>
        <v>11.989000000000001</v>
      </c>
      <c r="CV28" s="249">
        <f t="shared" si="14"/>
        <v>73.119423600000005</v>
      </c>
      <c r="CW28" s="12">
        <f t="shared" si="14"/>
        <v>0</v>
      </c>
      <c r="CX28" s="249">
        <f t="shared" si="14"/>
        <v>0</v>
      </c>
      <c r="CY28" s="272">
        <f t="shared" si="14"/>
        <v>110.08800719999999</v>
      </c>
      <c r="CZ28" s="13"/>
      <c r="DA28" s="240">
        <f>(D28+'[2]декабрь 20'!D28)/(AY28+'[2]декабрь 20'!BA28)</f>
        <v>2.3228882527702779</v>
      </c>
      <c r="DB28" s="241">
        <f>(T28+'[2]декабрь 20'!T28)/(AY28+'[2]декабрь 20'!BA28)</f>
        <v>1.4117507466087271</v>
      </c>
      <c r="DD28" s="292">
        <f t="shared" si="15"/>
        <v>12.002000000000001</v>
      </c>
      <c r="DE28" s="305">
        <v>1.39</v>
      </c>
      <c r="DF28" s="291">
        <v>16.079999999999998</v>
      </c>
      <c r="DG28" s="145">
        <f t="shared" si="16"/>
        <v>11.835172200000001</v>
      </c>
      <c r="DH28" s="293">
        <f t="shared" si="29"/>
        <v>2.498156589341034</v>
      </c>
      <c r="DJ28" s="322"/>
    </row>
    <row r="29" spans="1:115" s="76" customFormat="1" ht="16.5" customHeight="1" thickBot="1">
      <c r="A29" s="144">
        <v>23</v>
      </c>
      <c r="B29" s="122">
        <f>'[1]декабрь 20'!K28</f>
        <v>277.64499999999998</v>
      </c>
      <c r="C29" s="123">
        <f t="shared" si="17"/>
        <v>1.6587109438311516</v>
      </c>
      <c r="D29" s="145">
        <f t="shared" si="30"/>
        <v>273.039672</v>
      </c>
      <c r="E29" s="125">
        <f t="shared" si="32"/>
        <v>38.750286516955107</v>
      </c>
      <c r="F29" s="146">
        <f t="shared" si="0"/>
        <v>2.0951478821362799</v>
      </c>
      <c r="G29" s="127">
        <v>15.72</v>
      </c>
      <c r="H29" s="126">
        <f t="shared" si="20"/>
        <v>1.5422780233271949</v>
      </c>
      <c r="I29" s="230">
        <f>'[1]июль 20'!AI28</f>
        <v>0</v>
      </c>
      <c r="J29" s="247">
        <f>'[1]декабрь 20'!AA28</f>
        <v>11.016999999999999</v>
      </c>
      <c r="K29" s="464">
        <f>'[1]сентябрь 20'!AM28</f>
        <v>0</v>
      </c>
      <c r="L29" s="446">
        <f>'[1]декабрь 20'!AE28</f>
        <v>72.05</v>
      </c>
      <c r="M29" s="469">
        <f t="shared" si="21"/>
        <v>0.55286985880908535</v>
      </c>
      <c r="N29" s="542">
        <f>'[1]декабрь 20'!W28</f>
        <v>0</v>
      </c>
      <c r="O29" s="403">
        <f>'[1]декабрь 20'!AU28</f>
        <v>9.7899999999999991</v>
      </c>
      <c r="P29" s="401">
        <f t="shared" si="1"/>
        <v>176.50200000000001</v>
      </c>
      <c r="Q29" s="122">
        <f>'[1]декабрь 20'!S28</f>
        <v>176.50200000000001</v>
      </c>
      <c r="R29" s="123">
        <f t="shared" si="22"/>
        <v>3.3399999999999994</v>
      </c>
      <c r="S29" s="129">
        <v>16.920000000000002</v>
      </c>
      <c r="T29" s="125">
        <f t="shared" si="38"/>
        <v>170.60683320000001</v>
      </c>
      <c r="U29" s="147">
        <f t="shared" si="31"/>
        <v>1.3091377624309395</v>
      </c>
      <c r="V29" s="130">
        <v>130.32</v>
      </c>
      <c r="W29" s="130">
        <v>103.07</v>
      </c>
      <c r="X29" s="129">
        <v>0.66</v>
      </c>
      <c r="Y29" s="150">
        <v>557</v>
      </c>
      <c r="Z29" s="150">
        <v>1160</v>
      </c>
      <c r="AA29" s="148" t="s">
        <v>134</v>
      </c>
      <c r="AB29" s="149">
        <v>76.84</v>
      </c>
      <c r="AC29" s="150">
        <v>111</v>
      </c>
      <c r="AD29" s="151">
        <v>5</v>
      </c>
      <c r="AE29" s="149"/>
      <c r="AF29" s="134">
        <f t="shared" si="4"/>
        <v>0</v>
      </c>
      <c r="AG29" s="152"/>
      <c r="AH29" s="129">
        <v>92.85</v>
      </c>
      <c r="AI29" s="134">
        <f t="shared" si="5"/>
        <v>712.47697974217306</v>
      </c>
      <c r="AJ29" s="136">
        <v>12.12</v>
      </c>
      <c r="AK29" s="154"/>
      <c r="AL29" s="155">
        <v>10.56</v>
      </c>
      <c r="AM29" s="478">
        <v>36.36</v>
      </c>
      <c r="AN29" s="126">
        <f t="shared" si="23"/>
        <v>0.20806866952789699</v>
      </c>
      <c r="AO29" s="157" t="s">
        <v>201</v>
      </c>
      <c r="AP29" s="156">
        <v>7.08</v>
      </c>
      <c r="AQ29" s="156">
        <v>6.96</v>
      </c>
      <c r="AR29" s="149"/>
      <c r="AS29" s="149">
        <v>7.76</v>
      </c>
      <c r="AT29" s="149">
        <v>174.75</v>
      </c>
      <c r="AU29" s="149">
        <v>2.4900000000000002</v>
      </c>
      <c r="AV29" s="164"/>
      <c r="AW29" s="149"/>
      <c r="AX29" s="158">
        <f t="shared" si="6"/>
        <v>0</v>
      </c>
      <c r="AY29" s="125">
        <f t="shared" si="35"/>
        <v>130.32</v>
      </c>
      <c r="AZ29" s="125">
        <f t="shared" si="24"/>
        <v>122.2767111681744</v>
      </c>
      <c r="BA29" s="159">
        <f t="shared" si="8"/>
        <v>5.5814619718309855</v>
      </c>
      <c r="BB29" s="160">
        <f t="shared" si="9"/>
        <v>5.2127999999999997</v>
      </c>
      <c r="BC29" s="161">
        <f t="shared" si="10"/>
        <v>0.94645017514773788</v>
      </c>
      <c r="BD29" s="160">
        <f t="shared" si="25"/>
        <v>10.794261971830984</v>
      </c>
      <c r="BE29" s="162">
        <v>0.88800000000000001</v>
      </c>
      <c r="BF29" s="25">
        <f t="shared" si="26"/>
        <v>2264.02</v>
      </c>
      <c r="BG29" s="25">
        <f t="shared" si="11"/>
        <v>116.7741935483871</v>
      </c>
      <c r="BH29" s="25">
        <f t="shared" si="27"/>
        <v>2685.8064516129043</v>
      </c>
      <c r="BI29" s="26">
        <f t="shared" si="36"/>
        <v>1</v>
      </c>
      <c r="BJ29" s="37">
        <f t="shared" si="28"/>
        <v>2685.8064516129043</v>
      </c>
      <c r="BK29" s="328"/>
      <c r="BL29" s="31">
        <v>205.595</v>
      </c>
      <c r="BM29" s="31"/>
      <c r="BN29" s="31">
        <v>61.064999999999998</v>
      </c>
      <c r="BO29" s="40"/>
      <c r="BP29" s="40"/>
      <c r="BQ29" s="32">
        <v>10.984999999999999</v>
      </c>
      <c r="BR29" s="33"/>
      <c r="BS29" s="34">
        <v>2.2400000000000002</v>
      </c>
      <c r="BT29" s="35"/>
      <c r="BU29" s="35"/>
      <c r="BV29" s="235"/>
      <c r="BW29" s="235"/>
      <c r="BX29" s="36"/>
      <c r="BY29" s="33"/>
      <c r="BZ29" s="34">
        <v>37.14</v>
      </c>
      <c r="CA29" s="35"/>
      <c r="CB29" s="35">
        <v>43.33</v>
      </c>
      <c r="CC29" s="235"/>
      <c r="CD29" s="235"/>
      <c r="CE29" s="36">
        <v>43.43</v>
      </c>
      <c r="CF29" s="30">
        <v>69.975999999999999</v>
      </c>
      <c r="CG29" s="30"/>
      <c r="CH29" s="31"/>
      <c r="CI29" s="32">
        <v>106.526</v>
      </c>
      <c r="CJ29" s="33">
        <v>3.34</v>
      </c>
      <c r="CK29" s="33"/>
      <c r="CL29" s="35"/>
      <c r="CM29" s="36">
        <v>3.34</v>
      </c>
      <c r="CN29" s="286"/>
      <c r="CO29" s="249">
        <f t="shared" si="37"/>
        <v>0</v>
      </c>
      <c r="CP29" s="12">
        <f t="shared" si="37"/>
        <v>200.98967200000001</v>
      </c>
      <c r="CQ29" s="12">
        <f t="shared" si="37"/>
        <v>0</v>
      </c>
      <c r="CR29" s="12">
        <f t="shared" si="37"/>
        <v>61.064999999999998</v>
      </c>
      <c r="CS29" s="11">
        <f t="shared" si="37"/>
        <v>0</v>
      </c>
      <c r="CT29" s="11">
        <f t="shared" si="37"/>
        <v>0</v>
      </c>
      <c r="CU29" s="272">
        <f t="shared" si="37"/>
        <v>10.984999999999999</v>
      </c>
      <c r="CV29" s="249">
        <f t="shared" si="14"/>
        <v>67.638801599999994</v>
      </c>
      <c r="CW29" s="12">
        <f t="shared" si="14"/>
        <v>0</v>
      </c>
      <c r="CX29" s="249">
        <f t="shared" si="14"/>
        <v>0</v>
      </c>
      <c r="CY29" s="272">
        <f t="shared" si="14"/>
        <v>102.9680316</v>
      </c>
      <c r="CZ29" s="13"/>
      <c r="DA29" s="240">
        <f>(D29+'[2]декабрь 20'!D29)/(AY29+'[2]декабрь 20'!BA29)</f>
        <v>2.0976848537835737</v>
      </c>
      <c r="DB29" s="241">
        <f>(T29+'[2]декабрь 20'!T29)/(AY29+'[2]декабрь 20'!BA29)</f>
        <v>1.2826136525436722</v>
      </c>
      <c r="DD29" s="292">
        <f t="shared" si="15"/>
        <v>11.016999999999999</v>
      </c>
      <c r="DE29" s="291">
        <v>1.3</v>
      </c>
      <c r="DF29" s="291">
        <v>14.63</v>
      </c>
      <c r="DG29" s="145">
        <f t="shared" si="16"/>
        <v>10.873778999999999</v>
      </c>
      <c r="DH29" s="293">
        <f t="shared" si="29"/>
        <v>2.0703199735814679</v>
      </c>
      <c r="DJ29" s="322"/>
    </row>
    <row r="30" spans="1:115" s="76" customFormat="1" ht="16.5" customHeight="1" thickBot="1">
      <c r="A30" s="144">
        <v>24</v>
      </c>
      <c r="B30" s="122">
        <f>'[1]декабрь 20'!K29</f>
        <v>307.59699999999998</v>
      </c>
      <c r="C30" s="123">
        <f t="shared" si="17"/>
        <v>1.4057419285623722</v>
      </c>
      <c r="D30" s="145">
        <f t="shared" si="30"/>
        <v>303.27297999999996</v>
      </c>
      <c r="E30" s="125">
        <f t="shared" si="32"/>
        <v>38.118456811997518</v>
      </c>
      <c r="F30" s="146">
        <f t="shared" si="0"/>
        <v>2.2312608887580923</v>
      </c>
      <c r="G30" s="127">
        <v>26.59</v>
      </c>
      <c r="H30" s="126">
        <f t="shared" si="20"/>
        <v>1.6425542966450852</v>
      </c>
      <c r="I30" s="230">
        <f>'[1]июль 20'!AI29</f>
        <v>0</v>
      </c>
      <c r="J30" s="247">
        <f>'[1]декабрь 20'!AA29</f>
        <v>12.311</v>
      </c>
      <c r="K30" s="464">
        <f>'[1]сентябрь 20'!AM29</f>
        <v>0</v>
      </c>
      <c r="L30" s="446">
        <f>'[1]декабрь 20'!AE29</f>
        <v>80.016999999999996</v>
      </c>
      <c r="M30" s="468">
        <f t="shared" si="21"/>
        <v>0.58870659211300758</v>
      </c>
      <c r="N30" s="542">
        <f>'[1]декабрь 20'!W29</f>
        <v>0</v>
      </c>
      <c r="O30" s="403">
        <f>'[1]декабрь 20'!AU29</f>
        <v>11.757999999999999</v>
      </c>
      <c r="P30" s="401">
        <f t="shared" si="1"/>
        <v>196.166</v>
      </c>
      <c r="Q30" s="122">
        <f>'[1]декабрь 20'!S29</f>
        <v>196.166</v>
      </c>
      <c r="R30" s="123">
        <f t="shared" si="22"/>
        <v>3.27</v>
      </c>
      <c r="S30" s="129">
        <v>10.33</v>
      </c>
      <c r="T30" s="125">
        <f t="shared" si="38"/>
        <v>189.75137180000002</v>
      </c>
      <c r="U30" s="147">
        <f t="shared" si="31"/>
        <v>1.3960518819894054</v>
      </c>
      <c r="V30" s="169">
        <v>135.91999999999999</v>
      </c>
      <c r="W30" s="169">
        <v>103.98</v>
      </c>
      <c r="X30" s="170">
        <v>0.61</v>
      </c>
      <c r="Y30" s="166">
        <v>536</v>
      </c>
      <c r="Z30" s="166">
        <v>1166</v>
      </c>
      <c r="AA30" s="148" t="s">
        <v>174</v>
      </c>
      <c r="AB30" s="164">
        <v>76.16</v>
      </c>
      <c r="AC30" s="166">
        <v>123</v>
      </c>
      <c r="AD30" s="171">
        <v>5</v>
      </c>
      <c r="AE30" s="164"/>
      <c r="AF30" s="172">
        <f t="shared" si="4"/>
        <v>0</v>
      </c>
      <c r="AG30" s="173"/>
      <c r="AH30" s="170">
        <v>85.6</v>
      </c>
      <c r="AI30" s="134">
        <f t="shared" si="5"/>
        <v>629.78222483814</v>
      </c>
      <c r="AJ30" s="174">
        <v>13.57</v>
      </c>
      <c r="AK30" s="175"/>
      <c r="AL30" s="176">
        <v>7.39</v>
      </c>
      <c r="AM30" s="478">
        <v>36.43</v>
      </c>
      <c r="AN30" s="126">
        <f t="shared" si="23"/>
        <v>0.20576108443942387</v>
      </c>
      <c r="AO30" s="178" t="s">
        <v>200</v>
      </c>
      <c r="AP30" s="177">
        <v>6.82</v>
      </c>
      <c r="AQ30" s="177">
        <v>6.75</v>
      </c>
      <c r="AR30" s="171"/>
      <c r="AS30" s="164">
        <v>8.1199999999999992</v>
      </c>
      <c r="AT30" s="149">
        <v>177.05</v>
      </c>
      <c r="AU30" s="164">
        <v>2.69</v>
      </c>
      <c r="AV30" s="164"/>
      <c r="AW30" s="164"/>
      <c r="AX30" s="179">
        <f t="shared" si="6"/>
        <v>0</v>
      </c>
      <c r="AY30" s="125">
        <f t="shared" si="35"/>
        <v>135.92000000000002</v>
      </c>
      <c r="AZ30" s="125">
        <f t="shared" si="24"/>
        <v>134.69622781299975</v>
      </c>
      <c r="BA30" s="159">
        <f t="shared" si="8"/>
        <v>5.3843605633802802</v>
      </c>
      <c r="BB30" s="159">
        <f t="shared" si="9"/>
        <v>5.4368000000000007</v>
      </c>
      <c r="BC30" s="180">
        <f t="shared" si="10"/>
        <v>0.89544985852596537</v>
      </c>
      <c r="BD30" s="159">
        <f t="shared" si="25"/>
        <v>10.821160563380282</v>
      </c>
      <c r="BE30" s="167">
        <v>0.88700000000000001</v>
      </c>
      <c r="BF30" s="25">
        <f t="shared" si="26"/>
        <v>2399.94</v>
      </c>
      <c r="BG30" s="25">
        <f t="shared" si="11"/>
        <v>116.7741935483871</v>
      </c>
      <c r="BH30" s="25">
        <f t="shared" si="27"/>
        <v>2802.5806451612916</v>
      </c>
      <c r="BI30" s="26">
        <f t="shared" si="36"/>
        <v>1</v>
      </c>
      <c r="BJ30" s="37">
        <f t="shared" si="28"/>
        <v>2802.5806451612916</v>
      </c>
      <c r="BK30" s="38"/>
      <c r="BL30" s="31">
        <v>227.58</v>
      </c>
      <c r="BM30" s="31"/>
      <c r="BN30" s="31">
        <v>67.602999999999994</v>
      </c>
      <c r="BO30" s="40"/>
      <c r="BP30" s="40"/>
      <c r="BQ30" s="44">
        <v>12.414</v>
      </c>
      <c r="BR30" s="45"/>
      <c r="BS30" s="46">
        <v>1.9</v>
      </c>
      <c r="BT30" s="47"/>
      <c r="BU30" s="47"/>
      <c r="BV30" s="283"/>
      <c r="BW30" s="283"/>
      <c r="BX30" s="48"/>
      <c r="BY30" s="45"/>
      <c r="BZ30" s="46">
        <v>36.43</v>
      </c>
      <c r="CA30" s="47"/>
      <c r="CB30" s="47">
        <v>42.84</v>
      </c>
      <c r="CC30" s="283"/>
      <c r="CD30" s="283"/>
      <c r="CE30" s="48">
        <v>43.36</v>
      </c>
      <c r="CF30" s="49">
        <v>77.558999999999997</v>
      </c>
      <c r="CG30" s="49"/>
      <c r="CH30" s="43"/>
      <c r="CI30" s="32">
        <v>118.607</v>
      </c>
      <c r="CJ30" s="33">
        <v>3.27</v>
      </c>
      <c r="CK30" s="33"/>
      <c r="CL30" s="35"/>
      <c r="CM30" s="36">
        <v>3.27</v>
      </c>
      <c r="CN30" s="286"/>
      <c r="CO30" s="249">
        <f t="shared" si="37"/>
        <v>0</v>
      </c>
      <c r="CP30" s="12">
        <f t="shared" si="37"/>
        <v>223.25598000000002</v>
      </c>
      <c r="CQ30" s="12">
        <f t="shared" si="37"/>
        <v>0</v>
      </c>
      <c r="CR30" s="12">
        <f t="shared" si="37"/>
        <v>67.602999999999994</v>
      </c>
      <c r="CS30" s="11">
        <f t="shared" si="37"/>
        <v>0</v>
      </c>
      <c r="CT30" s="11">
        <f t="shared" si="37"/>
        <v>0</v>
      </c>
      <c r="CU30" s="272">
        <f t="shared" si="37"/>
        <v>12.414</v>
      </c>
      <c r="CV30" s="249">
        <f t="shared" si="14"/>
        <v>75.022820699999997</v>
      </c>
      <c r="CW30" s="11">
        <f t="shared" si="14"/>
        <v>0</v>
      </c>
      <c r="CX30" s="252">
        <f t="shared" si="14"/>
        <v>0</v>
      </c>
      <c r="CY30" s="272">
        <f t="shared" si="14"/>
        <v>114.7285511</v>
      </c>
      <c r="CZ30" s="13"/>
      <c r="DA30" s="240">
        <f>(D30+'[2]декабрь 20'!D30)/(AY30+'[2]декабрь 20'!BA30)</f>
        <v>2.2419702058483022</v>
      </c>
      <c r="DB30" s="241">
        <f>(T30+'[2]декабрь 20'!T30)/(AY30+'[2]декабрь 20'!BA30)</f>
        <v>1.3732938331565157</v>
      </c>
      <c r="DD30" s="292">
        <f t="shared" si="15"/>
        <v>12.311</v>
      </c>
      <c r="DE30" s="291">
        <v>0.66</v>
      </c>
      <c r="DF30" s="291">
        <v>13.6</v>
      </c>
      <c r="DG30" s="145">
        <f t="shared" si="16"/>
        <v>12.229747400000001</v>
      </c>
      <c r="DH30" s="293">
        <f t="shared" si="29"/>
        <v>2.183883464285715</v>
      </c>
      <c r="DJ30" s="322"/>
    </row>
    <row r="31" spans="1:115" s="76" customFormat="1" ht="16.5" customHeight="1" thickBot="1">
      <c r="A31" s="144">
        <v>25</v>
      </c>
      <c r="B31" s="122">
        <f>'[1]декабрь 20'!K30</f>
        <v>294.97399999999999</v>
      </c>
      <c r="C31" s="123">
        <f t="shared" si="17"/>
        <v>1.1098232386583227</v>
      </c>
      <c r="D31" s="145">
        <f t="shared" si="30"/>
        <v>291.70031</v>
      </c>
      <c r="E31" s="125">
        <f t="shared" si="32"/>
        <v>38.195770067870392</v>
      </c>
      <c r="F31" s="146">
        <f t="shared" si="0"/>
        <v>2.1061394223826717</v>
      </c>
      <c r="G31" s="127">
        <v>17.88</v>
      </c>
      <c r="H31" s="126">
        <f t="shared" si="20"/>
        <v>1.552146642599278</v>
      </c>
      <c r="I31" s="230">
        <f>'[1]июль 20'!AI30</f>
        <v>0</v>
      </c>
      <c r="J31" s="247">
        <f>'[1]декабрь 20'!AA30</f>
        <v>11.798</v>
      </c>
      <c r="K31" s="464">
        <f>'[1]сентябрь 20'!AM30</f>
        <v>0</v>
      </c>
      <c r="L31" s="446">
        <f>'[1]декабрь 20'!AE30</f>
        <v>76.727999999999994</v>
      </c>
      <c r="M31" s="469">
        <f t="shared" si="21"/>
        <v>0.55399277978339356</v>
      </c>
      <c r="N31" s="542">
        <f>'[1]декабрь 20'!W30</f>
        <v>0</v>
      </c>
      <c r="O31" s="403">
        <f>'[1]декабрь 20'!AU30</f>
        <v>11.781000000000001</v>
      </c>
      <c r="P31" s="401">
        <f t="shared" si="1"/>
        <v>187.35599999999999</v>
      </c>
      <c r="Q31" s="122">
        <f>'[1]декабрь 20'!S30</f>
        <v>187.35599999999999</v>
      </c>
      <c r="R31" s="123">
        <f>IF(Q31=0,0,(CI31*CM31+CG31*CK31+CH31*CL31+CF31*CJ31)/Q31)</f>
        <v>3.3</v>
      </c>
      <c r="S31" s="129">
        <v>40.98</v>
      </c>
      <c r="T31" s="125">
        <f t="shared" si="38"/>
        <v>181.17325200000002</v>
      </c>
      <c r="U31" s="147">
        <f t="shared" si="31"/>
        <v>1.3081101227436824</v>
      </c>
      <c r="V31" s="130">
        <v>138.5</v>
      </c>
      <c r="W31" s="130">
        <v>107.11</v>
      </c>
      <c r="X31" s="129">
        <v>0.8</v>
      </c>
      <c r="Y31" s="150">
        <v>548</v>
      </c>
      <c r="Z31" s="150">
        <v>1170</v>
      </c>
      <c r="AA31" s="148" t="s">
        <v>391</v>
      </c>
      <c r="AB31" s="149">
        <v>76.459999999999994</v>
      </c>
      <c r="AC31" s="150">
        <v>118</v>
      </c>
      <c r="AD31" s="151">
        <v>5</v>
      </c>
      <c r="AE31" s="149"/>
      <c r="AF31" s="134">
        <f t="shared" si="4"/>
        <v>0</v>
      </c>
      <c r="AG31" s="152"/>
      <c r="AH31" s="129">
        <v>86.85</v>
      </c>
      <c r="AI31" s="134">
        <f t="shared" si="5"/>
        <v>627.0758122743681</v>
      </c>
      <c r="AJ31" s="136">
        <v>17.03</v>
      </c>
      <c r="AK31" s="154"/>
      <c r="AL31" s="155">
        <v>10.79</v>
      </c>
      <c r="AM31" s="478">
        <v>36.21</v>
      </c>
      <c r="AN31" s="126">
        <f t="shared" si="23"/>
        <v>0.19830230010952904</v>
      </c>
      <c r="AO31" s="157" t="s">
        <v>184</v>
      </c>
      <c r="AP31" s="156">
        <v>7.16</v>
      </c>
      <c r="AQ31" s="156">
        <v>7.01</v>
      </c>
      <c r="AR31" s="151"/>
      <c r="AS31" s="149">
        <v>8.2799999999999994</v>
      </c>
      <c r="AT31" s="149">
        <v>182.6</v>
      </c>
      <c r="AU31" s="149">
        <v>2.9</v>
      </c>
      <c r="AV31" s="164"/>
      <c r="AW31" s="149"/>
      <c r="AX31" s="158">
        <f t="shared" si="6"/>
        <v>0</v>
      </c>
      <c r="AY31" s="125">
        <f t="shared" si="35"/>
        <v>138.5</v>
      </c>
      <c r="AZ31" s="125">
        <f t="shared" si="24"/>
        <v>130.60588326944452</v>
      </c>
      <c r="BA31" s="159">
        <f t="shared" si="8"/>
        <v>5.5706323943661964</v>
      </c>
      <c r="BB31" s="160">
        <f t="shared" si="9"/>
        <v>5.54</v>
      </c>
      <c r="BC31" s="161">
        <f t="shared" si="10"/>
        <v>0.9504557581695855</v>
      </c>
      <c r="BD31" s="160">
        <f t="shared" si="25"/>
        <v>11.110632394366196</v>
      </c>
      <c r="BE31" s="162">
        <v>0.88900000000000001</v>
      </c>
      <c r="BF31" s="25">
        <f t="shared" si="26"/>
        <v>2538.44</v>
      </c>
      <c r="BG31" s="25">
        <f t="shared" si="11"/>
        <v>116.7741935483871</v>
      </c>
      <c r="BH31" s="25">
        <f t="shared" si="27"/>
        <v>2919.3548387096789</v>
      </c>
      <c r="BI31" s="26">
        <f t="shared" si="36"/>
        <v>1</v>
      </c>
      <c r="BJ31" s="37">
        <f t="shared" si="28"/>
        <v>2919.3548387096789</v>
      </c>
      <c r="BK31" s="38"/>
      <c r="BL31" s="31">
        <v>218.24600000000001</v>
      </c>
      <c r="BM31" s="31"/>
      <c r="BN31" s="31">
        <v>64.965000000000003</v>
      </c>
      <c r="BO31" s="40"/>
      <c r="BP31" s="40"/>
      <c r="BQ31" s="32">
        <v>11.763</v>
      </c>
      <c r="BR31" s="33"/>
      <c r="BS31" s="34">
        <v>1.5</v>
      </c>
      <c r="BT31" s="35"/>
      <c r="BU31" s="35"/>
      <c r="BV31" s="235"/>
      <c r="BW31" s="235"/>
      <c r="BX31" s="36"/>
      <c r="BY31" s="33"/>
      <c r="BZ31" s="34">
        <v>36.36</v>
      </c>
      <c r="CA31" s="35"/>
      <c r="CB31" s="35">
        <v>43.35</v>
      </c>
      <c r="CC31" s="235"/>
      <c r="CD31" s="235"/>
      <c r="CE31" s="36">
        <v>43.79</v>
      </c>
      <c r="CF31" s="30">
        <v>74.396000000000001</v>
      </c>
      <c r="CG31" s="30"/>
      <c r="CH31" s="31"/>
      <c r="CI31" s="32">
        <v>112.96</v>
      </c>
      <c r="CJ31" s="33">
        <v>3.3</v>
      </c>
      <c r="CK31" s="33"/>
      <c r="CL31" s="35"/>
      <c r="CM31" s="36">
        <v>3.3</v>
      </c>
      <c r="CN31" s="286"/>
      <c r="CO31" s="249">
        <f t="shared" si="37"/>
        <v>0</v>
      </c>
      <c r="CP31" s="12">
        <f t="shared" si="37"/>
        <v>214.97230999999999</v>
      </c>
      <c r="CQ31" s="12">
        <f t="shared" si="37"/>
        <v>0</v>
      </c>
      <c r="CR31" s="12">
        <f t="shared" si="37"/>
        <v>64.965000000000003</v>
      </c>
      <c r="CS31" s="11">
        <f t="shared" si="37"/>
        <v>0</v>
      </c>
      <c r="CT31" s="11">
        <f t="shared" si="37"/>
        <v>0</v>
      </c>
      <c r="CU31" s="272">
        <f t="shared" si="37"/>
        <v>11.763</v>
      </c>
      <c r="CV31" s="249">
        <f t="shared" si="14"/>
        <v>71.940932000000004</v>
      </c>
      <c r="CW31" s="12">
        <f t="shared" si="14"/>
        <v>0</v>
      </c>
      <c r="CX31" s="249">
        <f t="shared" si="14"/>
        <v>0</v>
      </c>
      <c r="CY31" s="272">
        <f t="shared" si="14"/>
        <v>109.23232</v>
      </c>
      <c r="CZ31" s="13"/>
      <c r="DA31" s="240">
        <f>(D31+'[2]декабрь 20'!D31)/(AY31+'[2]декабрь 20'!BA31)</f>
        <v>1.9528143804646185</v>
      </c>
      <c r="DB31" s="241">
        <f>(T31+'[2]декабрь 20'!T31)/(AY31+'[2]декабрь 20'!BA31)</f>
        <v>1.211748153941359</v>
      </c>
      <c r="DD31" s="292">
        <f t="shared" si="15"/>
        <v>11.798</v>
      </c>
      <c r="DE31" s="291">
        <v>0.51</v>
      </c>
      <c r="DF31" s="291">
        <v>22.1</v>
      </c>
      <c r="DG31" s="145">
        <f t="shared" si="16"/>
        <v>11.737830199999999</v>
      </c>
      <c r="DH31" s="293">
        <f t="shared" si="29"/>
        <v>3.3927026866335339</v>
      </c>
      <c r="DJ31" s="322"/>
    </row>
    <row r="32" spans="1:115" s="76" customFormat="1" ht="16.5" customHeight="1" thickBot="1">
      <c r="A32" s="144">
        <v>26</v>
      </c>
      <c r="B32" s="122">
        <f>'[1]декабрь 20'!K31</f>
        <v>292.89400000000001</v>
      </c>
      <c r="C32" s="123">
        <f t="shared" si="17"/>
        <v>0.93330098943645134</v>
      </c>
      <c r="D32" s="145">
        <f t="shared" si="30"/>
        <v>290.16041740000003</v>
      </c>
      <c r="E32" s="125">
        <f t="shared" si="32"/>
        <v>38.743850642211846</v>
      </c>
      <c r="F32" s="146">
        <f t="shared" si="0"/>
        <v>2.2361314534525283</v>
      </c>
      <c r="G32" s="127">
        <v>23.48</v>
      </c>
      <c r="H32" s="126">
        <f t="shared" si="20"/>
        <v>1.6508740551787917</v>
      </c>
      <c r="I32" s="230">
        <f>'[1]июль 20'!AI31</f>
        <v>0</v>
      </c>
      <c r="J32" s="247">
        <f>'[1]декабрь 20'!AA31</f>
        <v>11.627000000000001</v>
      </c>
      <c r="K32" s="464">
        <f>'[1]сентябрь 20'!AM31</f>
        <v>0</v>
      </c>
      <c r="L32" s="446">
        <f>'[1]декабрь 20'!AE31</f>
        <v>75.942999999999998</v>
      </c>
      <c r="M32" s="468">
        <f t="shared" si="21"/>
        <v>0.58525739827373613</v>
      </c>
      <c r="N32" s="542">
        <f>'[1]декабрь 20'!W31</f>
        <v>0</v>
      </c>
      <c r="O32" s="403">
        <f>'[1]декабрь 20'!AU31</f>
        <v>11.553000000000001</v>
      </c>
      <c r="P32" s="401">
        <f t="shared" si="1"/>
        <v>184.51900000000001</v>
      </c>
      <c r="Q32" s="122">
        <f>'[1]декабрь 20'!S31</f>
        <v>184.51900000000001</v>
      </c>
      <c r="R32" s="123">
        <f t="shared" si="22"/>
        <v>3.1500000000000004</v>
      </c>
      <c r="S32" s="129">
        <v>8.5500000000000007</v>
      </c>
      <c r="T32" s="125">
        <f t="shared" si="38"/>
        <v>178.70665149999999</v>
      </c>
      <c r="U32" s="147">
        <f t="shared" si="31"/>
        <v>1.3772090898581999</v>
      </c>
      <c r="V32" s="130">
        <v>129.76</v>
      </c>
      <c r="W32" s="130">
        <v>51.74</v>
      </c>
      <c r="X32" s="129">
        <v>1.04</v>
      </c>
      <c r="Y32" s="150">
        <v>546</v>
      </c>
      <c r="Z32" s="150">
        <v>1166</v>
      </c>
      <c r="AA32" s="148" t="s">
        <v>159</v>
      </c>
      <c r="AB32" s="149">
        <v>75.8</v>
      </c>
      <c r="AC32" s="150">
        <v>117</v>
      </c>
      <c r="AD32" s="151">
        <v>5</v>
      </c>
      <c r="AE32" s="149"/>
      <c r="AF32" s="134">
        <f t="shared" si="4"/>
        <v>0</v>
      </c>
      <c r="AG32" s="152"/>
      <c r="AH32" s="129">
        <v>85.85</v>
      </c>
      <c r="AI32" s="134">
        <f t="shared" si="5"/>
        <v>661.60604192355117</v>
      </c>
      <c r="AJ32" s="153">
        <v>16.29</v>
      </c>
      <c r="AK32" s="154"/>
      <c r="AL32" s="155">
        <v>8.2100000000000009</v>
      </c>
      <c r="AM32" s="478">
        <v>39.19</v>
      </c>
      <c r="AN32" s="126">
        <f t="shared" si="23"/>
        <v>0.22362339514978602</v>
      </c>
      <c r="AO32" s="157" t="s">
        <v>184</v>
      </c>
      <c r="AP32" s="156">
        <v>7.52</v>
      </c>
      <c r="AQ32" s="156">
        <v>6.76</v>
      </c>
      <c r="AR32" s="151"/>
      <c r="AS32" s="149">
        <v>7.6</v>
      </c>
      <c r="AT32" s="149">
        <v>175.25</v>
      </c>
      <c r="AU32" s="149">
        <v>1.91</v>
      </c>
      <c r="AV32" s="149"/>
      <c r="AW32" s="149"/>
      <c r="AX32" s="158">
        <f t="shared" si="6"/>
        <v>0</v>
      </c>
      <c r="AY32" s="125">
        <f t="shared" si="35"/>
        <v>129.76</v>
      </c>
      <c r="AZ32" s="125">
        <f t="shared" si="24"/>
        <v>132.52292007158263</v>
      </c>
      <c r="BA32" s="159">
        <f t="shared" si="8"/>
        <v>5.0542676056338021</v>
      </c>
      <c r="BB32" s="160">
        <f t="shared" si="9"/>
        <v>5.1903999999999995</v>
      </c>
      <c r="BC32" s="161">
        <f t="shared" si="10"/>
        <v>0.87492150906232968</v>
      </c>
      <c r="BD32" s="160">
        <f t="shared" si="25"/>
        <v>10.244667605633801</v>
      </c>
      <c r="BE32" s="162">
        <v>0.88900000000000001</v>
      </c>
      <c r="BF32" s="25">
        <f t="shared" si="26"/>
        <v>2668.2</v>
      </c>
      <c r="BG32" s="25">
        <f t="shared" si="11"/>
        <v>116.7741935483871</v>
      </c>
      <c r="BH32" s="25">
        <f t="shared" si="27"/>
        <v>3036.1290322580662</v>
      </c>
      <c r="BI32" s="26">
        <f t="shared" si="36"/>
        <v>1</v>
      </c>
      <c r="BJ32" s="37">
        <f t="shared" si="28"/>
        <v>3036.1290322580662</v>
      </c>
      <c r="BK32" s="38"/>
      <c r="BL32" s="31">
        <v>216.95099999999999</v>
      </c>
      <c r="BM32" s="31"/>
      <c r="BN32" s="31">
        <v>64.328999999999994</v>
      </c>
      <c r="BO32" s="40"/>
      <c r="BP32" s="40"/>
      <c r="BQ32" s="32">
        <v>11.614000000000001</v>
      </c>
      <c r="BR32" s="33"/>
      <c r="BS32" s="34">
        <v>1.26</v>
      </c>
      <c r="BT32" s="35"/>
      <c r="BU32" s="35"/>
      <c r="BV32" s="235"/>
      <c r="BW32" s="235"/>
      <c r="BX32" s="36"/>
      <c r="BY32" s="33"/>
      <c r="BZ32" s="34">
        <v>36.9</v>
      </c>
      <c r="CA32" s="35"/>
      <c r="CB32" s="35">
        <v>43.97</v>
      </c>
      <c r="CC32" s="235"/>
      <c r="CD32" s="235"/>
      <c r="CE32" s="36">
        <v>44.24</v>
      </c>
      <c r="CF32" s="30">
        <v>73.745000000000005</v>
      </c>
      <c r="CG32" s="30"/>
      <c r="CH32" s="31"/>
      <c r="CI32" s="50">
        <v>110.774</v>
      </c>
      <c r="CJ32" s="33">
        <v>3.15</v>
      </c>
      <c r="CK32" s="33"/>
      <c r="CL32" s="35"/>
      <c r="CM32" s="36">
        <v>3.15</v>
      </c>
      <c r="CN32" s="286"/>
      <c r="CO32" s="249">
        <f t="shared" si="37"/>
        <v>0</v>
      </c>
      <c r="CP32" s="12">
        <f t="shared" si="37"/>
        <v>214.21741739999999</v>
      </c>
      <c r="CQ32" s="12">
        <f t="shared" si="37"/>
        <v>0</v>
      </c>
      <c r="CR32" s="12">
        <f t="shared" si="37"/>
        <v>64.328999999999994</v>
      </c>
      <c r="CS32" s="11">
        <f t="shared" si="37"/>
        <v>0</v>
      </c>
      <c r="CT32" s="11">
        <f t="shared" si="37"/>
        <v>0</v>
      </c>
      <c r="CU32" s="272">
        <f t="shared" si="37"/>
        <v>11.614000000000001</v>
      </c>
      <c r="CV32" s="249">
        <f t="shared" si="14"/>
        <v>71.4220325</v>
      </c>
      <c r="CW32" s="11">
        <f t="shared" si="14"/>
        <v>0</v>
      </c>
      <c r="CX32" s="249">
        <f t="shared" si="14"/>
        <v>0</v>
      </c>
      <c r="CY32" s="272">
        <f t="shared" si="14"/>
        <v>107.28461899999999</v>
      </c>
      <c r="CZ32" s="13"/>
      <c r="DA32" s="240">
        <f>(D32+'[2]декабрь 20'!D32)/(AY32+'[2]декабрь 20'!BA32)</f>
        <v>2.3895685142158034</v>
      </c>
      <c r="DB32" s="241">
        <f>(T32+'[2]декабрь 20'!T32)/(AY32+'[2]декабрь 20'!BA32)</f>
        <v>1.465464613992294</v>
      </c>
      <c r="DD32" s="292">
        <f t="shared" si="15"/>
        <v>11.627000000000001</v>
      </c>
      <c r="DE32" s="291">
        <v>0.25</v>
      </c>
      <c r="DF32" s="291">
        <v>19.920000000000002</v>
      </c>
      <c r="DG32" s="145">
        <f t="shared" si="16"/>
        <v>11.597932500000001</v>
      </c>
      <c r="DH32" s="293">
        <f t="shared" si="29"/>
        <v>3.0478999393139845</v>
      </c>
      <c r="DJ32" s="322"/>
    </row>
    <row r="33" spans="1:114" s="76" customFormat="1" ht="16.5" customHeight="1" thickBot="1">
      <c r="A33" s="144">
        <v>27</v>
      </c>
      <c r="B33" s="122">
        <f>'[1]декабрь 20'!K32</f>
        <v>265.06400000000002</v>
      </c>
      <c r="C33" s="123">
        <f t="shared" si="17"/>
        <v>0.74004014124890583</v>
      </c>
      <c r="D33" s="145">
        <f t="shared" si="30"/>
        <v>263.10242</v>
      </c>
      <c r="E33" s="125">
        <f t="shared" si="32"/>
        <v>38.828875818670198</v>
      </c>
      <c r="F33" s="146">
        <f t="shared" si="0"/>
        <v>2.1309015955292785</v>
      </c>
      <c r="G33" s="127">
        <v>25.72</v>
      </c>
      <c r="H33" s="126">
        <f t="shared" si="20"/>
        <v>1.5728227099700334</v>
      </c>
      <c r="I33" s="230">
        <f>'[1]июль 20'!AI32</f>
        <v>0</v>
      </c>
      <c r="J33" s="247">
        <f>'[1]декабрь 20'!AA32</f>
        <v>10.63</v>
      </c>
      <c r="K33" s="464">
        <f>'[1]сентябрь 20'!AM32</f>
        <v>0</v>
      </c>
      <c r="L33" s="446">
        <f>'[1]декабрь 20'!AE32</f>
        <v>68.906000000000006</v>
      </c>
      <c r="M33" s="469">
        <f t="shared" si="21"/>
        <v>0.55807888555924523</v>
      </c>
      <c r="N33" s="542">
        <f>'[1]декабрь 20'!W32</f>
        <v>0</v>
      </c>
      <c r="O33" s="403">
        <f>'[1]декабрь 20'!AU32</f>
        <v>10.581</v>
      </c>
      <c r="P33" s="401">
        <f t="shared" si="1"/>
        <v>167.149</v>
      </c>
      <c r="Q33" s="122">
        <f>'[1]декабрь 20'!S32</f>
        <v>167.149</v>
      </c>
      <c r="R33" s="123">
        <f t="shared" si="22"/>
        <v>3.3</v>
      </c>
      <c r="S33" s="129"/>
      <c r="T33" s="125">
        <f t="shared" si="38"/>
        <v>161.63308300000003</v>
      </c>
      <c r="U33" s="147">
        <f t="shared" si="31"/>
        <v>1.3090878998947117</v>
      </c>
      <c r="V33" s="130">
        <v>123.47</v>
      </c>
      <c r="W33" s="130">
        <v>123.47</v>
      </c>
      <c r="X33" s="129">
        <v>0.65</v>
      </c>
      <c r="Y33" s="150">
        <v>550</v>
      </c>
      <c r="Z33" s="150">
        <v>1169</v>
      </c>
      <c r="AA33" s="148" t="s">
        <v>249</v>
      </c>
      <c r="AB33" s="149">
        <v>76.09</v>
      </c>
      <c r="AC33" s="150">
        <v>106</v>
      </c>
      <c r="AD33" s="151">
        <v>5</v>
      </c>
      <c r="AE33" s="149">
        <v>3.25</v>
      </c>
      <c r="AF33" s="134">
        <f t="shared" si="4"/>
        <v>26.322183526362682</v>
      </c>
      <c r="AG33" s="152"/>
      <c r="AH33" s="129">
        <v>88.7</v>
      </c>
      <c r="AI33" s="134">
        <f t="shared" si="5"/>
        <v>718.39313193488306</v>
      </c>
      <c r="AJ33" s="136">
        <v>13.61</v>
      </c>
      <c r="AK33" s="154"/>
      <c r="AL33" s="155">
        <v>9.0299999999999994</v>
      </c>
      <c r="AM33" s="478">
        <v>35.39</v>
      </c>
      <c r="AN33" s="126">
        <f t="shared" si="23"/>
        <v>0.21325700512202472</v>
      </c>
      <c r="AO33" s="157" t="s">
        <v>117</v>
      </c>
      <c r="AP33" s="156">
        <v>6.95</v>
      </c>
      <c r="AQ33" s="156">
        <v>6.71</v>
      </c>
      <c r="AR33" s="151"/>
      <c r="AS33" s="149">
        <v>8.4</v>
      </c>
      <c r="AT33" s="149">
        <v>165.95</v>
      </c>
      <c r="AU33" s="149">
        <v>1.94</v>
      </c>
      <c r="AV33" s="149"/>
      <c r="AW33" s="149"/>
      <c r="AX33" s="158">
        <f t="shared" si="6"/>
        <v>0</v>
      </c>
      <c r="AY33" s="125">
        <f t="shared" si="35"/>
        <v>123.46999999999998</v>
      </c>
      <c r="AZ33" s="125">
        <f t="shared" si="24"/>
        <v>119.60262314289153</v>
      </c>
      <c r="BA33" s="159">
        <f t="shared" si="8"/>
        <v>5.7717464788732391</v>
      </c>
      <c r="BB33" s="160">
        <f t="shared" si="9"/>
        <v>4.9387999999999996</v>
      </c>
      <c r="BC33" s="161">
        <f t="shared" si="10"/>
        <v>0.91962204295640182</v>
      </c>
      <c r="BD33" s="160">
        <f t="shared" si="25"/>
        <v>10.710546478873239</v>
      </c>
      <c r="BE33" s="162">
        <v>0.89200000000000002</v>
      </c>
      <c r="BF33" s="25">
        <f t="shared" si="26"/>
        <v>2791.6699999999996</v>
      </c>
      <c r="BG33" s="25">
        <f t="shared" si="11"/>
        <v>116.7741935483871</v>
      </c>
      <c r="BH33" s="25">
        <f t="shared" si="27"/>
        <v>3152.9032258064535</v>
      </c>
      <c r="BI33" s="26">
        <f t="shared" si="36"/>
        <v>1</v>
      </c>
      <c r="BJ33" s="37">
        <f t="shared" si="28"/>
        <v>3152.9032258064535</v>
      </c>
      <c r="BK33" s="38"/>
      <c r="BL33" s="31">
        <v>196.15799999999999</v>
      </c>
      <c r="BM33" s="31"/>
      <c r="BN33" s="31">
        <v>58.328000000000003</v>
      </c>
      <c r="BO33" s="40"/>
      <c r="BP33" s="40"/>
      <c r="BQ33" s="32">
        <v>10.577999999999999</v>
      </c>
      <c r="BR33" s="33"/>
      <c r="BS33" s="34">
        <v>1</v>
      </c>
      <c r="BT33" s="35"/>
      <c r="BU33" s="35"/>
      <c r="BV33" s="235"/>
      <c r="BW33" s="235"/>
      <c r="BX33" s="36"/>
      <c r="BY33" s="33"/>
      <c r="BZ33" s="34">
        <v>37.340000000000003</v>
      </c>
      <c r="CA33" s="35"/>
      <c r="CB33" s="35">
        <v>42.9</v>
      </c>
      <c r="CC33" s="235"/>
      <c r="CD33" s="235"/>
      <c r="CE33" s="36">
        <v>43.99</v>
      </c>
      <c r="CF33" s="30">
        <v>67.132000000000005</v>
      </c>
      <c r="CG33" s="30"/>
      <c r="CH33" s="31"/>
      <c r="CI33" s="32">
        <v>100.017</v>
      </c>
      <c r="CJ33" s="33">
        <v>3.3</v>
      </c>
      <c r="CK33" s="33"/>
      <c r="CL33" s="35"/>
      <c r="CM33" s="36">
        <v>3.3</v>
      </c>
      <c r="CN33" s="270"/>
      <c r="CO33" s="249">
        <f t="shared" si="37"/>
        <v>0</v>
      </c>
      <c r="CP33" s="12">
        <f t="shared" si="37"/>
        <v>194.19641999999999</v>
      </c>
      <c r="CQ33" s="12">
        <f t="shared" si="37"/>
        <v>0</v>
      </c>
      <c r="CR33" s="12">
        <f t="shared" si="37"/>
        <v>58.328000000000003</v>
      </c>
      <c r="CS33" s="11">
        <f t="shared" si="37"/>
        <v>0</v>
      </c>
      <c r="CT33" s="11">
        <f t="shared" si="37"/>
        <v>0</v>
      </c>
      <c r="CU33" s="272">
        <f t="shared" si="37"/>
        <v>10.577999999999999</v>
      </c>
      <c r="CV33" s="249">
        <f t="shared" si="14"/>
        <v>64.916644000000005</v>
      </c>
      <c r="CW33" s="12">
        <f t="shared" si="14"/>
        <v>0</v>
      </c>
      <c r="CX33" s="254">
        <f t="shared" si="14"/>
        <v>0</v>
      </c>
      <c r="CY33" s="275">
        <f t="shared" si="14"/>
        <v>96.716439000000008</v>
      </c>
      <c r="CZ33" s="13"/>
      <c r="DA33" s="240">
        <f>(D33+'[2]декабрь 20'!D33)/(AY33+'[2]декабрь 20'!BA33)</f>
        <v>2.131748080138832</v>
      </c>
      <c r="DB33" s="241">
        <f>(T33+'[2]декабрь 20'!T33)/(AY33+'[2]декабрь 20'!BA33)</f>
        <v>1.3029171529582146</v>
      </c>
      <c r="DD33" s="292">
        <f t="shared" si="15"/>
        <v>10.63</v>
      </c>
      <c r="DE33" s="291">
        <v>0.33</v>
      </c>
      <c r="DF33" s="291">
        <v>17.18</v>
      </c>
      <c r="DG33" s="145">
        <f t="shared" si="16"/>
        <v>10.594921000000001</v>
      </c>
      <c r="DH33" s="293">
        <f t="shared" si="29"/>
        <v>2.3921769323169935</v>
      </c>
      <c r="DJ33" s="322"/>
    </row>
    <row r="34" spans="1:114" s="76" customFormat="1" ht="16.5" customHeight="1" thickBot="1">
      <c r="A34" s="144">
        <v>28</v>
      </c>
      <c r="B34" s="122">
        <f>'[1]декабрь 20'!K33</f>
        <v>285.048</v>
      </c>
      <c r="C34" s="123">
        <f t="shared" si="17"/>
        <v>1.1988481939883811</v>
      </c>
      <c r="D34" s="145">
        <f t="shared" si="30"/>
        <v>281.63070720000002</v>
      </c>
      <c r="E34" s="125">
        <f t="shared" si="32"/>
        <v>38.238181078274536</v>
      </c>
      <c r="F34" s="146">
        <f t="shared" si="0"/>
        <v>2.1152974853537629</v>
      </c>
      <c r="G34" s="127">
        <v>26.22</v>
      </c>
      <c r="H34" s="126">
        <f t="shared" si="20"/>
        <v>1.5587104341294875</v>
      </c>
      <c r="I34" s="230">
        <f>'[1]июль 20'!AI33</f>
        <v>0</v>
      </c>
      <c r="J34" s="247">
        <f>'[1]декабрь 20'!AA33</f>
        <v>11.365</v>
      </c>
      <c r="K34" s="464">
        <f>'[1]сентябрь 20'!AM33</f>
        <v>0</v>
      </c>
      <c r="L34" s="446">
        <f>'[1]декабрь 20'!AE33</f>
        <v>74.103999999999999</v>
      </c>
      <c r="M34" s="468">
        <f t="shared" si="21"/>
        <v>0.5565870512242751</v>
      </c>
      <c r="N34" s="542">
        <f>'[1]декабрь 20'!W33</f>
        <v>0</v>
      </c>
      <c r="O34" s="403">
        <f>'[1]декабрь 20'!AU33</f>
        <v>11.717000000000001</v>
      </c>
      <c r="P34" s="401">
        <f t="shared" si="1"/>
        <v>180.64</v>
      </c>
      <c r="Q34" s="122">
        <f>'[1]декабрь 20'!S33</f>
        <v>180.64</v>
      </c>
      <c r="R34" s="123">
        <f t="shared" si="22"/>
        <v>3.25</v>
      </c>
      <c r="S34" s="129"/>
      <c r="T34" s="125">
        <f t="shared" si="38"/>
        <v>174.76919999999998</v>
      </c>
      <c r="U34" s="147">
        <f t="shared" si="31"/>
        <v>1.312672374943668</v>
      </c>
      <c r="V34" s="169">
        <v>133.13999999999999</v>
      </c>
      <c r="W34" s="169">
        <v>98</v>
      </c>
      <c r="X34" s="170">
        <v>0.89</v>
      </c>
      <c r="Y34" s="166">
        <v>541</v>
      </c>
      <c r="Z34" s="166">
        <v>1172</v>
      </c>
      <c r="AA34" s="148" t="s">
        <v>116</v>
      </c>
      <c r="AB34" s="164">
        <v>75.760000000000005</v>
      </c>
      <c r="AC34" s="166">
        <v>114</v>
      </c>
      <c r="AD34" s="171">
        <v>5</v>
      </c>
      <c r="AE34" s="164"/>
      <c r="AF34" s="172">
        <f t="shared" si="4"/>
        <v>0</v>
      </c>
      <c r="AG34" s="173"/>
      <c r="AH34" s="170">
        <v>78.8</v>
      </c>
      <c r="AI34" s="134">
        <f t="shared" si="5"/>
        <v>591.85819438185365</v>
      </c>
      <c r="AJ34" s="174">
        <v>12.15</v>
      </c>
      <c r="AK34" s="175"/>
      <c r="AL34" s="176">
        <v>7.63</v>
      </c>
      <c r="AM34" s="478">
        <v>28.65</v>
      </c>
      <c r="AN34" s="126">
        <f t="shared" si="23"/>
        <v>0.17191719171917191</v>
      </c>
      <c r="AO34" s="178" t="s">
        <v>469</v>
      </c>
      <c r="AP34" s="177">
        <v>7.28</v>
      </c>
      <c r="AQ34" s="177">
        <v>6.58</v>
      </c>
      <c r="AR34" s="171"/>
      <c r="AS34" s="164">
        <v>7.38</v>
      </c>
      <c r="AT34" s="149">
        <v>166.65</v>
      </c>
      <c r="AU34" s="164">
        <v>2.77</v>
      </c>
      <c r="AV34" s="164"/>
      <c r="AW34" s="164"/>
      <c r="AX34" s="179">
        <f t="shared" si="6"/>
        <v>0</v>
      </c>
      <c r="AY34" s="125">
        <f t="shared" si="35"/>
        <v>133.14000000000001</v>
      </c>
      <c r="AZ34" s="125">
        <f t="shared" si="24"/>
        <v>125.61343380620868</v>
      </c>
      <c r="BA34" s="159">
        <f t="shared" si="8"/>
        <v>4.5049183098591543</v>
      </c>
      <c r="BB34" s="159">
        <f t="shared" si="9"/>
        <v>5.3256000000000006</v>
      </c>
      <c r="BC34" s="180">
        <f t="shared" si="10"/>
        <v>0.93663695183033102</v>
      </c>
      <c r="BD34" s="159">
        <f t="shared" si="25"/>
        <v>9.8305183098591549</v>
      </c>
      <c r="BE34" s="167">
        <v>0.89400000000000002</v>
      </c>
      <c r="BF34" s="25">
        <f t="shared" si="26"/>
        <v>2924.8099999999995</v>
      </c>
      <c r="BG34" s="25">
        <f t="shared" si="11"/>
        <v>116.7741935483871</v>
      </c>
      <c r="BH34" s="25">
        <f t="shared" si="27"/>
        <v>3269.6774193548408</v>
      </c>
      <c r="BI34" s="26">
        <f t="shared" si="36"/>
        <v>1</v>
      </c>
      <c r="BJ34" s="37">
        <f t="shared" si="28"/>
        <v>3269.6774193548408</v>
      </c>
      <c r="BK34" s="38"/>
      <c r="BL34" s="30">
        <v>210.94399999999999</v>
      </c>
      <c r="BM34" s="43"/>
      <c r="BN34" s="43">
        <v>62.71</v>
      </c>
      <c r="BO34" s="281"/>
      <c r="BP34" s="281"/>
      <c r="BQ34" s="44">
        <v>11.394</v>
      </c>
      <c r="BR34" s="45"/>
      <c r="BS34" s="46">
        <v>1.62</v>
      </c>
      <c r="BT34" s="47"/>
      <c r="BU34" s="47"/>
      <c r="BV34" s="283"/>
      <c r="BW34" s="283"/>
      <c r="BX34" s="48"/>
      <c r="BY34" s="45"/>
      <c r="BZ34" s="46">
        <v>36.39</v>
      </c>
      <c r="CA34" s="47"/>
      <c r="CB34" s="47">
        <v>43.45</v>
      </c>
      <c r="CC34" s="283"/>
      <c r="CD34" s="283"/>
      <c r="CE34" s="48">
        <v>43.77</v>
      </c>
      <c r="CF34" s="49">
        <v>71.855000000000004</v>
      </c>
      <c r="CG34" s="49"/>
      <c r="CH34" s="43"/>
      <c r="CI34" s="32">
        <v>108.785</v>
      </c>
      <c r="CJ34" s="33">
        <v>3.25</v>
      </c>
      <c r="CK34" s="33"/>
      <c r="CL34" s="35"/>
      <c r="CM34" s="36">
        <v>3.25</v>
      </c>
      <c r="CN34" s="270"/>
      <c r="CO34" s="249">
        <f t="shared" si="37"/>
        <v>0</v>
      </c>
      <c r="CP34" s="12">
        <f t="shared" si="37"/>
        <v>207.5267072</v>
      </c>
      <c r="CQ34" s="12">
        <f t="shared" si="37"/>
        <v>0</v>
      </c>
      <c r="CR34" s="12">
        <f t="shared" si="37"/>
        <v>62.71</v>
      </c>
      <c r="CS34" s="11">
        <f t="shared" si="37"/>
        <v>0</v>
      </c>
      <c r="CT34" s="11">
        <f t="shared" si="37"/>
        <v>0</v>
      </c>
      <c r="CU34" s="272">
        <f t="shared" si="37"/>
        <v>11.394</v>
      </c>
      <c r="CV34" s="249">
        <f t="shared" si="14"/>
        <v>69.519712500000011</v>
      </c>
      <c r="CW34" s="12">
        <f t="shared" si="14"/>
        <v>0</v>
      </c>
      <c r="CX34" s="249">
        <f t="shared" si="14"/>
        <v>0</v>
      </c>
      <c r="CY34" s="272">
        <f t="shared" si="14"/>
        <v>105.2494875</v>
      </c>
      <c r="CZ34" s="13"/>
      <c r="DA34" s="240">
        <f>(D34+'[2]декабрь 20'!D34)/(AY34+'[2]декабрь 20'!BA34)</f>
        <v>2.0808605359786068</v>
      </c>
      <c r="DB34" s="241">
        <f>(T34+'[2]декабрь 20'!T34)/(AY34+'[2]декабрь 20'!BA34)</f>
        <v>1.2778741859596612</v>
      </c>
      <c r="DD34" s="292">
        <f t="shared" si="15"/>
        <v>11.365</v>
      </c>
      <c r="DE34" s="291">
        <v>0.42</v>
      </c>
      <c r="DF34" s="291">
        <v>10.17</v>
      </c>
      <c r="DG34" s="145">
        <f t="shared" si="16"/>
        <v>11.317267000000001</v>
      </c>
      <c r="DH34" s="293">
        <f t="shared" si="29"/>
        <v>1.5192265758975714</v>
      </c>
      <c r="DJ34" s="322"/>
    </row>
    <row r="35" spans="1:114" s="76" customFormat="1" ht="16.5" customHeight="1" thickBot="1">
      <c r="A35" s="144">
        <v>29</v>
      </c>
      <c r="B35" s="122">
        <f>'[1]декабрь 20'!K34</f>
        <v>175.06899999999999</v>
      </c>
      <c r="C35" s="123">
        <f t="shared" si="17"/>
        <v>1.0581096596199211</v>
      </c>
      <c r="D35" s="145">
        <f t="shared" si="30"/>
        <v>173.216578</v>
      </c>
      <c r="E35" s="125">
        <f t="shared" si="32"/>
        <v>39.070391045816223</v>
      </c>
      <c r="F35" s="146">
        <f t="shared" si="0"/>
        <v>2.2936517213983052</v>
      </c>
      <c r="G35" s="127">
        <v>8.35</v>
      </c>
      <c r="H35" s="126">
        <f t="shared" si="20"/>
        <v>1.6907783103813556</v>
      </c>
      <c r="I35" s="230">
        <f>'[1]июль 20'!AI34</f>
        <v>0</v>
      </c>
      <c r="J35" s="247">
        <f>'[1]декабрь 20'!AA34</f>
        <v>6.97</v>
      </c>
      <c r="K35" s="464">
        <f>'[1]сентябрь 20'!AM34</f>
        <v>0</v>
      </c>
      <c r="L35" s="446">
        <f>'[1]декабрь 20'!AE34</f>
        <v>45.529000000000003</v>
      </c>
      <c r="M35" s="469">
        <f t="shared" si="21"/>
        <v>0.60287341101694925</v>
      </c>
      <c r="N35" s="542">
        <f>'[1]декабрь 20'!W34</f>
        <v>0</v>
      </c>
      <c r="O35" s="403">
        <f>'[1]декабрь 20'!AU34</f>
        <v>7.7169999999999996</v>
      </c>
      <c r="P35" s="401">
        <f t="shared" si="1"/>
        <v>114.12299999999999</v>
      </c>
      <c r="Q35" s="122">
        <f>'[1]декабрь 20'!S34</f>
        <v>114.123</v>
      </c>
      <c r="R35" s="123">
        <f t="shared" si="22"/>
        <v>3.18</v>
      </c>
      <c r="S35" s="129">
        <v>9.9499999999999993</v>
      </c>
      <c r="T35" s="125">
        <f t="shared" si="38"/>
        <v>110.49388860000001</v>
      </c>
      <c r="U35" s="147">
        <f t="shared" si="31"/>
        <v>1.4631076350635595</v>
      </c>
      <c r="V35" s="130">
        <v>75.52</v>
      </c>
      <c r="W35" s="130">
        <v>29.74</v>
      </c>
      <c r="X35" s="129">
        <v>1.0900000000000001</v>
      </c>
      <c r="Y35" s="150">
        <v>540</v>
      </c>
      <c r="Z35" s="150">
        <v>1136</v>
      </c>
      <c r="AA35" s="148" t="s">
        <v>433</v>
      </c>
      <c r="AB35" s="149">
        <v>76.739999999999995</v>
      </c>
      <c r="AC35" s="150">
        <v>70</v>
      </c>
      <c r="AD35" s="151">
        <v>3</v>
      </c>
      <c r="AE35" s="181">
        <v>4.3499999999999996</v>
      </c>
      <c r="AF35" s="134">
        <f t="shared" si="4"/>
        <v>57.600635593220339</v>
      </c>
      <c r="AG35" s="182"/>
      <c r="AH35" s="129">
        <v>51.3</v>
      </c>
      <c r="AI35" s="134">
        <f t="shared" si="5"/>
        <v>679.2902542372882</v>
      </c>
      <c r="AJ35" s="136">
        <v>9.52</v>
      </c>
      <c r="AK35" s="154"/>
      <c r="AL35" s="526">
        <v>5.28</v>
      </c>
      <c r="AM35" s="478">
        <v>21.59</v>
      </c>
      <c r="AN35" s="527">
        <f t="shared" si="23"/>
        <v>0.2145057128663686</v>
      </c>
      <c r="AO35" s="184" t="s">
        <v>219</v>
      </c>
      <c r="AP35" s="183">
        <v>7.27</v>
      </c>
      <c r="AQ35" s="183">
        <v>6.88</v>
      </c>
      <c r="AR35" s="185"/>
      <c r="AS35" s="181">
        <v>8.14</v>
      </c>
      <c r="AT35" s="149">
        <v>100.65</v>
      </c>
      <c r="AU35" s="181">
        <v>1.74</v>
      </c>
      <c r="AV35" s="149"/>
      <c r="AW35" s="149"/>
      <c r="AX35" s="158">
        <f t="shared" si="6"/>
        <v>0</v>
      </c>
      <c r="AY35" s="125">
        <f t="shared" si="35"/>
        <v>75.52</v>
      </c>
      <c r="AZ35" s="125">
        <f t="shared" si="24"/>
        <v>78.963317090203361</v>
      </c>
      <c r="BA35" s="159">
        <f t="shared" si="8"/>
        <v>3.2347901408450701</v>
      </c>
      <c r="BB35" s="160">
        <f t="shared" si="9"/>
        <v>3.0207999999999999</v>
      </c>
      <c r="BC35" s="161">
        <f t="shared" si="10"/>
        <v>0.85634065659469838</v>
      </c>
      <c r="BD35" s="160">
        <f t="shared" si="25"/>
        <v>6.2555901408450705</v>
      </c>
      <c r="BE35" s="162">
        <v>0.89300000000000002</v>
      </c>
      <c r="BF35" s="25">
        <f t="shared" si="26"/>
        <v>3000.3299999999995</v>
      </c>
      <c r="BG35" s="25">
        <f t="shared" si="11"/>
        <v>116.7741935483871</v>
      </c>
      <c r="BH35" s="25">
        <f t="shared" si="27"/>
        <v>3386.4516129032281</v>
      </c>
      <c r="BI35" s="26">
        <f t="shared" si="36"/>
        <v>1</v>
      </c>
      <c r="BJ35" s="37">
        <f t="shared" si="28"/>
        <v>3386.4516129032281</v>
      </c>
      <c r="BK35" s="38"/>
      <c r="BL35" s="31">
        <v>129.54</v>
      </c>
      <c r="BM35" s="31"/>
      <c r="BN35" s="31">
        <v>38.496000000000002</v>
      </c>
      <c r="BO35" s="40"/>
      <c r="BP35" s="40"/>
      <c r="BQ35" s="32">
        <v>7.0330000000000004</v>
      </c>
      <c r="BR35" s="33"/>
      <c r="BS35" s="34">
        <v>1.43</v>
      </c>
      <c r="BT35" s="35"/>
      <c r="BU35" s="35"/>
      <c r="BV35" s="235"/>
      <c r="BW35" s="235"/>
      <c r="BX35" s="36"/>
      <c r="BY35" s="33"/>
      <c r="BZ35" s="34">
        <v>37.36</v>
      </c>
      <c r="CA35" s="35"/>
      <c r="CB35" s="35">
        <v>43.96</v>
      </c>
      <c r="CC35" s="235"/>
      <c r="CD35" s="235"/>
      <c r="CE35" s="36">
        <v>43.81</v>
      </c>
      <c r="CF35" s="30">
        <v>44.750999999999998</v>
      </c>
      <c r="CG35" s="30"/>
      <c r="CH35" s="31"/>
      <c r="CI35" s="50">
        <v>69.372</v>
      </c>
      <c r="CJ35" s="33">
        <v>3.18</v>
      </c>
      <c r="CK35" s="33"/>
      <c r="CL35" s="35"/>
      <c r="CM35" s="36">
        <v>3.18</v>
      </c>
      <c r="CN35" s="270"/>
      <c r="CO35" s="249">
        <f t="shared" si="37"/>
        <v>0</v>
      </c>
      <c r="CP35" s="12">
        <f t="shared" si="37"/>
        <v>127.68757799999997</v>
      </c>
      <c r="CQ35" s="12">
        <f t="shared" si="37"/>
        <v>0</v>
      </c>
      <c r="CR35" s="12">
        <f t="shared" si="37"/>
        <v>38.496000000000002</v>
      </c>
      <c r="CS35" s="11">
        <f t="shared" si="37"/>
        <v>0</v>
      </c>
      <c r="CT35" s="11">
        <f t="shared" si="37"/>
        <v>0</v>
      </c>
      <c r="CU35" s="272">
        <f t="shared" si="37"/>
        <v>7.0330000000000004</v>
      </c>
      <c r="CV35" s="249">
        <f t="shared" si="14"/>
        <v>43.327918199999992</v>
      </c>
      <c r="CW35" s="12">
        <f t="shared" si="14"/>
        <v>0</v>
      </c>
      <c r="CX35" s="249">
        <f t="shared" si="14"/>
        <v>0</v>
      </c>
      <c r="CY35" s="272">
        <f t="shared" si="14"/>
        <v>67.165970399999992</v>
      </c>
      <c r="CZ35" s="13"/>
      <c r="DA35" s="240">
        <f>(D35+'[2]декабрь 20'!D35)/(AY35+'[2]декабрь 20'!BA35)</f>
        <v>1.9994694624876364</v>
      </c>
      <c r="DB35" s="241">
        <f>(T35+'[2]декабрь 20'!T35)/(AY35+'[2]декабрь 20'!BA35)</f>
        <v>1.2349128098195319</v>
      </c>
      <c r="DD35" s="292">
        <f t="shared" si="15"/>
        <v>6.97</v>
      </c>
      <c r="DE35" s="291">
        <v>0.56999999999999995</v>
      </c>
      <c r="DF35" s="291">
        <v>21.86</v>
      </c>
      <c r="DG35" s="145">
        <f t="shared" si="16"/>
        <v>6.9302710000000003</v>
      </c>
      <c r="DH35" s="293">
        <f t="shared" si="29"/>
        <v>1.9741428728173054</v>
      </c>
      <c r="DJ35" s="322"/>
    </row>
    <row r="36" spans="1:114" s="76" customFormat="1" ht="16.5" customHeight="1" thickBot="1">
      <c r="A36" s="144">
        <v>30</v>
      </c>
      <c r="B36" s="122">
        <f>'[1]декабрь 20'!K35</f>
        <v>300.05200000000002</v>
      </c>
      <c r="C36" s="123">
        <f t="shared" si="17"/>
        <v>1.4872494101022486</v>
      </c>
      <c r="D36" s="145">
        <f t="shared" si="30"/>
        <v>295.58947840000002</v>
      </c>
      <c r="E36" s="125">
        <f t="shared" si="32"/>
        <v>38.636504139282529</v>
      </c>
      <c r="F36" s="146">
        <f t="shared" si="0"/>
        <v>2.2762165285692286</v>
      </c>
      <c r="G36" s="127">
        <v>14.49</v>
      </c>
      <c r="H36" s="126">
        <f t="shared" si="20"/>
        <v>1.6752924564916065</v>
      </c>
      <c r="I36" s="230">
        <f>'[1]июль 20'!AI35</f>
        <v>0</v>
      </c>
      <c r="J36" s="247">
        <f>'[1]декабрь 20'!AA35</f>
        <v>12.013</v>
      </c>
      <c r="K36" s="464">
        <f>'[1]сентябрь 20'!AM35</f>
        <v>0</v>
      </c>
      <c r="L36" s="446">
        <f>'[1]декабрь 20'!AE35</f>
        <v>78.036000000000001</v>
      </c>
      <c r="M36" s="468">
        <f t="shared" si="21"/>
        <v>0.60092407207762211</v>
      </c>
      <c r="N36" s="542">
        <f>'[1]декабрь 20'!W35</f>
        <v>0</v>
      </c>
      <c r="O36" s="403">
        <f>'[1]декабрь 20'!AU35</f>
        <v>13.243</v>
      </c>
      <c r="P36" s="401">
        <f t="shared" si="1"/>
        <v>195.63600000000002</v>
      </c>
      <c r="Q36" s="122">
        <f>'[1]декабрь 20'!S35</f>
        <v>195.636</v>
      </c>
      <c r="R36" s="123">
        <f t="shared" si="22"/>
        <v>3.37</v>
      </c>
      <c r="S36" s="129">
        <v>12.47</v>
      </c>
      <c r="T36" s="125">
        <f t="shared" si="38"/>
        <v>189.04306679999999</v>
      </c>
      <c r="U36" s="147">
        <f t="shared" si="31"/>
        <v>1.4557451624826738</v>
      </c>
      <c r="V36" s="130">
        <v>129.86000000000001</v>
      </c>
      <c r="W36" s="130">
        <v>100.28</v>
      </c>
      <c r="X36" s="129">
        <v>0.75</v>
      </c>
      <c r="Y36" s="150">
        <v>538</v>
      </c>
      <c r="Z36" s="150">
        <v>1153</v>
      </c>
      <c r="AA36" s="148" t="s">
        <v>141</v>
      </c>
      <c r="AB36" s="149">
        <v>76.06</v>
      </c>
      <c r="AC36" s="150">
        <v>120</v>
      </c>
      <c r="AD36" s="151">
        <v>5</v>
      </c>
      <c r="AE36" s="149">
        <v>2.85</v>
      </c>
      <c r="AF36" s="134">
        <f t="shared" si="4"/>
        <v>21.946711843523797</v>
      </c>
      <c r="AG36" s="152"/>
      <c r="AH36" s="129">
        <v>90.3</v>
      </c>
      <c r="AI36" s="134">
        <f t="shared" si="5"/>
        <v>695.36423841059616</v>
      </c>
      <c r="AJ36" s="153">
        <v>12.9</v>
      </c>
      <c r="AK36" s="154"/>
      <c r="AL36" s="155">
        <v>14.84</v>
      </c>
      <c r="AM36" s="478">
        <v>35.25</v>
      </c>
      <c r="AN36" s="126">
        <f t="shared" si="23"/>
        <v>0.19847972972972974</v>
      </c>
      <c r="AO36" s="157" t="s">
        <v>382</v>
      </c>
      <c r="AP36" s="156">
        <v>7.02</v>
      </c>
      <c r="AQ36" s="156">
        <v>6.3</v>
      </c>
      <c r="AR36" s="151"/>
      <c r="AS36" s="149">
        <v>8.23</v>
      </c>
      <c r="AT36" s="149">
        <v>177.6</v>
      </c>
      <c r="AU36" s="149">
        <v>2.35</v>
      </c>
      <c r="AV36" s="149"/>
      <c r="AW36" s="149"/>
      <c r="AX36" s="158">
        <f t="shared" si="6"/>
        <v>0</v>
      </c>
      <c r="AY36" s="125">
        <f t="shared" si="35"/>
        <v>129.85999999999999</v>
      </c>
      <c r="AZ36" s="125">
        <f t="shared" si="24"/>
        <v>134.34135832436576</v>
      </c>
      <c r="BA36" s="159">
        <f t="shared" si="8"/>
        <v>5.7569429577464781</v>
      </c>
      <c r="BB36" s="160">
        <f t="shared" si="9"/>
        <v>5.1943999999999999</v>
      </c>
      <c r="BC36" s="161">
        <f t="shared" si="10"/>
        <v>0.86485823342203039</v>
      </c>
      <c r="BD36" s="160">
        <f t="shared" si="25"/>
        <v>10.951342957746478</v>
      </c>
      <c r="BE36" s="162">
        <v>0.89200000000000002</v>
      </c>
      <c r="BF36" s="25">
        <f t="shared" si="26"/>
        <v>3130.1899999999996</v>
      </c>
      <c r="BG36" s="25">
        <f t="shared" si="11"/>
        <v>116.7741935483871</v>
      </c>
      <c r="BH36" s="25">
        <f t="shared" si="27"/>
        <v>3503.2258064516154</v>
      </c>
      <c r="BI36" s="26">
        <f t="shared" si="36"/>
        <v>1</v>
      </c>
      <c r="BJ36" s="37">
        <f t="shared" si="28"/>
        <v>3503.2258064516154</v>
      </c>
      <c r="BK36" s="38"/>
      <c r="BL36" s="31">
        <v>222.01599999999999</v>
      </c>
      <c r="BM36" s="31"/>
      <c r="BN36" s="31">
        <v>66.033000000000001</v>
      </c>
      <c r="BO36" s="40"/>
      <c r="BP36" s="40"/>
      <c r="BQ36" s="32">
        <v>12.003</v>
      </c>
      <c r="BR36" s="33"/>
      <c r="BS36" s="34">
        <v>2.0099999999999998</v>
      </c>
      <c r="BT36" s="35"/>
      <c r="BU36" s="35"/>
      <c r="BV36" s="235"/>
      <c r="BW36" s="235"/>
      <c r="BX36" s="36"/>
      <c r="BY36" s="33"/>
      <c r="BZ36" s="34">
        <v>36.880000000000003</v>
      </c>
      <c r="CA36" s="35"/>
      <c r="CB36" s="35">
        <v>43.6</v>
      </c>
      <c r="CC36" s="235"/>
      <c r="CD36" s="235"/>
      <c r="CE36" s="36">
        <v>43.82</v>
      </c>
      <c r="CF36" s="30">
        <v>77.549000000000007</v>
      </c>
      <c r="CG36" s="30"/>
      <c r="CH36" s="34"/>
      <c r="CI36" s="50">
        <v>118.087</v>
      </c>
      <c r="CJ36" s="33">
        <v>3.37</v>
      </c>
      <c r="CK36" s="33"/>
      <c r="CL36" s="35"/>
      <c r="CM36" s="36">
        <v>3.37</v>
      </c>
      <c r="CN36" s="270"/>
      <c r="CO36" s="249">
        <f t="shared" si="37"/>
        <v>0</v>
      </c>
      <c r="CP36" s="12">
        <f t="shared" si="37"/>
        <v>217.55347839999999</v>
      </c>
      <c r="CQ36" s="12">
        <f t="shared" si="37"/>
        <v>0</v>
      </c>
      <c r="CR36" s="12">
        <f t="shared" si="37"/>
        <v>66.033000000000001</v>
      </c>
      <c r="CS36" s="11">
        <f t="shared" si="37"/>
        <v>0</v>
      </c>
      <c r="CT36" s="11">
        <f t="shared" si="37"/>
        <v>0</v>
      </c>
      <c r="CU36" s="272">
        <f t="shared" si="37"/>
        <v>12.003</v>
      </c>
      <c r="CV36" s="249">
        <f t="shared" si="14"/>
        <v>74.9355987</v>
      </c>
      <c r="CW36" s="12">
        <f t="shared" si="14"/>
        <v>0</v>
      </c>
      <c r="CX36" s="249">
        <f t="shared" si="14"/>
        <v>0</v>
      </c>
      <c r="CY36" s="274">
        <f t="shared" si="14"/>
        <v>114.10746809999999</v>
      </c>
      <c r="CZ36" s="13"/>
      <c r="DA36" s="240">
        <f>(D36+'[2]декабрь 20'!D36)/(AY36+'[2]декабрь 20'!BA36)</f>
        <v>2.3755531924149396</v>
      </c>
      <c r="DB36" s="241">
        <f>(T36+'[2]декабрь 20'!T36)/(AY36+'[2]декабрь 20'!BA36)</f>
        <v>1.5058979867782034</v>
      </c>
      <c r="DD36" s="292">
        <f t="shared" si="15"/>
        <v>12.013</v>
      </c>
      <c r="DE36" s="291">
        <v>0.37</v>
      </c>
      <c r="DF36" s="291">
        <v>20.71</v>
      </c>
      <c r="DG36" s="145">
        <f t="shared" si="16"/>
        <v>11.9685519</v>
      </c>
      <c r="DH36" s="293">
        <f t="shared" si="29"/>
        <v>3.2588576104259794</v>
      </c>
      <c r="DJ36" s="322"/>
    </row>
    <row r="37" spans="1:114" s="76" customFormat="1" ht="16.5" customHeight="1" thickBot="1">
      <c r="A37" s="186">
        <v>31</v>
      </c>
      <c r="B37" s="122">
        <f>'[1]декабрь 20'!K36</f>
        <v>292.98599999999999</v>
      </c>
      <c r="C37" s="123">
        <f t="shared" si="17"/>
        <v>0.46616851999754255</v>
      </c>
      <c r="D37" s="187">
        <f t="shared" si="30"/>
        <v>291.62019150000003</v>
      </c>
      <c r="E37" s="285">
        <f t="shared" si="32"/>
        <v>38.61216624685138</v>
      </c>
      <c r="F37" s="189">
        <f t="shared" si="0"/>
        <v>2.1269068011085994</v>
      </c>
      <c r="G37" s="127">
        <v>37.07</v>
      </c>
      <c r="H37" s="126">
        <f t="shared" si="20"/>
        <v>1.5712142914448255</v>
      </c>
      <c r="I37" s="230">
        <f>'[1]июль 20'!AI36</f>
        <v>0</v>
      </c>
      <c r="J37" s="277">
        <f>'[1]декабрь 20'!AA36</f>
        <v>11.653</v>
      </c>
      <c r="K37" s="276">
        <f>'[1]сентябрь 20'!AM36</f>
        <v>0</v>
      </c>
      <c r="L37" s="446">
        <f>'[1]декабрь 20'!AE36</f>
        <v>76.191000000000003</v>
      </c>
      <c r="M37" s="128">
        <f t="shared" si="21"/>
        <v>0.5556925096637737</v>
      </c>
      <c r="N37" s="399">
        <f>'[1]декабрь 20'!W36</f>
        <v>0</v>
      </c>
      <c r="O37" s="453">
        <f>'[1]декабрь 20'!AU36</f>
        <v>13.068</v>
      </c>
      <c r="P37" s="125">
        <f t="shared" si="1"/>
        <v>187.81100000000001</v>
      </c>
      <c r="Q37" s="122">
        <f>'[1]декабрь 20'!S36</f>
        <v>187.81100000000001</v>
      </c>
      <c r="R37" s="123">
        <f t="shared" si="22"/>
        <v>3.3100000000000005</v>
      </c>
      <c r="S37" s="129">
        <v>10.27</v>
      </c>
      <c r="T37" s="125">
        <f t="shared" si="38"/>
        <v>181.59445590000001</v>
      </c>
      <c r="U37" s="191">
        <f t="shared" si="31"/>
        <v>1.3244435555393481</v>
      </c>
      <c r="V37" s="192">
        <v>153.97999999999999</v>
      </c>
      <c r="W37" s="192">
        <v>64.349999999999994</v>
      </c>
      <c r="X37" s="190">
        <v>1.03</v>
      </c>
      <c r="Y37" s="193">
        <v>533</v>
      </c>
      <c r="Z37" s="194">
        <v>1155</v>
      </c>
      <c r="AA37" s="551" t="s">
        <v>471</v>
      </c>
      <c r="AB37" s="196">
        <v>76.150000000000006</v>
      </c>
      <c r="AC37" s="194">
        <v>117</v>
      </c>
      <c r="AD37" s="193">
        <v>5</v>
      </c>
      <c r="AE37" s="196"/>
      <c r="AF37" s="134">
        <f t="shared" si="4"/>
        <v>0</v>
      </c>
      <c r="AG37" s="197"/>
      <c r="AH37" s="190">
        <v>92.65</v>
      </c>
      <c r="AI37" s="134">
        <f t="shared" si="5"/>
        <v>675.73481146524693</v>
      </c>
      <c r="AJ37" s="196">
        <v>14.84</v>
      </c>
      <c r="AK37" s="198"/>
      <c r="AL37" s="199">
        <v>9.93</v>
      </c>
      <c r="AM37" s="478">
        <v>42.55</v>
      </c>
      <c r="AN37" s="126">
        <f t="shared" si="23"/>
        <v>0.22993785463388269</v>
      </c>
      <c r="AO37" s="201" t="s">
        <v>382</v>
      </c>
      <c r="AP37" s="200">
        <v>7.16</v>
      </c>
      <c r="AQ37" s="201">
        <v>6.48</v>
      </c>
      <c r="AR37" s="193"/>
      <c r="AS37" s="196">
        <v>7.21</v>
      </c>
      <c r="AT37" s="242">
        <v>185.05</v>
      </c>
      <c r="AU37" s="196">
        <v>4.54</v>
      </c>
      <c r="AV37" s="196"/>
      <c r="AW37" s="196"/>
      <c r="AX37" s="202">
        <f t="shared" si="6"/>
        <v>0</v>
      </c>
      <c r="AY37" s="188">
        <f t="shared" si="35"/>
        <v>137.10999999999999</v>
      </c>
      <c r="AZ37" s="125">
        <f t="shared" si="24"/>
        <v>131.25888187253165</v>
      </c>
      <c r="BA37" s="203">
        <f t="shared" si="8"/>
        <v>5.1746982394366201</v>
      </c>
      <c r="BB37" s="204">
        <f t="shared" si="9"/>
        <v>5.4843999999999999</v>
      </c>
      <c r="BC37" s="205">
        <f t="shared" si="10"/>
        <v>0.92725093578666462</v>
      </c>
      <c r="BD37" s="206">
        <f t="shared" si="25"/>
        <v>10.65909823943662</v>
      </c>
      <c r="BE37" s="207">
        <v>0.89300000000000002</v>
      </c>
      <c r="BF37" s="25">
        <f t="shared" si="26"/>
        <v>3267.2999999999997</v>
      </c>
      <c r="BG37" s="25">
        <f t="shared" si="11"/>
        <v>116.7741935483871</v>
      </c>
      <c r="BH37" s="25">
        <f t="shared" si="27"/>
        <v>3620.0000000000027</v>
      </c>
      <c r="BI37" s="26">
        <f t="shared" si="36"/>
        <v>1</v>
      </c>
      <c r="BJ37" s="37">
        <f t="shared" si="28"/>
        <v>3620.0000000000027</v>
      </c>
      <c r="BK37" s="51"/>
      <c r="BL37" s="53">
        <v>216.79499999999999</v>
      </c>
      <c r="BM37" s="53"/>
      <c r="BN37" s="53">
        <v>64.405000000000001</v>
      </c>
      <c r="BO37" s="282"/>
      <c r="BP37" s="282"/>
      <c r="BQ37" s="54">
        <v>11.786</v>
      </c>
      <c r="BR37" s="55"/>
      <c r="BS37" s="52">
        <v>0.63</v>
      </c>
      <c r="BT37" s="56"/>
      <c r="BU37" s="56"/>
      <c r="BV37" s="284"/>
      <c r="BW37" s="284"/>
      <c r="BX37" s="57"/>
      <c r="BY37" s="55"/>
      <c r="BZ37" s="52">
        <v>37.07</v>
      </c>
      <c r="CA37" s="56"/>
      <c r="CB37" s="56">
        <v>42.81</v>
      </c>
      <c r="CC37" s="284"/>
      <c r="CD37" s="284"/>
      <c r="CE37" s="57">
        <v>44.04</v>
      </c>
      <c r="CF37" s="58">
        <v>85.956000000000003</v>
      </c>
      <c r="CG37" s="58"/>
      <c r="CH37" s="52"/>
      <c r="CI37" s="54">
        <v>101.855</v>
      </c>
      <c r="CJ37" s="33">
        <v>3.31</v>
      </c>
      <c r="CK37" s="265"/>
      <c r="CL37" s="59"/>
      <c r="CM37" s="60">
        <v>3.31</v>
      </c>
      <c r="CN37" s="270"/>
      <c r="CO37" s="269">
        <f t="shared" si="37"/>
        <v>0</v>
      </c>
      <c r="CP37" s="18">
        <f t="shared" si="37"/>
        <v>215.4291915</v>
      </c>
      <c r="CQ37" s="18">
        <f t="shared" si="37"/>
        <v>0</v>
      </c>
      <c r="CR37" s="18">
        <f t="shared" si="37"/>
        <v>64.405000000000001</v>
      </c>
      <c r="CS37" s="251">
        <f t="shared" si="37"/>
        <v>0</v>
      </c>
      <c r="CT37" s="11">
        <f t="shared" si="37"/>
        <v>0</v>
      </c>
      <c r="CU37" s="273">
        <f t="shared" si="37"/>
        <v>11.786</v>
      </c>
      <c r="CV37" s="269">
        <f t="shared" si="14"/>
        <v>83.110856400000003</v>
      </c>
      <c r="CW37" s="18">
        <f t="shared" si="14"/>
        <v>0</v>
      </c>
      <c r="CX37" s="261">
        <f t="shared" si="14"/>
        <v>0</v>
      </c>
      <c r="CY37" s="273">
        <f t="shared" si="14"/>
        <v>98.483599499999997</v>
      </c>
      <c r="CZ37" s="13"/>
      <c r="DA37" s="240">
        <f>(D37+'[2]декабрь 20'!D37)/(AY37+'[2]декабрь 20'!BA37)</f>
        <v>2.2445563737734169</v>
      </c>
      <c r="DB37" s="241">
        <f>(T37+'[2]декабрь 20'!T37)/(AY37+'[2]декабрь 20'!BA37)</f>
        <v>1.3826506910682428</v>
      </c>
      <c r="DD37" s="292">
        <f t="shared" si="15"/>
        <v>11.653</v>
      </c>
      <c r="DE37" s="294">
        <v>0.17</v>
      </c>
      <c r="DF37" s="294">
        <v>14.21</v>
      </c>
      <c r="DG37" s="323">
        <f t="shared" si="16"/>
        <v>11.6331899</v>
      </c>
      <c r="DH37" s="293">
        <f t="shared" si="29"/>
        <v>2.1708158697176625</v>
      </c>
      <c r="DJ37" s="322">
        <f t="shared" ref="DJ37" si="39">CO37+CP37+CQ37+CR37+CS37+CT37+CU37</f>
        <v>291.62019149999998</v>
      </c>
    </row>
    <row r="38" spans="1:114" s="214" customFormat="1" ht="16.5" customHeight="1" thickBot="1">
      <c r="A38" s="91" t="s">
        <v>56</v>
      </c>
      <c r="B38" s="329">
        <f>SUM(B7:B37)</f>
        <v>7323.8710000000001</v>
      </c>
      <c r="C38" s="330"/>
      <c r="D38" s="331">
        <f>SUM(D7:D37)</f>
        <v>7226.6831707876208</v>
      </c>
      <c r="E38" s="332"/>
      <c r="F38" s="331"/>
      <c r="G38" s="333">
        <f>SUM(G7:G37)</f>
        <v>555.42000000000007</v>
      </c>
      <c r="H38" s="329"/>
      <c r="I38" s="334">
        <f>SUM(I7:I37)</f>
        <v>0</v>
      </c>
      <c r="J38" s="329">
        <f>SUM(J7:J37)</f>
        <v>397.53799999999995</v>
      </c>
      <c r="K38" s="329">
        <f>SUM(K7:K37)</f>
        <v>0</v>
      </c>
      <c r="L38" s="329">
        <f>SUM(L7:L37)</f>
        <v>1919.826</v>
      </c>
      <c r="M38" s="335"/>
      <c r="N38" s="329">
        <f>SUM(N7:N37)</f>
        <v>0</v>
      </c>
      <c r="O38" s="329">
        <f>SUM(O7:O37)</f>
        <v>283.11799999999999</v>
      </c>
      <c r="P38" s="330">
        <f>SUM(P7:P37)</f>
        <v>4732.5070020000003</v>
      </c>
      <c r="Q38" s="396">
        <f>SUM(Q7:Q37)</f>
        <v>4732.5069999999996</v>
      </c>
      <c r="R38" s="336">
        <f>IF(Q38=0,0,(CA38*CH38+CE38*CI38+CF38*CJ38)/Q38)</f>
        <v>0</v>
      </c>
      <c r="S38" s="396">
        <f>SUM(S7:S37)</f>
        <v>363.56</v>
      </c>
      <c r="T38" s="331">
        <f>SUM(T7:T37)</f>
        <v>4581.8931043000002</v>
      </c>
      <c r="U38" s="337"/>
      <c r="V38" s="90">
        <f>SUM(V7:V37)</f>
        <v>3220.8199999999993</v>
      </c>
      <c r="W38" s="332">
        <f>SUM(W7:W37)</f>
        <v>2204.35</v>
      </c>
      <c r="X38" s="338"/>
      <c r="Y38" s="337"/>
      <c r="Z38" s="339"/>
      <c r="AA38" s="340"/>
      <c r="AB38" s="338"/>
      <c r="AC38" s="339"/>
      <c r="AD38" s="339">
        <f>SUM(AD7:AD37)</f>
        <v>132</v>
      </c>
      <c r="AE38" s="332">
        <f>SUM(AE7:AE37)</f>
        <v>51.9</v>
      </c>
      <c r="AF38" s="341"/>
      <c r="AG38" s="342">
        <f>SUM(AG7:AG37)</f>
        <v>0</v>
      </c>
      <c r="AH38" s="332">
        <f>SUM(AH7:AH37)</f>
        <v>2385.2000000000003</v>
      </c>
      <c r="AI38" s="341"/>
      <c r="AJ38" s="332">
        <f>SUM(AJ7:AJ37)</f>
        <v>403.33999999999992</v>
      </c>
      <c r="AK38" s="343"/>
      <c r="AL38" s="522">
        <f>SUM(AL7:AL37)</f>
        <v>229.42000000000002</v>
      </c>
      <c r="AM38" s="345">
        <f>SUM(AM7:AM37)</f>
        <v>900.36</v>
      </c>
      <c r="AN38" s="345"/>
      <c r="AO38" s="342"/>
      <c r="AP38" s="332"/>
      <c r="AQ38" s="342"/>
      <c r="AR38" s="342"/>
      <c r="AS38" s="346"/>
      <c r="AT38" s="332">
        <f>SUM(AT7:AT37)</f>
        <v>4332.4400000000005</v>
      </c>
      <c r="AU38" s="332">
        <f>SUM(AU7:AU37)</f>
        <v>64.64</v>
      </c>
      <c r="AV38" s="347">
        <f>SUM(AV7:AV37)</f>
        <v>0</v>
      </c>
      <c r="AW38" s="332">
        <f>SUM(AW7:AW37)</f>
        <v>0</v>
      </c>
      <c r="AX38" s="331"/>
      <c r="AY38" s="332">
        <f>SUM(AY7:AY37)</f>
        <v>3267.2999999999997</v>
      </c>
      <c r="AZ38" s="330">
        <f>SUM(AZ7:AZ37)</f>
        <v>3202.0201964459366</v>
      </c>
      <c r="BA38" s="342">
        <f>SUM(BA7:BA37)</f>
        <v>170.85411866197182</v>
      </c>
      <c r="BB38" s="342">
        <f>SUM(BB7:BB37)</f>
        <v>130.69200000000001</v>
      </c>
      <c r="BC38" s="332"/>
      <c r="BD38" s="342">
        <f>SUM(BD7:BD37)</f>
        <v>301.54611866197183</v>
      </c>
      <c r="BE38" s="348"/>
      <c r="BF38" s="19"/>
      <c r="BG38" s="19">
        <f t="shared" si="11"/>
        <v>0</v>
      </c>
      <c r="BH38" s="19"/>
      <c r="BI38" s="208">
        <f>SUM(BI7:BI37)</f>
        <v>31</v>
      </c>
      <c r="BJ38" s="209"/>
      <c r="BK38" s="278">
        <f t="shared" ref="BK38:BQ38" si="40">SUM(BK7:BK37)</f>
        <v>300.589</v>
      </c>
      <c r="BL38" s="61">
        <f>SUM(BL7:BL37)</f>
        <v>5103.456000000001</v>
      </c>
      <c r="BM38" s="61">
        <f t="shared" si="40"/>
        <v>9.9999999999999995E-7</v>
      </c>
      <c r="BN38" s="61">
        <f t="shared" si="40"/>
        <v>1529.8529999999998</v>
      </c>
      <c r="BO38" s="61">
        <f t="shared" si="40"/>
        <v>9.9999999999999995E-7</v>
      </c>
      <c r="BP38" s="61">
        <f t="shared" si="40"/>
        <v>9.9999999999999995E-7</v>
      </c>
      <c r="BQ38" s="64">
        <f t="shared" si="40"/>
        <v>389.97299999999996</v>
      </c>
      <c r="BR38" s="63"/>
      <c r="BS38" s="24"/>
      <c r="BT38" s="24"/>
      <c r="BU38" s="24"/>
      <c r="BV38" s="62"/>
      <c r="BW38" s="62"/>
      <c r="BX38" s="65"/>
      <c r="BY38" s="63"/>
      <c r="BZ38" s="24"/>
      <c r="CA38" s="24"/>
      <c r="CB38" s="24"/>
      <c r="CC38" s="62"/>
      <c r="CD38" s="62"/>
      <c r="CE38" s="62"/>
      <c r="CF38" s="66">
        <f>SUM(CF7:CF37)</f>
        <v>1898.4099999999999</v>
      </c>
      <c r="CG38" s="66">
        <f>SUM(CG7:CG37)</f>
        <v>9.9999999999999995E-7</v>
      </c>
      <c r="CH38" s="61">
        <f>SUM(CH7:CH37)</f>
        <v>9.9999999999999995E-7</v>
      </c>
      <c r="CI38" s="67">
        <f>SUM(CI7:CI37)</f>
        <v>2834.0969999999993</v>
      </c>
      <c r="CJ38" s="210"/>
      <c r="CK38" s="266"/>
      <c r="CL38" s="211"/>
      <c r="CM38" s="212"/>
      <c r="CN38" s="213"/>
      <c r="CO38" s="68">
        <f t="shared" ref="CO38:CY38" si="41">SUM(CO7:CO37)</f>
        <v>297.58311000000003</v>
      </c>
      <c r="CP38" s="69">
        <f t="shared" si="41"/>
        <v>5009.274061600001</v>
      </c>
      <c r="CQ38" s="70">
        <f t="shared" si="41"/>
        <v>9.9999998999999992E-7</v>
      </c>
      <c r="CR38" s="69">
        <f t="shared" si="41"/>
        <v>1529.85299941536</v>
      </c>
      <c r="CS38" s="72">
        <f t="shared" si="41"/>
        <v>9.9999998999999992E-7</v>
      </c>
      <c r="CT38" s="72">
        <f t="shared" si="41"/>
        <v>9.9999998999999992E-7</v>
      </c>
      <c r="CU38" s="71">
        <f t="shared" si="41"/>
        <v>389.97299977225993</v>
      </c>
      <c r="CV38" s="72">
        <f t="shared" si="41"/>
        <v>1837.8334818000001</v>
      </c>
      <c r="CW38" s="72">
        <f t="shared" si="41"/>
        <v>9.9999998999999992E-7</v>
      </c>
      <c r="CX38" s="72">
        <f t="shared" si="41"/>
        <v>9.9999998999999992E-7</v>
      </c>
      <c r="CY38" s="72">
        <f t="shared" si="41"/>
        <v>2744.0596224999995</v>
      </c>
      <c r="CZ38" s="70"/>
      <c r="DA38" s="240">
        <f>(D38+'[2]декабрь 20'!D38)/(AY38+'[2]декабрь 20'!BA38)</f>
        <v>2.1939395679748683</v>
      </c>
      <c r="DB38" s="241">
        <f>(T38+'[2]декабрь 20'!T38)/(AY38+'[2]декабрь 20'!BA38)</f>
        <v>1.3633308860229005</v>
      </c>
      <c r="DD38" s="295">
        <f>SUM(DD7:DD37)</f>
        <v>397.53799999999995</v>
      </c>
      <c r="DE38" s="296">
        <f>(SUMPRODUCT(DD7:DD37,DE7:DE37))/DD38</f>
        <v>0.46343305545633379</v>
      </c>
      <c r="DF38" s="296">
        <f>(SUMPRODUCT(DD7:DD37,DF7:DF37))/DD38</f>
        <v>17.742238377211745</v>
      </c>
      <c r="DG38" s="296">
        <f>(SUMPRODUCT(DE7:DE37,DG7:DG37))/DE38</f>
        <v>394.44289276474325</v>
      </c>
      <c r="DH38" s="324">
        <f>IF(J38=0,0,(DG38*DF38%)/(AB39/100))</f>
        <v>91.940440920528289</v>
      </c>
    </row>
    <row r="39" spans="1:114" s="214" customFormat="1" ht="16.5" customHeight="1" thickBot="1">
      <c r="A39" s="93" t="s">
        <v>57</v>
      </c>
      <c r="B39" s="349">
        <f>B38/AU2</f>
        <v>236.25390322580645</v>
      </c>
      <c r="C39" s="349">
        <f>(BK38*BR39+BM38*BT39+BQ38*BX39+BL38*BS39+BN38*BU39+BO38*BV39+BP38*BW39)/B38</f>
        <v>1.3270008334715346</v>
      </c>
      <c r="D39" s="350">
        <f>D38/AU2</f>
        <v>233.11881196089101</v>
      </c>
      <c r="E39" s="349">
        <f>(BK38*BY39+BM38*CA39+BQ38*CE39+BL38*BZ39+BN38*CB39+BO38*CC39+BP38*CD39)/B38</f>
        <v>38.52474937638852</v>
      </c>
      <c r="F39" s="351">
        <f>IF($AY$38=0,0,$D$38/$AY$38)</f>
        <v>2.2118211277775597</v>
      </c>
      <c r="G39" s="352">
        <f>G38/AU2</f>
        <v>17.916774193548388</v>
      </c>
      <c r="H39" s="353">
        <f>IF($AY$38=0,0,(CP38+CO38+CS38+CQ38+CT38)/AY38)</f>
        <v>1.6242332123159802</v>
      </c>
      <c r="I39" s="349">
        <f>I38/AU2</f>
        <v>0</v>
      </c>
      <c r="J39" s="349">
        <f>J38/AU2</f>
        <v>12.823806451612901</v>
      </c>
      <c r="K39" s="349">
        <f>K38/AU2</f>
        <v>0</v>
      </c>
      <c r="L39" s="349">
        <f>L38/AU2</f>
        <v>61.929870967741934</v>
      </c>
      <c r="M39" s="354">
        <f>IF($AY$38=0,0,(CR38+CU38)/$AY$38)</f>
        <v>0.58758791637976926</v>
      </c>
      <c r="N39" s="349">
        <f>N38/AU2</f>
        <v>0</v>
      </c>
      <c r="O39" s="349">
        <f>O38/AU2</f>
        <v>9.1328387096774186</v>
      </c>
      <c r="P39" s="349">
        <f>P38/AU2</f>
        <v>152.66151619354841</v>
      </c>
      <c r="Q39" s="349">
        <f>Q38/AU2</f>
        <v>152.66151612903224</v>
      </c>
      <c r="R39" s="349">
        <f>(SUMPRODUCT(R7:R37,Q7:Q37))/Q38</f>
        <v>3.1825393116164453</v>
      </c>
      <c r="S39" s="355">
        <f>S38/AU2</f>
        <v>11.727741935483872</v>
      </c>
      <c r="T39" s="356"/>
      <c r="U39" s="354">
        <f>IF($AY$38=0,0,$T$38/$AY$38)</f>
        <v>1.4023484541670495</v>
      </c>
      <c r="V39" s="349">
        <f>V38/AU2</f>
        <v>103.89741935483869</v>
      </c>
      <c r="W39" s="349">
        <f>W38/AU2</f>
        <v>71.108064516129033</v>
      </c>
      <c r="X39" s="349">
        <f>(SUMPRODUCT(X7:X37,AY7:AY37))/AY38</f>
        <v>0.90302999418480123</v>
      </c>
      <c r="Y39" s="357">
        <f>AVERAGE(Y7:Y37)</f>
        <v>541.09677419354841</v>
      </c>
      <c r="Z39" s="357">
        <f>AVERAGE(Z7:Z37)</f>
        <v>1128.258064516129</v>
      </c>
      <c r="AA39" s="357"/>
      <c r="AB39" s="349">
        <f>(SUMPRODUCT(AB7:AB37,AY7:AY37))/AY38</f>
        <v>76.117753619196293</v>
      </c>
      <c r="AC39" s="358">
        <f>AVERAGE(AC7:AC37)</f>
        <v>94.709677419354833</v>
      </c>
      <c r="AD39" s="358">
        <f>AVERAGE(AD7:AD37)</f>
        <v>4.7142857142857144</v>
      </c>
      <c r="AE39" s="349">
        <f>AE38/AU2</f>
        <v>1.6741935483870967</v>
      </c>
      <c r="AF39" s="355">
        <f>IF(AY38=0,0,AE38/AY38*1000)</f>
        <v>15.884675420071622</v>
      </c>
      <c r="AG39" s="356" t="e">
        <f>AG38/$AW$2</f>
        <v>#DIV/0!</v>
      </c>
      <c r="AH39" s="349">
        <f>AH38/AU2</f>
        <v>76.941935483870978</v>
      </c>
      <c r="AI39" s="355">
        <f>IF(AY38=0,0,AH38/AY38*1000)</f>
        <v>730.02173048082534</v>
      </c>
      <c r="AJ39" s="349">
        <f>AJ38/AU2</f>
        <v>13.010967741935481</v>
      </c>
      <c r="AK39" s="359"/>
      <c r="AL39" s="349">
        <f>AL38/AU2</f>
        <v>7.4006451612903232</v>
      </c>
      <c r="AM39" s="349">
        <f>AM38/AU2</f>
        <v>29.043870967741935</v>
      </c>
      <c r="AN39" s="360">
        <f>IF(AM39=0,0,AM39/AT39)</f>
        <v>0.20781822714221082</v>
      </c>
      <c r="AO39" s="356"/>
      <c r="AP39" s="349">
        <f>AVERAGE(AP7:AP37)</f>
        <v>7.7683333333333344</v>
      </c>
      <c r="AQ39" s="349">
        <f>AVERAGE(AQ7:AQ37)</f>
        <v>6.9243333333333332</v>
      </c>
      <c r="AR39" s="356"/>
      <c r="AS39" s="349">
        <f>AVERAGE(AS7:AS37)</f>
        <v>9.0966666666666658</v>
      </c>
      <c r="AT39" s="349">
        <f>AT38/AU2</f>
        <v>139.75612903225809</v>
      </c>
      <c r="AU39" s="349">
        <f>AU38/AU2</f>
        <v>2.0851612903225805</v>
      </c>
      <c r="AV39" s="349" t="e">
        <f>AV38/$AW$2</f>
        <v>#DIV/0!</v>
      </c>
      <c r="AW39" s="349" t="e">
        <f>AW38/$AW$2</f>
        <v>#DIV/0!</v>
      </c>
      <c r="AX39" s="349" t="e">
        <f>IF(AY39=0,0,AW39/AY39*100)</f>
        <v>#DIV/0!</v>
      </c>
      <c r="AY39" s="349">
        <f>AY38/AU2</f>
        <v>105.39677419354838</v>
      </c>
      <c r="AZ39" s="349">
        <f>AZ38/AU2</f>
        <v>103.29097407890119</v>
      </c>
      <c r="BA39" s="356"/>
      <c r="BB39" s="356"/>
      <c r="BC39" s="351">
        <f>(AY38*AB39)/(D38*E39)</f>
        <v>0.89329754128644279</v>
      </c>
      <c r="BD39" s="349">
        <f>BD38/AU2</f>
        <v>9.7272941503861876</v>
      </c>
      <c r="BE39" s="361"/>
      <c r="BF39" s="19"/>
      <c r="BG39" s="19"/>
      <c r="BH39" s="19"/>
      <c r="BI39" s="19"/>
      <c r="BJ39" s="215"/>
      <c r="BK39" s="73"/>
      <c r="BL39" s="216"/>
      <c r="BM39" s="216"/>
      <c r="BN39" s="216"/>
      <c r="BO39" s="219"/>
      <c r="BP39" s="219"/>
      <c r="BQ39" s="217"/>
      <c r="BR39" s="73">
        <f>(SUMPRODUCT(BK7:BK37,BR7:BR37))/BK38</f>
        <v>1</v>
      </c>
      <c r="BS39" s="29">
        <f>(SUMPRODUCT(BL7:BL37,BS7:BS37))/BL38</f>
        <v>1.8454541079613493</v>
      </c>
      <c r="BT39" s="29">
        <f t="shared" ref="BT39:BX39" si="42">(SUMPRODUCT(BM7:BM37,BT7:BT37))/BM38</f>
        <v>9.9999999999999995E-7</v>
      </c>
      <c r="BU39" s="29">
        <f t="shared" si="42"/>
        <v>3.8215436385064449E-8</v>
      </c>
      <c r="BV39" s="29">
        <f t="shared" si="42"/>
        <v>9.9999999999999995E-7</v>
      </c>
      <c r="BW39" s="29">
        <f t="shared" si="42"/>
        <v>9.9999999999999995E-7</v>
      </c>
      <c r="BX39" s="74">
        <f t="shared" si="42"/>
        <v>5.8398914796665415E-8</v>
      </c>
      <c r="BY39" s="73">
        <f t="shared" ref="BY39:CE39" si="43">(SUMPRODUCT(BK7:BK37,BY7:BY37))/BK38</f>
        <v>37.33</v>
      </c>
      <c r="BZ39" s="29">
        <f t="shared" si="43"/>
        <v>36.687850631023359</v>
      </c>
      <c r="CA39" s="29">
        <f t="shared" si="43"/>
        <v>9.9999999999999995E-7</v>
      </c>
      <c r="CB39" s="29">
        <f t="shared" si="43"/>
        <v>43.529696219179236</v>
      </c>
      <c r="CC39" s="29">
        <f t="shared" si="43"/>
        <v>9.9999999999999995E-7</v>
      </c>
      <c r="CD39" s="29">
        <f t="shared" si="43"/>
        <v>9.9999999999999995E-7</v>
      </c>
      <c r="CE39" s="74">
        <f t="shared" si="43"/>
        <v>43.850316791162463</v>
      </c>
      <c r="CF39" s="218"/>
      <c r="CG39" s="218"/>
      <c r="CH39" s="216"/>
      <c r="CI39" s="219"/>
      <c r="CJ39" s="75">
        <f>(SUMPRODUCT(CF7:CF37,CJ7:CJ37))/CF38</f>
        <v>3.1909080862405919</v>
      </c>
      <c r="CK39" s="75">
        <f>(SUMPRODUCT(CG7:CG37,CK7:CK37))/CG38</f>
        <v>9.9999999999999995E-7</v>
      </c>
      <c r="CL39" s="29">
        <f>(SUMPRODUCT(CH7:CH37,CL7:CL37))/CH38</f>
        <v>9.9999999999999995E-7</v>
      </c>
      <c r="CM39" s="74">
        <f>(SUMPRODUCT(CI7:CI37,CM7:CM37))/CI38</f>
        <v>3.1769335170955695</v>
      </c>
      <c r="CN39" s="19"/>
      <c r="CO39" s="596">
        <f>CO38+CP38</f>
        <v>5306.8571716000006</v>
      </c>
      <c r="CP39" s="596"/>
      <c r="CQ39" s="597">
        <f>CQ38+CR38+CU38+CS38+CT38</f>
        <v>1919.8260021876197</v>
      </c>
      <c r="CR39" s="597"/>
      <c r="CS39" s="597"/>
      <c r="CT39" s="597"/>
      <c r="CU39" s="597"/>
      <c r="CV39" s="597">
        <f>CV38+CX38+CY38+CW38</f>
        <v>4581.8931063</v>
      </c>
      <c r="CW39" s="597"/>
      <c r="CX39" s="597"/>
      <c r="CY39" s="597"/>
      <c r="DA39" s="236"/>
      <c r="DB39" s="238"/>
      <c r="DD39" s="297"/>
      <c r="DE39" s="298"/>
      <c r="DF39" s="298"/>
      <c r="DG39" s="299"/>
      <c r="DH39" s="300"/>
    </row>
    <row r="40" spans="1:114" s="214" customFormat="1" ht="16.5" customHeight="1" thickBot="1">
      <c r="A40" s="94" t="s">
        <v>58</v>
      </c>
      <c r="B40" s="362"/>
      <c r="C40" s="362"/>
      <c r="D40" s="363"/>
      <c r="E40" s="364">
        <v>39.299999999999997</v>
      </c>
      <c r="F40" s="363">
        <v>2.15</v>
      </c>
      <c r="G40" s="543">
        <v>10.53</v>
      </c>
      <c r="H40" s="363">
        <v>1.5049999999999999</v>
      </c>
      <c r="I40" s="363"/>
      <c r="J40" s="363">
        <v>9.34</v>
      </c>
      <c r="K40" s="363"/>
      <c r="L40" s="363"/>
      <c r="M40" s="363">
        <v>0.64500000000000002</v>
      </c>
      <c r="N40" s="363"/>
      <c r="O40" s="364">
        <v>10.5</v>
      </c>
      <c r="P40" s="366"/>
      <c r="Q40" s="362"/>
      <c r="R40" s="367"/>
      <c r="S40" s="368">
        <v>10.63</v>
      </c>
      <c r="T40" s="362"/>
      <c r="U40" s="369">
        <v>1.3</v>
      </c>
      <c r="V40" s="370">
        <v>3620</v>
      </c>
      <c r="W40" s="370">
        <v>3620</v>
      </c>
      <c r="X40" s="371"/>
      <c r="Y40" s="371"/>
      <c r="Z40" s="372">
        <v>1190</v>
      </c>
      <c r="AA40" s="372"/>
      <c r="AB40" s="362">
        <v>76</v>
      </c>
      <c r="AC40" s="362"/>
      <c r="AD40" s="362"/>
      <c r="AE40" s="362"/>
      <c r="AF40" s="362"/>
      <c r="AG40" s="362"/>
      <c r="AH40" s="362"/>
      <c r="AI40" s="362">
        <v>645</v>
      </c>
      <c r="AJ40" s="373"/>
      <c r="AK40" s="374"/>
      <c r="AL40" s="375"/>
      <c r="AM40" s="362"/>
      <c r="AN40" s="362"/>
      <c r="AO40" s="362"/>
      <c r="AP40" s="362"/>
      <c r="AQ40" s="362"/>
      <c r="AR40" s="362"/>
      <c r="AS40" s="362"/>
      <c r="AT40" s="376">
        <v>3620</v>
      </c>
      <c r="AU40" s="377">
        <v>43.4</v>
      </c>
      <c r="AV40" s="377"/>
      <c r="AW40" s="378"/>
      <c r="AX40" s="362"/>
      <c r="AY40" s="379">
        <v>116.77</v>
      </c>
      <c r="AZ40" s="362"/>
      <c r="BA40" s="362"/>
      <c r="BB40" s="362"/>
      <c r="BC40" s="363">
        <v>0.9</v>
      </c>
      <c r="BD40" s="362"/>
      <c r="BE40" s="380"/>
      <c r="BF40" s="19"/>
      <c r="BG40" s="19"/>
      <c r="BH40" s="19"/>
      <c r="BI40" s="19"/>
      <c r="BJ40" s="215"/>
      <c r="BK40" s="220"/>
      <c r="BL40" s="221"/>
      <c r="BM40" s="216"/>
      <c r="BN40" s="216"/>
      <c r="BO40" s="219"/>
      <c r="BP40" s="219"/>
      <c r="BQ40" s="217"/>
      <c r="BR40" s="218"/>
      <c r="BS40" s="216"/>
      <c r="BT40" s="216"/>
      <c r="BU40" s="216"/>
      <c r="BV40" s="219"/>
      <c r="BW40" s="219"/>
      <c r="BX40" s="217"/>
      <c r="BY40" s="218"/>
      <c r="BZ40" s="216"/>
      <c r="CA40" s="216"/>
      <c r="CB40" s="216"/>
      <c r="CC40" s="219"/>
      <c r="CD40" s="219"/>
      <c r="CE40" s="217"/>
      <c r="CF40" s="218"/>
      <c r="CG40" s="218"/>
      <c r="CH40" s="216"/>
      <c r="CI40" s="219"/>
      <c r="CJ40" s="220"/>
      <c r="CK40" s="218"/>
      <c r="CL40" s="216"/>
      <c r="CM40" s="217"/>
      <c r="CN40" s="213"/>
      <c r="CO40" s="604">
        <f>CO39+CQ39</f>
        <v>7226.68317378762</v>
      </c>
      <c r="CP40" s="604"/>
      <c r="CQ40" s="604"/>
      <c r="CR40" s="604"/>
      <c r="CS40" s="604"/>
      <c r="CT40" s="604"/>
      <c r="CU40" s="604"/>
      <c r="DA40" s="237"/>
      <c r="DB40" s="239"/>
      <c r="DD40" s="301"/>
      <c r="DE40" s="302"/>
      <c r="DF40" s="302"/>
      <c r="DG40" s="303"/>
      <c r="DH40" s="304"/>
    </row>
    <row r="41" spans="1:114" s="214" customFormat="1" ht="16.5" customHeight="1" thickBot="1">
      <c r="A41" s="95" t="s">
        <v>59</v>
      </c>
      <c r="B41" s="381"/>
      <c r="C41" s="381"/>
      <c r="D41" s="382"/>
      <c r="E41" s="381"/>
      <c r="F41" s="383">
        <f>F39-F40</f>
        <v>6.182112777755977E-2</v>
      </c>
      <c r="G41" s="384">
        <f>G39-G40</f>
        <v>7.3867741935483888</v>
      </c>
      <c r="H41" s="383"/>
      <c r="I41" s="385">
        <f>I39-I40</f>
        <v>0</v>
      </c>
      <c r="J41" s="385"/>
      <c r="K41" s="385"/>
      <c r="L41" s="385"/>
      <c r="M41" s="385"/>
      <c r="N41" s="385"/>
      <c r="O41" s="385"/>
      <c r="P41" s="383"/>
      <c r="Q41" s="386"/>
      <c r="R41" s="385">
        <f>R39-R40</f>
        <v>3.1825393116164453</v>
      </c>
      <c r="S41" s="386"/>
      <c r="T41" s="386"/>
      <c r="U41" s="383">
        <f>U39-U40</f>
        <v>0.10234845416704941</v>
      </c>
      <c r="V41" s="383"/>
      <c r="W41" s="383"/>
      <c r="X41" s="383"/>
      <c r="Y41" s="383"/>
      <c r="Z41" s="387">
        <f>Z39-Z40</f>
        <v>-61.741935483870975</v>
      </c>
      <c r="AA41" s="388"/>
      <c r="AB41" s="381"/>
      <c r="AC41" s="381"/>
      <c r="AD41" s="381"/>
      <c r="AE41" s="381"/>
      <c r="AF41" s="381"/>
      <c r="AG41" s="381"/>
      <c r="AH41" s="381"/>
      <c r="AI41" s="381"/>
      <c r="AJ41" s="381"/>
      <c r="AK41" s="389"/>
      <c r="AL41" s="390"/>
      <c r="AM41" s="381"/>
      <c r="AN41" s="381"/>
      <c r="AO41" s="381"/>
      <c r="AP41" s="381"/>
      <c r="AQ41" s="381"/>
      <c r="AR41" s="381"/>
      <c r="AS41" s="381"/>
      <c r="AT41" s="391">
        <f>AT38+AV38-AT40</f>
        <v>712.44000000000051</v>
      </c>
      <c r="AU41" s="392"/>
      <c r="AV41" s="393"/>
      <c r="AW41" s="390"/>
      <c r="AX41" s="381"/>
      <c r="AY41" s="385"/>
      <c r="AZ41" s="381"/>
      <c r="BA41" s="381"/>
      <c r="BB41" s="381"/>
      <c r="BC41" s="394"/>
      <c r="BD41" s="381"/>
      <c r="BE41" s="395"/>
      <c r="BF41" s="222"/>
      <c r="BG41" s="222"/>
      <c r="BH41" s="222"/>
      <c r="BI41" s="222"/>
      <c r="BJ41" s="222"/>
      <c r="BK41" s="223"/>
      <c r="BL41" s="224"/>
      <c r="BM41" s="225"/>
      <c r="BN41" s="225"/>
      <c r="BO41" s="224"/>
      <c r="BP41" s="224"/>
      <c r="BQ41" s="226"/>
      <c r="BR41" s="227"/>
      <c r="BS41" s="225"/>
      <c r="BT41" s="225"/>
      <c r="BU41" s="225"/>
      <c r="BV41" s="224"/>
      <c r="BW41" s="224"/>
      <c r="BX41" s="224"/>
      <c r="BY41" s="228"/>
      <c r="BZ41" s="225"/>
      <c r="CA41" s="225"/>
      <c r="CB41" s="225"/>
      <c r="CC41" s="224"/>
      <c r="CD41" s="224"/>
      <c r="CE41" s="226"/>
      <c r="CF41" s="227"/>
      <c r="CG41" s="227"/>
      <c r="CH41" s="225"/>
      <c r="CI41" s="224"/>
      <c r="CJ41" s="228"/>
      <c r="CK41" s="227"/>
      <c r="CL41" s="225"/>
      <c r="CM41" s="226"/>
      <c r="CN41" s="213"/>
      <c r="CO41" s="213"/>
      <c r="CP41" s="213"/>
      <c r="CQ41" s="213"/>
      <c r="DA41" s="21"/>
      <c r="DH41" s="309"/>
    </row>
    <row r="42" spans="1:114" ht="15" hidden="1" customHeight="1">
      <c r="A42" s="96"/>
      <c r="B42" s="96"/>
      <c r="C42" s="96"/>
      <c r="D42" s="97"/>
      <c r="E42" s="96"/>
      <c r="F42" s="98"/>
      <c r="G42" s="99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1"/>
      <c r="AF42" s="101"/>
      <c r="AG42" s="100"/>
      <c r="AH42" s="100"/>
      <c r="AI42" s="100"/>
      <c r="AJ42" s="100"/>
      <c r="AK42" s="100"/>
      <c r="AL42" s="100"/>
      <c r="AM42" s="100"/>
      <c r="AN42" s="100"/>
      <c r="AO42" s="100"/>
      <c r="AP42" s="100"/>
      <c r="AQ42" s="100"/>
      <c r="AR42" s="100"/>
      <c r="AS42" s="96"/>
      <c r="AT42" s="612"/>
      <c r="AU42" s="612"/>
      <c r="AV42" s="612"/>
      <c r="AW42" s="96"/>
      <c r="AX42" s="96"/>
      <c r="AY42" s="100"/>
      <c r="AZ42" s="100"/>
      <c r="BA42" s="100"/>
      <c r="BB42" s="100"/>
      <c r="BC42" s="100"/>
      <c r="BD42" s="100"/>
      <c r="BE42" s="100"/>
      <c r="BK42" s="20"/>
      <c r="BL42" s="20"/>
      <c r="BM42" s="20"/>
    </row>
    <row r="43" spans="1:114" ht="13.5" thickBot="1">
      <c r="A43" s="100"/>
      <c r="B43" s="100"/>
      <c r="C43" s="100"/>
      <c r="D43" s="102"/>
      <c r="E43" s="100"/>
      <c r="F43" s="100"/>
      <c r="G43" s="96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1"/>
      <c r="AF43" s="101"/>
      <c r="AG43" s="100"/>
      <c r="AH43" s="100"/>
      <c r="AI43" s="100"/>
      <c r="AJ43" s="100"/>
      <c r="AK43" s="100"/>
      <c r="AL43" s="100"/>
      <c r="AM43" s="100"/>
      <c r="AN43" s="100"/>
      <c r="AO43" s="100"/>
      <c r="AP43" s="100"/>
      <c r="AQ43" s="100"/>
      <c r="AR43" s="100"/>
      <c r="AS43" s="96" t="s">
        <v>60</v>
      </c>
      <c r="AT43" s="103">
        <f>AT40/BE43</f>
        <v>116.7741935483871</v>
      </c>
      <c r="AU43" s="104"/>
      <c r="AV43" s="96"/>
      <c r="AW43" s="96" t="s">
        <v>61</v>
      </c>
      <c r="AX43" s="96"/>
      <c r="AY43" s="100"/>
      <c r="AZ43" s="100"/>
      <c r="BA43" s="100"/>
      <c r="BB43" s="100"/>
      <c r="BC43" s="100"/>
      <c r="BD43" s="105" t="s">
        <v>62</v>
      </c>
      <c r="BE43" s="100">
        <v>31</v>
      </c>
    </row>
    <row r="44" spans="1:114" ht="16.5" customHeight="1" thickBot="1">
      <c r="A44" s="100"/>
      <c r="B44" s="100"/>
      <c r="C44" s="100"/>
      <c r="D44" s="102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489" t="s">
        <v>343</v>
      </c>
      <c r="AG44" s="488"/>
      <c r="AH44" s="488"/>
      <c r="AI44" s="488"/>
      <c r="AJ44" s="488"/>
      <c r="AK44" s="488"/>
      <c r="AL44" s="488"/>
      <c r="AM44" s="490">
        <f>AM38/AT38</f>
        <v>0.20781822714221082</v>
      </c>
      <c r="AN44" s="479"/>
      <c r="AO44" s="480" t="s">
        <v>88</v>
      </c>
      <c r="AP44" s="100"/>
      <c r="AQ44" s="100"/>
      <c r="AR44" s="100"/>
      <c r="AS44" s="100"/>
      <c r="AT44" s="100"/>
      <c r="AU44" s="100"/>
      <c r="AV44" s="100"/>
      <c r="AW44" s="100"/>
      <c r="AX44" s="100"/>
      <c r="AY44" s="100"/>
      <c r="AZ44" s="100"/>
      <c r="BA44" s="100"/>
      <c r="BB44" s="100"/>
      <c r="BC44" s="100"/>
      <c r="BD44" s="96"/>
      <c r="BE44" s="96"/>
    </row>
    <row r="45" spans="1:114" ht="13.5" thickBot="1">
      <c r="A45" s="100"/>
      <c r="B45" s="100"/>
      <c r="C45" s="100"/>
      <c r="D45" s="102"/>
      <c r="E45" s="100"/>
      <c r="F45" s="100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101"/>
      <c r="AE45" s="101"/>
      <c r="AF45" s="101"/>
      <c r="AG45" s="100"/>
      <c r="AH45" s="100"/>
      <c r="AI45" s="100"/>
      <c r="AJ45" s="100"/>
      <c r="AK45" s="100"/>
      <c r="AL45" s="100"/>
      <c r="AM45" s="106" t="s">
        <v>63</v>
      </c>
      <c r="AN45" s="106"/>
      <c r="AO45" s="106"/>
      <c r="AP45" s="106"/>
      <c r="AQ45" s="106"/>
      <c r="AR45" s="106"/>
      <c r="AS45" s="107" t="s">
        <v>64</v>
      </c>
      <c r="AT45" s="108">
        <v>29.5</v>
      </c>
      <c r="AU45" s="108"/>
      <c r="AV45" s="100"/>
      <c r="AW45" s="100"/>
      <c r="AX45" s="100"/>
      <c r="AY45" s="100"/>
      <c r="AZ45" s="100"/>
      <c r="BA45" s="100"/>
      <c r="BB45" s="100"/>
      <c r="BC45" s="100"/>
      <c r="BD45" s="96"/>
      <c r="BE45" s="96"/>
      <c r="BM45" s="1"/>
      <c r="BS45" s="1"/>
    </row>
    <row r="46" spans="1:114" ht="12.75" customHeight="1" thickBot="1">
      <c r="A46" s="100"/>
      <c r="B46" s="100"/>
      <c r="C46" s="109" t="s">
        <v>65</v>
      </c>
      <c r="D46" s="102"/>
      <c r="E46" s="100"/>
      <c r="F46" s="100"/>
      <c r="G46" s="100"/>
      <c r="H46" s="100"/>
      <c r="I46" s="100"/>
      <c r="J46" s="100"/>
      <c r="K46" s="100"/>
      <c r="L46" s="110">
        <f>AT38/AD38</f>
        <v>32.821515151515158</v>
      </c>
      <c r="M46" s="109" t="s">
        <v>88</v>
      </c>
      <c r="N46" s="606"/>
      <c r="O46" s="606"/>
      <c r="P46" s="111"/>
      <c r="Q46" s="100"/>
      <c r="R46" s="100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101"/>
      <c r="AE46" s="101"/>
      <c r="AF46" s="101"/>
      <c r="AG46" s="100"/>
      <c r="AH46" s="100"/>
      <c r="AI46" s="100"/>
      <c r="AJ46" s="100"/>
      <c r="AK46" s="100"/>
      <c r="AL46" s="100"/>
      <c r="AM46" s="100"/>
      <c r="AN46" s="100"/>
      <c r="AO46" s="106"/>
      <c r="AP46" s="106"/>
      <c r="AQ46" s="106"/>
      <c r="AR46" s="106"/>
      <c r="AS46" s="107" t="s">
        <v>66</v>
      </c>
      <c r="AT46" s="112">
        <f>AT40/AT45</f>
        <v>122.71186440677967</v>
      </c>
      <c r="AU46" s="112"/>
      <c r="AV46" s="100"/>
      <c r="AW46" s="100"/>
      <c r="AX46" s="100">
        <v>0</v>
      </c>
      <c r="AY46" s="100"/>
      <c r="AZ46" s="607" t="s">
        <v>67</v>
      </c>
      <c r="BA46" s="607"/>
      <c r="BB46" s="607"/>
      <c r="BC46" s="607"/>
      <c r="BD46" s="607"/>
      <c r="BE46" s="607"/>
    </row>
    <row r="47" spans="1:114">
      <c r="A47" s="100"/>
      <c r="B47" s="100"/>
      <c r="C47" s="100"/>
      <c r="D47" s="102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100"/>
      <c r="AI47" s="100"/>
      <c r="AJ47" s="100"/>
      <c r="AK47" s="100"/>
      <c r="AL47" s="100"/>
      <c r="AM47" s="100"/>
      <c r="AN47" s="100"/>
      <c r="AO47" s="100"/>
      <c r="AP47" s="100"/>
      <c r="AQ47" s="100"/>
      <c r="AR47" s="100"/>
      <c r="AS47" s="100"/>
      <c r="AT47" s="100"/>
      <c r="AU47" s="100"/>
      <c r="AV47" s="100"/>
      <c r="AW47" s="100"/>
      <c r="AX47" s="100"/>
      <c r="AY47" s="100"/>
      <c r="AZ47" s="607"/>
      <c r="BA47" s="607"/>
      <c r="BB47" s="607"/>
      <c r="BC47" s="607"/>
      <c r="BD47" s="607"/>
      <c r="BE47" s="607"/>
    </row>
    <row r="48" spans="1:114">
      <c r="A48" s="100"/>
      <c r="B48" s="100"/>
      <c r="C48" s="100"/>
      <c r="D48" s="102"/>
      <c r="E48" s="100"/>
      <c r="F48" s="100"/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13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  <c r="AE48" s="100"/>
      <c r="AF48" s="100"/>
      <c r="AG48" s="100"/>
      <c r="AH48" s="100"/>
      <c r="AI48" s="100"/>
      <c r="AJ48" s="100"/>
      <c r="AK48" s="100"/>
      <c r="AL48" s="100"/>
      <c r="AM48" s="100"/>
      <c r="AN48" s="100"/>
      <c r="AO48" s="100"/>
      <c r="AP48" s="100"/>
      <c r="AQ48" s="100"/>
      <c r="AR48" s="100"/>
      <c r="AS48" s="100"/>
      <c r="AT48" s="100"/>
      <c r="AU48" s="100"/>
      <c r="AV48" s="100"/>
      <c r="AW48" s="100"/>
      <c r="AX48" s="100"/>
      <c r="AY48" s="100"/>
      <c r="AZ48" s="608">
        <f>BF37-BJ37</f>
        <v>-352.700000000003</v>
      </c>
      <c r="BA48" s="608"/>
      <c r="BB48" s="608"/>
      <c r="BC48" s="608"/>
      <c r="BD48" s="609" t="s">
        <v>68</v>
      </c>
      <c r="BE48" s="114"/>
    </row>
    <row r="49" spans="1:57" ht="12" customHeight="1">
      <c r="A49" s="100"/>
      <c r="B49" s="100"/>
      <c r="C49" s="100"/>
      <c r="D49" s="102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15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100"/>
      <c r="AI49" s="100"/>
      <c r="AJ49" s="100"/>
      <c r="AK49" s="100"/>
      <c r="AL49" s="100"/>
      <c r="AM49" s="100"/>
      <c r="AN49" s="100"/>
      <c r="AO49" s="100"/>
      <c r="AP49" s="100"/>
      <c r="AQ49" s="100"/>
      <c r="AR49" s="100"/>
      <c r="AS49" s="100"/>
      <c r="AT49" s="100"/>
      <c r="AU49" s="100"/>
      <c r="AV49" s="100"/>
      <c r="AW49" s="100"/>
      <c r="AX49" s="100"/>
      <c r="AY49" s="100"/>
      <c r="AZ49" s="608"/>
      <c r="BA49" s="608"/>
      <c r="BB49" s="608"/>
      <c r="BC49" s="608"/>
      <c r="BD49" s="609"/>
      <c r="BE49" s="114"/>
    </row>
    <row r="50" spans="1:57" ht="13.5" customHeight="1">
      <c r="A50" s="100"/>
      <c r="B50" s="100"/>
      <c r="C50" s="100"/>
      <c r="D50" s="102"/>
      <c r="E50" s="100"/>
      <c r="F50" s="100"/>
      <c r="G50" s="100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100"/>
      <c r="AC50" s="100"/>
      <c r="AD50" s="100"/>
      <c r="AE50" s="100"/>
      <c r="AF50" s="100"/>
      <c r="AG50" s="100"/>
      <c r="AH50" s="100"/>
      <c r="AI50" s="100"/>
      <c r="AJ50" s="100"/>
      <c r="AK50" s="100"/>
      <c r="AL50" s="100"/>
      <c r="AM50" s="100"/>
      <c r="AN50" s="100"/>
      <c r="AO50" s="100"/>
      <c r="AP50" s="100"/>
      <c r="AQ50" s="100"/>
      <c r="AR50" s="100"/>
      <c r="AS50" s="100"/>
      <c r="AT50" s="100"/>
      <c r="AU50" s="100"/>
      <c r="AV50" s="100"/>
      <c r="AW50" s="100"/>
      <c r="AX50" s="100"/>
      <c r="AY50" s="100"/>
      <c r="AZ50" s="116"/>
      <c r="BA50" s="96"/>
      <c r="BB50" s="96"/>
      <c r="BC50" s="96"/>
      <c r="BD50" s="96"/>
      <c r="BE50" s="114"/>
    </row>
    <row r="51" spans="1:57" ht="13.5" customHeight="1" thickBot="1">
      <c r="A51" s="100"/>
      <c r="B51" s="100"/>
      <c r="C51" s="100"/>
      <c r="D51" s="102"/>
      <c r="E51" s="100"/>
      <c r="F51" s="100"/>
      <c r="G51" s="100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0"/>
      <c r="AC51" s="100"/>
      <c r="AD51" s="100"/>
      <c r="AE51" s="100"/>
      <c r="AF51" s="100"/>
      <c r="AG51" s="100"/>
      <c r="AH51" s="100"/>
      <c r="AI51" s="100"/>
      <c r="AJ51" s="100"/>
      <c r="AK51" s="100"/>
      <c r="AL51" s="100"/>
      <c r="AM51" s="100"/>
      <c r="AN51" s="100"/>
      <c r="AO51" s="100"/>
      <c r="AP51" s="100"/>
      <c r="AQ51" s="100"/>
      <c r="AR51" s="100"/>
      <c r="AS51" s="100"/>
      <c r="AT51" s="100"/>
      <c r="AU51" s="100"/>
      <c r="AV51" s="100"/>
      <c r="AW51" s="100"/>
      <c r="AX51" s="100"/>
      <c r="AY51" s="100"/>
      <c r="AZ51" s="610">
        <f>AZ48/AT40*100</f>
        <v>-9.743093922652017</v>
      </c>
      <c r="BA51" s="610"/>
      <c r="BB51" s="610"/>
      <c r="BC51" s="610"/>
      <c r="BD51" s="611" t="s">
        <v>69</v>
      </c>
      <c r="BE51" s="114"/>
    </row>
    <row r="52" spans="1:57" ht="13.5" thickBot="1">
      <c r="A52" s="100"/>
      <c r="B52" s="100"/>
      <c r="C52" s="100"/>
      <c r="D52" s="102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  <c r="AF52" s="100"/>
      <c r="AG52" s="100"/>
      <c r="AH52" s="100"/>
      <c r="AI52" s="100"/>
      <c r="AJ52" s="100"/>
      <c r="AK52" s="100"/>
      <c r="AL52" s="100"/>
      <c r="AM52" s="100"/>
      <c r="AN52" s="100"/>
      <c r="AO52" s="100"/>
      <c r="AP52" s="100"/>
      <c r="AQ52" s="100"/>
      <c r="AR52" s="100"/>
      <c r="AS52" s="100"/>
      <c r="AT52" s="100"/>
      <c r="AU52" s="100"/>
      <c r="AV52" s="100"/>
      <c r="AW52" s="100"/>
      <c r="AX52" s="100"/>
      <c r="AY52" s="100"/>
      <c r="AZ52" s="610"/>
      <c r="BA52" s="610"/>
      <c r="BB52" s="610"/>
      <c r="BC52" s="610"/>
      <c r="BD52" s="611"/>
      <c r="BE52" s="117"/>
    </row>
    <row r="53" spans="1:57">
      <c r="A53" s="100"/>
      <c r="B53" s="100"/>
      <c r="C53" s="100"/>
      <c r="D53" s="102"/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100"/>
      <c r="AI53" s="100"/>
      <c r="AJ53" s="100"/>
      <c r="AK53" s="100"/>
      <c r="AL53" s="100"/>
      <c r="AM53" s="100"/>
      <c r="AN53" s="100"/>
      <c r="AO53" s="100"/>
      <c r="AP53" s="100"/>
      <c r="AQ53" s="100"/>
      <c r="AR53" s="100"/>
      <c r="AS53" s="100"/>
      <c r="AT53" s="100"/>
      <c r="AU53" s="100"/>
      <c r="AV53" s="100"/>
      <c r="AW53" s="100"/>
      <c r="AX53" s="100"/>
      <c r="AY53" s="100"/>
      <c r="AZ53" s="100"/>
      <c r="BA53" s="100"/>
      <c r="BB53" s="100"/>
      <c r="BC53" s="100"/>
      <c r="BD53" s="100"/>
      <c r="BE53" s="100"/>
    </row>
    <row r="54" spans="1:57">
      <c r="A54" s="100"/>
      <c r="B54" s="100"/>
      <c r="C54" s="100"/>
      <c r="D54" s="102"/>
      <c r="E54" s="100"/>
      <c r="F54" s="100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100"/>
      <c r="AI54" s="100"/>
      <c r="AJ54" s="100"/>
      <c r="AK54" s="100"/>
      <c r="AL54" s="100"/>
      <c r="AM54" s="100"/>
      <c r="AN54" s="100"/>
      <c r="AO54" s="100"/>
      <c r="AP54" s="100"/>
      <c r="AQ54" s="100"/>
      <c r="AR54" s="100"/>
      <c r="AS54" s="100"/>
      <c r="AT54" s="100"/>
      <c r="AU54" s="100"/>
      <c r="AV54" s="100"/>
      <c r="AW54" s="100"/>
      <c r="AX54" s="100"/>
      <c r="AY54" s="100"/>
      <c r="AZ54" s="100"/>
      <c r="BA54" s="100"/>
      <c r="BB54" s="100"/>
      <c r="BC54" s="100"/>
      <c r="BD54" s="100"/>
      <c r="BE54" s="100"/>
    </row>
    <row r="55" spans="1:57">
      <c r="A55" s="100"/>
      <c r="B55" s="100"/>
      <c r="C55" s="100"/>
      <c r="D55" s="102"/>
      <c r="E55" s="100"/>
      <c r="F55" s="100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  <c r="AH55" s="100"/>
      <c r="AI55" s="100"/>
      <c r="AJ55" s="100"/>
      <c r="AK55" s="100"/>
      <c r="AL55" s="100"/>
      <c r="AM55" s="100"/>
      <c r="AN55" s="100"/>
      <c r="AO55" s="100"/>
      <c r="AP55" s="100"/>
      <c r="AQ55" s="100"/>
      <c r="AR55" s="100"/>
      <c r="AS55" s="100"/>
      <c r="AT55" s="100"/>
      <c r="AU55" s="100"/>
      <c r="AV55" s="100"/>
      <c r="AW55" s="100"/>
      <c r="AX55" s="100"/>
      <c r="AY55" s="100"/>
      <c r="AZ55" s="100"/>
      <c r="BA55" s="100"/>
      <c r="BB55" s="100"/>
      <c r="BC55" s="100"/>
      <c r="BD55" s="100"/>
      <c r="BE55" s="100"/>
    </row>
    <row r="56" spans="1:57" ht="13.5" thickBot="1">
      <c r="A56" s="100"/>
      <c r="B56" s="100"/>
      <c r="C56" s="100"/>
      <c r="D56" s="102"/>
      <c r="E56" s="100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/>
      <c r="AE56" s="100"/>
      <c r="AF56" s="100"/>
      <c r="AG56" s="100"/>
      <c r="AH56" s="100"/>
      <c r="AI56" s="100"/>
      <c r="AJ56" s="100"/>
      <c r="AK56" s="100"/>
      <c r="AL56" s="100"/>
      <c r="AM56" s="100"/>
      <c r="AN56" s="100"/>
      <c r="AO56" s="100"/>
      <c r="AP56" s="100"/>
      <c r="AQ56" s="100"/>
      <c r="AR56" s="100"/>
      <c r="AS56" s="100"/>
      <c r="AT56" s="100"/>
      <c r="AU56" s="100"/>
      <c r="AV56" s="100"/>
      <c r="AW56" s="100"/>
      <c r="AX56" s="100"/>
      <c r="AY56" s="100"/>
      <c r="AZ56" s="100"/>
      <c r="BA56" s="100"/>
      <c r="BB56" s="100"/>
      <c r="BC56" s="100"/>
      <c r="BD56" s="100"/>
      <c r="BE56" s="100"/>
    </row>
    <row r="57" spans="1:57" ht="15.75">
      <c r="A57" s="100"/>
      <c r="B57" s="100"/>
      <c r="C57" s="100"/>
      <c r="D57" s="102"/>
      <c r="E57" s="100"/>
      <c r="F57" s="100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100"/>
      <c r="AI57" s="100"/>
      <c r="AJ57" s="100"/>
      <c r="AK57" s="100"/>
      <c r="AL57" s="100"/>
      <c r="AM57" s="100"/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X57" s="100"/>
      <c r="AY57" s="100"/>
      <c r="AZ57" s="481" t="s">
        <v>344</v>
      </c>
      <c r="BA57" s="482"/>
      <c r="BB57" s="482"/>
      <c r="BC57" s="482"/>
      <c r="BD57" s="482"/>
      <c r="BE57" s="483"/>
    </row>
    <row r="58" spans="1:57" ht="15.75">
      <c r="A58" s="100"/>
      <c r="B58" s="100"/>
      <c r="C58" s="100"/>
      <c r="D58" s="102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  <c r="AA58" s="100"/>
      <c r="AB58" s="100"/>
      <c r="AC58" s="100"/>
      <c r="AD58" s="100"/>
      <c r="AE58" s="100"/>
      <c r="AF58" s="100"/>
      <c r="AG58" s="100"/>
      <c r="AH58" s="100"/>
      <c r="AI58" s="100"/>
      <c r="AJ58" s="100"/>
      <c r="AK58" s="100"/>
      <c r="AL58" s="100"/>
      <c r="AM58" s="100"/>
      <c r="AN58" s="100"/>
      <c r="AO58" s="100"/>
      <c r="AP58" s="100"/>
      <c r="AQ58" s="100"/>
      <c r="AR58" s="100"/>
      <c r="AS58" s="100"/>
      <c r="AT58" s="100"/>
      <c r="AU58" s="100"/>
      <c r="AV58" s="100"/>
      <c r="AW58" s="100"/>
      <c r="AX58" s="100"/>
      <c r="AY58" s="100"/>
      <c r="AZ58" s="484" t="s">
        <v>340</v>
      </c>
      <c r="BA58" s="485"/>
      <c r="BB58" s="485"/>
      <c r="BC58" s="485"/>
      <c r="BD58" s="617">
        <f>'[5]декабрь 20'!$F$38</f>
        <v>900.35760000000005</v>
      </c>
      <c r="BE58" s="618"/>
    </row>
    <row r="59" spans="1:57" ht="16.5" thickBot="1">
      <c r="A59" s="100"/>
      <c r="B59" s="100"/>
      <c r="C59" s="100"/>
      <c r="D59" s="102"/>
      <c r="E59" s="100"/>
      <c r="F59" s="100"/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  <c r="AE59" s="100"/>
      <c r="AF59" s="100"/>
      <c r="AG59" s="100"/>
      <c r="AH59" s="100"/>
      <c r="AI59" s="100"/>
      <c r="AJ59" s="100"/>
      <c r="AK59" s="100"/>
      <c r="AL59" s="100"/>
      <c r="AM59" s="100"/>
      <c r="AN59" s="100"/>
      <c r="AO59" s="100"/>
      <c r="AP59" s="100"/>
      <c r="AQ59" s="100"/>
      <c r="AR59" s="100"/>
      <c r="AS59" s="100"/>
      <c r="AT59" s="100"/>
      <c r="AU59" s="100"/>
      <c r="AV59" s="100"/>
      <c r="AW59" s="100"/>
      <c r="AX59" s="100"/>
      <c r="AY59" s="100"/>
      <c r="AZ59" s="484" t="s">
        <v>341</v>
      </c>
      <c r="BA59" s="485"/>
      <c r="BB59" s="485"/>
      <c r="BC59" s="485"/>
      <c r="BD59" s="619">
        <f>'[5]декабрь 20'!$B$38</f>
        <v>900.36</v>
      </c>
      <c r="BE59" s="620"/>
    </row>
    <row r="60" spans="1:57" ht="16.5" thickBot="1">
      <c r="A60" s="100"/>
      <c r="B60" s="100"/>
      <c r="C60" s="100"/>
      <c r="D60" s="102"/>
      <c r="E60" s="100"/>
      <c r="F60" s="100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  <c r="AE60" s="100"/>
      <c r="AF60" s="100"/>
      <c r="AG60" s="100"/>
      <c r="AH60" s="100"/>
      <c r="AI60" s="100"/>
      <c r="AJ60" s="100"/>
      <c r="AK60" s="100"/>
      <c r="AL60" s="100"/>
      <c r="AM60" s="100"/>
      <c r="AN60" s="100"/>
      <c r="AO60" s="100"/>
      <c r="AP60" s="100"/>
      <c r="AQ60" s="100"/>
      <c r="AR60" s="100"/>
      <c r="AS60" s="100"/>
      <c r="AT60" s="100"/>
      <c r="AU60" s="100"/>
      <c r="AV60" s="100"/>
      <c r="AW60" s="100"/>
      <c r="AX60" s="100"/>
      <c r="AY60" s="100"/>
      <c r="AZ60" s="486" t="s">
        <v>342</v>
      </c>
      <c r="BA60" s="487"/>
      <c r="BB60" s="487"/>
      <c r="BC60" s="487"/>
      <c r="BD60" s="621">
        <f>BD59-BD58</f>
        <v>2.3999999999659849E-3</v>
      </c>
      <c r="BE60" s="622"/>
    </row>
    <row r="61" spans="1:57">
      <c r="A61" s="100"/>
      <c r="B61" s="100"/>
      <c r="C61" s="100"/>
      <c r="D61" s="102"/>
      <c r="E61" s="100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/>
      <c r="AE61" s="100"/>
      <c r="AF61" s="100"/>
      <c r="AG61" s="100"/>
      <c r="AH61" s="100"/>
      <c r="AI61" s="100"/>
      <c r="AJ61" s="100"/>
      <c r="AK61" s="100"/>
      <c r="AL61" s="100"/>
      <c r="AM61" s="100"/>
      <c r="AN61" s="100"/>
      <c r="AO61" s="100"/>
      <c r="AP61" s="100"/>
      <c r="AQ61" s="100"/>
      <c r="AR61" s="100"/>
      <c r="AS61" s="100"/>
      <c r="AT61" s="100"/>
      <c r="AU61" s="100"/>
      <c r="AV61" s="100"/>
      <c r="AW61" s="100"/>
      <c r="AX61" s="100"/>
      <c r="AY61" s="100"/>
      <c r="AZ61" s="100"/>
      <c r="BA61" s="100"/>
      <c r="BB61" s="100"/>
      <c r="BC61" s="100"/>
      <c r="BD61" s="100"/>
      <c r="BE61" s="100"/>
    </row>
    <row r="62" spans="1:57">
      <c r="A62" s="100"/>
      <c r="B62" s="100"/>
      <c r="C62" s="100"/>
      <c r="D62" s="102"/>
      <c r="E62" s="100"/>
      <c r="F62" s="100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100"/>
      <c r="AC62" s="100"/>
      <c r="AD62" s="100"/>
      <c r="AE62" s="100"/>
      <c r="AF62" s="100"/>
      <c r="AG62" s="100"/>
      <c r="AH62" s="100"/>
      <c r="AI62" s="100"/>
      <c r="AJ62" s="100"/>
      <c r="AK62" s="100"/>
      <c r="AL62" s="100"/>
      <c r="AM62" s="100"/>
      <c r="AN62" s="100"/>
      <c r="AO62" s="100"/>
      <c r="AP62" s="100"/>
      <c r="AQ62" s="100"/>
      <c r="AR62" s="100"/>
      <c r="AS62" s="100"/>
      <c r="AT62" s="100"/>
      <c r="AU62" s="100"/>
      <c r="AV62" s="100"/>
      <c r="AW62" s="100"/>
      <c r="AX62" s="100"/>
      <c r="AY62" s="100"/>
      <c r="AZ62" s="100"/>
      <c r="BA62" s="100"/>
      <c r="BB62" s="100"/>
      <c r="BC62" s="100"/>
      <c r="BD62" s="100"/>
      <c r="BE62" s="100"/>
    </row>
    <row r="63" spans="1:57">
      <c r="A63" s="100"/>
      <c r="B63" s="100"/>
      <c r="C63" s="100"/>
      <c r="D63" s="102"/>
      <c r="E63" s="100"/>
      <c r="F63" s="100"/>
      <c r="G63" s="100"/>
      <c r="H63" s="100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  <c r="AA63" s="100"/>
      <c r="AB63" s="100"/>
      <c r="AC63" s="100"/>
      <c r="AD63" s="100"/>
      <c r="AE63" s="100"/>
      <c r="AF63" s="100"/>
      <c r="AG63" s="100"/>
      <c r="AH63" s="100"/>
      <c r="AI63" s="100"/>
      <c r="AJ63" s="100"/>
      <c r="AK63" s="100"/>
      <c r="AL63" s="100"/>
      <c r="AM63" s="100"/>
      <c r="AN63" s="100"/>
      <c r="AO63" s="100"/>
      <c r="AP63" s="100"/>
      <c r="AQ63" s="100"/>
      <c r="AR63" s="100"/>
      <c r="AS63" s="100"/>
      <c r="AT63" s="100"/>
      <c r="AU63" s="100"/>
      <c r="AV63" s="100"/>
      <c r="AW63" s="100"/>
      <c r="AX63" s="100"/>
      <c r="AY63" s="100"/>
      <c r="AZ63" s="100"/>
      <c r="BA63" s="100"/>
      <c r="BB63" s="100"/>
      <c r="BC63" s="100"/>
      <c r="BD63" s="100"/>
      <c r="BE63" s="100"/>
    </row>
    <row r="64" spans="1:57">
      <c r="A64" s="100"/>
      <c r="B64" s="100"/>
      <c r="C64" s="100"/>
      <c r="D64" s="102"/>
      <c r="E64" s="100"/>
      <c r="F64" s="100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  <c r="AE64" s="100"/>
      <c r="AF64" s="100"/>
      <c r="AG64" s="100"/>
      <c r="AH64" s="100"/>
      <c r="AI64" s="100"/>
      <c r="AJ64" s="100"/>
      <c r="AK64" s="100"/>
      <c r="AL64" s="100"/>
      <c r="AM64" s="100"/>
      <c r="AN64" s="100"/>
      <c r="AO64" s="100"/>
      <c r="AP64" s="100"/>
      <c r="AQ64" s="100"/>
      <c r="AR64" s="100"/>
      <c r="AS64" s="100"/>
      <c r="AT64" s="100"/>
      <c r="AU64" s="100"/>
      <c r="AV64" s="100"/>
      <c r="AW64" s="100"/>
      <c r="AX64" s="100"/>
      <c r="AY64" s="100"/>
      <c r="AZ64" s="100"/>
      <c r="BA64" s="100"/>
      <c r="BB64" s="100"/>
      <c r="BC64" s="100"/>
      <c r="BD64" s="100"/>
      <c r="BE64" s="100"/>
    </row>
    <row r="65" spans="1:57">
      <c r="A65" s="100"/>
      <c r="B65" s="100"/>
      <c r="C65" s="100"/>
      <c r="D65" s="102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/>
      <c r="AE65" s="100"/>
      <c r="AF65" s="100"/>
      <c r="AG65" s="100"/>
      <c r="AH65" s="100"/>
      <c r="AI65" s="100"/>
      <c r="AJ65" s="100"/>
      <c r="AK65" s="100"/>
      <c r="AL65" s="100"/>
      <c r="AM65" s="100"/>
      <c r="AN65" s="100"/>
      <c r="AO65" s="100"/>
      <c r="AP65" s="100"/>
      <c r="AQ65" s="100"/>
      <c r="AR65" s="100"/>
      <c r="AS65" s="100"/>
      <c r="AT65" s="100"/>
      <c r="AU65" s="100"/>
      <c r="AV65" s="100"/>
      <c r="AW65" s="100"/>
      <c r="AX65" s="100"/>
      <c r="AY65" s="100"/>
      <c r="AZ65" s="100"/>
      <c r="BA65" s="100"/>
      <c r="BB65" s="100"/>
      <c r="BC65" s="100"/>
      <c r="BD65" s="100"/>
      <c r="BE65" s="100"/>
    </row>
    <row r="66" spans="1:57">
      <c r="A66" s="100"/>
      <c r="B66" s="100"/>
      <c r="C66" s="100"/>
      <c r="D66" s="102"/>
      <c r="E66" s="100"/>
      <c r="F66" s="100"/>
      <c r="G66" s="100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/>
      <c r="AE66" s="100"/>
      <c r="AF66" s="100"/>
      <c r="AG66" s="100"/>
      <c r="AH66" s="100"/>
      <c r="AI66" s="100"/>
      <c r="AJ66" s="100"/>
      <c r="AK66" s="100"/>
      <c r="AL66" s="100"/>
      <c r="AM66" s="100"/>
      <c r="AN66" s="100"/>
      <c r="AO66" s="100"/>
      <c r="AP66" s="100"/>
      <c r="AQ66" s="100"/>
      <c r="AR66" s="100"/>
      <c r="AS66" s="100"/>
      <c r="AT66" s="100"/>
      <c r="AU66" s="100"/>
      <c r="AV66" s="100"/>
      <c r="AW66" s="100"/>
      <c r="AX66" s="100"/>
      <c r="AY66" s="100"/>
      <c r="AZ66" s="100"/>
      <c r="BA66" s="100"/>
      <c r="BB66" s="100"/>
      <c r="BC66" s="100"/>
      <c r="BD66" s="100"/>
      <c r="BE66" s="100"/>
    </row>
    <row r="67" spans="1:57">
      <c r="A67" s="100"/>
      <c r="B67" s="100"/>
      <c r="C67" s="100"/>
      <c r="D67" s="102"/>
      <c r="E67" s="100"/>
      <c r="F67" s="100"/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  <c r="AD67" s="100"/>
      <c r="AE67" s="100"/>
      <c r="AF67" s="100"/>
      <c r="AG67" s="100"/>
      <c r="AH67" s="100"/>
      <c r="AI67" s="100"/>
      <c r="AJ67" s="100"/>
      <c r="AK67" s="100"/>
      <c r="AL67" s="100"/>
      <c r="AM67" s="100"/>
      <c r="AN67" s="100"/>
      <c r="AO67" s="100"/>
      <c r="AP67" s="100"/>
      <c r="AQ67" s="100"/>
      <c r="AR67" s="100"/>
      <c r="AS67" s="100"/>
      <c r="AT67" s="100"/>
      <c r="AU67" s="100"/>
      <c r="AV67" s="100"/>
      <c r="AW67" s="100"/>
      <c r="AX67" s="100"/>
      <c r="AY67" s="100"/>
      <c r="AZ67" s="100"/>
      <c r="BA67" s="100"/>
      <c r="BB67" s="100"/>
      <c r="BC67" s="100"/>
      <c r="BD67" s="100"/>
      <c r="BE67" s="100"/>
    </row>
    <row r="68" spans="1:57">
      <c r="A68" s="100"/>
      <c r="B68" s="100"/>
      <c r="C68" s="100"/>
      <c r="D68" s="102"/>
      <c r="E68" s="100"/>
      <c r="F68" s="100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  <c r="AI68" s="100"/>
      <c r="AJ68" s="100"/>
      <c r="AK68" s="100"/>
      <c r="AL68" s="100"/>
      <c r="AM68" s="100"/>
      <c r="AN68" s="100"/>
      <c r="AO68" s="100"/>
      <c r="AP68" s="100"/>
      <c r="AQ68" s="100"/>
      <c r="AR68" s="100"/>
      <c r="AS68" s="100"/>
      <c r="AT68" s="100"/>
      <c r="AU68" s="100"/>
      <c r="AV68" s="100"/>
      <c r="AW68" s="100"/>
      <c r="AX68" s="100"/>
      <c r="AY68" s="100"/>
      <c r="AZ68" s="100"/>
      <c r="BA68" s="100"/>
      <c r="BB68" s="100"/>
      <c r="BC68" s="100"/>
      <c r="BD68" s="100"/>
      <c r="BE68" s="100"/>
    </row>
    <row r="69" spans="1:57">
      <c r="A69" s="100"/>
      <c r="B69" s="100"/>
      <c r="C69" s="100"/>
      <c r="D69" s="102"/>
      <c r="E69" s="100"/>
      <c r="F69" s="100"/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100"/>
      <c r="AC69" s="100"/>
      <c r="AD69" s="100"/>
      <c r="AE69" s="100"/>
      <c r="AF69" s="100"/>
      <c r="AG69" s="100"/>
      <c r="AH69" s="100"/>
      <c r="AI69" s="100"/>
      <c r="AJ69" s="100"/>
      <c r="AK69" s="100"/>
      <c r="AL69" s="100"/>
      <c r="AM69" s="100"/>
      <c r="AN69" s="100"/>
      <c r="AO69" s="100"/>
      <c r="AP69" s="100"/>
      <c r="AQ69" s="100"/>
      <c r="AR69" s="100"/>
      <c r="AS69" s="100"/>
      <c r="AT69" s="100"/>
      <c r="AU69" s="100"/>
      <c r="AV69" s="100"/>
      <c r="AW69" s="100"/>
      <c r="AX69" s="100"/>
      <c r="AY69" s="100"/>
      <c r="AZ69" s="100"/>
      <c r="BA69" s="100"/>
      <c r="BB69" s="100"/>
      <c r="BC69" s="100"/>
      <c r="BD69" s="100"/>
      <c r="BE69" s="100"/>
    </row>
    <row r="70" spans="1:57">
      <c r="A70" s="100"/>
      <c r="B70" s="100"/>
      <c r="C70" s="100"/>
      <c r="D70" s="102"/>
      <c r="E70" s="100"/>
      <c r="F70" s="100"/>
      <c r="G70" s="100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  <c r="AE70" s="100"/>
      <c r="AF70" s="100"/>
      <c r="AG70" s="100"/>
      <c r="AH70" s="100"/>
      <c r="AI70" s="100"/>
      <c r="AJ70" s="100"/>
      <c r="AK70" s="100"/>
      <c r="AL70" s="100"/>
      <c r="AM70" s="100"/>
      <c r="AN70" s="100"/>
      <c r="AO70" s="100"/>
      <c r="AP70" s="100"/>
      <c r="AQ70" s="100"/>
      <c r="AR70" s="100"/>
      <c r="AS70" s="100"/>
      <c r="AT70" s="100"/>
      <c r="AU70" s="100"/>
      <c r="AV70" s="100"/>
      <c r="AW70" s="100"/>
      <c r="AX70" s="100"/>
      <c r="AY70" s="100"/>
      <c r="AZ70" s="100"/>
      <c r="BA70" s="100"/>
      <c r="BB70" s="100"/>
      <c r="BC70" s="100"/>
      <c r="BD70" s="100"/>
      <c r="BE70" s="100"/>
    </row>
    <row r="71" spans="1:57" ht="18" customHeight="1">
      <c r="A71" s="318" t="s">
        <v>70</v>
      </c>
      <c r="B71" s="319"/>
      <c r="C71" s="318"/>
      <c r="D71" s="318"/>
      <c r="E71" s="318"/>
      <c r="F71" s="318"/>
      <c r="G71" s="318"/>
      <c r="H71" s="318"/>
      <c r="I71" s="318"/>
      <c r="J71" s="320"/>
      <c r="K71" s="320"/>
      <c r="L71" s="605" t="s">
        <v>194</v>
      </c>
      <c r="M71" s="605"/>
      <c r="N71" s="605"/>
      <c r="O71" s="605"/>
      <c r="P71" s="605"/>
      <c r="Q71" s="605"/>
      <c r="R71" s="109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/>
      <c r="AE71" s="100"/>
      <c r="AF71" s="100"/>
      <c r="AG71" s="100"/>
      <c r="AH71" s="100"/>
      <c r="AI71" s="100"/>
      <c r="AJ71" s="100"/>
      <c r="AK71" s="100"/>
      <c r="AL71" s="100"/>
      <c r="AM71" s="100"/>
      <c r="AN71" s="100"/>
      <c r="AO71" s="100"/>
      <c r="AP71" s="100"/>
      <c r="AQ71" s="100"/>
      <c r="AR71" s="100"/>
      <c r="AS71" s="100"/>
      <c r="AT71" s="100"/>
      <c r="AU71" s="100"/>
      <c r="AV71" s="100"/>
      <c r="AW71" s="100"/>
      <c r="AX71" s="100"/>
      <c r="AY71" s="100"/>
      <c r="AZ71" s="100"/>
      <c r="BA71" s="100"/>
      <c r="BB71" s="100"/>
      <c r="BC71" s="100"/>
      <c r="BD71" s="100"/>
      <c r="BE71" s="100"/>
    </row>
    <row r="72" spans="1:57" ht="15">
      <c r="A72" s="118"/>
      <c r="B72" s="118"/>
      <c r="C72" s="119"/>
      <c r="D72" s="120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  <c r="AE72" s="100"/>
      <c r="AF72" s="100"/>
      <c r="AG72" s="100"/>
      <c r="AH72" s="100"/>
      <c r="AI72" s="100"/>
      <c r="AJ72" s="100"/>
      <c r="AK72" s="100"/>
      <c r="AL72" s="100"/>
      <c r="AM72" s="100"/>
      <c r="AN72" s="100"/>
      <c r="AO72" s="100"/>
      <c r="AP72" s="100"/>
      <c r="AQ72" s="100"/>
      <c r="AR72" s="100"/>
      <c r="AS72" s="100"/>
      <c r="AT72" s="100"/>
      <c r="AU72" s="100"/>
      <c r="AV72" s="100"/>
      <c r="AW72" s="100"/>
      <c r="AX72" s="100"/>
      <c r="AY72" s="100"/>
      <c r="AZ72" s="100"/>
      <c r="BA72" s="100"/>
      <c r="BB72" s="100"/>
      <c r="BC72" s="100"/>
      <c r="BD72" s="100"/>
      <c r="BE72" s="100"/>
    </row>
    <row r="73" spans="1:57" ht="15.75">
      <c r="A73" s="100"/>
      <c r="B73" s="100"/>
      <c r="C73" s="100"/>
      <c r="D73" s="102"/>
      <c r="E73" s="100"/>
      <c r="F73" s="100"/>
      <c r="G73" s="100"/>
      <c r="H73" s="100"/>
      <c r="I73" s="100"/>
      <c r="J73" s="100"/>
      <c r="K73" s="100"/>
      <c r="L73" s="111"/>
      <c r="M73" s="111"/>
      <c r="N73" s="111"/>
      <c r="O73" s="111"/>
      <c r="P73" s="111"/>
      <c r="Q73" s="111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00"/>
      <c r="AK73" s="100"/>
      <c r="AL73" s="100"/>
      <c r="AM73" s="100"/>
      <c r="AN73" s="100"/>
      <c r="AO73" s="100"/>
      <c r="AP73" s="100"/>
      <c r="AQ73" s="100"/>
      <c r="AR73" s="100"/>
      <c r="AS73" s="100"/>
      <c r="AT73" s="100"/>
      <c r="AU73" s="100"/>
      <c r="AV73" s="100"/>
      <c r="AW73" s="100"/>
      <c r="AX73" s="100"/>
      <c r="AY73" s="100"/>
      <c r="AZ73" s="100"/>
      <c r="BA73" s="100"/>
      <c r="BB73" s="100"/>
      <c r="BC73" s="100"/>
      <c r="BD73" s="100"/>
      <c r="BE73" s="100"/>
    </row>
    <row r="74" spans="1:57">
      <c r="A74" s="100"/>
      <c r="B74" s="100"/>
      <c r="C74" s="100"/>
      <c r="D74" s="102"/>
      <c r="E74" s="100"/>
      <c r="F74" s="100"/>
      <c r="G74" s="100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00"/>
      <c r="AK74" s="100"/>
      <c r="AL74" s="100"/>
      <c r="AM74" s="100"/>
      <c r="AN74" s="100"/>
      <c r="AO74" s="100"/>
      <c r="AP74" s="100"/>
      <c r="AQ74" s="100"/>
      <c r="AR74" s="100"/>
      <c r="AS74" s="100"/>
      <c r="AT74" s="100"/>
      <c r="AU74" s="100"/>
      <c r="AV74" s="100"/>
      <c r="AW74" s="100"/>
      <c r="AX74" s="100"/>
      <c r="AY74" s="100"/>
      <c r="AZ74" s="100"/>
      <c r="BA74" s="100"/>
      <c r="BB74" s="100"/>
      <c r="BC74" s="100"/>
      <c r="BD74" s="100"/>
      <c r="BE74" s="100"/>
    </row>
    <row r="75" spans="1:57">
      <c r="A75" s="100"/>
      <c r="B75" s="100"/>
      <c r="C75" s="100"/>
      <c r="D75" s="102"/>
      <c r="E75" s="100"/>
      <c r="F75" s="100"/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  <c r="AD75" s="100"/>
      <c r="AE75" s="100"/>
      <c r="AF75" s="100"/>
      <c r="AG75" s="100"/>
      <c r="AH75" s="100"/>
      <c r="AI75" s="100"/>
      <c r="AJ75" s="100"/>
      <c r="AK75" s="100"/>
      <c r="AL75" s="100"/>
      <c r="AM75" s="100"/>
      <c r="AN75" s="100"/>
      <c r="AO75" s="100"/>
      <c r="AP75" s="100"/>
      <c r="AQ75" s="100"/>
      <c r="AR75" s="100"/>
      <c r="AS75" s="100"/>
      <c r="AT75" s="100"/>
      <c r="AU75" s="100"/>
      <c r="AV75" s="100"/>
      <c r="AW75" s="100"/>
      <c r="AX75" s="100"/>
      <c r="AY75" s="100"/>
      <c r="AZ75" s="100"/>
      <c r="BA75" s="100"/>
      <c r="BB75" s="100"/>
      <c r="BC75" s="100"/>
      <c r="BD75" s="100"/>
      <c r="BE75" s="100"/>
    </row>
    <row r="77" spans="1:57">
      <c r="AY77" t="s">
        <v>302</v>
      </c>
    </row>
  </sheetData>
  <sheetProtection selectLockedCells="1" selectUnlockedCells="1"/>
  <mergeCells count="81">
    <mergeCell ref="AE3:AF4"/>
    <mergeCell ref="AG3:AI4"/>
    <mergeCell ref="AI5:AI6"/>
    <mergeCell ref="AY2:BC2"/>
    <mergeCell ref="A3:A6"/>
    <mergeCell ref="B3:G3"/>
    <mergeCell ref="H3:P3"/>
    <mergeCell ref="Q3:U3"/>
    <mergeCell ref="V3:V6"/>
    <mergeCell ref="W3:W6"/>
    <mergeCell ref="X3:X6"/>
    <mergeCell ref="Y3:Y6"/>
    <mergeCell ref="Z3:Z6"/>
    <mergeCell ref="P4:P6"/>
    <mergeCell ref="L4:L6"/>
    <mergeCell ref="M4:M6"/>
    <mergeCell ref="CJ3:CM5"/>
    <mergeCell ref="B4:B6"/>
    <mergeCell ref="C4:C6"/>
    <mergeCell ref="D4:D6"/>
    <mergeCell ref="E4:E6"/>
    <mergeCell ref="F4:F6"/>
    <mergeCell ref="G4:G6"/>
    <mergeCell ref="H4:H6"/>
    <mergeCell ref="I4:I6"/>
    <mergeCell ref="J4:J6"/>
    <mergeCell ref="BD3:BD6"/>
    <mergeCell ref="BE3:BE6"/>
    <mergeCell ref="BK3:BQ5"/>
    <mergeCell ref="BR3:BX5"/>
    <mergeCell ref="BY3:CE5"/>
    <mergeCell ref="K4:K6"/>
    <mergeCell ref="AA3:AA6"/>
    <mergeCell ref="AB3:AB6"/>
    <mergeCell ref="N4:N6"/>
    <mergeCell ref="O4:O6"/>
    <mergeCell ref="DD4:DH4"/>
    <mergeCell ref="AE5:AE6"/>
    <mergeCell ref="AF5:AF6"/>
    <mergeCell ref="AG5:AG6"/>
    <mergeCell ref="AH5:AH6"/>
    <mergeCell ref="CF3:CI5"/>
    <mergeCell ref="AQ3:AQ6"/>
    <mergeCell ref="AS3:AS6"/>
    <mergeCell ref="AT3:AY4"/>
    <mergeCell ref="AZ3:AZ6"/>
    <mergeCell ref="BA3:BB4"/>
    <mergeCell ref="BC3:BC6"/>
    <mergeCell ref="Q4:Q6"/>
    <mergeCell ref="R4:R6"/>
    <mergeCell ref="S4:S6"/>
    <mergeCell ref="T4:T6"/>
    <mergeCell ref="U4:U6"/>
    <mergeCell ref="AC3:AC6"/>
    <mergeCell ref="AD3:AD6"/>
    <mergeCell ref="DA5:DB5"/>
    <mergeCell ref="CO39:CP39"/>
    <mergeCell ref="CQ39:CU39"/>
    <mergeCell ref="CV39:CY39"/>
    <mergeCell ref="AX5:AX6"/>
    <mergeCell ref="AY5:AY6"/>
    <mergeCell ref="AJ3:AK6"/>
    <mergeCell ref="AL3:AL6"/>
    <mergeCell ref="AM3:AM6"/>
    <mergeCell ref="AN3:AN6"/>
    <mergeCell ref="AO3:AO6"/>
    <mergeCell ref="AP3:AP6"/>
    <mergeCell ref="AT5:AT6"/>
    <mergeCell ref="AW5:AW6"/>
    <mergeCell ref="CO40:CU40"/>
    <mergeCell ref="BD58:BE58"/>
    <mergeCell ref="BD59:BE59"/>
    <mergeCell ref="BD60:BE60"/>
    <mergeCell ref="L71:Q71"/>
    <mergeCell ref="N46:O46"/>
    <mergeCell ref="AZ46:BE47"/>
    <mergeCell ref="AZ48:BC49"/>
    <mergeCell ref="BD48:BD49"/>
    <mergeCell ref="AZ51:BC52"/>
    <mergeCell ref="BD51:BD52"/>
    <mergeCell ref="AT42:AV42"/>
  </mergeCells>
  <printOptions horizontalCentered="1" verticalCentered="1"/>
  <pageMargins left="0" right="0" top="0" bottom="0" header="0" footer="0"/>
  <pageSetup paperSize="9" scale="46" firstPageNumber="0" orientation="landscape" r:id="rId1"/>
  <headerFooter alignWithMargins="0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>
  <dimension ref="A1:DK77"/>
  <sheetViews>
    <sheetView showZeros="0" tabSelected="1" zoomScale="90" zoomScaleNormal="90" workbookViewId="0">
      <pane xSplit="1" ySplit="6" topLeftCell="CN19" activePane="bottomRight" state="frozen"/>
      <selection pane="topRight" activeCell="B1" sqref="B1"/>
      <selection pane="bottomLeft" activeCell="A7" sqref="A7"/>
      <selection pane="bottomRight" activeCell="CQ41" sqref="CQ41"/>
    </sheetView>
  </sheetViews>
  <sheetFormatPr defaultColWidth="8.7109375" defaultRowHeight="12.75"/>
  <cols>
    <col min="1" max="1" width="3.5703125" customWidth="1"/>
    <col min="2" max="2" width="9.7109375" customWidth="1"/>
    <col min="3" max="3" width="6" customWidth="1"/>
    <col min="4" max="4" width="12" style="1" hidden="1" customWidth="1"/>
    <col min="5" max="5" width="7.140625" customWidth="1"/>
    <col min="6" max="6" width="7.5703125" customWidth="1"/>
    <col min="7" max="7" width="7.7109375" customWidth="1"/>
    <col min="8" max="8" width="7.28515625" customWidth="1"/>
    <col min="9" max="9" width="7.42578125" hidden="1" customWidth="1"/>
    <col min="10" max="10" width="9.140625" customWidth="1"/>
    <col min="11" max="11" width="5.5703125" hidden="1" customWidth="1"/>
    <col min="12" max="12" width="10.140625" customWidth="1"/>
    <col min="13" max="13" width="7.42578125" customWidth="1"/>
    <col min="14" max="14" width="3.28515625" customWidth="1"/>
    <col min="15" max="15" width="8.42578125" customWidth="1"/>
    <col min="16" max="16" width="9.85546875" hidden="1" customWidth="1"/>
    <col min="17" max="17" width="9.28515625" customWidth="1"/>
    <col min="18" max="18" width="6" customWidth="1"/>
    <col min="19" max="19" width="8.28515625" customWidth="1"/>
    <col min="20" max="20" width="11.140625" hidden="1" customWidth="1"/>
    <col min="21" max="21" width="9.42578125" customWidth="1"/>
    <col min="22" max="22" width="8.42578125" customWidth="1"/>
    <col min="23" max="23" width="9" customWidth="1"/>
    <col min="24" max="24" width="6" customWidth="1"/>
    <col min="25" max="25" width="5.42578125" customWidth="1"/>
    <col min="26" max="26" width="6.85546875" customWidth="1"/>
    <col min="27" max="27" width="6.5703125" customWidth="1"/>
    <col min="28" max="28" width="7.5703125" customWidth="1"/>
    <col min="29" max="29" width="6.5703125" customWidth="1"/>
    <col min="30" max="30" width="4.28515625" customWidth="1"/>
    <col min="31" max="32" width="6.85546875" customWidth="1"/>
    <col min="33" max="33" width="0" hidden="1" customWidth="1"/>
    <col min="34" max="34" width="8.42578125" customWidth="1"/>
    <col min="35" max="35" width="7" customWidth="1"/>
    <col min="36" max="36" width="7.85546875" customWidth="1"/>
    <col min="37" max="37" width="0" hidden="1" customWidth="1"/>
    <col min="38" max="38" width="7.28515625" customWidth="1"/>
    <col min="39" max="39" width="7.7109375" customWidth="1"/>
    <col min="40" max="40" width="7" hidden="1" customWidth="1"/>
    <col min="41" max="41" width="9.42578125" customWidth="1"/>
    <col min="42" max="42" width="6.28515625" customWidth="1"/>
    <col min="43" max="43" width="6.85546875" customWidth="1"/>
    <col min="44" max="44" width="0" hidden="1" customWidth="1"/>
    <col min="45" max="45" width="6.7109375" customWidth="1"/>
    <col min="46" max="46" width="9.7109375" customWidth="1"/>
    <col min="47" max="47" width="7" customWidth="1"/>
    <col min="48" max="48" width="0" hidden="1" customWidth="1"/>
    <col min="49" max="49" width="6.140625" hidden="1" customWidth="1"/>
    <col min="50" max="50" width="5.140625" hidden="1" customWidth="1"/>
    <col min="51" max="51" width="8.42578125" customWidth="1"/>
    <col min="52" max="52" width="10" customWidth="1"/>
    <col min="53" max="53" width="8.7109375" hidden="1" customWidth="1"/>
    <col min="54" max="54" width="3.85546875" hidden="1" customWidth="1"/>
    <col min="55" max="55" width="6.5703125" customWidth="1"/>
    <col min="56" max="56" width="6.140625" customWidth="1"/>
    <col min="57" max="57" width="6.7109375" customWidth="1"/>
    <col min="58" max="58" width="8.85546875" customWidth="1"/>
    <col min="59" max="59" width="7.85546875" customWidth="1"/>
    <col min="60" max="60" width="9.85546875" customWidth="1"/>
    <col min="61" max="62" width="8.7109375" customWidth="1"/>
    <col min="63" max="63" width="10.28515625" customWidth="1"/>
    <col min="64" max="64" width="10.85546875" customWidth="1"/>
    <col min="65" max="65" width="10.7109375" customWidth="1"/>
    <col min="66" max="66" width="11.28515625" customWidth="1"/>
    <col min="67" max="68" width="8.85546875" customWidth="1"/>
    <col min="69" max="69" width="11.28515625" customWidth="1"/>
    <col min="70" max="70" width="7.7109375" customWidth="1"/>
    <col min="71" max="71" width="10" customWidth="1"/>
    <col min="72" max="72" width="8.85546875" customWidth="1"/>
    <col min="73" max="73" width="10.140625" customWidth="1"/>
    <col min="74" max="75" width="8.85546875" customWidth="1"/>
    <col min="76" max="76" width="9.7109375" customWidth="1"/>
    <col min="77" max="78" width="8.7109375" customWidth="1"/>
    <col min="79" max="79" width="9" customWidth="1"/>
    <col min="80" max="80" width="10.42578125" customWidth="1"/>
    <col min="81" max="81" width="8.42578125" customWidth="1"/>
    <col min="82" max="82" width="10.42578125" customWidth="1"/>
    <col min="83" max="83" width="9.85546875" customWidth="1"/>
    <col min="84" max="85" width="11.42578125" customWidth="1"/>
    <col min="86" max="86" width="11.140625" customWidth="1"/>
    <col min="87" max="87" width="11.28515625" customWidth="1"/>
    <col min="88" max="89" width="10" customWidth="1"/>
    <col min="90" max="90" width="8.7109375" customWidth="1"/>
    <col min="91" max="91" width="11.85546875" customWidth="1"/>
    <col min="92" max="92" width="8.7109375" customWidth="1"/>
    <col min="93" max="93" width="12.140625" customWidth="1"/>
    <col min="94" max="94" width="12.5703125" customWidth="1"/>
    <col min="95" max="95" width="11.7109375" customWidth="1"/>
    <col min="96" max="98" width="12.28515625" customWidth="1"/>
    <col min="99" max="99" width="13.28515625" customWidth="1"/>
    <col min="100" max="100" width="12.85546875" customWidth="1"/>
    <col min="101" max="101" width="13.42578125" customWidth="1"/>
    <col min="102" max="102" width="12.5703125" customWidth="1"/>
    <col min="103" max="103" width="14" customWidth="1"/>
    <col min="104" max="104" width="9.5703125" customWidth="1"/>
    <col min="105" max="105" width="19.140625" customWidth="1"/>
    <col min="106" max="106" width="19.42578125" customWidth="1"/>
    <col min="111" max="111" width="8.7109375" hidden="1" customWidth="1"/>
    <col min="112" max="112" width="9" bestFit="1" customWidth="1"/>
    <col min="114" max="114" width="9.7109375" bestFit="1" customWidth="1"/>
    <col min="115" max="115" width="13.28515625" customWidth="1"/>
  </cols>
  <sheetData>
    <row r="1" spans="1:115" ht="17.25" customHeight="1">
      <c r="A1" s="310" t="s">
        <v>0</v>
      </c>
      <c r="B1" s="310"/>
      <c r="C1" s="310"/>
      <c r="D1" s="311"/>
      <c r="E1" s="310"/>
      <c r="F1" s="310"/>
      <c r="G1" s="310"/>
      <c r="H1" s="310"/>
      <c r="I1" s="310"/>
      <c r="J1" s="310"/>
      <c r="K1" s="310"/>
      <c r="L1" s="310"/>
      <c r="M1" s="310"/>
      <c r="N1" s="310"/>
      <c r="O1" s="310"/>
      <c r="P1" s="77"/>
      <c r="Q1" s="77"/>
      <c r="R1" s="77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</row>
    <row r="2" spans="1:115" ht="19.5" customHeight="1" thickBot="1">
      <c r="A2" s="22"/>
      <c r="B2" s="78"/>
      <c r="C2" s="78"/>
      <c r="D2" s="79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80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80"/>
      <c r="AT2" s="312" t="s">
        <v>1</v>
      </c>
      <c r="AU2" s="313">
        <v>31</v>
      </c>
      <c r="AV2" s="314"/>
      <c r="AW2" s="314"/>
      <c r="AX2" s="315" t="s">
        <v>81</v>
      </c>
      <c r="AY2" s="556" t="s">
        <v>453</v>
      </c>
      <c r="AZ2" s="556"/>
      <c r="BA2" s="556"/>
      <c r="BB2" s="556"/>
      <c r="BC2" s="556"/>
      <c r="BD2" s="316" t="s">
        <v>107</v>
      </c>
      <c r="BE2" s="317"/>
    </row>
    <row r="3" spans="1:115" ht="39.75" customHeight="1" thickBot="1">
      <c r="A3" s="557" t="s">
        <v>3</v>
      </c>
      <c r="B3" s="558" t="s">
        <v>71</v>
      </c>
      <c r="C3" s="558"/>
      <c r="D3" s="558"/>
      <c r="E3" s="558"/>
      <c r="F3" s="558"/>
      <c r="G3" s="558"/>
      <c r="H3" s="554" t="s">
        <v>4</v>
      </c>
      <c r="I3" s="554"/>
      <c r="J3" s="554"/>
      <c r="K3" s="554"/>
      <c r="L3" s="554"/>
      <c r="M3" s="554"/>
      <c r="N3" s="554"/>
      <c r="O3" s="554"/>
      <c r="P3" s="559"/>
      <c r="Q3" s="560" t="s">
        <v>5</v>
      </c>
      <c r="R3" s="561"/>
      <c r="S3" s="561"/>
      <c r="T3" s="561"/>
      <c r="U3" s="562"/>
      <c r="V3" s="563" t="s">
        <v>6</v>
      </c>
      <c r="W3" s="563" t="s">
        <v>7</v>
      </c>
      <c r="X3" s="564" t="s">
        <v>8</v>
      </c>
      <c r="Y3" s="564" t="s">
        <v>9</v>
      </c>
      <c r="Z3" s="564" t="s">
        <v>10</v>
      </c>
      <c r="AA3" s="564" t="s">
        <v>11</v>
      </c>
      <c r="AB3" s="564" t="s">
        <v>12</v>
      </c>
      <c r="AC3" s="564" t="s">
        <v>13</v>
      </c>
      <c r="AD3" s="564" t="s">
        <v>14</v>
      </c>
      <c r="AE3" s="554" t="s">
        <v>15</v>
      </c>
      <c r="AF3" s="554"/>
      <c r="AG3" s="554" t="s">
        <v>16</v>
      </c>
      <c r="AH3" s="554"/>
      <c r="AI3" s="554"/>
      <c r="AJ3" s="593" t="s">
        <v>17</v>
      </c>
      <c r="AK3" s="593"/>
      <c r="AL3" s="564" t="s">
        <v>18</v>
      </c>
      <c r="AM3" s="599" t="s">
        <v>19</v>
      </c>
      <c r="AN3" s="600" t="s">
        <v>95</v>
      </c>
      <c r="AO3" s="603" t="s">
        <v>20</v>
      </c>
      <c r="AP3" s="564" t="s">
        <v>105</v>
      </c>
      <c r="AQ3" s="564" t="s">
        <v>21</v>
      </c>
      <c r="AR3" s="81"/>
      <c r="AS3" s="593" t="s">
        <v>22</v>
      </c>
      <c r="AT3" s="554" t="s">
        <v>23</v>
      </c>
      <c r="AU3" s="554"/>
      <c r="AV3" s="554"/>
      <c r="AW3" s="554"/>
      <c r="AX3" s="554"/>
      <c r="AY3" s="554"/>
      <c r="AZ3" s="564" t="s">
        <v>24</v>
      </c>
      <c r="BA3" s="594" t="s">
        <v>25</v>
      </c>
      <c r="BB3" s="594"/>
      <c r="BC3" s="564" t="s">
        <v>26</v>
      </c>
      <c r="BD3" s="564" t="s">
        <v>27</v>
      </c>
      <c r="BE3" s="572" t="s">
        <v>28</v>
      </c>
      <c r="BF3" s="3"/>
      <c r="BG3" s="3"/>
      <c r="BH3" s="3"/>
      <c r="BI3" s="3"/>
      <c r="BJ3" s="3"/>
      <c r="BK3" s="573" t="s">
        <v>29</v>
      </c>
      <c r="BL3" s="574"/>
      <c r="BM3" s="574"/>
      <c r="BN3" s="574"/>
      <c r="BO3" s="575"/>
      <c r="BP3" s="575"/>
      <c r="BQ3" s="576"/>
      <c r="BR3" s="573" t="s">
        <v>30</v>
      </c>
      <c r="BS3" s="585"/>
      <c r="BT3" s="585"/>
      <c r="BU3" s="585"/>
      <c r="BV3" s="585"/>
      <c r="BW3" s="585"/>
      <c r="BX3" s="586"/>
      <c r="BY3" s="566" t="s">
        <v>31</v>
      </c>
      <c r="BZ3" s="566"/>
      <c r="CA3" s="566"/>
      <c r="CB3" s="566"/>
      <c r="CC3" s="566"/>
      <c r="CD3" s="566"/>
      <c r="CE3" s="566"/>
      <c r="CF3" s="566" t="s">
        <v>87</v>
      </c>
      <c r="CG3" s="566"/>
      <c r="CH3" s="566"/>
      <c r="CI3" s="566"/>
      <c r="CJ3" s="566" t="s">
        <v>32</v>
      </c>
      <c r="CK3" s="566"/>
      <c r="CL3" s="566"/>
      <c r="CM3" s="566"/>
      <c r="CN3" s="4"/>
      <c r="CO3" s="5"/>
      <c r="CP3" s="6"/>
      <c r="CQ3" s="6"/>
    </row>
    <row r="4" spans="1:115" s="7" customFormat="1" ht="30.75" customHeight="1" thickBot="1">
      <c r="A4" s="557"/>
      <c r="B4" s="565" t="s">
        <v>72</v>
      </c>
      <c r="C4" s="613" t="s">
        <v>73</v>
      </c>
      <c r="D4" s="615" t="s">
        <v>33</v>
      </c>
      <c r="E4" s="613" t="s">
        <v>74</v>
      </c>
      <c r="F4" s="569" t="s">
        <v>75</v>
      </c>
      <c r="G4" s="569" t="s">
        <v>34</v>
      </c>
      <c r="H4" s="555" t="s">
        <v>76</v>
      </c>
      <c r="I4" s="570" t="s">
        <v>101</v>
      </c>
      <c r="J4" s="555" t="s">
        <v>89</v>
      </c>
      <c r="K4" s="565" t="s">
        <v>35</v>
      </c>
      <c r="L4" s="565" t="s">
        <v>77</v>
      </c>
      <c r="M4" s="565" t="s">
        <v>78</v>
      </c>
      <c r="N4" s="555" t="s">
        <v>101</v>
      </c>
      <c r="O4" s="565" t="s">
        <v>96</v>
      </c>
      <c r="P4" s="555" t="s">
        <v>79</v>
      </c>
      <c r="Q4" s="555" t="s">
        <v>36</v>
      </c>
      <c r="R4" s="555" t="s">
        <v>32</v>
      </c>
      <c r="S4" s="555" t="s">
        <v>37</v>
      </c>
      <c r="T4" s="555" t="s">
        <v>38</v>
      </c>
      <c r="U4" s="555" t="s">
        <v>39</v>
      </c>
      <c r="V4" s="563"/>
      <c r="W4" s="563"/>
      <c r="X4" s="564"/>
      <c r="Y4" s="564"/>
      <c r="Z4" s="564"/>
      <c r="AA4" s="564"/>
      <c r="AB4" s="564"/>
      <c r="AC4" s="564"/>
      <c r="AD4" s="564"/>
      <c r="AE4" s="554"/>
      <c r="AF4" s="554"/>
      <c r="AG4" s="554"/>
      <c r="AH4" s="554"/>
      <c r="AI4" s="554"/>
      <c r="AJ4" s="593"/>
      <c r="AK4" s="593"/>
      <c r="AL4" s="564"/>
      <c r="AM4" s="599"/>
      <c r="AN4" s="601"/>
      <c r="AO4" s="603"/>
      <c r="AP4" s="564"/>
      <c r="AQ4" s="564"/>
      <c r="AR4" s="82"/>
      <c r="AS4" s="593"/>
      <c r="AT4" s="554"/>
      <c r="AU4" s="554"/>
      <c r="AV4" s="554"/>
      <c r="AW4" s="554"/>
      <c r="AX4" s="554"/>
      <c r="AY4" s="554"/>
      <c r="AZ4" s="564"/>
      <c r="BA4" s="594"/>
      <c r="BB4" s="594"/>
      <c r="BC4" s="564"/>
      <c r="BD4" s="564"/>
      <c r="BE4" s="572"/>
      <c r="BF4" s="3"/>
      <c r="BG4" s="3"/>
      <c r="BH4" s="3"/>
      <c r="BI4" s="3"/>
      <c r="BJ4" s="3"/>
      <c r="BK4" s="577"/>
      <c r="BL4" s="578"/>
      <c r="BM4" s="578"/>
      <c r="BN4" s="578"/>
      <c r="BO4" s="579"/>
      <c r="BP4" s="579"/>
      <c r="BQ4" s="580"/>
      <c r="BR4" s="577"/>
      <c r="BS4" s="566"/>
      <c r="BT4" s="566"/>
      <c r="BU4" s="566"/>
      <c r="BV4" s="566"/>
      <c r="BW4" s="566"/>
      <c r="BX4" s="587"/>
      <c r="BY4" s="566"/>
      <c r="BZ4" s="566"/>
      <c r="CA4" s="566"/>
      <c r="CB4" s="566"/>
      <c r="CC4" s="566"/>
      <c r="CD4" s="566"/>
      <c r="CE4" s="566"/>
      <c r="CF4" s="566"/>
      <c r="CG4" s="566"/>
      <c r="CH4" s="566"/>
      <c r="CI4" s="566"/>
      <c r="CJ4" s="566"/>
      <c r="CK4" s="566"/>
      <c r="CL4" s="566"/>
      <c r="CM4" s="566"/>
      <c r="CN4" s="4"/>
      <c r="CO4" s="6"/>
      <c r="CP4" s="6"/>
      <c r="CQ4" s="262"/>
      <c r="CR4" s="231"/>
      <c r="CS4" s="231"/>
      <c r="CT4" s="231"/>
      <c r="CU4" s="231"/>
      <c r="CV4" s="231"/>
      <c r="CW4" s="231"/>
      <c r="CX4" s="231"/>
      <c r="CY4" s="231"/>
      <c r="DD4" s="590" t="s">
        <v>90</v>
      </c>
      <c r="DE4" s="591"/>
      <c r="DF4" s="591"/>
      <c r="DG4" s="591"/>
      <c r="DH4" s="592"/>
    </row>
    <row r="5" spans="1:115" s="7" customFormat="1" ht="8.25" hidden="1" customHeight="1">
      <c r="A5" s="557"/>
      <c r="B5" s="565"/>
      <c r="C5" s="614"/>
      <c r="D5" s="616"/>
      <c r="E5" s="614"/>
      <c r="F5" s="569"/>
      <c r="G5" s="569"/>
      <c r="H5" s="555"/>
      <c r="I5" s="570"/>
      <c r="J5" s="565"/>
      <c r="K5" s="565"/>
      <c r="L5" s="565"/>
      <c r="M5" s="565"/>
      <c r="N5" s="565"/>
      <c r="O5" s="565"/>
      <c r="P5" s="555"/>
      <c r="Q5" s="555"/>
      <c r="R5" s="555"/>
      <c r="S5" s="555"/>
      <c r="T5" s="555"/>
      <c r="U5" s="555"/>
      <c r="V5" s="563"/>
      <c r="W5" s="563"/>
      <c r="X5" s="564"/>
      <c r="Y5" s="564"/>
      <c r="Z5" s="564"/>
      <c r="AA5" s="564"/>
      <c r="AB5" s="564"/>
      <c r="AC5" s="564"/>
      <c r="AD5" s="564"/>
      <c r="AE5" s="555" t="s">
        <v>40</v>
      </c>
      <c r="AF5" s="555" t="s">
        <v>41</v>
      </c>
      <c r="AG5" s="555" t="s">
        <v>42</v>
      </c>
      <c r="AH5" s="555" t="s">
        <v>40</v>
      </c>
      <c r="AI5" s="555" t="s">
        <v>41</v>
      </c>
      <c r="AJ5" s="593"/>
      <c r="AK5" s="593"/>
      <c r="AL5" s="564"/>
      <c r="AM5" s="599"/>
      <c r="AN5" s="601"/>
      <c r="AO5" s="603"/>
      <c r="AP5" s="564"/>
      <c r="AQ5" s="564"/>
      <c r="AR5" s="83"/>
      <c r="AS5" s="593"/>
      <c r="AT5" s="555" t="s">
        <v>43</v>
      </c>
      <c r="AU5" s="84"/>
      <c r="AV5" s="85"/>
      <c r="AW5" s="598" t="s">
        <v>44</v>
      </c>
      <c r="AX5" s="598" t="s">
        <v>45</v>
      </c>
      <c r="AY5" s="555" t="s">
        <v>46</v>
      </c>
      <c r="AZ5" s="564"/>
      <c r="BA5" s="86" t="s">
        <v>47</v>
      </c>
      <c r="BB5" s="86" t="s">
        <v>48</v>
      </c>
      <c r="BC5" s="564"/>
      <c r="BD5" s="564"/>
      <c r="BE5" s="572"/>
      <c r="BF5" s="3"/>
      <c r="BG5" s="3"/>
      <c r="BH5" s="3"/>
      <c r="BI5" s="3"/>
      <c r="BJ5" s="3"/>
      <c r="BK5" s="581"/>
      <c r="BL5" s="582"/>
      <c r="BM5" s="582"/>
      <c r="BN5" s="582"/>
      <c r="BO5" s="583"/>
      <c r="BP5" s="583"/>
      <c r="BQ5" s="584"/>
      <c r="BR5" s="581"/>
      <c r="BS5" s="588"/>
      <c r="BT5" s="588"/>
      <c r="BU5" s="588"/>
      <c r="BV5" s="588"/>
      <c r="BW5" s="588"/>
      <c r="BX5" s="589"/>
      <c r="BY5" s="567"/>
      <c r="BZ5" s="566"/>
      <c r="CA5" s="566"/>
      <c r="CB5" s="566"/>
      <c r="CC5" s="566"/>
      <c r="CD5" s="566"/>
      <c r="CE5" s="566"/>
      <c r="CF5" s="567"/>
      <c r="CG5" s="567"/>
      <c r="CH5" s="567"/>
      <c r="CI5" s="567"/>
      <c r="CJ5" s="567"/>
      <c r="CK5" s="567"/>
      <c r="CL5" s="567"/>
      <c r="CM5" s="567"/>
      <c r="CN5" s="4"/>
      <c r="CO5"/>
      <c r="CP5"/>
      <c r="CQ5" s="255"/>
      <c r="CR5" s="256"/>
      <c r="CS5" s="256"/>
      <c r="CT5" s="256"/>
      <c r="CU5" s="256"/>
      <c r="CV5" s="257"/>
      <c r="CW5" s="257"/>
      <c r="CX5" s="257"/>
      <c r="CY5" s="258"/>
      <c r="DA5" s="595" t="s">
        <v>49</v>
      </c>
      <c r="DB5" s="595"/>
    </row>
    <row r="6" spans="1:115" s="7" customFormat="1" ht="106.5" customHeight="1" thickBot="1">
      <c r="A6" s="557"/>
      <c r="B6" s="565"/>
      <c r="C6" s="565"/>
      <c r="D6" s="568"/>
      <c r="E6" s="565"/>
      <c r="F6" s="569"/>
      <c r="G6" s="569"/>
      <c r="H6" s="555"/>
      <c r="I6" s="570"/>
      <c r="J6" s="571"/>
      <c r="K6" s="565"/>
      <c r="L6" s="565"/>
      <c r="M6" s="565"/>
      <c r="N6" s="571"/>
      <c r="O6" s="565"/>
      <c r="P6" s="565"/>
      <c r="Q6" s="565"/>
      <c r="R6" s="565"/>
      <c r="S6" s="565"/>
      <c r="T6" s="555"/>
      <c r="U6" s="555"/>
      <c r="V6" s="563"/>
      <c r="W6" s="563"/>
      <c r="X6" s="564"/>
      <c r="Y6" s="564"/>
      <c r="Z6" s="564"/>
      <c r="AA6" s="564"/>
      <c r="AB6" s="564"/>
      <c r="AC6" s="564"/>
      <c r="AD6" s="564"/>
      <c r="AE6" s="555"/>
      <c r="AF6" s="555"/>
      <c r="AG6" s="555"/>
      <c r="AH6" s="555"/>
      <c r="AI6" s="555"/>
      <c r="AJ6" s="593"/>
      <c r="AK6" s="593"/>
      <c r="AL6" s="564"/>
      <c r="AM6" s="599"/>
      <c r="AN6" s="602"/>
      <c r="AO6" s="603"/>
      <c r="AP6" s="564"/>
      <c r="AQ6" s="564"/>
      <c r="AR6" s="539"/>
      <c r="AS6" s="593"/>
      <c r="AT6" s="555"/>
      <c r="AU6" s="538" t="s">
        <v>50</v>
      </c>
      <c r="AV6" s="538" t="s">
        <v>51</v>
      </c>
      <c r="AW6" s="598"/>
      <c r="AX6" s="598"/>
      <c r="AY6" s="555"/>
      <c r="AZ6" s="555"/>
      <c r="BA6" s="87"/>
      <c r="BB6" s="88">
        <v>0.04</v>
      </c>
      <c r="BC6" s="564"/>
      <c r="BD6" s="564"/>
      <c r="BE6" s="572"/>
      <c r="BF6" s="8" t="s">
        <v>52</v>
      </c>
      <c r="BG6" s="8" t="s">
        <v>53</v>
      </c>
      <c r="BH6" s="8" t="s">
        <v>54</v>
      </c>
      <c r="BI6" s="3"/>
      <c r="BJ6" s="3"/>
      <c r="BK6" s="308" t="s">
        <v>100</v>
      </c>
      <c r="BL6" s="280" t="s">
        <v>82</v>
      </c>
      <c r="BM6" s="279" t="s">
        <v>262</v>
      </c>
      <c r="BN6" s="307" t="s">
        <v>444</v>
      </c>
      <c r="BO6" s="308" t="s">
        <v>97</v>
      </c>
      <c r="BP6" s="495" t="s">
        <v>99</v>
      </c>
      <c r="BQ6" s="495" t="s">
        <v>420</v>
      </c>
      <c r="BR6" s="308" t="s">
        <v>100</v>
      </c>
      <c r="BS6" s="280" t="s">
        <v>82</v>
      </c>
      <c r="BT6" s="279" t="s">
        <v>262</v>
      </c>
      <c r="BU6" s="327"/>
      <c r="BV6" s="308" t="s">
        <v>97</v>
      </c>
      <c r="BW6" s="495" t="s">
        <v>99</v>
      </c>
      <c r="BX6" s="306"/>
      <c r="BY6" s="308" t="s">
        <v>100</v>
      </c>
      <c r="BZ6" s="280" t="s">
        <v>82</v>
      </c>
      <c r="CA6" s="279" t="s">
        <v>262</v>
      </c>
      <c r="CB6" s="307" t="s">
        <v>444</v>
      </c>
      <c r="CC6" s="308" t="s">
        <v>97</v>
      </c>
      <c r="CD6" s="495" t="s">
        <v>99</v>
      </c>
      <c r="CE6" s="495" t="s">
        <v>420</v>
      </c>
      <c r="CF6" s="267" t="s">
        <v>106</v>
      </c>
      <c r="CG6" s="268" t="s">
        <v>85</v>
      </c>
      <c r="CH6" s="244" t="s">
        <v>430</v>
      </c>
      <c r="CI6" s="245" t="s">
        <v>408</v>
      </c>
      <c r="CJ6" s="267" t="s">
        <v>106</v>
      </c>
      <c r="CK6" s="268" t="s">
        <v>85</v>
      </c>
      <c r="CL6" s="244" t="s">
        <v>430</v>
      </c>
      <c r="CM6" s="245" t="s">
        <v>408</v>
      </c>
      <c r="CN6" s="243"/>
      <c r="CO6" s="248" t="s">
        <v>100</v>
      </c>
      <c r="CP6" s="10" t="s">
        <v>82</v>
      </c>
      <c r="CQ6" s="264" t="s">
        <v>263</v>
      </c>
      <c r="CR6" s="23" t="s">
        <v>446</v>
      </c>
      <c r="CS6" s="248" t="s">
        <v>98</v>
      </c>
      <c r="CT6" s="248" t="s">
        <v>99</v>
      </c>
      <c r="CU6" s="496" t="s">
        <v>423</v>
      </c>
      <c r="CV6" s="259" t="s">
        <v>106</v>
      </c>
      <c r="CW6" s="248" t="s">
        <v>84</v>
      </c>
      <c r="CX6" s="232" t="s">
        <v>430</v>
      </c>
      <c r="CY6" s="263" t="s">
        <v>408</v>
      </c>
      <c r="CZ6" s="253"/>
      <c r="DA6" s="321" t="s">
        <v>80</v>
      </c>
      <c r="DB6" s="321" t="s">
        <v>55</v>
      </c>
      <c r="DD6" s="288" t="s">
        <v>91</v>
      </c>
      <c r="DE6" s="289" t="s">
        <v>92</v>
      </c>
      <c r="DF6" s="290" t="s">
        <v>93</v>
      </c>
      <c r="DG6" s="290"/>
      <c r="DH6" s="289" t="s">
        <v>94</v>
      </c>
    </row>
    <row r="7" spans="1:115" s="76" customFormat="1" ht="16.5" customHeight="1" thickBot="1">
      <c r="A7" s="121">
        <v>1</v>
      </c>
      <c r="B7" s="122">
        <f>'[1]декабрь 20'!K6</f>
        <v>292.77199999999999</v>
      </c>
      <c r="C7" s="123">
        <f>IF(B7=0,0,(BK7*BR7+BL7*BS7+BM7*BT7+BN7*BU7+BQ7*BX7+BO7*BV7+BP7*BW7)/B7)</f>
        <v>0.89974752106759892</v>
      </c>
      <c r="D7" s="124">
        <f>B7*((100-C7)/100)</f>
        <v>290.13779118762</v>
      </c>
      <c r="E7" s="125">
        <f>IF(B7=0,0,(BK7*BY7+BL7*BZ7+BM7*CA7+BQ7*CE7+BN7*CB7+BO7*CC7+BP7*CD7)/B7)</f>
        <v>38.830130442801917</v>
      </c>
      <c r="F7" s="126">
        <f t="shared" ref="F7:F37" si="0">IF(AY7=0,0,D7/AY7)</f>
        <v>2.2550124253391211</v>
      </c>
      <c r="G7" s="127"/>
      <c r="H7" s="126">
        <f>IF(AY7=0,0,(CP7+CO7+CS7+CQ7+CT7)/AY7)</f>
        <v>1.6236134956689348</v>
      </c>
      <c r="I7" s="230">
        <f>'[1]июль 20'!AI6</f>
        <v>0</v>
      </c>
      <c r="J7" s="246">
        <f>'[1]декабрь 20'!AA6</f>
        <v>11.538</v>
      </c>
      <c r="K7" s="445">
        <f>'[1]сентябрь 20'!AM6</f>
        <v>0</v>
      </c>
      <c r="L7" s="446">
        <f>'[1]декабрь 20'!AE6</f>
        <v>81.238</v>
      </c>
      <c r="M7" s="443">
        <f>IF(AY7=0,0,(CR7+CU7)/AY7)</f>
        <v>0.63139895298682225</v>
      </c>
      <c r="N7" s="541">
        <f>'[1]декабрь 20'!W6</f>
        <v>0</v>
      </c>
      <c r="O7" s="540">
        <f>'[1]декабрь 20'!AU6</f>
        <v>7.7519999999999998</v>
      </c>
      <c r="P7" s="125">
        <f t="shared" ref="P7:P37" si="1">CF7+CH7+CI7+CG7</f>
        <v>184.17600199999998</v>
      </c>
      <c r="Q7" s="122">
        <f>'[1]декабрь 20'!S6</f>
        <v>184.17599999999999</v>
      </c>
      <c r="R7" s="123">
        <f>IF(Q7=0,0,(CI7*CM7+CG7*CK7+CH7*CL7+CF7*CJ7)/Q7)</f>
        <v>3.0500000000000114</v>
      </c>
      <c r="S7" s="129">
        <v>56.28</v>
      </c>
      <c r="T7" s="125">
        <f t="shared" ref="T7:T37" si="2">Q7*((100-R7)/100)</f>
        <v>178.55863199999996</v>
      </c>
      <c r="U7" s="128">
        <f t="shared" ref="U7:U37" si="3">IF(AY7=0,0,T7/AY7)</f>
        <v>1.387795544190854</v>
      </c>
      <c r="V7" s="130">
        <v>128.66</v>
      </c>
      <c r="W7" s="130">
        <v>128.66</v>
      </c>
      <c r="X7" s="129">
        <v>0.68</v>
      </c>
      <c r="Y7" s="131">
        <v>579</v>
      </c>
      <c r="Z7" s="131">
        <v>1165</v>
      </c>
      <c r="AA7" s="132" t="s">
        <v>167</v>
      </c>
      <c r="AB7" s="129">
        <v>76.02</v>
      </c>
      <c r="AC7" s="131">
        <v>117</v>
      </c>
      <c r="AD7" s="133">
        <v>5</v>
      </c>
      <c r="AE7" s="129"/>
      <c r="AF7" s="134">
        <f t="shared" ref="AF7:AF37" si="4">IF(AY7=0,0,AE7/AY7*1000)</f>
        <v>0</v>
      </c>
      <c r="AG7" s="135"/>
      <c r="AH7" s="129">
        <v>78.900000000000006</v>
      </c>
      <c r="AI7" s="134">
        <f t="shared" ref="AI7:AI37" si="5">IF(AY7=0,0,AH7/AY7*1000)</f>
        <v>613.22752762049845</v>
      </c>
      <c r="AJ7" s="136">
        <v>21.3</v>
      </c>
      <c r="AK7" s="127"/>
      <c r="AL7" s="137">
        <v>11.23</v>
      </c>
      <c r="AM7" s="478">
        <f>AT7*0.215</f>
        <v>36.356499999999997</v>
      </c>
      <c r="AN7" s="126">
        <f>IF(AM7=0,0,AM7/AT7)</f>
        <v>0.215</v>
      </c>
      <c r="AO7" s="139" t="s">
        <v>168</v>
      </c>
      <c r="AP7" s="138">
        <v>7.41</v>
      </c>
      <c r="AQ7" s="138">
        <v>7.92</v>
      </c>
      <c r="AR7" s="129"/>
      <c r="AS7" s="129">
        <v>9.6199999999999992</v>
      </c>
      <c r="AT7" s="129">
        <v>169.1</v>
      </c>
      <c r="AU7" s="129">
        <v>7.15</v>
      </c>
      <c r="AV7" s="129"/>
      <c r="AW7" s="129"/>
      <c r="AX7" s="140">
        <f t="shared" ref="AX7:AX37" si="6">IF(AY7=0,0,AW7/AY7*100)</f>
        <v>0</v>
      </c>
      <c r="AY7" s="125">
        <f t="shared" ref="AY7:AY37" si="7">AT7-AL7-AM7+AV7+AW7+AU7</f>
        <v>128.6635</v>
      </c>
      <c r="AZ7" s="125">
        <f>IF(AB7=0,0,((D7*0.97)*(E7/100)*0.9)/(AB7/100))+DH7</f>
        <v>132.82242749237167</v>
      </c>
      <c r="BA7" s="141">
        <f t="shared" ref="BA7:BA37" si="8">(AH7*AS7)/100*(55/71)</f>
        <v>5.8797169014084503</v>
      </c>
      <c r="BB7" s="142">
        <f t="shared" ref="BB7:BB37" si="9">AY7*$BB$6</f>
        <v>5.1465399999999999</v>
      </c>
      <c r="BC7" s="122">
        <f t="shared" ref="BC7:BC37" si="10">IF((D7*E7)=0,0,(AY7*AB7)/(D7*E7))</f>
        <v>0.86818059902165456</v>
      </c>
      <c r="BD7" s="142">
        <f>BA7+BB7</f>
        <v>11.02625690140845</v>
      </c>
      <c r="BE7" s="143">
        <v>0.86799999999999999</v>
      </c>
      <c r="BF7" s="25">
        <f>AY7</f>
        <v>128.6635</v>
      </c>
      <c r="BG7" s="25">
        <f t="shared" ref="BG7:BG38" si="11">IF(A7&lt;=$BE$43,$AT$43,0)</f>
        <v>116.7741935483871</v>
      </c>
      <c r="BH7" s="25">
        <f>BG7</f>
        <v>116.7741935483871</v>
      </c>
      <c r="BI7" s="26">
        <f t="shared" ref="BI7:BI37" si="12">IF(AY7&lt;&gt;0,1,0)</f>
        <v>1</v>
      </c>
      <c r="BJ7" s="27">
        <f>BG7*BI7</f>
        <v>116.7741935483871</v>
      </c>
      <c r="BK7" s="28">
        <v>139.46899999999999</v>
      </c>
      <c r="BL7" s="28">
        <v>72.064999999999998</v>
      </c>
      <c r="BM7" s="28">
        <v>9.9999999999999995E-7</v>
      </c>
      <c r="BN7" s="28">
        <v>58.463999999999999</v>
      </c>
      <c r="BO7" s="28">
        <v>9.9999999999999995E-7</v>
      </c>
      <c r="BP7" s="28">
        <v>9.9999999999999995E-7</v>
      </c>
      <c r="BQ7" s="28">
        <v>22.774000000000001</v>
      </c>
      <c r="BR7" s="28">
        <v>1</v>
      </c>
      <c r="BS7" s="28">
        <v>1.72</v>
      </c>
      <c r="BT7" s="28">
        <v>9.9999999999999995E-7</v>
      </c>
      <c r="BU7" s="28">
        <v>9.9999999999999995E-7</v>
      </c>
      <c r="BV7" s="28">
        <v>9.9999999999999995E-7</v>
      </c>
      <c r="BW7" s="28">
        <v>9.9999999999999995E-7</v>
      </c>
      <c r="BX7" s="28">
        <v>9.9999999999999995E-7</v>
      </c>
      <c r="BY7" s="28">
        <v>37.33</v>
      </c>
      <c r="BZ7" s="28">
        <v>36.08</v>
      </c>
      <c r="CA7" s="28">
        <v>9.9999999999999995E-7</v>
      </c>
      <c r="CB7" s="28">
        <v>43.89</v>
      </c>
      <c r="CC7" s="28">
        <v>9.9999999999999995E-7</v>
      </c>
      <c r="CD7" s="28">
        <v>9.9999999999999995E-7</v>
      </c>
      <c r="CE7" s="28">
        <v>43.73</v>
      </c>
      <c r="CF7" s="28">
        <v>71.451999999999998</v>
      </c>
      <c r="CG7" s="28">
        <v>9.9999999999999995E-7</v>
      </c>
      <c r="CH7" s="28">
        <v>9.9999999999999995E-7</v>
      </c>
      <c r="CI7" s="28">
        <v>112.724</v>
      </c>
      <c r="CJ7" s="28">
        <v>3.05</v>
      </c>
      <c r="CK7" s="28">
        <v>9.9999999999999995E-7</v>
      </c>
      <c r="CL7" s="28">
        <v>9.9999999999999995E-7</v>
      </c>
      <c r="CM7" s="28">
        <v>3.05</v>
      </c>
      <c r="CN7" s="286"/>
      <c r="CO7" s="252">
        <f t="shared" ref="CO7:CU22" si="13">BK7*((100-BR7)/100)</f>
        <v>138.07431</v>
      </c>
      <c r="CP7" s="11">
        <f t="shared" si="13"/>
        <v>70.825481999999994</v>
      </c>
      <c r="CQ7" s="11">
        <f t="shared" si="13"/>
        <v>9.9999998999999992E-7</v>
      </c>
      <c r="CR7" s="11">
        <f t="shared" si="13"/>
        <v>58.46399941536</v>
      </c>
      <c r="CS7" s="11">
        <f t="shared" si="13"/>
        <v>9.9999998999999992E-7</v>
      </c>
      <c r="CT7" s="11">
        <f t="shared" si="13"/>
        <v>9.9999998999999992E-7</v>
      </c>
      <c r="CU7" s="271">
        <f t="shared" si="13"/>
        <v>22.773999772260002</v>
      </c>
      <c r="CV7" s="260">
        <f t="shared" ref="CV7:CY37" si="14">CF7*((100-CJ7)/100)</f>
        <v>69.272713999999993</v>
      </c>
      <c r="CW7" s="250">
        <f t="shared" si="14"/>
        <v>9.9999998999999992E-7</v>
      </c>
      <c r="CX7" s="260">
        <f t="shared" si="14"/>
        <v>9.9999998999999992E-7</v>
      </c>
      <c r="CY7" s="271">
        <f t="shared" si="14"/>
        <v>109.28591800000001</v>
      </c>
      <c r="CZ7" s="13"/>
      <c r="DA7" s="240">
        <f>(D7+'[2]декабрь 20'!D7)/(AY7+'[2]декабрь 20'!BA7)</f>
        <v>2.0195915538356464</v>
      </c>
      <c r="DB7" s="241">
        <f>(T7+'[2]декабрь 20'!T7)/(AY7+'[2]декабрь 20'!BA7)</f>
        <v>1.2538959481267229</v>
      </c>
      <c r="DD7" s="292">
        <f t="shared" ref="DD7:DD37" si="15">J7</f>
        <v>11.538</v>
      </c>
      <c r="DE7" s="291">
        <v>0.5</v>
      </c>
      <c r="DF7" s="291">
        <v>22.81</v>
      </c>
      <c r="DG7" s="145">
        <f t="shared" ref="DG7:DG37" si="16">DD7*((100-DE7)/100)</f>
        <v>11.480309999999999</v>
      </c>
      <c r="DH7" s="293">
        <f>IF(AB7=0,0,(DG7*DF7%)/(AB7/100))</f>
        <v>3.444697067876874</v>
      </c>
      <c r="DJ7" s="549"/>
      <c r="DK7" s="537"/>
    </row>
    <row r="8" spans="1:115" s="76" customFormat="1" ht="16.5" customHeight="1" thickBot="1">
      <c r="A8" s="144">
        <v>2</v>
      </c>
      <c r="B8" s="122">
        <f>'[1]декабрь 20'!K7</f>
        <v>272.94099999999997</v>
      </c>
      <c r="C8" s="123">
        <f t="shared" ref="C8:C37" si="17">IF(B8=0,0,(BK8*BR8+BL8*BS8+BM8*BT8+BN8*BU8+BQ8*BX8+BO8*BV8+BP8*BW8)/B8)</f>
        <v>0.80280426905448432</v>
      </c>
      <c r="D8" s="145">
        <f t="shared" ref="D8:D37" si="18">B8*((100-C8)/100)</f>
        <v>270.74981799999995</v>
      </c>
      <c r="E8" s="125">
        <f t="shared" ref="E8:E37" si="19">IF(B8=0,0,(BK8*BY8+BL8*BZ8+BM8*CA8+BQ8*CE8+BN8*CB8+BO8*CC8+BP8*CD8)/B8)</f>
        <v>39.208937059657572</v>
      </c>
      <c r="F8" s="146">
        <f t="shared" si="0"/>
        <v>2.0982908934501503</v>
      </c>
      <c r="G8" s="127">
        <v>28.06</v>
      </c>
      <c r="H8" s="126">
        <f t="shared" ref="H8:H37" si="20">IF(AY8=0,0,(CP8+CO8+CS8+CQ8+CT8)/AY8)</f>
        <v>1.5067313372108793</v>
      </c>
      <c r="I8" s="230">
        <f>'[1]июль 20'!AI7</f>
        <v>0</v>
      </c>
      <c r="J8" s="247">
        <f>'[1]декабрь 20'!AA7</f>
        <v>11.029</v>
      </c>
      <c r="K8" s="464">
        <f>'[1]сентябрь 20'!AM7</f>
        <v>0</v>
      </c>
      <c r="L8" s="446">
        <f>'[1]декабрь 20'!AE7</f>
        <v>76.331000000000003</v>
      </c>
      <c r="M8" s="468">
        <f t="shared" ref="M8:M37" si="21">IF(AY8=0,0,(CR8+CU8)/AY8)</f>
        <v>0.59155955623927126</v>
      </c>
      <c r="N8" s="542">
        <f>'[1]декабрь 20'!W7</f>
        <v>0</v>
      </c>
      <c r="O8" s="403">
        <f>'[1]декабрь 20'!AU7</f>
        <v>8.6560000000000006</v>
      </c>
      <c r="P8" s="401">
        <f t="shared" si="1"/>
        <v>171.809</v>
      </c>
      <c r="Q8" s="122">
        <f>'[1]декабрь 20'!S7</f>
        <v>171.809</v>
      </c>
      <c r="R8" s="123">
        <f t="shared" ref="R8:R37" si="22">IF(Q8=0,0,(CI8*CM8+CG8*CK8+CH8*CL8+CF8*CJ8)/Q8)</f>
        <v>3.0199999999999996</v>
      </c>
      <c r="S8" s="129">
        <v>14.48</v>
      </c>
      <c r="T8" s="125">
        <f t="shared" si="2"/>
        <v>166.6203682</v>
      </c>
      <c r="U8" s="147">
        <f t="shared" si="3"/>
        <v>1.291295424831536</v>
      </c>
      <c r="V8" s="130">
        <v>129.03</v>
      </c>
      <c r="W8" s="130">
        <v>105.47</v>
      </c>
      <c r="X8" s="129">
        <v>0.66</v>
      </c>
      <c r="Y8" s="131">
        <v>540</v>
      </c>
      <c r="Z8" s="131">
        <v>1156</v>
      </c>
      <c r="AA8" s="148" t="s">
        <v>455</v>
      </c>
      <c r="AB8" s="149">
        <v>76.099999999999994</v>
      </c>
      <c r="AC8" s="150">
        <v>109</v>
      </c>
      <c r="AD8" s="151">
        <v>5</v>
      </c>
      <c r="AE8" s="149">
        <v>4.45</v>
      </c>
      <c r="AF8" s="134">
        <f t="shared" si="4"/>
        <v>34.487168061007416</v>
      </c>
      <c r="AG8" s="152"/>
      <c r="AH8" s="129">
        <v>87</v>
      </c>
      <c r="AI8" s="134">
        <f t="shared" si="5"/>
        <v>674.24351040621229</v>
      </c>
      <c r="AJ8" s="153">
        <v>22.6</v>
      </c>
      <c r="AK8" s="154"/>
      <c r="AL8" s="155">
        <v>10.51</v>
      </c>
      <c r="AM8" s="478">
        <f t="shared" ref="AM8:AM35" si="23">AT8*0.215</f>
        <v>37.646499999999996</v>
      </c>
      <c r="AN8" s="126">
        <f t="shared" ref="AN8:AN37" si="24">IF(AM8=0,0,AM8/AT8)</f>
        <v>0.215</v>
      </c>
      <c r="AO8" s="157" t="s">
        <v>456</v>
      </c>
      <c r="AP8" s="156">
        <v>7.92</v>
      </c>
      <c r="AQ8" s="156">
        <v>7.64</v>
      </c>
      <c r="AR8" s="149"/>
      <c r="AS8" s="149">
        <v>8.02</v>
      </c>
      <c r="AT8" s="149">
        <v>175.1</v>
      </c>
      <c r="AU8" s="149">
        <v>2.09</v>
      </c>
      <c r="AV8" s="149"/>
      <c r="AW8" s="149"/>
      <c r="AX8" s="158">
        <f t="shared" si="6"/>
        <v>0</v>
      </c>
      <c r="AY8" s="125">
        <f t="shared" si="7"/>
        <v>129.0335</v>
      </c>
      <c r="AZ8" s="125">
        <f t="shared" ref="AZ8:AZ37" si="25">IF(AB8=0,0,((D8*0.97)*(E8/100)*0.9)/(AB8/100))+DH8</f>
        <v>124.57119670118954</v>
      </c>
      <c r="BA8" s="159">
        <f t="shared" si="8"/>
        <v>5.4050281690140842</v>
      </c>
      <c r="BB8" s="160">
        <f t="shared" si="9"/>
        <v>5.16134</v>
      </c>
      <c r="BC8" s="161">
        <f t="shared" si="10"/>
        <v>0.92498330039185939</v>
      </c>
      <c r="BD8" s="160">
        <f t="shared" ref="BD8:BD37" si="26">BA8+BB8</f>
        <v>10.566368169014083</v>
      </c>
      <c r="BE8" s="162">
        <v>0.89600000000000002</v>
      </c>
      <c r="BF8" s="25">
        <f t="shared" ref="BF8:BF37" si="27">BF7+AY8</f>
        <v>257.697</v>
      </c>
      <c r="BG8" s="25">
        <f t="shared" si="11"/>
        <v>116.7741935483871</v>
      </c>
      <c r="BH8" s="25">
        <f t="shared" ref="BH8:BH37" si="28">BG8+BH7</f>
        <v>233.54838709677421</v>
      </c>
      <c r="BI8" s="26">
        <f t="shared" si="12"/>
        <v>1</v>
      </c>
      <c r="BJ8" s="27">
        <f t="shared" ref="BJ8:BJ37" si="29">BG8*BI8+BJ7</f>
        <v>233.54838709677421</v>
      </c>
      <c r="BK8" s="30">
        <v>23.47</v>
      </c>
      <c r="BL8" s="31">
        <v>173.14</v>
      </c>
      <c r="BM8" s="31"/>
      <c r="BN8" s="31">
        <v>54.536000000000001</v>
      </c>
      <c r="BO8" s="40"/>
      <c r="BP8" s="40"/>
      <c r="BQ8" s="32">
        <v>21.795000000000002</v>
      </c>
      <c r="BR8" s="33">
        <v>1</v>
      </c>
      <c r="BS8" s="34">
        <v>1.1299999999999999</v>
      </c>
      <c r="BT8" s="35"/>
      <c r="BU8" s="28"/>
      <c r="BV8" s="287"/>
      <c r="BW8" s="28"/>
      <c r="BX8" s="36"/>
      <c r="BY8" s="33">
        <v>37.33</v>
      </c>
      <c r="BZ8" s="34">
        <v>37.409999999999997</v>
      </c>
      <c r="CA8" s="35"/>
      <c r="CB8" s="35">
        <v>43.89</v>
      </c>
      <c r="CC8" s="235"/>
      <c r="CD8" s="235"/>
      <c r="CE8" s="36">
        <v>43.81</v>
      </c>
      <c r="CF8" s="30">
        <v>66.509</v>
      </c>
      <c r="CG8" s="30"/>
      <c r="CH8" s="31"/>
      <c r="CI8" s="32">
        <v>105.3</v>
      </c>
      <c r="CJ8" s="33">
        <v>3.02</v>
      </c>
      <c r="CK8" s="33"/>
      <c r="CL8" s="35"/>
      <c r="CM8" s="28">
        <v>3.02</v>
      </c>
      <c r="CN8" s="286"/>
      <c r="CO8" s="249">
        <f t="shared" si="13"/>
        <v>23.235299999999999</v>
      </c>
      <c r="CP8" s="12">
        <f t="shared" si="13"/>
        <v>171.18351799999999</v>
      </c>
      <c r="CQ8" s="12">
        <f t="shared" si="13"/>
        <v>0</v>
      </c>
      <c r="CR8" s="12">
        <f t="shared" si="13"/>
        <v>54.536000000000001</v>
      </c>
      <c r="CS8" s="11">
        <f t="shared" si="13"/>
        <v>0</v>
      </c>
      <c r="CT8" s="11">
        <f t="shared" si="13"/>
        <v>0</v>
      </c>
      <c r="CU8" s="272">
        <f t="shared" si="13"/>
        <v>21.795000000000002</v>
      </c>
      <c r="CV8" s="249">
        <f t="shared" si="14"/>
        <v>64.500428200000002</v>
      </c>
      <c r="CW8" s="12">
        <f t="shared" si="14"/>
        <v>0</v>
      </c>
      <c r="CX8" s="254">
        <f t="shared" si="14"/>
        <v>0</v>
      </c>
      <c r="CY8" s="272">
        <f t="shared" si="14"/>
        <v>102.11994</v>
      </c>
      <c r="CZ8" s="13"/>
      <c r="DA8" s="240">
        <f>(D8+'[2]декабрь 20'!D8)/(AY8+'[2]декабрь 20'!BA8)</f>
        <v>2.3580672457760508</v>
      </c>
      <c r="DB8" s="241">
        <f>(T8+'[2]декабрь 20'!T8)/(AY8+'[2]декабрь 20'!BA8)</f>
        <v>1.4351721382813194</v>
      </c>
      <c r="DD8" s="292">
        <f t="shared" si="15"/>
        <v>11.029</v>
      </c>
      <c r="DE8" s="291">
        <v>0.28000000000000003</v>
      </c>
      <c r="DF8" s="291">
        <v>19.3</v>
      </c>
      <c r="DG8" s="145">
        <f t="shared" si="16"/>
        <v>10.9981188</v>
      </c>
      <c r="DH8" s="293">
        <f t="shared" ref="DH8:DH37" si="30">IF(AB8=0,0,(DG8*DF8%)/(AB8/100))</f>
        <v>2.7892732304862027</v>
      </c>
      <c r="DJ8" s="549"/>
      <c r="DK8" s="537"/>
    </row>
    <row r="9" spans="1:115" s="76" customFormat="1" ht="16.5" customHeight="1" thickBot="1">
      <c r="A9" s="144">
        <v>3</v>
      </c>
      <c r="B9" s="122">
        <f>'[1]декабрь 20'!K8</f>
        <v>274.59800000000001</v>
      </c>
      <c r="C9" s="123">
        <f t="shared" si="17"/>
        <v>0.56730526078121468</v>
      </c>
      <c r="D9" s="145">
        <f>B9*((100-C9)/100)</f>
        <v>273.04019110000002</v>
      </c>
      <c r="E9" s="125">
        <f t="shared" si="19"/>
        <v>39.058631053394414</v>
      </c>
      <c r="F9" s="146">
        <f t="shared" si="0"/>
        <v>2.2334804331332632</v>
      </c>
      <c r="G9" s="127">
        <v>16.93</v>
      </c>
      <c r="H9" s="126">
        <f t="shared" si="20"/>
        <v>1.6002878647020931</v>
      </c>
      <c r="I9" s="230">
        <f>'[1]июль 20'!AI8</f>
        <v>0</v>
      </c>
      <c r="J9" s="247">
        <f>'[1]декабрь 20'!AA8</f>
        <v>10.601000000000001</v>
      </c>
      <c r="K9" s="465">
        <f>'[1]сентябрь 20'!AM8</f>
        <v>0</v>
      </c>
      <c r="L9" s="446">
        <f>'[1]декабрь 20'!AE8</f>
        <v>77.406999999999996</v>
      </c>
      <c r="M9" s="469">
        <f t="shared" si="21"/>
        <v>0.63319256843117</v>
      </c>
      <c r="N9" s="542">
        <f>'[1]декабрь 20'!W8</f>
        <v>0</v>
      </c>
      <c r="O9" s="403">
        <f>'[1]декабрь 20'!AU8</f>
        <v>8.4939999999999998</v>
      </c>
      <c r="P9" s="401">
        <f t="shared" si="1"/>
        <v>174.125</v>
      </c>
      <c r="Q9" s="122">
        <f>'[1]декабрь 20'!S8</f>
        <v>174.125</v>
      </c>
      <c r="R9" s="123">
        <f t="shared" si="22"/>
        <v>2.9900000000000007</v>
      </c>
      <c r="S9" s="129">
        <v>1.27</v>
      </c>
      <c r="T9" s="125">
        <f t="shared" si="2"/>
        <v>168.91866250000001</v>
      </c>
      <c r="U9" s="147">
        <f>IF(AY9=0,0,T9/AY9)</f>
        <v>1.3817618789558177</v>
      </c>
      <c r="V9" s="130">
        <v>122.25</v>
      </c>
      <c r="W9" s="130">
        <v>95.96</v>
      </c>
      <c r="X9" s="129">
        <v>0.52</v>
      </c>
      <c r="Y9" s="131">
        <v>552</v>
      </c>
      <c r="Z9" s="131">
        <v>1166</v>
      </c>
      <c r="AA9" s="148" t="s">
        <v>252</v>
      </c>
      <c r="AB9" s="149">
        <v>76.55</v>
      </c>
      <c r="AC9" s="150">
        <v>105</v>
      </c>
      <c r="AD9" s="151">
        <v>5</v>
      </c>
      <c r="AE9" s="149"/>
      <c r="AF9" s="134">
        <f t="shared" si="4"/>
        <v>0</v>
      </c>
      <c r="AG9" s="152"/>
      <c r="AH9" s="129">
        <v>79.849999999999994</v>
      </c>
      <c r="AI9" s="134">
        <f t="shared" si="5"/>
        <v>653.1764128467571</v>
      </c>
      <c r="AJ9" s="153">
        <v>20.28</v>
      </c>
      <c r="AK9" s="154"/>
      <c r="AL9" s="155">
        <v>8.57</v>
      </c>
      <c r="AM9" s="478">
        <f t="shared" si="23"/>
        <v>34.991250000000001</v>
      </c>
      <c r="AN9" s="126">
        <f t="shared" si="24"/>
        <v>0.215</v>
      </c>
      <c r="AO9" s="157" t="s">
        <v>151</v>
      </c>
      <c r="AP9" s="156">
        <v>7.52</v>
      </c>
      <c r="AQ9" s="156">
        <v>7.22</v>
      </c>
      <c r="AR9" s="149"/>
      <c r="AS9" s="149">
        <v>9.14</v>
      </c>
      <c r="AT9" s="149">
        <v>162.75</v>
      </c>
      <c r="AU9" s="149">
        <v>3.06</v>
      </c>
      <c r="AV9" s="149"/>
      <c r="AW9" s="149"/>
      <c r="AX9" s="158">
        <f t="shared" si="6"/>
        <v>0</v>
      </c>
      <c r="AY9" s="125">
        <f t="shared" si="7"/>
        <v>122.24875</v>
      </c>
      <c r="AZ9" s="125">
        <f t="shared" si="25"/>
        <v>123.57581055730842</v>
      </c>
      <c r="BA9" s="159">
        <f t="shared" si="8"/>
        <v>5.6536049295774644</v>
      </c>
      <c r="BB9" s="160">
        <f t="shared" si="9"/>
        <v>4.8899499999999998</v>
      </c>
      <c r="BC9" s="161">
        <f t="shared" si="10"/>
        <v>0.87749777733545908</v>
      </c>
      <c r="BD9" s="160">
        <f t="shared" si="26"/>
        <v>10.543554929577464</v>
      </c>
      <c r="BE9" s="162">
        <v>0.89</v>
      </c>
      <c r="BF9" s="25">
        <f t="shared" si="27"/>
        <v>379.94574999999998</v>
      </c>
      <c r="BG9" s="25">
        <f t="shared" si="11"/>
        <v>116.7741935483871</v>
      </c>
      <c r="BH9" s="25">
        <f t="shared" si="28"/>
        <v>350.32258064516134</v>
      </c>
      <c r="BI9" s="26">
        <f t="shared" si="12"/>
        <v>1</v>
      </c>
      <c r="BJ9" s="37">
        <f t="shared" si="29"/>
        <v>350.32258064516134</v>
      </c>
      <c r="BK9" s="38"/>
      <c r="BL9" s="31">
        <v>197.191</v>
      </c>
      <c r="BM9" s="31"/>
      <c r="BN9" s="31">
        <v>55.606999999999999</v>
      </c>
      <c r="BO9" s="40"/>
      <c r="BP9" s="40"/>
      <c r="BQ9" s="32">
        <v>21.8</v>
      </c>
      <c r="BR9" s="33"/>
      <c r="BS9" s="34">
        <v>0.79</v>
      </c>
      <c r="BT9" s="35"/>
      <c r="BU9" s="28"/>
      <c r="BV9" s="287"/>
      <c r="BW9" s="287"/>
      <c r="BX9" s="36"/>
      <c r="BY9" s="33"/>
      <c r="BZ9" s="34">
        <v>37.33</v>
      </c>
      <c r="CA9" s="35"/>
      <c r="CB9" s="35">
        <v>43.42</v>
      </c>
      <c r="CC9" s="235"/>
      <c r="CD9" s="235"/>
      <c r="CE9" s="36">
        <v>43.57</v>
      </c>
      <c r="CF9" s="30">
        <v>67.403000000000006</v>
      </c>
      <c r="CG9" s="30"/>
      <c r="CH9" s="31"/>
      <c r="CI9" s="32">
        <v>106.72199999999999</v>
      </c>
      <c r="CJ9" s="33">
        <v>2.99</v>
      </c>
      <c r="CK9" s="33"/>
      <c r="CL9" s="35"/>
      <c r="CM9" s="36">
        <v>2.99</v>
      </c>
      <c r="CN9" s="286"/>
      <c r="CO9" s="249">
        <f t="shared" si="13"/>
        <v>0</v>
      </c>
      <c r="CP9" s="12">
        <f t="shared" si="13"/>
        <v>195.6331911</v>
      </c>
      <c r="CQ9" s="12">
        <f t="shared" si="13"/>
        <v>0</v>
      </c>
      <c r="CR9" s="12">
        <f t="shared" si="13"/>
        <v>55.606999999999999</v>
      </c>
      <c r="CS9" s="11">
        <f t="shared" si="13"/>
        <v>0</v>
      </c>
      <c r="CT9" s="11">
        <f t="shared" si="13"/>
        <v>0</v>
      </c>
      <c r="CU9" s="272">
        <f t="shared" si="13"/>
        <v>21.8</v>
      </c>
      <c r="CV9" s="249">
        <f t="shared" si="14"/>
        <v>65.387650300000004</v>
      </c>
      <c r="CW9" s="251">
        <f t="shared" si="14"/>
        <v>0</v>
      </c>
      <c r="CX9" s="249">
        <f t="shared" si="14"/>
        <v>0</v>
      </c>
      <c r="CY9" s="272">
        <f t="shared" si="14"/>
        <v>103.53101220000001</v>
      </c>
      <c r="CZ9" s="13"/>
      <c r="DA9" s="240">
        <f>(D9+'[2]декабрь 20'!D9)/(AY9+'[2]декабрь 20'!BA9)</f>
        <v>2.2243839596779367</v>
      </c>
      <c r="DB9" s="241">
        <f>(T9+'[2]декабрь 20'!T9)/(AY9+'[2]декабрь 20'!BA9)</f>
        <v>1.3716188269931846</v>
      </c>
      <c r="DD9" s="292">
        <f t="shared" si="15"/>
        <v>10.601000000000001</v>
      </c>
      <c r="DE9" s="291">
        <v>0.23</v>
      </c>
      <c r="DF9" s="291">
        <v>14.14</v>
      </c>
      <c r="DG9" s="145">
        <f t="shared" si="16"/>
        <v>10.5766177</v>
      </c>
      <c r="DH9" s="293">
        <f t="shared" si="30"/>
        <v>1.9536691610450687</v>
      </c>
      <c r="DJ9" s="549"/>
      <c r="DK9" s="537"/>
    </row>
    <row r="10" spans="1:115" s="76" customFormat="1" ht="16.5" customHeight="1" thickBot="1">
      <c r="A10" s="144">
        <v>4</v>
      </c>
      <c r="B10" s="122">
        <f>'[1]декабрь 20'!K9</f>
        <v>255.64</v>
      </c>
      <c r="C10" s="123">
        <f t="shared" si="17"/>
        <v>0.99464833359411675</v>
      </c>
      <c r="D10" s="145">
        <f t="shared" si="18"/>
        <v>253.09728099999998</v>
      </c>
      <c r="E10" s="125">
        <f>IF(B10=0,0,(BK10*BY10+BL10*BZ10+BM10*CA10+BQ10*CE10+BN10*CB10+BO10*CC10+BP10*CD10)/B10)</f>
        <v>38.828615514004071</v>
      </c>
      <c r="F10" s="146">
        <f t="shared" si="0"/>
        <v>2.2152740982573458</v>
      </c>
      <c r="G10" s="127">
        <v>16.010000000000002</v>
      </c>
      <c r="H10" s="126">
        <f t="shared" si="20"/>
        <v>1.5904655626646598</v>
      </c>
      <c r="I10" s="230">
        <f>'[1]июль 20'!AI9</f>
        <v>0</v>
      </c>
      <c r="J10" s="247">
        <f>'[1]декабрь 20'!AA9</f>
        <v>9.7829999999999995</v>
      </c>
      <c r="K10" s="464">
        <f>'[1]сентябрь 20'!AM9</f>
        <v>0</v>
      </c>
      <c r="L10" s="446">
        <f>'[1]декабрь 20'!AE9</f>
        <v>71.385000000000005</v>
      </c>
      <c r="M10" s="470">
        <f t="shared" si="21"/>
        <v>0.62480853559268623</v>
      </c>
      <c r="N10" s="542">
        <f>'[1]декабрь 20'!W9</f>
        <v>0</v>
      </c>
      <c r="O10" s="403">
        <f>'[1]декабрь 20'!AU9</f>
        <v>8.6769999999999996</v>
      </c>
      <c r="P10" s="401">
        <f t="shared" si="1"/>
        <v>162.19999999999999</v>
      </c>
      <c r="Q10" s="122">
        <f>'[1]декабрь 20'!S9</f>
        <v>162.19999999999999</v>
      </c>
      <c r="R10" s="123">
        <f t="shared" si="22"/>
        <v>3.1000000000000005</v>
      </c>
      <c r="S10" s="129">
        <v>30.84</v>
      </c>
      <c r="T10" s="125">
        <f t="shared" si="2"/>
        <v>157.17179999999999</v>
      </c>
      <c r="U10" s="147">
        <f t="shared" si="3"/>
        <v>1.3756711100996928</v>
      </c>
      <c r="V10" s="130">
        <v>114.25</v>
      </c>
      <c r="W10" s="130">
        <v>88.76</v>
      </c>
      <c r="X10" s="129">
        <v>0.75</v>
      </c>
      <c r="Y10" s="131">
        <v>564</v>
      </c>
      <c r="Z10" s="131">
        <v>1171</v>
      </c>
      <c r="AA10" s="148" t="s">
        <v>414</v>
      </c>
      <c r="AB10" s="149">
        <v>76.010000000000005</v>
      </c>
      <c r="AC10" s="150">
        <v>102</v>
      </c>
      <c r="AD10" s="151">
        <v>5</v>
      </c>
      <c r="AE10" s="149"/>
      <c r="AF10" s="134">
        <f t="shared" si="4"/>
        <v>0</v>
      </c>
      <c r="AG10" s="152"/>
      <c r="AH10" s="129">
        <v>67.05</v>
      </c>
      <c r="AI10" s="134">
        <f t="shared" si="5"/>
        <v>586.86576047474421</v>
      </c>
      <c r="AJ10" s="153">
        <v>15.25</v>
      </c>
      <c r="AK10" s="154"/>
      <c r="AL10" s="155">
        <v>7.49</v>
      </c>
      <c r="AM10" s="478">
        <f t="shared" si="23"/>
        <v>32.808999999999997</v>
      </c>
      <c r="AN10" s="126">
        <f t="shared" si="24"/>
        <v>0.215</v>
      </c>
      <c r="AO10" s="157" t="s">
        <v>193</v>
      </c>
      <c r="AP10" s="156">
        <v>7.83</v>
      </c>
      <c r="AQ10" s="156">
        <v>6.97</v>
      </c>
      <c r="AR10" s="149"/>
      <c r="AS10" s="149">
        <v>7.47</v>
      </c>
      <c r="AT10" s="149">
        <v>152.6</v>
      </c>
      <c r="AU10" s="149">
        <v>1.95</v>
      </c>
      <c r="AV10" s="149"/>
      <c r="AW10" s="149"/>
      <c r="AX10" s="158">
        <f t="shared" si="6"/>
        <v>0</v>
      </c>
      <c r="AY10" s="125">
        <f>AT10-AL10-AM10+AV10+AW10+AU10</f>
        <v>114.25099999999999</v>
      </c>
      <c r="AZ10" s="125">
        <f t="shared" si="25"/>
        <v>114.90977141459103</v>
      </c>
      <c r="BA10" s="159">
        <f t="shared" si="8"/>
        <v>3.8799285211267605</v>
      </c>
      <c r="BB10" s="160">
        <f t="shared" si="9"/>
        <v>4.5700399999999997</v>
      </c>
      <c r="BC10" s="161">
        <f t="shared" si="10"/>
        <v>0.88367253569877569</v>
      </c>
      <c r="BD10" s="160">
        <f t="shared" si="26"/>
        <v>8.4499685211267597</v>
      </c>
      <c r="BE10" s="162">
        <v>0.88800000000000001</v>
      </c>
      <c r="BF10" s="25">
        <f t="shared" si="27"/>
        <v>494.19674999999995</v>
      </c>
      <c r="BG10" s="25">
        <f t="shared" si="11"/>
        <v>116.7741935483871</v>
      </c>
      <c r="BH10" s="25">
        <f t="shared" si="28"/>
        <v>467.09677419354841</v>
      </c>
      <c r="BI10" s="26">
        <f t="shared" si="12"/>
        <v>1</v>
      </c>
      <c r="BJ10" s="37">
        <f t="shared" si="29"/>
        <v>467.09677419354841</v>
      </c>
      <c r="BK10" s="38"/>
      <c r="BL10" s="31">
        <v>184.255</v>
      </c>
      <c r="BM10" s="31"/>
      <c r="BN10" s="31">
        <v>51.000999999999998</v>
      </c>
      <c r="BO10" s="40"/>
      <c r="BP10" s="40"/>
      <c r="BQ10" s="32">
        <v>20.384</v>
      </c>
      <c r="BR10" s="33"/>
      <c r="BS10" s="34">
        <v>1.38</v>
      </c>
      <c r="BT10" s="35"/>
      <c r="BU10" s="28"/>
      <c r="BV10" s="287"/>
      <c r="BW10" s="287"/>
      <c r="BX10" s="36"/>
      <c r="BY10" s="33"/>
      <c r="BZ10" s="34">
        <v>36.86</v>
      </c>
      <c r="CA10" s="35"/>
      <c r="CB10" s="35">
        <v>43.73</v>
      </c>
      <c r="CC10" s="235"/>
      <c r="CD10" s="235"/>
      <c r="CE10" s="36">
        <v>44.36</v>
      </c>
      <c r="CF10" s="30">
        <v>62.261000000000003</v>
      </c>
      <c r="CG10" s="30"/>
      <c r="CH10" s="31"/>
      <c r="CI10" s="32">
        <v>99.938999999999993</v>
      </c>
      <c r="CJ10" s="33">
        <v>3.1</v>
      </c>
      <c r="CK10" s="33"/>
      <c r="CL10" s="35"/>
      <c r="CM10" s="36">
        <v>3.1</v>
      </c>
      <c r="CN10" s="286"/>
      <c r="CO10" s="249">
        <f t="shared" si="13"/>
        <v>0</v>
      </c>
      <c r="CP10" s="12">
        <f t="shared" si="13"/>
        <v>181.71228100000002</v>
      </c>
      <c r="CQ10" s="12">
        <f t="shared" si="13"/>
        <v>0</v>
      </c>
      <c r="CR10" s="14">
        <f t="shared" si="13"/>
        <v>51.000999999999998</v>
      </c>
      <c r="CS10" s="11">
        <f t="shared" si="13"/>
        <v>0</v>
      </c>
      <c r="CT10" s="11">
        <f t="shared" si="13"/>
        <v>0</v>
      </c>
      <c r="CU10" s="272">
        <f t="shared" si="13"/>
        <v>20.384</v>
      </c>
      <c r="CV10" s="249">
        <f t="shared" si="14"/>
        <v>60.330909000000005</v>
      </c>
      <c r="CW10" s="12">
        <f t="shared" si="14"/>
        <v>0</v>
      </c>
      <c r="CX10" s="249">
        <f t="shared" si="14"/>
        <v>0</v>
      </c>
      <c r="CY10" s="272">
        <f t="shared" si="14"/>
        <v>96.840890999999999</v>
      </c>
      <c r="CZ10" s="13"/>
      <c r="DA10" s="240">
        <f>(D10+'[2]декабрь 20'!D10)/(AY10+'[2]декабрь 20'!BA10)</f>
        <v>2.124029975246263</v>
      </c>
      <c r="DB10" s="241">
        <f>(T10+'[2]декабрь 20'!T10)/(AY10+'[2]декабрь 20'!BA10)</f>
        <v>1.3090642860784301</v>
      </c>
      <c r="DD10" s="292">
        <f t="shared" si="15"/>
        <v>9.7829999999999995</v>
      </c>
      <c r="DE10" s="291">
        <v>0.13</v>
      </c>
      <c r="DF10" s="291">
        <v>15.86</v>
      </c>
      <c r="DG10" s="145">
        <f t="shared" si="16"/>
        <v>9.7702820999999993</v>
      </c>
      <c r="DH10" s="293">
        <f t="shared" si="30"/>
        <v>2.0386353651624782</v>
      </c>
      <c r="DJ10" s="549"/>
      <c r="DK10" s="537"/>
    </row>
    <row r="11" spans="1:115" s="76" customFormat="1" ht="16.5" customHeight="1" thickBot="1">
      <c r="A11" s="144">
        <v>5</v>
      </c>
      <c r="B11" s="122">
        <f>'[1]декабрь 20'!K10</f>
        <v>237.75</v>
      </c>
      <c r="C11" s="123">
        <f t="shared" si="17"/>
        <v>1.1668224605678232</v>
      </c>
      <c r="D11" s="145">
        <f t="shared" si="18"/>
        <v>234.97587959999998</v>
      </c>
      <c r="E11" s="125">
        <f t="shared" si="19"/>
        <v>38.320866119873813</v>
      </c>
      <c r="F11" s="146">
        <f t="shared" si="0"/>
        <v>2.1404544569291799</v>
      </c>
      <c r="G11" s="127">
        <v>12.52</v>
      </c>
      <c r="H11" s="126">
        <f t="shared" si="20"/>
        <v>1.5346163374431241</v>
      </c>
      <c r="I11" s="230">
        <f>'[1]июль 20'!AI10</f>
        <v>0</v>
      </c>
      <c r="J11" s="247">
        <f>'[1]декабрь 20'!AA10</f>
        <v>9.3819999999999997</v>
      </c>
      <c r="K11" s="464">
        <f>'[1]сентябрь 20'!AM10</f>
        <v>0</v>
      </c>
      <c r="L11" s="446">
        <f>'[1]декабрь 20'!AE10</f>
        <v>66.507999999999996</v>
      </c>
      <c r="M11" s="468">
        <f t="shared" si="21"/>
        <v>0.60583811948605593</v>
      </c>
      <c r="N11" s="542">
        <f>'[1]декабрь 20'!W10</f>
        <v>0</v>
      </c>
      <c r="O11" s="403">
        <f>'[1]декабрь 20'!AU10</f>
        <v>9.3780000000000001</v>
      </c>
      <c r="P11" s="401">
        <f t="shared" si="1"/>
        <v>152.315</v>
      </c>
      <c r="Q11" s="122">
        <f>'[1]декабрь 20'!S10</f>
        <v>152.315</v>
      </c>
      <c r="R11" s="123">
        <f t="shared" si="22"/>
        <v>3.21</v>
      </c>
      <c r="S11" s="129"/>
      <c r="T11" s="125">
        <f t="shared" si="2"/>
        <v>147.42568850000001</v>
      </c>
      <c r="U11" s="147">
        <f t="shared" si="3"/>
        <v>1.342937720045364</v>
      </c>
      <c r="V11" s="130">
        <v>109.78</v>
      </c>
      <c r="W11" s="130">
        <v>71.010000000000005</v>
      </c>
      <c r="X11" s="129">
        <v>0.71</v>
      </c>
      <c r="Y11" s="131">
        <v>558</v>
      </c>
      <c r="Z11" s="131">
        <v>1170</v>
      </c>
      <c r="AA11" s="148" t="s">
        <v>457</v>
      </c>
      <c r="AB11" s="149">
        <v>76.39</v>
      </c>
      <c r="AC11" s="150">
        <v>95</v>
      </c>
      <c r="AD11" s="151">
        <v>5</v>
      </c>
      <c r="AE11" s="149"/>
      <c r="AF11" s="134">
        <f t="shared" si="4"/>
        <v>0</v>
      </c>
      <c r="AG11" s="152"/>
      <c r="AH11" s="129">
        <v>75.75</v>
      </c>
      <c r="AI11" s="134">
        <f t="shared" si="5"/>
        <v>690.02582472888582</v>
      </c>
      <c r="AJ11" s="163">
        <v>16.66</v>
      </c>
      <c r="AK11" s="154"/>
      <c r="AL11" s="155">
        <v>8.86</v>
      </c>
      <c r="AM11" s="478">
        <f t="shared" si="23"/>
        <v>31.8415</v>
      </c>
      <c r="AN11" s="126">
        <f t="shared" si="24"/>
        <v>0.215</v>
      </c>
      <c r="AO11" s="157" t="s">
        <v>404</v>
      </c>
      <c r="AP11" s="156">
        <v>7.19</v>
      </c>
      <c r="AQ11" s="156">
        <v>7.46</v>
      </c>
      <c r="AR11" s="149"/>
      <c r="AS11" s="149">
        <v>8.3000000000000007</v>
      </c>
      <c r="AT11" s="149">
        <v>148.1</v>
      </c>
      <c r="AU11" s="149">
        <v>2.38</v>
      </c>
      <c r="AV11" s="149"/>
      <c r="AW11" s="149"/>
      <c r="AX11" s="158">
        <f t="shared" si="6"/>
        <v>0</v>
      </c>
      <c r="AY11" s="125">
        <f t="shared" si="7"/>
        <v>109.77850000000001</v>
      </c>
      <c r="AZ11" s="125">
        <f t="shared" si="25"/>
        <v>105.63873771855201</v>
      </c>
      <c r="BA11" s="159">
        <f t="shared" si="8"/>
        <v>4.8704049295774645</v>
      </c>
      <c r="BB11" s="160">
        <f t="shared" si="9"/>
        <v>4.39114</v>
      </c>
      <c r="BC11" s="161">
        <f t="shared" si="10"/>
        <v>0.93131200670289704</v>
      </c>
      <c r="BD11" s="160">
        <f t="shared" si="26"/>
        <v>9.2615449295774646</v>
      </c>
      <c r="BE11" s="162">
        <v>0.89600000000000002</v>
      </c>
      <c r="BF11" s="25">
        <f t="shared" si="27"/>
        <v>603.97524999999996</v>
      </c>
      <c r="BG11" s="25">
        <f t="shared" si="11"/>
        <v>116.7741935483871</v>
      </c>
      <c r="BH11" s="25">
        <f t="shared" si="28"/>
        <v>583.87096774193549</v>
      </c>
      <c r="BI11" s="26">
        <f t="shared" si="12"/>
        <v>1</v>
      </c>
      <c r="BJ11" s="37">
        <f t="shared" si="29"/>
        <v>583.87096774193549</v>
      </c>
      <c r="BK11" s="38"/>
      <c r="BL11" s="31">
        <v>171.24199999999999</v>
      </c>
      <c r="BM11" s="31"/>
      <c r="BN11" s="31">
        <v>47.497999999999998</v>
      </c>
      <c r="BO11" s="40"/>
      <c r="BP11" s="40"/>
      <c r="BQ11" s="32">
        <v>19.010000000000002</v>
      </c>
      <c r="BR11" s="33"/>
      <c r="BS11" s="34">
        <v>1.62</v>
      </c>
      <c r="BT11" s="35"/>
      <c r="BU11" s="28"/>
      <c r="BV11" s="287"/>
      <c r="BW11" s="287"/>
      <c r="BX11" s="36"/>
      <c r="BY11" s="33"/>
      <c r="BZ11" s="34">
        <v>36.229999999999997</v>
      </c>
      <c r="CA11" s="35"/>
      <c r="CB11" s="35">
        <v>43.57</v>
      </c>
      <c r="CC11" s="235"/>
      <c r="CD11" s="235"/>
      <c r="CE11" s="36">
        <v>44.04</v>
      </c>
      <c r="CF11" s="30">
        <v>57.994</v>
      </c>
      <c r="CG11" s="30"/>
      <c r="CH11" s="31"/>
      <c r="CI11" s="32">
        <v>94.320999999999998</v>
      </c>
      <c r="CJ11" s="33">
        <v>3.21</v>
      </c>
      <c r="CK11" s="33"/>
      <c r="CL11" s="35"/>
      <c r="CM11" s="36">
        <v>3.21</v>
      </c>
      <c r="CN11" s="286"/>
      <c r="CO11" s="249">
        <f t="shared" si="13"/>
        <v>0</v>
      </c>
      <c r="CP11" s="12">
        <f t="shared" si="13"/>
        <v>168.4678796</v>
      </c>
      <c r="CQ11" s="15">
        <f t="shared" si="13"/>
        <v>0</v>
      </c>
      <c r="CR11" s="16">
        <f t="shared" si="13"/>
        <v>47.497999999999998</v>
      </c>
      <c r="CS11" s="11">
        <f t="shared" si="13"/>
        <v>0</v>
      </c>
      <c r="CT11" s="11">
        <f t="shared" si="13"/>
        <v>0</v>
      </c>
      <c r="CU11" s="272">
        <f t="shared" si="13"/>
        <v>19.010000000000002</v>
      </c>
      <c r="CV11" s="249">
        <f t="shared" si="14"/>
        <v>56.132392600000003</v>
      </c>
      <c r="CW11" s="12">
        <f t="shared" si="14"/>
        <v>0</v>
      </c>
      <c r="CX11" s="249">
        <f t="shared" si="14"/>
        <v>0</v>
      </c>
      <c r="CY11" s="272">
        <f t="shared" si="14"/>
        <v>91.293295900000004</v>
      </c>
      <c r="CZ11" s="13"/>
      <c r="DA11" s="240">
        <f>(D11+'[2]декабрь 20'!D11)/(AY11+'[2]декабрь 20'!BA11)</f>
        <v>2.134295203095733</v>
      </c>
      <c r="DB11" s="241">
        <f>(T11+'[2]декабрь 20'!T11)/(AY11+'[2]декабрь 20'!BA11)</f>
        <v>1.341365291867016</v>
      </c>
      <c r="DD11" s="292">
        <f t="shared" si="15"/>
        <v>9.3819999999999997</v>
      </c>
      <c r="DE11" s="291">
        <v>0.63</v>
      </c>
      <c r="DF11" s="407">
        <v>22.4</v>
      </c>
      <c r="DG11" s="145">
        <f t="shared" si="16"/>
        <v>9.3228933999999999</v>
      </c>
      <c r="DH11" s="293">
        <f t="shared" si="30"/>
        <v>2.7337715952349777</v>
      </c>
      <c r="DJ11" s="549"/>
      <c r="DK11" s="537"/>
    </row>
    <row r="12" spans="1:115" s="76" customFormat="1" ht="16.5" customHeight="1" thickBot="1">
      <c r="A12" s="144">
        <v>6</v>
      </c>
      <c r="B12" s="122">
        <f>'[1]декабрь 20'!K11</f>
        <v>215.42400000000001</v>
      </c>
      <c r="C12" s="123">
        <f t="shared" si="17"/>
        <v>1.0229518530897206</v>
      </c>
      <c r="D12" s="145">
        <f t="shared" si="18"/>
        <v>213.22031619999998</v>
      </c>
      <c r="E12" s="125">
        <f t="shared" si="19"/>
        <v>38.146407874702909</v>
      </c>
      <c r="F12" s="146">
        <f t="shared" si="0"/>
        <v>2.2378932662309206</v>
      </c>
      <c r="G12" s="127">
        <v>33.9</v>
      </c>
      <c r="H12" s="126">
        <f t="shared" si="20"/>
        <v>1.605685682573752</v>
      </c>
      <c r="I12" s="230">
        <f>'[1]июль 20'!AI11</f>
        <v>0</v>
      </c>
      <c r="J12" s="247">
        <f>'[1]декабрь 20'!AA11</f>
        <v>8.8670000000000009</v>
      </c>
      <c r="K12" s="464">
        <f>'[1]сентябрь 20'!AM11</f>
        <v>0</v>
      </c>
      <c r="L12" s="446">
        <f>'[1]декабрь 20'!AE11</f>
        <v>60.234999999999999</v>
      </c>
      <c r="M12" s="469">
        <f t="shared" si="21"/>
        <v>0.632207583657169</v>
      </c>
      <c r="N12" s="542">
        <f>'[1]декабрь 20'!W11</f>
        <v>0</v>
      </c>
      <c r="O12" s="403">
        <f>'[1]декабрь 20'!AU11</f>
        <v>8.8209999999999997</v>
      </c>
      <c r="P12" s="401">
        <f t="shared" si="1"/>
        <v>138.17000000000002</v>
      </c>
      <c r="Q12" s="122">
        <f>'[1]декабрь 20'!S11</f>
        <v>138.16999999999999</v>
      </c>
      <c r="R12" s="123">
        <f t="shared" si="22"/>
        <v>3.2300000000000009</v>
      </c>
      <c r="S12" s="129"/>
      <c r="T12" s="125">
        <f t="shared" si="2"/>
        <v>133.707109</v>
      </c>
      <c r="U12" s="147">
        <f t="shared" si="3"/>
        <v>1.4033476931796416</v>
      </c>
      <c r="V12" s="130">
        <v>95.28</v>
      </c>
      <c r="W12" s="130">
        <v>95.28</v>
      </c>
      <c r="X12" s="129">
        <v>0.69</v>
      </c>
      <c r="Y12" s="131">
        <v>603</v>
      </c>
      <c r="Z12" s="150">
        <v>1172</v>
      </c>
      <c r="AA12" s="148" t="s">
        <v>458</v>
      </c>
      <c r="AB12" s="149">
        <v>76.09</v>
      </c>
      <c r="AC12" s="150">
        <v>86</v>
      </c>
      <c r="AD12" s="151">
        <v>5</v>
      </c>
      <c r="AE12" s="149">
        <v>3.7</v>
      </c>
      <c r="AF12" s="134">
        <f t="shared" si="4"/>
        <v>38.834034357624724</v>
      </c>
      <c r="AG12" s="152"/>
      <c r="AH12" s="129">
        <v>67.900000000000006</v>
      </c>
      <c r="AI12" s="134">
        <f t="shared" si="5"/>
        <v>712.65700888722142</v>
      </c>
      <c r="AJ12" s="153">
        <v>15.89</v>
      </c>
      <c r="AK12" s="154"/>
      <c r="AL12" s="155">
        <v>7.76</v>
      </c>
      <c r="AM12" s="478">
        <f t="shared" si="23"/>
        <v>27.702749999999998</v>
      </c>
      <c r="AN12" s="126">
        <f t="shared" si="24"/>
        <v>0.215</v>
      </c>
      <c r="AO12" s="157" t="s">
        <v>183</v>
      </c>
      <c r="AP12" s="156">
        <v>7.03</v>
      </c>
      <c r="AQ12" s="156">
        <v>7.03</v>
      </c>
      <c r="AR12" s="149"/>
      <c r="AS12" s="149">
        <v>9.17</v>
      </c>
      <c r="AT12" s="149">
        <v>128.85</v>
      </c>
      <c r="AU12" s="149">
        <v>1.89</v>
      </c>
      <c r="AV12" s="164"/>
      <c r="AW12" s="164"/>
      <c r="AX12" s="158">
        <f t="shared" si="6"/>
        <v>0</v>
      </c>
      <c r="AY12" s="125">
        <f t="shared" si="7"/>
        <v>95.277249999999995</v>
      </c>
      <c r="AZ12" s="125">
        <f t="shared" si="25"/>
        <v>95.44432947409851</v>
      </c>
      <c r="BA12" s="159">
        <f t="shared" si="8"/>
        <v>4.8232908450704226</v>
      </c>
      <c r="BB12" s="160">
        <f t="shared" si="9"/>
        <v>3.8110900000000001</v>
      </c>
      <c r="BC12" s="161">
        <f t="shared" si="10"/>
        <v>0.89132187767884674</v>
      </c>
      <c r="BD12" s="160">
        <f t="shared" si="26"/>
        <v>8.6343808450704227</v>
      </c>
      <c r="BE12" s="162">
        <v>0.89500000000000002</v>
      </c>
      <c r="BF12" s="25">
        <f t="shared" si="27"/>
        <v>699.25249999999994</v>
      </c>
      <c r="BG12" s="25">
        <f t="shared" si="11"/>
        <v>116.7741935483871</v>
      </c>
      <c r="BH12" s="25">
        <f t="shared" si="28"/>
        <v>700.64516129032256</v>
      </c>
      <c r="BI12" s="26">
        <f t="shared" si="12"/>
        <v>1</v>
      </c>
      <c r="BJ12" s="37">
        <f t="shared" si="29"/>
        <v>700.64516129032256</v>
      </c>
      <c r="BK12" s="38"/>
      <c r="BL12" s="31">
        <v>155.18899999999999</v>
      </c>
      <c r="BM12" s="31"/>
      <c r="BN12" s="31">
        <v>43.026000000000003</v>
      </c>
      <c r="BO12" s="40"/>
      <c r="BP12" s="40"/>
      <c r="BQ12" s="32">
        <v>17.209</v>
      </c>
      <c r="BR12" s="33"/>
      <c r="BS12" s="34">
        <v>1.42</v>
      </c>
      <c r="BT12" s="33"/>
      <c r="BU12" s="28"/>
      <c r="BV12" s="287"/>
      <c r="BW12" s="287"/>
      <c r="BX12" s="36"/>
      <c r="BY12" s="33"/>
      <c r="BZ12" s="34">
        <v>35.85</v>
      </c>
      <c r="CA12" s="33"/>
      <c r="CB12" s="35">
        <v>44.04</v>
      </c>
      <c r="CC12" s="235"/>
      <c r="CD12" s="235"/>
      <c r="CE12" s="36">
        <v>44.12</v>
      </c>
      <c r="CF12" s="30">
        <v>52.487000000000002</v>
      </c>
      <c r="CG12" s="30"/>
      <c r="CH12" s="31"/>
      <c r="CI12" s="32">
        <v>85.683000000000007</v>
      </c>
      <c r="CJ12" s="33">
        <v>3.23</v>
      </c>
      <c r="CK12" s="33"/>
      <c r="CL12" s="35"/>
      <c r="CM12" s="36">
        <v>3.23</v>
      </c>
      <c r="CN12" s="286"/>
      <c r="CO12" s="249">
        <f t="shared" si="13"/>
        <v>0</v>
      </c>
      <c r="CP12" s="12">
        <f t="shared" si="13"/>
        <v>152.9853162</v>
      </c>
      <c r="CQ12" s="12">
        <f t="shared" si="13"/>
        <v>0</v>
      </c>
      <c r="CR12" s="12">
        <f t="shared" si="13"/>
        <v>43.026000000000003</v>
      </c>
      <c r="CS12" s="11">
        <f t="shared" si="13"/>
        <v>0</v>
      </c>
      <c r="CT12" s="11">
        <f t="shared" si="13"/>
        <v>0</v>
      </c>
      <c r="CU12" s="272">
        <f t="shared" si="13"/>
        <v>17.209</v>
      </c>
      <c r="CV12" s="249">
        <f t="shared" si="14"/>
        <v>50.791669900000002</v>
      </c>
      <c r="CW12" s="12">
        <f t="shared" si="14"/>
        <v>0</v>
      </c>
      <c r="CX12" s="252">
        <f t="shared" si="14"/>
        <v>0</v>
      </c>
      <c r="CY12" s="272">
        <f t="shared" si="14"/>
        <v>82.9154391</v>
      </c>
      <c r="CZ12" s="13"/>
      <c r="DA12" s="240">
        <f>(D12+'[2]декабрь 20'!D12)/(AY12+'[2]декабрь 20'!BA12)</f>
        <v>2.1227349690505704</v>
      </c>
      <c r="DB12" s="241">
        <f>(T12+'[2]декабрь 20'!T12)/(AY12+'[2]декабрь 20'!BA12)</f>
        <v>1.3325460180158457</v>
      </c>
      <c r="DD12" s="292">
        <f t="shared" si="15"/>
        <v>8.8670000000000009</v>
      </c>
      <c r="DE12" s="291">
        <v>0.49</v>
      </c>
      <c r="DF12" s="291">
        <v>18.329999999999998</v>
      </c>
      <c r="DG12" s="145">
        <f t="shared" si="16"/>
        <v>8.8235517000000012</v>
      </c>
      <c r="DH12" s="293">
        <f t="shared" si="30"/>
        <v>2.1255842116046786</v>
      </c>
      <c r="DJ12" s="549"/>
      <c r="DK12" s="537"/>
    </row>
    <row r="13" spans="1:115" s="76" customFormat="1" ht="16.5" customHeight="1" thickBot="1">
      <c r="A13" s="144">
        <v>7</v>
      </c>
      <c r="B13" s="122">
        <f>'[1]декабрь 20'!K12</f>
        <v>242.74299999999999</v>
      </c>
      <c r="C13" s="123">
        <f t="shared" si="17"/>
        <v>1.2318131521815252</v>
      </c>
      <c r="D13" s="145">
        <f t="shared" si="18"/>
        <v>239.75285979999998</v>
      </c>
      <c r="E13" s="125">
        <f t="shared" si="19"/>
        <v>38.320097551731656</v>
      </c>
      <c r="F13" s="146">
        <f t="shared" si="0"/>
        <v>2.1215424451646445</v>
      </c>
      <c r="G13" s="127">
        <v>28.35</v>
      </c>
      <c r="H13" s="126">
        <f t="shared" si="20"/>
        <v>1.5208721430862657</v>
      </c>
      <c r="I13" s="230">
        <f>'[1]июль 20'!AI12</f>
        <v>0</v>
      </c>
      <c r="J13" s="247">
        <f>'[1]декабрь 20'!AA12</f>
        <v>9.6419999999999995</v>
      </c>
      <c r="K13" s="464">
        <f>'[1]сентябрь 20'!AM12</f>
        <v>0</v>
      </c>
      <c r="L13" s="446">
        <f>'[1]декабрь 20'!AE12</f>
        <v>67.881</v>
      </c>
      <c r="M13" s="468">
        <f t="shared" si="21"/>
        <v>0.6006703020783789</v>
      </c>
      <c r="N13" s="542">
        <f>'[1]декабрь 20'!W12</f>
        <v>0</v>
      </c>
      <c r="O13" s="403">
        <f>'[1]декабрь 20'!AU12</f>
        <v>9.7349999999999994</v>
      </c>
      <c r="P13" s="401">
        <f t="shared" si="1"/>
        <v>172.33500000000001</v>
      </c>
      <c r="Q13" s="122">
        <f>'[1]декабрь 20'!S12</f>
        <v>172.33500000000001</v>
      </c>
      <c r="R13" s="123">
        <f t="shared" si="22"/>
        <v>3.17</v>
      </c>
      <c r="S13" s="129">
        <v>10.79</v>
      </c>
      <c r="T13" s="125">
        <f t="shared" si="2"/>
        <v>166.87198050000001</v>
      </c>
      <c r="U13" s="147">
        <f t="shared" si="3"/>
        <v>1.4766288495359874</v>
      </c>
      <c r="V13" s="130">
        <v>113.01</v>
      </c>
      <c r="W13" s="130">
        <v>48.46</v>
      </c>
      <c r="X13" s="129">
        <v>1.42</v>
      </c>
      <c r="Y13" s="165">
        <v>561</v>
      </c>
      <c r="Z13" s="166">
        <v>1164</v>
      </c>
      <c r="AA13" s="148" t="s">
        <v>459</v>
      </c>
      <c r="AB13" s="149">
        <v>76.06</v>
      </c>
      <c r="AC13" s="150">
        <v>102</v>
      </c>
      <c r="AD13" s="151">
        <v>5</v>
      </c>
      <c r="AE13" s="149"/>
      <c r="AF13" s="134">
        <f t="shared" si="4"/>
        <v>0</v>
      </c>
      <c r="AG13" s="152"/>
      <c r="AH13" s="129">
        <v>71.3</v>
      </c>
      <c r="AI13" s="134">
        <f t="shared" si="5"/>
        <v>630.92459654672757</v>
      </c>
      <c r="AJ13" s="136">
        <v>14.69</v>
      </c>
      <c r="AK13" s="154"/>
      <c r="AL13" s="155">
        <v>9.43</v>
      </c>
      <c r="AM13" s="478">
        <f t="shared" si="23"/>
        <v>32.841250000000002</v>
      </c>
      <c r="AN13" s="126">
        <f t="shared" si="24"/>
        <v>0.21500000000000002</v>
      </c>
      <c r="AO13" s="157" t="s">
        <v>203</v>
      </c>
      <c r="AP13" s="156">
        <v>7.65</v>
      </c>
      <c r="AQ13" s="156">
        <v>6.89</v>
      </c>
      <c r="AR13" s="149"/>
      <c r="AS13" s="149">
        <v>7.23</v>
      </c>
      <c r="AT13" s="149">
        <v>152.75</v>
      </c>
      <c r="AU13" s="149">
        <v>2.5299999999999998</v>
      </c>
      <c r="AV13" s="149"/>
      <c r="AW13" s="149"/>
      <c r="AX13" s="158">
        <f t="shared" si="6"/>
        <v>0</v>
      </c>
      <c r="AY13" s="125">
        <f t="shared" si="7"/>
        <v>113.00874999999999</v>
      </c>
      <c r="AZ13" s="125">
        <f t="shared" si="25"/>
        <v>107.40070288076028</v>
      </c>
      <c r="BA13" s="159">
        <f t="shared" si="8"/>
        <v>3.9933021126760568</v>
      </c>
      <c r="BB13" s="160">
        <f t="shared" si="9"/>
        <v>4.5203499999999996</v>
      </c>
      <c r="BC13" s="161">
        <f t="shared" si="10"/>
        <v>0.93557366823730259</v>
      </c>
      <c r="BD13" s="160">
        <f t="shared" si="26"/>
        <v>8.5136521126760556</v>
      </c>
      <c r="BE13" s="162">
        <v>0.90100000000000002</v>
      </c>
      <c r="BF13" s="25">
        <f t="shared" si="27"/>
        <v>812.2612499999999</v>
      </c>
      <c r="BG13" s="25">
        <f t="shared" si="11"/>
        <v>116.7741935483871</v>
      </c>
      <c r="BH13" s="25">
        <f t="shared" si="28"/>
        <v>817.41935483870964</v>
      </c>
      <c r="BI13" s="26">
        <f t="shared" si="12"/>
        <v>1</v>
      </c>
      <c r="BJ13" s="37">
        <f t="shared" si="29"/>
        <v>817.41935483870964</v>
      </c>
      <c r="BK13" s="39"/>
      <c r="BL13" s="40">
        <v>174.86199999999999</v>
      </c>
      <c r="BM13" s="325"/>
      <c r="BN13" s="31">
        <v>48.497999999999998</v>
      </c>
      <c r="BO13" s="40"/>
      <c r="BP13" s="40"/>
      <c r="BQ13" s="32">
        <v>19.382999999999999</v>
      </c>
      <c r="BR13" s="33"/>
      <c r="BS13" s="34">
        <v>1.71</v>
      </c>
      <c r="BT13" s="33"/>
      <c r="BU13" s="28"/>
      <c r="BV13" s="287"/>
      <c r="BW13" s="287"/>
      <c r="BX13" s="36"/>
      <c r="BY13" s="33"/>
      <c r="BZ13" s="34">
        <v>36.229999999999997</v>
      </c>
      <c r="CA13" s="33"/>
      <c r="CB13" s="35">
        <v>43.57</v>
      </c>
      <c r="CC13" s="235"/>
      <c r="CD13" s="235"/>
      <c r="CE13" s="36">
        <v>44.04</v>
      </c>
      <c r="CF13" s="30">
        <v>74.792000000000002</v>
      </c>
      <c r="CG13" s="30"/>
      <c r="CH13" s="30"/>
      <c r="CI13" s="32">
        <v>97.543000000000006</v>
      </c>
      <c r="CJ13" s="33">
        <v>3.17</v>
      </c>
      <c r="CK13" s="33"/>
      <c r="CL13" s="33"/>
      <c r="CM13" s="36">
        <v>3.17</v>
      </c>
      <c r="CN13" s="286"/>
      <c r="CO13" s="249">
        <f t="shared" si="13"/>
        <v>0</v>
      </c>
      <c r="CP13" s="12">
        <f t="shared" si="13"/>
        <v>171.87185980000001</v>
      </c>
      <c r="CQ13" s="12">
        <f t="shared" si="13"/>
        <v>0</v>
      </c>
      <c r="CR13" s="12">
        <f t="shared" si="13"/>
        <v>48.497999999999998</v>
      </c>
      <c r="CS13" s="11">
        <f t="shared" si="13"/>
        <v>0</v>
      </c>
      <c r="CT13" s="11">
        <f t="shared" si="13"/>
        <v>0</v>
      </c>
      <c r="CU13" s="272">
        <f t="shared" si="13"/>
        <v>19.382999999999999</v>
      </c>
      <c r="CV13" s="249">
        <f t="shared" si="14"/>
        <v>72.421093599999992</v>
      </c>
      <c r="CW13" s="251">
        <f t="shared" si="14"/>
        <v>0</v>
      </c>
      <c r="CX13" s="249">
        <f t="shared" si="14"/>
        <v>0</v>
      </c>
      <c r="CY13" s="272">
        <f t="shared" si="14"/>
        <v>94.4508869</v>
      </c>
      <c r="CZ13" s="13"/>
      <c r="DA13" s="240">
        <f>(D13+'[2]декабрь 20'!D13)/(AY13+'[2]декабрь 20'!BA13)</f>
        <v>2.1294010657404474</v>
      </c>
      <c r="DB13" s="241">
        <f>(T13+'[2]декабрь 20'!T13)/(AY13+'[2]декабрь 20'!BA13)</f>
        <v>1.3883205227789173</v>
      </c>
      <c r="DD13" s="292">
        <f t="shared" si="15"/>
        <v>9.6419999999999995</v>
      </c>
      <c r="DE13" s="291">
        <v>0.1</v>
      </c>
      <c r="DF13" s="291">
        <v>15.4</v>
      </c>
      <c r="DG13" s="145">
        <f t="shared" si="16"/>
        <v>9.632358</v>
      </c>
      <c r="DH13" s="293">
        <f t="shared" si="30"/>
        <v>1.9502802156192478</v>
      </c>
      <c r="DJ13" s="549"/>
      <c r="DK13" s="537"/>
    </row>
    <row r="14" spans="1:115" s="76" customFormat="1" ht="16.5" customHeight="1" thickBot="1">
      <c r="A14" s="144">
        <v>8</v>
      </c>
      <c r="B14" s="122">
        <f>'[1]декабрь 20'!K13</f>
        <v>65.198999999999998</v>
      </c>
      <c r="C14" s="123">
        <f t="shared" si="17"/>
        <v>1.0887220662893604</v>
      </c>
      <c r="D14" s="145">
        <f t="shared" si="18"/>
        <v>64.489164099999996</v>
      </c>
      <c r="E14" s="125">
        <f t="shared" si="19"/>
        <v>37.73575192871057</v>
      </c>
      <c r="F14" s="146">
        <f t="shared" si="0"/>
        <v>1.7740440999683642</v>
      </c>
      <c r="G14" s="127">
        <v>4.43</v>
      </c>
      <c r="H14" s="126">
        <f t="shared" si="20"/>
        <v>1.273652094136418</v>
      </c>
      <c r="I14" s="230">
        <f>'[1]июль 20'!AI13</f>
        <v>0</v>
      </c>
      <c r="J14" s="247">
        <f>'[1]декабрь 20'!AA13</f>
        <v>2.6230000000000002</v>
      </c>
      <c r="K14" s="464">
        <f>'[1]сентябрь 20'!AM13</f>
        <v>0</v>
      </c>
      <c r="L14" s="446">
        <f>'[1]декабрь 20'!AE13</f>
        <v>18.190000000000001</v>
      </c>
      <c r="M14" s="471">
        <f t="shared" si="21"/>
        <v>0.50039200583194643</v>
      </c>
      <c r="N14" s="542">
        <f>'[1]декабрь 20'!W13</f>
        <v>0</v>
      </c>
      <c r="O14" s="403">
        <f>'[1]декабрь 20'!AU13</f>
        <v>2.8660000000000001</v>
      </c>
      <c r="P14" s="401">
        <f t="shared" si="1"/>
        <v>50.757999999999996</v>
      </c>
      <c r="Q14" s="122">
        <f>'[1]декабрь 20'!S13</f>
        <v>50.758000000000003</v>
      </c>
      <c r="R14" s="123">
        <f t="shared" si="22"/>
        <v>3.2099999999999995</v>
      </c>
      <c r="S14" s="129">
        <v>5.56</v>
      </c>
      <c r="T14" s="125">
        <f t="shared" si="2"/>
        <v>49.128668200000007</v>
      </c>
      <c r="U14" s="147">
        <f t="shared" si="3"/>
        <v>1.3514894350989644</v>
      </c>
      <c r="V14" s="130">
        <v>36.35</v>
      </c>
      <c r="W14" s="130"/>
      <c r="X14" s="129">
        <v>1.07</v>
      </c>
      <c r="Y14" s="131">
        <v>578</v>
      </c>
      <c r="Z14" s="150">
        <v>1185</v>
      </c>
      <c r="AA14" s="148" t="s">
        <v>122</v>
      </c>
      <c r="AB14" s="149">
        <v>75.62</v>
      </c>
      <c r="AC14" s="150">
        <v>28</v>
      </c>
      <c r="AD14" s="151">
        <v>2</v>
      </c>
      <c r="AE14" s="149">
        <v>3.3</v>
      </c>
      <c r="AF14" s="134">
        <f t="shared" si="4"/>
        <v>90.780297924432276</v>
      </c>
      <c r="AG14" s="152"/>
      <c r="AH14" s="129">
        <v>22.4</v>
      </c>
      <c r="AI14" s="134">
        <f t="shared" si="5"/>
        <v>616.20565863857053</v>
      </c>
      <c r="AJ14" s="153">
        <v>6.08</v>
      </c>
      <c r="AK14" s="154"/>
      <c r="AL14" s="155">
        <v>4.13</v>
      </c>
      <c r="AM14" s="478">
        <f t="shared" si="23"/>
        <v>10.7285</v>
      </c>
      <c r="AN14" s="126">
        <f t="shared" si="24"/>
        <v>0.21500000000000002</v>
      </c>
      <c r="AO14" s="157" t="s">
        <v>456</v>
      </c>
      <c r="AP14" s="156">
        <v>6.86</v>
      </c>
      <c r="AQ14" s="156">
        <v>7.59</v>
      </c>
      <c r="AR14" s="149"/>
      <c r="AS14" s="149">
        <v>7.28</v>
      </c>
      <c r="AT14" s="149">
        <v>49.9</v>
      </c>
      <c r="AU14" s="149">
        <v>1.31</v>
      </c>
      <c r="AV14" s="149"/>
      <c r="AW14" s="149"/>
      <c r="AX14" s="158">
        <f t="shared" si="6"/>
        <v>0</v>
      </c>
      <c r="AY14" s="125">
        <f t="shared" si="7"/>
        <v>36.351500000000001</v>
      </c>
      <c r="AZ14" s="125">
        <f t="shared" si="25"/>
        <v>28.528733871825359</v>
      </c>
      <c r="BA14" s="159">
        <f t="shared" si="8"/>
        <v>1.2632338028169012</v>
      </c>
      <c r="BB14" s="160">
        <f t="shared" si="9"/>
        <v>1.4540600000000001</v>
      </c>
      <c r="BC14" s="161">
        <f t="shared" si="10"/>
        <v>1.1295858755386832</v>
      </c>
      <c r="BD14" s="159">
        <f t="shared" si="26"/>
        <v>2.7172938028169016</v>
      </c>
      <c r="BE14" s="167">
        <v>0.90800000000000003</v>
      </c>
      <c r="BF14" s="25">
        <f t="shared" si="27"/>
        <v>848.61274999999989</v>
      </c>
      <c r="BG14" s="25">
        <f t="shared" si="11"/>
        <v>116.7741935483871</v>
      </c>
      <c r="BH14" s="25">
        <f t="shared" si="28"/>
        <v>934.19354838709671</v>
      </c>
      <c r="BI14" s="26">
        <f t="shared" si="12"/>
        <v>1</v>
      </c>
      <c r="BJ14" s="37">
        <f t="shared" si="29"/>
        <v>934.19354838709671</v>
      </c>
      <c r="BK14" s="39"/>
      <c r="BL14" s="40">
        <v>47.009</v>
      </c>
      <c r="BM14" s="325"/>
      <c r="BN14" s="40">
        <v>12.992000000000001</v>
      </c>
      <c r="BO14" s="40"/>
      <c r="BP14" s="40"/>
      <c r="BQ14" s="32">
        <v>5.1980000000000004</v>
      </c>
      <c r="BR14" s="33"/>
      <c r="BS14" s="34">
        <v>1.51</v>
      </c>
      <c r="BT14" s="33"/>
      <c r="BU14" s="28"/>
      <c r="BV14" s="287"/>
      <c r="BW14" s="287"/>
      <c r="BX14" s="36"/>
      <c r="BY14" s="33"/>
      <c r="BZ14" s="34">
        <v>35.450000000000003</v>
      </c>
      <c r="CA14" s="33"/>
      <c r="CB14" s="235">
        <v>43.42</v>
      </c>
      <c r="CC14" s="235"/>
      <c r="CD14" s="235"/>
      <c r="CE14" s="36">
        <v>44.2</v>
      </c>
      <c r="CF14" s="30">
        <v>23.46</v>
      </c>
      <c r="CG14" s="30"/>
      <c r="CH14" s="30"/>
      <c r="CI14" s="32">
        <v>27.297999999999998</v>
      </c>
      <c r="CJ14" s="33">
        <v>3.21</v>
      </c>
      <c r="CK14" s="33"/>
      <c r="CL14" s="33"/>
      <c r="CM14" s="36">
        <v>3.21</v>
      </c>
      <c r="CN14" s="286"/>
      <c r="CO14" s="249">
        <f t="shared" si="13"/>
        <v>0</v>
      </c>
      <c r="CP14" s="12">
        <f t="shared" si="13"/>
        <v>46.299164099999999</v>
      </c>
      <c r="CQ14" s="12">
        <f t="shared" si="13"/>
        <v>0</v>
      </c>
      <c r="CR14" s="12">
        <f t="shared" si="13"/>
        <v>12.992000000000001</v>
      </c>
      <c r="CS14" s="11">
        <f t="shared" si="13"/>
        <v>0</v>
      </c>
      <c r="CT14" s="11">
        <f t="shared" si="13"/>
        <v>0</v>
      </c>
      <c r="CU14" s="272">
        <f t="shared" si="13"/>
        <v>5.1980000000000004</v>
      </c>
      <c r="CV14" s="249">
        <f t="shared" si="14"/>
        <v>22.706934000000004</v>
      </c>
      <c r="CW14" s="12">
        <f t="shared" si="14"/>
        <v>0</v>
      </c>
      <c r="CX14" s="252">
        <f t="shared" si="14"/>
        <v>0</v>
      </c>
      <c r="CY14" s="272">
        <f t="shared" si="14"/>
        <v>26.4217342</v>
      </c>
      <c r="CZ14" s="13"/>
      <c r="DA14" s="240">
        <f>(D14+'[2]декабрь 20'!D14)/(AY14+'[2]декабрь 20'!BA14)</f>
        <v>2.2237227551344549</v>
      </c>
      <c r="DB14" s="241">
        <f>(T14+'[2]декабрь 20'!T14)/(AY14+'[2]декабрь 20'!BA14)</f>
        <v>1.4374067844999665</v>
      </c>
      <c r="DD14" s="292">
        <f t="shared" si="15"/>
        <v>2.6230000000000002</v>
      </c>
      <c r="DE14" s="291">
        <v>0.11</v>
      </c>
      <c r="DF14" s="291">
        <v>12.54</v>
      </c>
      <c r="DG14" s="145">
        <f t="shared" si="16"/>
        <v>2.6201147000000002</v>
      </c>
      <c r="DH14" s="293">
        <f t="shared" si="30"/>
        <v>0.43449138241206026</v>
      </c>
      <c r="DJ14" s="549"/>
      <c r="DK14" s="537"/>
    </row>
    <row r="15" spans="1:115" s="76" customFormat="1" ht="16.5" customHeight="1" thickBot="1">
      <c r="A15" s="144">
        <v>9</v>
      </c>
      <c r="B15" s="122">
        <f>'[1]декабрь 20'!K14</f>
        <v>10.019</v>
      </c>
      <c r="C15" s="123">
        <f t="shared" si="17"/>
        <v>1.103175965665236</v>
      </c>
      <c r="D15" s="145">
        <f t="shared" si="18"/>
        <v>9.908472800000002</v>
      </c>
      <c r="E15" s="125">
        <f t="shared" si="19"/>
        <v>38.598098612635994</v>
      </c>
      <c r="F15" s="146">
        <f t="shared" si="0"/>
        <v>0</v>
      </c>
      <c r="G15" s="127">
        <v>1</v>
      </c>
      <c r="H15" s="126">
        <f t="shared" si="20"/>
        <v>0</v>
      </c>
      <c r="I15" s="230">
        <f>'[1]июль 20'!AI14</f>
        <v>0</v>
      </c>
      <c r="J15" s="247">
        <f>'[1]декабрь 20'!AA14</f>
        <v>0.68200000000000005</v>
      </c>
      <c r="K15" s="464">
        <f>'[1]сентябрь 20'!AM14</f>
        <v>0</v>
      </c>
      <c r="L15" s="446">
        <f>'[1]декабрь 20'!AE14</f>
        <v>2.7949999999999999</v>
      </c>
      <c r="M15" s="469">
        <f t="shared" si="21"/>
        <v>0</v>
      </c>
      <c r="N15" s="542">
        <f>'[1]декабрь 20'!W14</f>
        <v>0</v>
      </c>
      <c r="O15" s="403">
        <f>'[1]декабрь 20'!AU14</f>
        <v>0.60899999999999999</v>
      </c>
      <c r="P15" s="401">
        <f t="shared" si="1"/>
        <v>9.9439999999999991</v>
      </c>
      <c r="Q15" s="122">
        <f>'[1]декабрь 20'!S14</f>
        <v>9.9440000000000008</v>
      </c>
      <c r="R15" s="123">
        <f t="shared" si="22"/>
        <v>3.1899999999999995</v>
      </c>
      <c r="S15" s="129">
        <v>1.58</v>
      </c>
      <c r="T15" s="125">
        <f t="shared" si="2"/>
        <v>9.6267864000000021</v>
      </c>
      <c r="U15" s="147">
        <f t="shared" si="3"/>
        <v>0</v>
      </c>
      <c r="V15" s="130"/>
      <c r="W15" s="130"/>
      <c r="X15" s="129"/>
      <c r="Y15" s="131">
        <v>502</v>
      </c>
      <c r="Z15" s="150">
        <v>735</v>
      </c>
      <c r="AA15" s="148" t="s">
        <v>460</v>
      </c>
      <c r="AB15" s="149"/>
      <c r="AC15" s="150">
        <v>5</v>
      </c>
      <c r="AD15" s="151"/>
      <c r="AE15" s="149"/>
      <c r="AF15" s="134">
        <f t="shared" si="4"/>
        <v>0</v>
      </c>
      <c r="AG15" s="152"/>
      <c r="AH15" s="129"/>
      <c r="AI15" s="134">
        <f t="shared" si="5"/>
        <v>0</v>
      </c>
      <c r="AJ15" s="136"/>
      <c r="AK15" s="154"/>
      <c r="AL15" s="155"/>
      <c r="AM15" s="478">
        <f t="shared" si="23"/>
        <v>0</v>
      </c>
      <c r="AN15" s="126">
        <f t="shared" si="24"/>
        <v>0</v>
      </c>
      <c r="AO15" s="157"/>
      <c r="AP15" s="156"/>
      <c r="AQ15" s="156"/>
      <c r="AR15" s="149"/>
      <c r="AS15" s="149"/>
      <c r="AT15" s="149"/>
      <c r="AU15" s="149"/>
      <c r="AV15" s="149"/>
      <c r="AW15" s="149"/>
      <c r="AX15" s="158">
        <f t="shared" si="6"/>
        <v>0</v>
      </c>
      <c r="AY15" s="125">
        <f t="shared" si="7"/>
        <v>0</v>
      </c>
      <c r="AZ15" s="125">
        <f t="shared" si="25"/>
        <v>0</v>
      </c>
      <c r="BA15" s="159">
        <f t="shared" si="8"/>
        <v>0</v>
      </c>
      <c r="BB15" s="160">
        <f t="shared" si="9"/>
        <v>0</v>
      </c>
      <c r="BC15" s="161">
        <f t="shared" si="10"/>
        <v>0</v>
      </c>
      <c r="BD15" s="159">
        <f t="shared" si="26"/>
        <v>0</v>
      </c>
      <c r="BE15" s="167">
        <v>0.90400000000000003</v>
      </c>
      <c r="BF15" s="25">
        <f t="shared" si="27"/>
        <v>848.61274999999989</v>
      </c>
      <c r="BG15" s="25">
        <f t="shared" si="11"/>
        <v>116.7741935483871</v>
      </c>
      <c r="BH15" s="25">
        <f t="shared" si="28"/>
        <v>1050.9677419354839</v>
      </c>
      <c r="BI15" s="26">
        <v>1</v>
      </c>
      <c r="BJ15" s="37">
        <f t="shared" si="29"/>
        <v>1050.9677419354839</v>
      </c>
      <c r="BK15" s="38"/>
      <c r="BL15" s="42">
        <v>7.2240000000000002</v>
      </c>
      <c r="BM15" s="31"/>
      <c r="BN15" s="533">
        <v>2</v>
      </c>
      <c r="BO15" s="40"/>
      <c r="BP15" s="40"/>
      <c r="BQ15" s="32">
        <v>0.79500000000000004</v>
      </c>
      <c r="BR15" s="33"/>
      <c r="BS15" s="35">
        <v>1.53</v>
      </c>
      <c r="BT15" s="35"/>
      <c r="BU15" s="28"/>
      <c r="BV15" s="287"/>
      <c r="BW15" s="287"/>
      <c r="BX15" s="36"/>
      <c r="BY15" s="33"/>
      <c r="BZ15" s="34">
        <v>36.700000000000003</v>
      </c>
      <c r="CA15" s="35"/>
      <c r="CB15" s="59">
        <v>43.43</v>
      </c>
      <c r="CC15" s="35"/>
      <c r="CD15" s="35"/>
      <c r="CE15" s="35">
        <v>43.69</v>
      </c>
      <c r="CF15" s="38">
        <v>5.7519999999999998</v>
      </c>
      <c r="CG15" s="30"/>
      <c r="CH15" s="30"/>
      <c r="CI15" s="32">
        <v>4.1920000000000002</v>
      </c>
      <c r="CJ15" s="33">
        <v>3.19</v>
      </c>
      <c r="CK15" s="33"/>
      <c r="CL15" s="33"/>
      <c r="CM15" s="36">
        <v>3.19</v>
      </c>
      <c r="CN15" s="286"/>
      <c r="CO15" s="249">
        <f t="shared" si="13"/>
        <v>0</v>
      </c>
      <c r="CP15" s="12">
        <f t="shared" si="13"/>
        <v>7.1134728000000003</v>
      </c>
      <c r="CQ15" s="12">
        <f t="shared" si="13"/>
        <v>0</v>
      </c>
      <c r="CR15" s="17">
        <f t="shared" si="13"/>
        <v>2</v>
      </c>
      <c r="CS15" s="11">
        <f t="shared" si="13"/>
        <v>0</v>
      </c>
      <c r="CT15" s="11">
        <f t="shared" si="13"/>
        <v>0</v>
      </c>
      <c r="CU15" s="272">
        <f t="shared" si="13"/>
        <v>0.79500000000000004</v>
      </c>
      <c r="CV15" s="249">
        <f t="shared" si="14"/>
        <v>5.5685112000000005</v>
      </c>
      <c r="CW15" s="12">
        <f t="shared" si="14"/>
        <v>0</v>
      </c>
      <c r="CX15" s="249">
        <f t="shared" si="14"/>
        <v>0</v>
      </c>
      <c r="CY15" s="274">
        <f t="shared" si="14"/>
        <v>4.0582752000000006</v>
      </c>
      <c r="CZ15" s="13"/>
      <c r="DA15" s="240">
        <f>(D15+'[2]декабрь 20'!D15)/(AY15+'[2]декабрь 20'!BA15)</f>
        <v>1.7243265811186521</v>
      </c>
      <c r="DB15" s="241">
        <f>(T15+'[2]декабрь 20'!T15)/(AY15+'[2]декабрь 20'!BA15)</f>
        <v>1.1006265025174833</v>
      </c>
      <c r="DD15" s="292">
        <f t="shared" si="15"/>
        <v>0.68200000000000005</v>
      </c>
      <c r="DE15" s="291">
        <v>0.48</v>
      </c>
      <c r="DF15" s="291">
        <v>18.309999999999999</v>
      </c>
      <c r="DG15" s="145">
        <f t="shared" si="16"/>
        <v>0.67872640000000006</v>
      </c>
      <c r="DH15" s="293">
        <f t="shared" si="30"/>
        <v>0</v>
      </c>
      <c r="DJ15" s="322"/>
      <c r="DK15" s="537"/>
    </row>
    <row r="16" spans="1:115" s="76" customFormat="1" ht="16.5" customHeight="1" thickBot="1">
      <c r="A16" s="144">
        <v>10</v>
      </c>
      <c r="B16" s="122">
        <f>'[1]декабрь 20'!K15</f>
        <v>107.428</v>
      </c>
      <c r="C16" s="123">
        <f t="shared" si="17"/>
        <v>1.5833618795844659</v>
      </c>
      <c r="D16" s="145">
        <f t="shared" si="18"/>
        <v>105.72702599999998</v>
      </c>
      <c r="E16" s="125">
        <f t="shared" si="19"/>
        <v>38.411760341810329</v>
      </c>
      <c r="F16" s="146">
        <f t="shared" si="0"/>
        <v>0</v>
      </c>
      <c r="G16" s="127">
        <v>11.94</v>
      </c>
      <c r="H16" s="126">
        <f t="shared" si="20"/>
        <v>0</v>
      </c>
      <c r="I16" s="230">
        <f>'[1]июль 20'!AI15</f>
        <v>0</v>
      </c>
      <c r="J16" s="247">
        <f>'[1]декабрь 20'!AA15</f>
        <v>4.18</v>
      </c>
      <c r="K16" s="467">
        <f>'[1]сентябрь 20'!AM15</f>
        <v>0</v>
      </c>
      <c r="L16" s="446">
        <f>'[1]декабрь 20'!AE15</f>
        <v>30.111000000000001</v>
      </c>
      <c r="M16" s="468">
        <f t="shared" si="21"/>
        <v>0</v>
      </c>
      <c r="N16" s="542">
        <f>'[1]декабрь 20'!W15</f>
        <v>0</v>
      </c>
      <c r="O16" s="403">
        <f>'[1]декабрь 20'!AU15</f>
        <v>4.67</v>
      </c>
      <c r="P16" s="401">
        <f t="shared" si="1"/>
        <v>79.966999999999999</v>
      </c>
      <c r="Q16" s="122">
        <f>'[1]декабрь 20'!S15</f>
        <v>79.966999999999999</v>
      </c>
      <c r="R16" s="123">
        <f t="shared" si="22"/>
        <v>2.8899999999999997</v>
      </c>
      <c r="S16" s="129">
        <v>1.28</v>
      </c>
      <c r="T16" s="125">
        <f t="shared" si="2"/>
        <v>77.655953699999998</v>
      </c>
      <c r="U16" s="147">
        <f t="shared" si="3"/>
        <v>0</v>
      </c>
      <c r="V16" s="130"/>
      <c r="W16" s="130"/>
      <c r="X16" s="129"/>
      <c r="Y16" s="131">
        <v>506</v>
      </c>
      <c r="Z16" s="150">
        <v>975</v>
      </c>
      <c r="AA16" s="148" t="s">
        <v>461</v>
      </c>
      <c r="AB16" s="149"/>
      <c r="AC16" s="150">
        <v>45</v>
      </c>
      <c r="AD16" s="151"/>
      <c r="AE16" s="149"/>
      <c r="AF16" s="134">
        <f t="shared" si="4"/>
        <v>0</v>
      </c>
      <c r="AG16" s="152"/>
      <c r="AH16" s="129">
        <v>91.35</v>
      </c>
      <c r="AI16" s="134">
        <f t="shared" si="5"/>
        <v>0</v>
      </c>
      <c r="AJ16" s="153"/>
      <c r="AK16" s="154"/>
      <c r="AL16" s="155"/>
      <c r="AM16" s="478">
        <f t="shared" si="23"/>
        <v>0</v>
      </c>
      <c r="AN16" s="126">
        <f t="shared" si="24"/>
        <v>0</v>
      </c>
      <c r="AO16" s="157" t="s">
        <v>462</v>
      </c>
      <c r="AP16" s="156">
        <v>16.29</v>
      </c>
      <c r="AQ16" s="156">
        <v>6.28</v>
      </c>
      <c r="AR16" s="149"/>
      <c r="AS16" s="149">
        <v>36.659999999999997</v>
      </c>
      <c r="AT16" s="149"/>
      <c r="AU16" s="149"/>
      <c r="AV16" s="149"/>
      <c r="AW16" s="149"/>
      <c r="AX16" s="158">
        <f t="shared" si="6"/>
        <v>0</v>
      </c>
      <c r="AY16" s="125">
        <f t="shared" si="7"/>
        <v>0</v>
      </c>
      <c r="AZ16" s="125">
        <f t="shared" si="25"/>
        <v>0</v>
      </c>
      <c r="BA16" s="159">
        <f t="shared" si="8"/>
        <v>25.942113380281686</v>
      </c>
      <c r="BB16" s="160">
        <f t="shared" si="9"/>
        <v>0</v>
      </c>
      <c r="BC16" s="161">
        <f t="shared" si="10"/>
        <v>0</v>
      </c>
      <c r="BD16" s="160">
        <f t="shared" si="26"/>
        <v>25.942113380281686</v>
      </c>
      <c r="BE16" s="162">
        <v>0.85499999999999998</v>
      </c>
      <c r="BF16" s="25">
        <f t="shared" si="27"/>
        <v>848.61274999999989</v>
      </c>
      <c r="BG16" s="25">
        <f t="shared" si="11"/>
        <v>116.7741935483871</v>
      </c>
      <c r="BH16" s="25">
        <f t="shared" si="28"/>
        <v>1167.741935483871</v>
      </c>
      <c r="BI16" s="26">
        <v>1</v>
      </c>
      <c r="BJ16" s="37">
        <f t="shared" si="29"/>
        <v>1167.741935483871</v>
      </c>
      <c r="BK16" s="328"/>
      <c r="BL16" s="31">
        <v>77.316999999999993</v>
      </c>
      <c r="BM16" s="40"/>
      <c r="BN16" s="535">
        <v>21.512</v>
      </c>
      <c r="BO16" s="42"/>
      <c r="BP16" s="40"/>
      <c r="BQ16" s="32">
        <v>8.5990000000000002</v>
      </c>
      <c r="BR16" s="33"/>
      <c r="BS16" s="34">
        <v>2.2000000000000002</v>
      </c>
      <c r="BT16" s="35"/>
      <c r="BU16" s="28"/>
      <c r="BV16" s="287"/>
      <c r="BW16" s="287"/>
      <c r="BX16" s="36"/>
      <c r="BY16" s="33"/>
      <c r="BZ16" s="34">
        <v>36.31</v>
      </c>
      <c r="CA16" s="235"/>
      <c r="CB16" s="305">
        <v>43.7</v>
      </c>
      <c r="CC16" s="404"/>
      <c r="CD16" s="235"/>
      <c r="CE16" s="36">
        <v>44.08</v>
      </c>
      <c r="CF16" s="38">
        <v>34.844999999999999</v>
      </c>
      <c r="CG16" s="30"/>
      <c r="CH16" s="30"/>
      <c r="CI16" s="32">
        <v>45.122</v>
      </c>
      <c r="CJ16" s="33">
        <v>2.89</v>
      </c>
      <c r="CK16" s="33"/>
      <c r="CL16" s="33"/>
      <c r="CM16" s="36">
        <v>2.89</v>
      </c>
      <c r="CN16" s="286"/>
      <c r="CO16" s="249">
        <f t="shared" si="13"/>
        <v>0</v>
      </c>
      <c r="CP16" s="12">
        <f t="shared" si="13"/>
        <v>75.616025999999991</v>
      </c>
      <c r="CQ16" s="12">
        <f t="shared" si="13"/>
        <v>0</v>
      </c>
      <c r="CR16" s="11">
        <f t="shared" si="13"/>
        <v>21.512</v>
      </c>
      <c r="CS16" s="11">
        <f t="shared" si="13"/>
        <v>0</v>
      </c>
      <c r="CT16" s="11">
        <f t="shared" si="13"/>
        <v>0</v>
      </c>
      <c r="CU16" s="272">
        <f t="shared" si="13"/>
        <v>8.5990000000000002</v>
      </c>
      <c r="CV16" s="249">
        <f t="shared" si="14"/>
        <v>33.837979499999996</v>
      </c>
      <c r="CW16" s="12">
        <f t="shared" si="14"/>
        <v>0</v>
      </c>
      <c r="CX16" s="249">
        <f t="shared" si="14"/>
        <v>0</v>
      </c>
      <c r="CY16" s="272">
        <f t="shared" si="14"/>
        <v>43.817974199999995</v>
      </c>
      <c r="CZ16" s="13"/>
      <c r="DA16" s="240">
        <f>(D16+'[2]декабрь 20'!D16)/(AY16+'[2]декабрь 20'!BA16)</f>
        <v>4.8246292937272868</v>
      </c>
      <c r="DB16" s="241">
        <f>(T16+'[2]декабрь 20'!T16)/(AY16+'[2]декабрь 20'!BA16)</f>
        <v>3.1134140756833619</v>
      </c>
      <c r="DD16" s="292">
        <f t="shared" si="15"/>
        <v>4.18</v>
      </c>
      <c r="DE16" s="291">
        <v>0.86</v>
      </c>
      <c r="DF16" s="291">
        <v>19.61</v>
      </c>
      <c r="DG16" s="145">
        <f t="shared" si="16"/>
        <v>4.1440520000000003</v>
      </c>
      <c r="DH16" s="293">
        <f t="shared" si="30"/>
        <v>0</v>
      </c>
      <c r="DJ16" s="322"/>
      <c r="DK16" s="537"/>
    </row>
    <row r="17" spans="1:115" s="76" customFormat="1" ht="16.5" customHeight="1" thickBot="1">
      <c r="A17" s="144">
        <v>11</v>
      </c>
      <c r="B17" s="122">
        <f>'[1]декабрь 20'!K16</f>
        <v>70.165999999999997</v>
      </c>
      <c r="C17" s="123">
        <f t="shared" si="17"/>
        <v>1.5772519453866547</v>
      </c>
      <c r="D17" s="145">
        <f t="shared" si="18"/>
        <v>69.0593054</v>
      </c>
      <c r="E17" s="125">
        <f t="shared" si="19"/>
        <v>39.40449947267907</v>
      </c>
      <c r="F17" s="146">
        <f t="shared" si="0"/>
        <v>0</v>
      </c>
      <c r="G17" s="127">
        <v>3.31</v>
      </c>
      <c r="H17" s="126">
        <f t="shared" si="20"/>
        <v>0</v>
      </c>
      <c r="I17" s="230">
        <f>'[1]июль 20'!AI16</f>
        <v>0</v>
      </c>
      <c r="J17" s="247">
        <f>'[1]декабрь 20'!AA16</f>
        <v>1.2310000000000001</v>
      </c>
      <c r="K17" s="465">
        <f>'[1]сентябрь 20'!AM16</f>
        <v>0</v>
      </c>
      <c r="L17" s="446">
        <f>'[1]декабрь 20'!AE16</f>
        <v>19.632000000000001</v>
      </c>
      <c r="M17" s="469">
        <f t="shared" si="21"/>
        <v>0</v>
      </c>
      <c r="N17" s="542">
        <f>'[1]декабрь 20'!W16</f>
        <v>0</v>
      </c>
      <c r="O17" s="403">
        <f>'[1]декабрь 20'!AU16</f>
        <v>3.1030000000000002</v>
      </c>
      <c r="P17" s="401">
        <f t="shared" si="1"/>
        <v>57.332999999999998</v>
      </c>
      <c r="Q17" s="122">
        <f>'[1]декабрь 20'!S16</f>
        <v>57.332999999999998</v>
      </c>
      <c r="R17" s="123">
        <f t="shared" si="22"/>
        <v>3.1300000000000003</v>
      </c>
      <c r="S17" s="129">
        <v>8.2899999999999991</v>
      </c>
      <c r="T17" s="125">
        <f t="shared" si="2"/>
        <v>55.538477100000001</v>
      </c>
      <c r="U17" s="147">
        <f t="shared" si="3"/>
        <v>0</v>
      </c>
      <c r="V17" s="130"/>
      <c r="W17" s="130"/>
      <c r="X17" s="129"/>
      <c r="Y17" s="131">
        <v>530</v>
      </c>
      <c r="Z17" s="150">
        <v>970</v>
      </c>
      <c r="AA17" s="148" t="s">
        <v>463</v>
      </c>
      <c r="AB17" s="149"/>
      <c r="AC17" s="150">
        <v>31</v>
      </c>
      <c r="AD17" s="151"/>
      <c r="AE17" s="149"/>
      <c r="AF17" s="134">
        <f t="shared" si="4"/>
        <v>0</v>
      </c>
      <c r="AG17" s="152"/>
      <c r="AH17" s="129">
        <v>68.5</v>
      </c>
      <c r="AI17" s="134">
        <f t="shared" si="5"/>
        <v>0</v>
      </c>
      <c r="AJ17" s="136"/>
      <c r="AK17" s="154"/>
      <c r="AL17" s="155"/>
      <c r="AM17" s="478">
        <f t="shared" si="23"/>
        <v>0</v>
      </c>
      <c r="AN17" s="126">
        <f t="shared" si="24"/>
        <v>0</v>
      </c>
      <c r="AO17" s="157" t="s">
        <v>464</v>
      </c>
      <c r="AP17" s="156">
        <v>9</v>
      </c>
      <c r="AQ17" s="156">
        <v>5.59</v>
      </c>
      <c r="AR17" s="149"/>
      <c r="AS17" s="149">
        <v>14.67</v>
      </c>
      <c r="AT17" s="149"/>
      <c r="AU17" s="149"/>
      <c r="AV17" s="149"/>
      <c r="AW17" s="149"/>
      <c r="AX17" s="158">
        <f t="shared" si="6"/>
        <v>0</v>
      </c>
      <c r="AY17" s="125">
        <f t="shared" si="7"/>
        <v>0</v>
      </c>
      <c r="AZ17" s="125">
        <f t="shared" si="25"/>
        <v>0</v>
      </c>
      <c r="BA17" s="159">
        <f t="shared" si="8"/>
        <v>7.7843978873239434</v>
      </c>
      <c r="BB17" s="160">
        <f t="shared" si="9"/>
        <v>0</v>
      </c>
      <c r="BC17" s="161">
        <f t="shared" si="10"/>
        <v>0</v>
      </c>
      <c r="BD17" s="160">
        <f t="shared" si="26"/>
        <v>7.7843978873239434</v>
      </c>
      <c r="BE17" s="162">
        <v>0.82499999999999996</v>
      </c>
      <c r="BF17" s="25">
        <f t="shared" si="27"/>
        <v>848.61274999999989</v>
      </c>
      <c r="BG17" s="25">
        <f t="shared" si="11"/>
        <v>116.7741935483871</v>
      </c>
      <c r="BH17" s="25">
        <f t="shared" si="28"/>
        <v>1284.516129032258</v>
      </c>
      <c r="BI17" s="26">
        <v>1</v>
      </c>
      <c r="BJ17" s="37">
        <f t="shared" si="29"/>
        <v>1284.516129032258</v>
      </c>
      <c r="BK17" s="39"/>
      <c r="BL17" s="31">
        <v>50.533999999999999</v>
      </c>
      <c r="BM17" s="31"/>
      <c r="BN17" s="534">
        <v>14.051</v>
      </c>
      <c r="BO17" s="42"/>
      <c r="BP17" s="40"/>
      <c r="BQ17" s="32">
        <v>5.5810000000000004</v>
      </c>
      <c r="BR17" s="33"/>
      <c r="BS17" s="34">
        <v>2.19</v>
      </c>
      <c r="BT17" s="35"/>
      <c r="BU17" s="28"/>
      <c r="BV17" s="287"/>
      <c r="BW17" s="287"/>
      <c r="BX17" s="36"/>
      <c r="BY17" s="33"/>
      <c r="BZ17" s="34">
        <v>37.799999999999997</v>
      </c>
      <c r="CA17" s="35"/>
      <c r="CB17" s="536">
        <v>43.31</v>
      </c>
      <c r="CC17" s="404"/>
      <c r="CD17" s="235"/>
      <c r="CE17" s="36">
        <v>44.1</v>
      </c>
      <c r="CF17" s="38">
        <v>27.945</v>
      </c>
      <c r="CG17" s="42"/>
      <c r="CH17" s="234"/>
      <c r="CI17" s="233">
        <v>29.388000000000002</v>
      </c>
      <c r="CJ17" s="33">
        <v>3.13</v>
      </c>
      <c r="CK17" s="33"/>
      <c r="CL17" s="33"/>
      <c r="CM17" s="36">
        <v>3.13</v>
      </c>
      <c r="CN17" s="286"/>
      <c r="CO17" s="249">
        <f t="shared" si="13"/>
        <v>0</v>
      </c>
      <c r="CP17" s="12">
        <f t="shared" si="13"/>
        <v>49.427305399999995</v>
      </c>
      <c r="CQ17" s="12">
        <f t="shared" si="13"/>
        <v>0</v>
      </c>
      <c r="CR17" s="12">
        <f t="shared" si="13"/>
        <v>14.051</v>
      </c>
      <c r="CS17" s="11">
        <f t="shared" si="13"/>
        <v>0</v>
      </c>
      <c r="CT17" s="11">
        <f t="shared" si="13"/>
        <v>0</v>
      </c>
      <c r="CU17" s="272">
        <f t="shared" si="13"/>
        <v>5.5810000000000004</v>
      </c>
      <c r="CV17" s="249">
        <f t="shared" si="14"/>
        <v>27.070321500000002</v>
      </c>
      <c r="CW17" s="12">
        <f t="shared" si="14"/>
        <v>0</v>
      </c>
      <c r="CX17" s="254">
        <f t="shared" si="14"/>
        <v>0</v>
      </c>
      <c r="CY17" s="272">
        <f t="shared" si="14"/>
        <v>28.468155600000003</v>
      </c>
      <c r="CZ17" s="13"/>
      <c r="DA17" s="240">
        <f>(D17+'[2]декабрь 20'!D17)/(AY17+'[2]декабрь 20'!BA17)</f>
        <v>2.3318943686693165</v>
      </c>
      <c r="DB17" s="241">
        <f>(T17+'[2]декабрь 20'!T17)/(AY17+'[2]декабрь 20'!BA17)</f>
        <v>1.5037856827289771</v>
      </c>
      <c r="DD17" s="292">
        <f t="shared" si="15"/>
        <v>1.2310000000000001</v>
      </c>
      <c r="DE17" s="291">
        <v>0.23</v>
      </c>
      <c r="DF17" s="291">
        <v>16.84</v>
      </c>
      <c r="DG17" s="145">
        <f t="shared" si="16"/>
        <v>1.2281686999999999</v>
      </c>
      <c r="DH17" s="293">
        <f t="shared" si="30"/>
        <v>0</v>
      </c>
      <c r="DJ17" s="322"/>
      <c r="DK17" s="537"/>
    </row>
    <row r="18" spans="1:115" s="76" customFormat="1" ht="16.5" customHeight="1" thickBot="1">
      <c r="A18" s="144">
        <v>12</v>
      </c>
      <c r="B18" s="122">
        <f>'[1]декабрь 20'!K17</f>
        <v>97.623999999999995</v>
      </c>
      <c r="C18" s="123">
        <f t="shared" si="17"/>
        <v>1.469024010489224</v>
      </c>
      <c r="D18" s="145">
        <f t="shared" si="18"/>
        <v>96.189880000000002</v>
      </c>
      <c r="E18" s="125">
        <f t="shared" si="19"/>
        <v>38.074756617225276</v>
      </c>
      <c r="F18" s="146">
        <f t="shared" si="0"/>
        <v>3.1757888307443416</v>
      </c>
      <c r="G18" s="127">
        <v>5.5</v>
      </c>
      <c r="H18" s="126">
        <f t="shared" si="20"/>
        <v>2.2736642620136349</v>
      </c>
      <c r="I18" s="230">
        <f>'[1]июль 20'!AI17</f>
        <v>0</v>
      </c>
      <c r="J18" s="247">
        <f>'[1]декабрь 20'!AA17</f>
        <v>1.39</v>
      </c>
      <c r="K18" s="464">
        <f>'[1]сентябрь 20'!AM17</f>
        <v>0</v>
      </c>
      <c r="L18" s="446">
        <f>'[1]декабрь 20'!AE17</f>
        <v>27.324000000000002</v>
      </c>
      <c r="M18" s="468">
        <f t="shared" si="21"/>
        <v>0.90212456873070623</v>
      </c>
      <c r="N18" s="542">
        <f>'[1]декабрь 20'!W17</f>
        <v>0</v>
      </c>
      <c r="O18" s="403">
        <f>'[1]декабрь 20'!AU17</f>
        <v>4.4459999999999997</v>
      </c>
      <c r="P18" s="401">
        <f t="shared" si="1"/>
        <v>69.888000000000005</v>
      </c>
      <c r="Q18" s="122">
        <f>'[1]декабрь 20'!S17</f>
        <v>69.888000000000005</v>
      </c>
      <c r="R18" s="123">
        <f t="shared" si="22"/>
        <v>3.0699999999999994</v>
      </c>
      <c r="S18" s="129"/>
      <c r="T18" s="125">
        <f t="shared" si="2"/>
        <v>67.742438400000012</v>
      </c>
      <c r="U18" s="147">
        <f t="shared" si="3"/>
        <v>2.2365729039074238</v>
      </c>
      <c r="V18" s="130">
        <v>15.98</v>
      </c>
      <c r="W18" s="130"/>
      <c r="X18" s="129">
        <v>2.68</v>
      </c>
      <c r="Y18" s="131">
        <v>547</v>
      </c>
      <c r="Z18" s="150">
        <v>1035</v>
      </c>
      <c r="AA18" s="148" t="s">
        <v>465</v>
      </c>
      <c r="AB18" s="149">
        <v>74.459999999999994</v>
      </c>
      <c r="AC18" s="150">
        <v>40</v>
      </c>
      <c r="AD18" s="151">
        <v>3</v>
      </c>
      <c r="AE18" s="149">
        <v>5.35</v>
      </c>
      <c r="AF18" s="134">
        <f t="shared" si="4"/>
        <v>176.63469633689351</v>
      </c>
      <c r="AG18" s="152"/>
      <c r="AH18" s="129">
        <v>60.1</v>
      </c>
      <c r="AI18" s="134">
        <f t="shared" si="5"/>
        <v>1984.251448569589</v>
      </c>
      <c r="AJ18" s="153">
        <v>8</v>
      </c>
      <c r="AK18" s="154"/>
      <c r="AL18" s="155">
        <v>1.97</v>
      </c>
      <c r="AM18" s="478">
        <f t="shared" si="23"/>
        <v>8.6215000000000011</v>
      </c>
      <c r="AN18" s="126">
        <f t="shared" si="24"/>
        <v>0.21500000000000002</v>
      </c>
      <c r="AO18" s="157" t="s">
        <v>189</v>
      </c>
      <c r="AP18" s="156">
        <v>7.9</v>
      </c>
      <c r="AQ18" s="156">
        <v>7.36</v>
      </c>
      <c r="AR18" s="151"/>
      <c r="AS18" s="149">
        <v>7.44</v>
      </c>
      <c r="AT18" s="149">
        <v>40.1</v>
      </c>
      <c r="AU18" s="149">
        <v>0.78</v>
      </c>
      <c r="AV18" s="149"/>
      <c r="AW18" s="149"/>
      <c r="AX18" s="158">
        <f t="shared" si="6"/>
        <v>0</v>
      </c>
      <c r="AY18" s="125">
        <f t="shared" si="7"/>
        <v>30.288500000000003</v>
      </c>
      <c r="AZ18" s="125">
        <f t="shared" si="25"/>
        <v>43.259746451987816</v>
      </c>
      <c r="BA18" s="159">
        <f t="shared" si="8"/>
        <v>3.4637915492957747</v>
      </c>
      <c r="BB18" s="160">
        <f t="shared" si="9"/>
        <v>1.2115400000000001</v>
      </c>
      <c r="BC18" s="161">
        <f t="shared" si="10"/>
        <v>0.615792335342224</v>
      </c>
      <c r="BD18" s="160">
        <f t="shared" si="26"/>
        <v>4.675331549295775</v>
      </c>
      <c r="BE18" s="162">
        <v>0.81599999999999995</v>
      </c>
      <c r="BF18" s="25">
        <f t="shared" si="27"/>
        <v>878.90124999999989</v>
      </c>
      <c r="BG18" s="25">
        <f t="shared" si="11"/>
        <v>116.7741935483871</v>
      </c>
      <c r="BH18" s="25">
        <f t="shared" si="28"/>
        <v>1401.2903225806451</v>
      </c>
      <c r="BI18" s="26">
        <f t="shared" si="12"/>
        <v>1</v>
      </c>
      <c r="BJ18" s="37">
        <f t="shared" si="29"/>
        <v>1401.2903225806451</v>
      </c>
      <c r="BK18" s="38"/>
      <c r="BL18" s="31">
        <v>70.3</v>
      </c>
      <c r="BM18" s="31"/>
      <c r="BN18" s="234">
        <v>19.527999999999999</v>
      </c>
      <c r="BO18" s="42"/>
      <c r="BP18" s="40"/>
      <c r="BQ18" s="411">
        <v>7.7960000000000003</v>
      </c>
      <c r="BR18" s="41"/>
      <c r="BS18" s="34">
        <v>2.04</v>
      </c>
      <c r="BT18" s="35"/>
      <c r="BU18" s="28"/>
      <c r="BV18" s="287"/>
      <c r="BW18" s="287"/>
      <c r="BX18" s="36"/>
      <c r="BY18" s="34"/>
      <c r="BZ18" s="34">
        <v>36.03</v>
      </c>
      <c r="CA18" s="35"/>
      <c r="CB18" s="405">
        <v>43.23</v>
      </c>
      <c r="CC18" s="404"/>
      <c r="CD18" s="235"/>
      <c r="CE18" s="405">
        <v>43.6</v>
      </c>
      <c r="CF18" s="38">
        <v>29.216999999999999</v>
      </c>
      <c r="CG18" s="42"/>
      <c r="CH18" s="234"/>
      <c r="CI18" s="233">
        <v>40.670999999999999</v>
      </c>
      <c r="CJ18" s="33">
        <v>3.07</v>
      </c>
      <c r="CK18" s="33"/>
      <c r="CL18" s="33"/>
      <c r="CM18" s="36">
        <v>3.07</v>
      </c>
      <c r="CN18" s="286"/>
      <c r="CO18" s="249">
        <f t="shared" si="13"/>
        <v>0</v>
      </c>
      <c r="CP18" s="12">
        <f t="shared" si="13"/>
        <v>68.86587999999999</v>
      </c>
      <c r="CQ18" s="12">
        <f t="shared" si="13"/>
        <v>0</v>
      </c>
      <c r="CR18" s="12">
        <f t="shared" si="13"/>
        <v>19.527999999999999</v>
      </c>
      <c r="CS18" s="11">
        <f t="shared" si="13"/>
        <v>0</v>
      </c>
      <c r="CT18" s="11">
        <f t="shared" si="13"/>
        <v>0</v>
      </c>
      <c r="CU18" s="272">
        <f t="shared" si="13"/>
        <v>7.7960000000000003</v>
      </c>
      <c r="CV18" s="249">
        <f t="shared" si="14"/>
        <v>28.320038100000001</v>
      </c>
      <c r="CW18" s="11">
        <f t="shared" si="14"/>
        <v>0</v>
      </c>
      <c r="CX18" s="249">
        <f t="shared" si="14"/>
        <v>0</v>
      </c>
      <c r="CY18" s="272">
        <f t="shared" si="14"/>
        <v>39.4224003</v>
      </c>
      <c r="CZ18" s="13"/>
      <c r="DA18" s="240">
        <f>(D18+'[2]декабрь 20'!D18)/(AY18+'[2]декабрь 20'!BA18)</f>
        <v>2.2148619100100277</v>
      </c>
      <c r="DB18" s="241">
        <f>(T18+'[2]декабрь 20'!T18)/(AY18+'[2]декабрь 20'!BA18)</f>
        <v>1.4077237133053055</v>
      </c>
      <c r="DD18" s="292">
        <f t="shared" si="15"/>
        <v>1.39</v>
      </c>
      <c r="DE18" s="291">
        <v>0.11</v>
      </c>
      <c r="DF18" s="291">
        <v>17.170000000000002</v>
      </c>
      <c r="DG18" s="145">
        <f t="shared" si="16"/>
        <v>1.388471</v>
      </c>
      <c r="DH18" s="293">
        <f t="shared" si="30"/>
        <v>0.32017253652968042</v>
      </c>
      <c r="DJ18" s="322"/>
      <c r="DK18" s="537"/>
    </row>
    <row r="19" spans="1:115" s="76" customFormat="1" ht="16.5" customHeight="1" thickBot="1">
      <c r="A19" s="144">
        <v>13</v>
      </c>
      <c r="B19" s="122">
        <f>'[1]декабрь 20'!K18</f>
        <v>172.566</v>
      </c>
      <c r="C19" s="123">
        <f t="shared" si="17"/>
        <v>0.86338444421264915</v>
      </c>
      <c r="D19" s="145">
        <f t="shared" si="18"/>
        <v>171.07609199999999</v>
      </c>
      <c r="E19" s="125">
        <f t="shared" si="19"/>
        <v>38.061636301473058</v>
      </c>
      <c r="F19" s="146">
        <f t="shared" si="0"/>
        <v>2.3396380917865311</v>
      </c>
      <c r="G19" s="127">
        <v>8.6999999999999993</v>
      </c>
      <c r="H19" s="126">
        <f t="shared" si="20"/>
        <v>1.67762354735147</v>
      </c>
      <c r="I19" s="230">
        <f>'[1]июль 20'!AI18</f>
        <v>0</v>
      </c>
      <c r="J19" s="247">
        <f>'[1]декабрь 20'!AA18</f>
        <v>6.8730000000000002</v>
      </c>
      <c r="K19" s="464">
        <f>'[1]сентябрь 20'!AM18</f>
        <v>0</v>
      </c>
      <c r="L19" s="446">
        <f>'[1]декабрь 20'!AE18</f>
        <v>48.406999999999996</v>
      </c>
      <c r="M19" s="469">
        <f t="shared" si="21"/>
        <v>0.66201454443506125</v>
      </c>
      <c r="N19" s="542">
        <f>'[1]декабрь 20'!W18</f>
        <v>0</v>
      </c>
      <c r="O19" s="403">
        <f>'[1]декабрь 20'!AU18</f>
        <v>7.4880000000000004</v>
      </c>
      <c r="P19" s="401">
        <f t="shared" si="1"/>
        <v>115.947</v>
      </c>
      <c r="Q19" s="122">
        <f>'[1]декабрь 20'!S18</f>
        <v>115.947</v>
      </c>
      <c r="R19" s="123">
        <f t="shared" si="22"/>
        <v>2.9</v>
      </c>
      <c r="S19" s="129">
        <v>3.71</v>
      </c>
      <c r="T19" s="125">
        <f t="shared" si="2"/>
        <v>112.584537</v>
      </c>
      <c r="U19" s="147">
        <f t="shared" si="3"/>
        <v>1.5397070872495153</v>
      </c>
      <c r="V19" s="130">
        <v>73.12</v>
      </c>
      <c r="W19" s="130"/>
      <c r="X19" s="129">
        <v>2.2200000000000002</v>
      </c>
      <c r="Y19" s="131">
        <v>576</v>
      </c>
      <c r="Z19" s="150">
        <v>1074</v>
      </c>
      <c r="AA19" s="148" t="s">
        <v>466</v>
      </c>
      <c r="AB19" s="149">
        <v>75.709999999999994</v>
      </c>
      <c r="AC19" s="150">
        <v>69</v>
      </c>
      <c r="AD19" s="151">
        <v>4</v>
      </c>
      <c r="AE19" s="149">
        <v>7.7</v>
      </c>
      <c r="AF19" s="134">
        <f t="shared" si="4"/>
        <v>105.30526560518047</v>
      </c>
      <c r="AG19" s="152"/>
      <c r="AH19" s="129">
        <v>47.15</v>
      </c>
      <c r="AI19" s="134">
        <f t="shared" si="5"/>
        <v>644.82380172522846</v>
      </c>
      <c r="AJ19" s="136">
        <v>11.47</v>
      </c>
      <c r="AK19" s="154"/>
      <c r="AL19" s="155">
        <v>3.8</v>
      </c>
      <c r="AM19" s="478">
        <f t="shared" si="23"/>
        <v>20.629249999999999</v>
      </c>
      <c r="AN19" s="126">
        <f t="shared" si="24"/>
        <v>0.215</v>
      </c>
      <c r="AO19" s="157" t="s">
        <v>217</v>
      </c>
      <c r="AP19" s="156">
        <v>8.68</v>
      </c>
      <c r="AQ19" s="156">
        <v>6.63</v>
      </c>
      <c r="AR19" s="151"/>
      <c r="AS19" s="149">
        <v>6.89</v>
      </c>
      <c r="AT19" s="149">
        <v>95.95</v>
      </c>
      <c r="AU19" s="149">
        <v>1.6</v>
      </c>
      <c r="AV19" s="164"/>
      <c r="AW19" s="149"/>
      <c r="AX19" s="158">
        <f t="shared" si="6"/>
        <v>0</v>
      </c>
      <c r="AY19" s="125">
        <f t="shared" si="7"/>
        <v>73.120750000000001</v>
      </c>
      <c r="AZ19" s="125">
        <f t="shared" si="25"/>
        <v>76.344653524587429</v>
      </c>
      <c r="BA19" s="159">
        <f t="shared" si="8"/>
        <v>2.5165482394366192</v>
      </c>
      <c r="BB19" s="160">
        <f t="shared" si="9"/>
        <v>2.92483</v>
      </c>
      <c r="BC19" s="161">
        <f t="shared" si="10"/>
        <v>0.85019218310017786</v>
      </c>
      <c r="BD19" s="160">
        <f t="shared" si="26"/>
        <v>5.4413782394366192</v>
      </c>
      <c r="BE19" s="162">
        <v>0.81899999999999995</v>
      </c>
      <c r="BF19" s="25">
        <f t="shared" si="27"/>
        <v>952.02199999999993</v>
      </c>
      <c r="BG19" s="25">
        <f t="shared" si="11"/>
        <v>116.7741935483871</v>
      </c>
      <c r="BH19" s="25">
        <f t="shared" si="28"/>
        <v>1518.0645161290322</v>
      </c>
      <c r="BI19" s="26">
        <f t="shared" si="12"/>
        <v>1</v>
      </c>
      <c r="BJ19" s="37">
        <f t="shared" si="29"/>
        <v>1518.0645161290322</v>
      </c>
      <c r="BK19" s="38"/>
      <c r="BL19" s="31">
        <v>124.15900000000001</v>
      </c>
      <c r="BM19" s="31"/>
      <c r="BN19" s="234">
        <v>34.566000000000003</v>
      </c>
      <c r="BO19" s="42"/>
      <c r="BP19" s="40"/>
      <c r="BQ19" s="411">
        <v>13.840999999999999</v>
      </c>
      <c r="BR19" s="33"/>
      <c r="BS19" s="34">
        <v>1.2</v>
      </c>
      <c r="BT19" s="35"/>
      <c r="BU19" s="28"/>
      <c r="BV19" s="287"/>
      <c r="BW19" s="512"/>
      <c r="BX19" s="36"/>
      <c r="BY19" s="33"/>
      <c r="BZ19" s="34">
        <v>35.86</v>
      </c>
      <c r="CA19" s="35"/>
      <c r="CB19" s="405">
        <v>43.66</v>
      </c>
      <c r="CC19" s="404"/>
      <c r="CD19" s="235"/>
      <c r="CE19" s="413">
        <v>43.83</v>
      </c>
      <c r="CF19" s="41">
        <v>44.881</v>
      </c>
      <c r="CG19" s="41"/>
      <c r="CH19" s="30"/>
      <c r="CI19" s="32">
        <v>71.066000000000003</v>
      </c>
      <c r="CJ19" s="33">
        <v>2.9</v>
      </c>
      <c r="CK19" s="33"/>
      <c r="CL19" s="33"/>
      <c r="CM19" s="36">
        <v>2.9</v>
      </c>
      <c r="CN19" s="286"/>
      <c r="CO19" s="249">
        <f t="shared" si="13"/>
        <v>0</v>
      </c>
      <c r="CP19" s="12">
        <f t="shared" si="13"/>
        <v>122.66909200000001</v>
      </c>
      <c r="CQ19" s="12">
        <f t="shared" si="13"/>
        <v>0</v>
      </c>
      <c r="CR19" s="12">
        <f t="shared" si="13"/>
        <v>34.566000000000003</v>
      </c>
      <c r="CS19" s="11">
        <f t="shared" si="13"/>
        <v>0</v>
      </c>
      <c r="CT19" s="11">
        <f t="shared" si="13"/>
        <v>0</v>
      </c>
      <c r="CU19" s="272">
        <f t="shared" si="13"/>
        <v>13.840999999999999</v>
      </c>
      <c r="CV19" s="249">
        <f t="shared" si="14"/>
        <v>43.579450999999999</v>
      </c>
      <c r="CW19" s="251">
        <f t="shared" si="14"/>
        <v>0</v>
      </c>
      <c r="CX19" s="249">
        <f t="shared" si="14"/>
        <v>0</v>
      </c>
      <c r="CY19" s="272">
        <f t="shared" si="14"/>
        <v>69.005086000000006</v>
      </c>
      <c r="CZ19" s="13"/>
      <c r="DA19" s="240">
        <f>(D19+'[2]декабрь 20'!D19)/(AY19+'[2]декабрь 20'!BA19)</f>
        <v>2.1876145191484477</v>
      </c>
      <c r="DB19" s="241">
        <f>(T19+'[2]декабрь 20'!T19)/(AY19+'[2]декабрь 20'!BA19)</f>
        <v>1.3814067303241451</v>
      </c>
      <c r="DD19" s="292">
        <f t="shared" si="15"/>
        <v>6.8730000000000002</v>
      </c>
      <c r="DE19" s="291">
        <v>0.25</v>
      </c>
      <c r="DF19" s="291">
        <v>13.94</v>
      </c>
      <c r="DG19" s="145">
        <f t="shared" si="16"/>
        <v>6.8558175000000006</v>
      </c>
      <c r="DH19" s="293">
        <f t="shared" si="30"/>
        <v>1.2623180022454104</v>
      </c>
      <c r="DJ19" s="322"/>
      <c r="DK19" s="537"/>
    </row>
    <row r="20" spans="1:115" s="76" customFormat="1" ht="16.5" customHeight="1" thickBot="1">
      <c r="A20" s="144">
        <v>14</v>
      </c>
      <c r="B20" s="122">
        <f>'[1]декабрь 20'!K19</f>
        <v>258.5</v>
      </c>
      <c r="C20" s="123">
        <f t="shared" si="17"/>
        <v>3.3546805802707924</v>
      </c>
      <c r="D20" s="145">
        <f t="shared" si="18"/>
        <v>249.82815069999998</v>
      </c>
      <c r="E20" s="125">
        <f t="shared" si="19"/>
        <v>38.567304216634433</v>
      </c>
      <c r="F20" s="146">
        <f t="shared" si="0"/>
        <v>2.1143432094533834</v>
      </c>
      <c r="G20" s="127">
        <v>23.33</v>
      </c>
      <c r="H20" s="126">
        <f t="shared" si="20"/>
        <v>1.6294277884625554</v>
      </c>
      <c r="I20" s="230">
        <f>'[1]июль 20'!AI19</f>
        <v>0</v>
      </c>
      <c r="J20" s="247">
        <f>'[1]декабрь 20'!AA19</f>
        <v>17.186</v>
      </c>
      <c r="K20" s="464">
        <f>'[1]сентябрь 20'!AM19</f>
        <v>0</v>
      </c>
      <c r="L20" s="446">
        <f>'[1]декабрь 20'!AE19</f>
        <v>57.296999999999997</v>
      </c>
      <c r="M20" s="468">
        <f t="shared" si="21"/>
        <v>0.48491542099082796</v>
      </c>
      <c r="N20" s="542">
        <f>'[1]декабрь 20'!W19</f>
        <v>0</v>
      </c>
      <c r="O20" s="403">
        <f>'[1]декабрь 20'!AU19</f>
        <v>13.965</v>
      </c>
      <c r="P20" s="401">
        <f t="shared" si="1"/>
        <v>172.46100000000001</v>
      </c>
      <c r="Q20" s="122">
        <f>'[1]декабрь 20'!S19</f>
        <v>172.46100000000001</v>
      </c>
      <c r="R20" s="123">
        <f t="shared" si="22"/>
        <v>2.8699999999999997</v>
      </c>
      <c r="S20" s="129">
        <v>20.36</v>
      </c>
      <c r="T20" s="125">
        <f t="shared" si="2"/>
        <v>167.51136930000001</v>
      </c>
      <c r="U20" s="147">
        <f t="shared" si="3"/>
        <v>1.4176806144276237</v>
      </c>
      <c r="V20" s="130">
        <v>118.16</v>
      </c>
      <c r="W20" s="130">
        <v>46.97</v>
      </c>
      <c r="X20" s="129">
        <v>1.6</v>
      </c>
      <c r="Y20" s="131">
        <v>562</v>
      </c>
      <c r="Z20" s="150">
        <v>1126</v>
      </c>
      <c r="AA20" s="168" t="s">
        <v>112</v>
      </c>
      <c r="AB20" s="149">
        <v>75.430000000000007</v>
      </c>
      <c r="AC20" s="150">
        <v>103</v>
      </c>
      <c r="AD20" s="151">
        <v>5</v>
      </c>
      <c r="AE20" s="149">
        <v>11.45</v>
      </c>
      <c r="AF20" s="134">
        <f t="shared" si="4"/>
        <v>96.903530208300253</v>
      </c>
      <c r="AG20" s="152"/>
      <c r="AH20" s="129">
        <v>74.849999999999994</v>
      </c>
      <c r="AI20" s="134">
        <f t="shared" si="5"/>
        <v>633.46980227871381</v>
      </c>
      <c r="AJ20" s="153">
        <v>15.27</v>
      </c>
      <c r="AK20" s="154"/>
      <c r="AL20" s="155">
        <v>7.79</v>
      </c>
      <c r="AM20" s="478">
        <f t="shared" si="23"/>
        <v>34.131250000000001</v>
      </c>
      <c r="AN20" s="126">
        <f t="shared" si="24"/>
        <v>0.215</v>
      </c>
      <c r="AO20" s="157" t="s">
        <v>181</v>
      </c>
      <c r="AP20" s="156">
        <v>8.16</v>
      </c>
      <c r="AQ20" s="156">
        <v>6.76</v>
      </c>
      <c r="AR20" s="149"/>
      <c r="AS20" s="149">
        <v>6.08</v>
      </c>
      <c r="AT20" s="149">
        <v>158.75</v>
      </c>
      <c r="AU20" s="149">
        <v>1.33</v>
      </c>
      <c r="AV20" s="149"/>
      <c r="AW20" s="149"/>
      <c r="AX20" s="158">
        <f t="shared" si="6"/>
        <v>0</v>
      </c>
      <c r="AY20" s="125">
        <f t="shared" si="7"/>
        <v>118.15875000000001</v>
      </c>
      <c r="AZ20" s="125">
        <f t="shared" si="25"/>
        <v>115.05324813824046</v>
      </c>
      <c r="BA20" s="159">
        <f t="shared" si="8"/>
        <v>3.5253295774647881</v>
      </c>
      <c r="BB20" s="160">
        <f t="shared" si="9"/>
        <v>4.7263500000000009</v>
      </c>
      <c r="BC20" s="161">
        <f t="shared" si="10"/>
        <v>0.92501620042615329</v>
      </c>
      <c r="BD20" s="160">
        <f t="shared" si="26"/>
        <v>8.2516795774647882</v>
      </c>
      <c r="BE20" s="162">
        <v>0.82899999999999996</v>
      </c>
      <c r="BF20" s="25">
        <f t="shared" si="27"/>
        <v>1070.18075</v>
      </c>
      <c r="BG20" s="25">
        <f t="shared" si="11"/>
        <v>116.7741935483871</v>
      </c>
      <c r="BH20" s="25">
        <f t="shared" si="28"/>
        <v>1634.8387096774193</v>
      </c>
      <c r="BI20" s="26">
        <f t="shared" si="12"/>
        <v>1</v>
      </c>
      <c r="BJ20" s="37">
        <f t="shared" si="29"/>
        <v>1634.8387096774193</v>
      </c>
      <c r="BK20" s="38"/>
      <c r="BL20" s="31">
        <v>201.203</v>
      </c>
      <c r="BM20" s="31"/>
      <c r="BN20" s="234">
        <v>41.427</v>
      </c>
      <c r="BO20" s="42"/>
      <c r="BP20" s="40"/>
      <c r="BQ20" s="411">
        <v>15.87</v>
      </c>
      <c r="BR20" s="33"/>
      <c r="BS20" s="34">
        <v>4.3099999999999996</v>
      </c>
      <c r="BT20" s="35"/>
      <c r="BU20" s="28"/>
      <c r="BV20" s="287"/>
      <c r="BW20" s="287"/>
      <c r="BX20" s="36"/>
      <c r="BY20" s="33"/>
      <c r="BZ20" s="34">
        <v>37.06</v>
      </c>
      <c r="CA20" s="35"/>
      <c r="CB20" s="405">
        <v>43.78</v>
      </c>
      <c r="CC20" s="404"/>
      <c r="CD20" s="235"/>
      <c r="CE20" s="413">
        <v>44.07</v>
      </c>
      <c r="CF20" s="30">
        <v>66.528000000000006</v>
      </c>
      <c r="CG20" s="30"/>
      <c r="CH20" s="31"/>
      <c r="CI20" s="32">
        <v>105.93300000000001</v>
      </c>
      <c r="CJ20" s="33">
        <v>2.87</v>
      </c>
      <c r="CK20" s="33"/>
      <c r="CL20" s="35"/>
      <c r="CM20" s="36">
        <v>2.87</v>
      </c>
      <c r="CN20" s="286"/>
      <c r="CO20" s="249">
        <f t="shared" si="13"/>
        <v>0</v>
      </c>
      <c r="CP20" s="12">
        <f t="shared" si="13"/>
        <v>192.53115069999998</v>
      </c>
      <c r="CQ20" s="12">
        <f t="shared" si="13"/>
        <v>0</v>
      </c>
      <c r="CR20" s="12">
        <f t="shared" si="13"/>
        <v>41.427</v>
      </c>
      <c r="CS20" s="11">
        <f t="shared" si="13"/>
        <v>0</v>
      </c>
      <c r="CT20" s="11">
        <f t="shared" si="13"/>
        <v>0</v>
      </c>
      <c r="CU20" s="272">
        <f t="shared" si="13"/>
        <v>15.87</v>
      </c>
      <c r="CV20" s="249">
        <f t="shared" si="14"/>
        <v>64.618646400000003</v>
      </c>
      <c r="CW20" s="12">
        <f t="shared" si="14"/>
        <v>0</v>
      </c>
      <c r="CX20" s="249">
        <f t="shared" si="14"/>
        <v>0</v>
      </c>
      <c r="CY20" s="272">
        <f t="shared" si="14"/>
        <v>102.8927229</v>
      </c>
      <c r="CZ20" s="13"/>
      <c r="DA20" s="240">
        <f>(D20+'[2]декабрь 20'!D20)/(AY20+'[2]декабрь 20'!BA20)</f>
        <v>2.0843091839874757</v>
      </c>
      <c r="DB20" s="241">
        <f>(T20+'[2]декабрь 20'!T20)/(AY20+'[2]декабрь 20'!BA20)</f>
        <v>1.3541734550949043</v>
      </c>
      <c r="DD20" s="292">
        <f t="shared" si="15"/>
        <v>17.186</v>
      </c>
      <c r="DE20" s="291">
        <v>0.37</v>
      </c>
      <c r="DF20" s="407">
        <v>15.59</v>
      </c>
      <c r="DG20" s="145">
        <f t="shared" si="16"/>
        <v>17.122411799999998</v>
      </c>
      <c r="DH20" s="293">
        <f t="shared" si="30"/>
        <v>3.5388890356887175</v>
      </c>
      <c r="DJ20" s="322"/>
      <c r="DK20" s="537"/>
    </row>
    <row r="21" spans="1:115" s="76" customFormat="1" ht="16.5" customHeight="1" thickBot="1">
      <c r="A21" s="144">
        <v>15</v>
      </c>
      <c r="B21" s="122">
        <f>'[1]декабрь 20'!K20</f>
        <v>265.22000000000003</v>
      </c>
      <c r="C21" s="123">
        <f t="shared" si="17"/>
        <v>3.0728345524470249</v>
      </c>
      <c r="D21" s="145">
        <f t="shared" si="18"/>
        <v>257.07022820000003</v>
      </c>
      <c r="E21" s="125">
        <f t="shared" si="19"/>
        <v>38.254220797828211</v>
      </c>
      <c r="F21" s="146">
        <f t="shared" si="0"/>
        <v>2.0314249729842921</v>
      </c>
      <c r="G21" s="127">
        <v>18.32</v>
      </c>
      <c r="H21" s="126">
        <f t="shared" si="20"/>
        <v>1.5701488042956455</v>
      </c>
      <c r="I21" s="230">
        <f>'[1]июль 20'!AI20</f>
        <v>0</v>
      </c>
      <c r="J21" s="247">
        <f>'[1]декабрь 20'!AA20</f>
        <v>22.876999999999999</v>
      </c>
      <c r="K21" s="464">
        <f>'[1]сентябрь 20'!AM20</f>
        <v>0</v>
      </c>
      <c r="L21" s="446">
        <f>'[1]декабрь 20'!AE20</f>
        <v>58.372999999999998</v>
      </c>
      <c r="M21" s="469">
        <f t="shared" si="21"/>
        <v>0.46127616868864663</v>
      </c>
      <c r="N21" s="542">
        <f>'[1]декабрь 20'!W20</f>
        <v>0</v>
      </c>
      <c r="O21" s="403">
        <f>'[1]декабрь 20'!AU20</f>
        <v>12.625</v>
      </c>
      <c r="P21" s="401">
        <f t="shared" si="1"/>
        <v>173.113</v>
      </c>
      <c r="Q21" s="122">
        <f>'[1]декабрь 20'!S20</f>
        <v>173.113</v>
      </c>
      <c r="R21" s="123">
        <f t="shared" si="22"/>
        <v>2.91</v>
      </c>
      <c r="S21" s="129">
        <v>9.83</v>
      </c>
      <c r="T21" s="125">
        <f t="shared" si="2"/>
        <v>168.07541169999999</v>
      </c>
      <c r="U21" s="147">
        <f t="shared" si="3"/>
        <v>1.3281685361338791</v>
      </c>
      <c r="V21" s="130">
        <v>107.35</v>
      </c>
      <c r="W21" s="130">
        <v>28.5</v>
      </c>
      <c r="X21" s="129">
        <v>1.61</v>
      </c>
      <c r="Y21" s="131">
        <v>564</v>
      </c>
      <c r="Z21" s="150">
        <v>1146</v>
      </c>
      <c r="AA21" s="168" t="s">
        <v>161</v>
      </c>
      <c r="AB21" s="149">
        <v>75.709999999999994</v>
      </c>
      <c r="AC21" s="150">
        <v>106</v>
      </c>
      <c r="AD21" s="151">
        <v>5</v>
      </c>
      <c r="AE21" s="149"/>
      <c r="AF21" s="134">
        <f t="shared" si="4"/>
        <v>0</v>
      </c>
      <c r="AG21" s="152"/>
      <c r="AH21" s="129">
        <v>93.1</v>
      </c>
      <c r="AI21" s="134">
        <f t="shared" si="5"/>
        <v>735.69649161278323</v>
      </c>
      <c r="AJ21" s="136">
        <v>12.81</v>
      </c>
      <c r="AK21" s="154"/>
      <c r="AL21" s="155">
        <v>8.34</v>
      </c>
      <c r="AM21" s="478">
        <f t="shared" si="23"/>
        <v>36.453250000000004</v>
      </c>
      <c r="AN21" s="126">
        <f t="shared" si="24"/>
        <v>0.215</v>
      </c>
      <c r="AO21" s="157" t="s">
        <v>467</v>
      </c>
      <c r="AP21" s="156">
        <v>7.74</v>
      </c>
      <c r="AQ21" s="156">
        <v>6.83</v>
      </c>
      <c r="AR21" s="149"/>
      <c r="AS21" s="149">
        <v>8.66</v>
      </c>
      <c r="AT21" s="149">
        <v>169.55</v>
      </c>
      <c r="AU21" s="149">
        <v>1.79</v>
      </c>
      <c r="AV21" s="149"/>
      <c r="AW21" s="149"/>
      <c r="AX21" s="158">
        <f t="shared" si="6"/>
        <v>0</v>
      </c>
      <c r="AY21" s="125">
        <f t="shared" si="7"/>
        <v>126.54675000000002</v>
      </c>
      <c r="AZ21" s="125">
        <f t="shared" si="25"/>
        <v>117.93816529849167</v>
      </c>
      <c r="BA21" s="159">
        <f t="shared" si="8"/>
        <v>6.2455676056338021</v>
      </c>
      <c r="BB21" s="160">
        <f t="shared" si="9"/>
        <v>5.0618700000000008</v>
      </c>
      <c r="BC21" s="161">
        <f t="shared" si="10"/>
        <v>0.9742560219611941</v>
      </c>
      <c r="BD21" s="160">
        <f t="shared" si="26"/>
        <v>11.307437605633803</v>
      </c>
      <c r="BE21" s="162">
        <v>0.84199999999999997</v>
      </c>
      <c r="BF21" s="25">
        <f t="shared" si="27"/>
        <v>1196.7275</v>
      </c>
      <c r="BG21" s="25">
        <f t="shared" si="11"/>
        <v>116.7741935483871</v>
      </c>
      <c r="BH21" s="25">
        <f t="shared" si="28"/>
        <v>1751.6129032258063</v>
      </c>
      <c r="BI21" s="26">
        <f t="shared" si="12"/>
        <v>1</v>
      </c>
      <c r="BJ21" s="37">
        <f t="shared" si="29"/>
        <v>1751.6129032258063</v>
      </c>
      <c r="BK21" s="38"/>
      <c r="BL21" s="31">
        <v>206.84700000000001</v>
      </c>
      <c r="BM21" s="31"/>
      <c r="BN21" s="234">
        <v>47.716999999999999</v>
      </c>
      <c r="BO21" s="42"/>
      <c r="BP21" s="40"/>
      <c r="BQ21" s="411">
        <v>10.656000000000001</v>
      </c>
      <c r="BR21" s="33"/>
      <c r="BS21" s="34">
        <v>3.94</v>
      </c>
      <c r="BT21" s="35"/>
      <c r="BU21" s="35"/>
      <c r="BV21" s="235"/>
      <c r="BW21" s="235"/>
      <c r="BX21" s="36"/>
      <c r="BY21" s="33"/>
      <c r="BZ21" s="34">
        <v>36.72</v>
      </c>
      <c r="CA21" s="35"/>
      <c r="CB21" s="405">
        <v>43.72</v>
      </c>
      <c r="CC21" s="404"/>
      <c r="CD21" s="235"/>
      <c r="CE21" s="413">
        <v>43.56</v>
      </c>
      <c r="CF21" s="30">
        <v>66.995000000000005</v>
      </c>
      <c r="CG21" s="30"/>
      <c r="CH21" s="31"/>
      <c r="CI21" s="32">
        <v>106.11799999999999</v>
      </c>
      <c r="CJ21" s="33">
        <v>2.91</v>
      </c>
      <c r="CK21" s="33"/>
      <c r="CL21" s="35"/>
      <c r="CM21" s="36">
        <v>2.91</v>
      </c>
      <c r="CN21" s="286"/>
      <c r="CO21" s="249">
        <f t="shared" si="13"/>
        <v>0</v>
      </c>
      <c r="CP21" s="12">
        <f t="shared" si="13"/>
        <v>198.69722820000001</v>
      </c>
      <c r="CQ21" s="12">
        <f t="shared" si="13"/>
        <v>0</v>
      </c>
      <c r="CR21" s="12">
        <f t="shared" si="13"/>
        <v>47.716999999999999</v>
      </c>
      <c r="CS21" s="11">
        <f t="shared" si="13"/>
        <v>0</v>
      </c>
      <c r="CT21" s="11">
        <f t="shared" si="13"/>
        <v>0</v>
      </c>
      <c r="CU21" s="272">
        <f t="shared" si="13"/>
        <v>10.656000000000001</v>
      </c>
      <c r="CV21" s="249">
        <f t="shared" si="14"/>
        <v>65.0454455</v>
      </c>
      <c r="CW21" s="12">
        <f t="shared" si="14"/>
        <v>0</v>
      </c>
      <c r="CX21" s="249">
        <f t="shared" si="14"/>
        <v>0</v>
      </c>
      <c r="CY21" s="272">
        <f t="shared" si="14"/>
        <v>103.02996619999999</v>
      </c>
      <c r="CZ21" s="13"/>
      <c r="DA21" s="240">
        <f>(D21+'[2]декабрь 20'!D21)/(AY21+'[2]декабрь 20'!BA21)</f>
        <v>2.201613365568404</v>
      </c>
      <c r="DB21" s="241">
        <f>(T21+'[2]декабрь 20'!T21)/(AY21+'[2]декабрь 20'!BA21)</f>
        <v>1.4031010016702727</v>
      </c>
      <c r="DD21" s="292">
        <f t="shared" si="15"/>
        <v>22.876999999999999</v>
      </c>
      <c r="DE21" s="291">
        <v>0.22</v>
      </c>
      <c r="DF21" s="291">
        <v>15.07</v>
      </c>
      <c r="DG21" s="145">
        <f t="shared" si="16"/>
        <v>22.8266706</v>
      </c>
      <c r="DH21" s="293">
        <f t="shared" si="30"/>
        <v>4.5436260195746936</v>
      </c>
      <c r="DJ21" s="322"/>
      <c r="DK21" s="537"/>
    </row>
    <row r="22" spans="1:115" s="76" customFormat="1" ht="16.5" customHeight="1" thickBot="1">
      <c r="A22" s="144">
        <v>16</v>
      </c>
      <c r="B22" s="122">
        <f>'[1]декабрь 20'!K21</f>
        <v>260.67200000000003</v>
      </c>
      <c r="C22" s="123">
        <f t="shared" si="17"/>
        <v>1.6516445955069969</v>
      </c>
      <c r="D22" s="145">
        <f t="shared" si="18"/>
        <v>256.36662500000006</v>
      </c>
      <c r="E22" s="125">
        <f t="shared" si="19"/>
        <v>37.559570648170876</v>
      </c>
      <c r="F22" s="146">
        <f t="shared" si="0"/>
        <v>2.1304499125354748</v>
      </c>
      <c r="G22" s="127">
        <v>17.32</v>
      </c>
      <c r="H22" s="126">
        <f t="shared" si="20"/>
        <v>1.6283328970494746</v>
      </c>
      <c r="I22" s="230">
        <f>'[1]июль 20'!AI21</f>
        <v>0</v>
      </c>
      <c r="J22" s="247">
        <f>'[1]декабрь 20'!AA21</f>
        <v>25.957999999999998</v>
      </c>
      <c r="K22" s="464">
        <f>'[1]сентябрь 20'!AM21</f>
        <v>0</v>
      </c>
      <c r="L22" s="446">
        <f>'[1]декабрь 20'!AE21</f>
        <v>60.421999999999997</v>
      </c>
      <c r="M22" s="468">
        <f t="shared" si="21"/>
        <v>0.50211701548599952</v>
      </c>
      <c r="N22" s="542">
        <f>'[1]декабрь 20'!W21</f>
        <v>0</v>
      </c>
      <c r="O22" s="403">
        <f>'[1]декабрь 20'!AU21</f>
        <v>11.153</v>
      </c>
      <c r="P22" s="401">
        <f t="shared" si="1"/>
        <v>167.52500000000001</v>
      </c>
      <c r="Q22" s="122">
        <f>'[1]декабрь 20'!S21</f>
        <v>167.52500000000001</v>
      </c>
      <c r="R22" s="123">
        <f t="shared" si="22"/>
        <v>3.2499999999999996</v>
      </c>
      <c r="S22" s="129">
        <v>15.71</v>
      </c>
      <c r="T22" s="125">
        <f t="shared" si="2"/>
        <v>162.08043750000002</v>
      </c>
      <c r="U22" s="147">
        <f t="shared" si="3"/>
        <v>1.3469157847500095</v>
      </c>
      <c r="V22" s="130">
        <v>99</v>
      </c>
      <c r="W22" s="130">
        <v>72.83</v>
      </c>
      <c r="X22" s="129">
        <v>1.1000000000000001</v>
      </c>
      <c r="Y22" s="131">
        <v>548</v>
      </c>
      <c r="Z22" s="150">
        <v>1149</v>
      </c>
      <c r="AA22" s="148" t="s">
        <v>128</v>
      </c>
      <c r="AB22" s="149">
        <v>76.11</v>
      </c>
      <c r="AC22" s="150">
        <v>104</v>
      </c>
      <c r="AD22" s="151">
        <v>5</v>
      </c>
      <c r="AE22" s="149"/>
      <c r="AF22" s="134">
        <f t="shared" si="4"/>
        <v>0</v>
      </c>
      <c r="AG22" s="152"/>
      <c r="AH22" s="129">
        <v>88.6</v>
      </c>
      <c r="AI22" s="134">
        <f t="shared" si="5"/>
        <v>736.28095018469355</v>
      </c>
      <c r="AJ22" s="153">
        <v>10.56</v>
      </c>
      <c r="AK22" s="154"/>
      <c r="AL22" s="155">
        <v>8.5399999999999991</v>
      </c>
      <c r="AM22" s="478">
        <f t="shared" si="23"/>
        <v>34.765499999999996</v>
      </c>
      <c r="AN22" s="126">
        <f t="shared" si="24"/>
        <v>0.215</v>
      </c>
      <c r="AO22" s="157" t="s">
        <v>177</v>
      </c>
      <c r="AP22" s="156">
        <v>7.55</v>
      </c>
      <c r="AQ22" s="156">
        <v>6.71</v>
      </c>
      <c r="AR22" s="151"/>
      <c r="AS22" s="149">
        <v>7.27</v>
      </c>
      <c r="AT22" s="149">
        <v>161.69999999999999</v>
      </c>
      <c r="AU22" s="149">
        <v>1.94</v>
      </c>
      <c r="AV22" s="149"/>
      <c r="AW22" s="149"/>
      <c r="AX22" s="158">
        <f t="shared" si="6"/>
        <v>0</v>
      </c>
      <c r="AY22" s="125">
        <f t="shared" si="7"/>
        <v>120.33449999999999</v>
      </c>
      <c r="AZ22" s="125">
        <f t="shared" si="25"/>
        <v>115.68950790005928</v>
      </c>
      <c r="BA22" s="159">
        <f t="shared" si="8"/>
        <v>4.9896774647887314</v>
      </c>
      <c r="BB22" s="160">
        <f t="shared" si="9"/>
        <v>4.8133799999999995</v>
      </c>
      <c r="BC22" s="161">
        <f t="shared" si="10"/>
        <v>0.95115166956105013</v>
      </c>
      <c r="BD22" s="160">
        <f t="shared" si="26"/>
        <v>9.803057464788731</v>
      </c>
      <c r="BE22" s="162">
        <v>0.85099999999999998</v>
      </c>
      <c r="BF22" s="25">
        <f t="shared" si="27"/>
        <v>1317.0619999999999</v>
      </c>
      <c r="BG22" s="25">
        <f t="shared" si="11"/>
        <v>116.7741935483871</v>
      </c>
      <c r="BH22" s="25">
        <f t="shared" si="28"/>
        <v>1868.3870967741934</v>
      </c>
      <c r="BI22" s="26">
        <f t="shared" si="12"/>
        <v>1</v>
      </c>
      <c r="BJ22" s="37">
        <f t="shared" si="29"/>
        <v>1868.3870967741934</v>
      </c>
      <c r="BK22" s="38"/>
      <c r="BL22" s="31">
        <v>200.25</v>
      </c>
      <c r="BM22" s="31"/>
      <c r="BN22" s="234">
        <v>50.023000000000003</v>
      </c>
      <c r="BO22" s="42"/>
      <c r="BP22" s="40"/>
      <c r="BQ22" s="411">
        <v>10.398999999999999</v>
      </c>
      <c r="BR22" s="33"/>
      <c r="BS22" s="34">
        <v>2.15</v>
      </c>
      <c r="BT22" s="35"/>
      <c r="BU22" s="35"/>
      <c r="BV22" s="235"/>
      <c r="BW22" s="235"/>
      <c r="BX22" s="36"/>
      <c r="BY22" s="33"/>
      <c r="BZ22" s="34">
        <v>35.729999999999997</v>
      </c>
      <c r="CA22" s="35"/>
      <c r="CB22" s="405">
        <v>43.63</v>
      </c>
      <c r="CC22" s="404"/>
      <c r="CD22" s="235"/>
      <c r="CE22" s="413">
        <v>43.59</v>
      </c>
      <c r="CF22" s="30">
        <v>65.61</v>
      </c>
      <c r="CG22" s="30"/>
      <c r="CH22" s="31"/>
      <c r="CI22" s="32">
        <v>101.91500000000001</v>
      </c>
      <c r="CJ22" s="33">
        <v>3.25</v>
      </c>
      <c r="CK22" s="33"/>
      <c r="CL22" s="35"/>
      <c r="CM22" s="36">
        <v>3.25</v>
      </c>
      <c r="CN22" s="286"/>
      <c r="CO22" s="249">
        <f t="shared" si="13"/>
        <v>0</v>
      </c>
      <c r="CP22" s="12">
        <f t="shared" si="13"/>
        <v>195.94462499999997</v>
      </c>
      <c r="CQ22" s="12">
        <f t="shared" si="13"/>
        <v>0</v>
      </c>
      <c r="CR22" s="12">
        <f t="shared" si="13"/>
        <v>50.023000000000003</v>
      </c>
      <c r="CS22" s="11">
        <f t="shared" si="13"/>
        <v>0</v>
      </c>
      <c r="CT22" s="11">
        <f t="shared" si="13"/>
        <v>0</v>
      </c>
      <c r="CU22" s="272">
        <f t="shared" si="13"/>
        <v>10.398999999999999</v>
      </c>
      <c r="CV22" s="249">
        <f t="shared" si="14"/>
        <v>63.477674999999998</v>
      </c>
      <c r="CW22" s="12">
        <f t="shared" si="14"/>
        <v>0</v>
      </c>
      <c r="CX22" s="249">
        <f t="shared" si="14"/>
        <v>0</v>
      </c>
      <c r="CY22" s="272">
        <f t="shared" si="14"/>
        <v>98.602762500000011</v>
      </c>
      <c r="CZ22" s="13"/>
      <c r="DA22" s="240">
        <f>(D22+'[2]декабрь 20'!D22)/(AY22+'[2]декабрь 20'!BA22)</f>
        <v>2.1276827294875598</v>
      </c>
      <c r="DB22" s="241">
        <f>(T22+'[2]декабрь 20'!T22)/(AY22+'[2]декабрь 20'!BA22)</f>
        <v>1.3108146757490655</v>
      </c>
      <c r="DD22" s="292">
        <f t="shared" si="15"/>
        <v>25.957999999999998</v>
      </c>
      <c r="DE22" s="291">
        <v>0.19</v>
      </c>
      <c r="DF22" s="291">
        <v>15.4</v>
      </c>
      <c r="DG22" s="145">
        <f t="shared" si="16"/>
        <v>25.908679799999998</v>
      </c>
      <c r="DH22" s="293">
        <f t="shared" si="30"/>
        <v>5.2423291147024038</v>
      </c>
      <c r="DJ22" s="322"/>
      <c r="DK22" s="537"/>
    </row>
    <row r="23" spans="1:115" s="76" customFormat="1" ht="16.5" customHeight="1" thickBot="1">
      <c r="A23" s="144">
        <v>17</v>
      </c>
      <c r="B23" s="122">
        <f>'[1]декабрь 20'!K22</f>
        <v>275.27300000000002</v>
      </c>
      <c r="C23" s="123">
        <f t="shared" si="17"/>
        <v>1.0449560981280399</v>
      </c>
      <c r="D23" s="145">
        <f t="shared" si="18"/>
        <v>272.39651800000001</v>
      </c>
      <c r="E23" s="125">
        <f t="shared" si="19"/>
        <v>37.61091908759667</v>
      </c>
      <c r="F23" s="146">
        <f t="shared" si="0"/>
        <v>2.0709130912422218</v>
      </c>
      <c r="G23" s="127">
        <v>20.2</v>
      </c>
      <c r="H23" s="126">
        <f t="shared" si="20"/>
        <v>1.540177808863834</v>
      </c>
      <c r="I23" s="230">
        <f>'[1]июль 20'!AI22</f>
        <v>0</v>
      </c>
      <c r="J23" s="247">
        <f>'[1]декабрь 20'!AA22</f>
        <v>27.492999999999999</v>
      </c>
      <c r="K23" s="464">
        <f>'[1]сентябрь 20'!AM22</f>
        <v>0</v>
      </c>
      <c r="L23" s="446">
        <f>'[1]декабрь 20'!AE22</f>
        <v>69.81</v>
      </c>
      <c r="M23" s="469">
        <f t="shared" si="21"/>
        <v>0.53073528237838741</v>
      </c>
      <c r="N23" s="542">
        <f>'[1]декабрь 20'!W22</f>
        <v>0</v>
      </c>
      <c r="O23" s="403">
        <f>'[1]декабрь 20'!AU22</f>
        <v>10.993</v>
      </c>
      <c r="P23" s="401">
        <f t="shared" si="1"/>
        <v>173.649</v>
      </c>
      <c r="Q23" s="122">
        <f>'[1]декабрь 20'!S22</f>
        <v>173.649</v>
      </c>
      <c r="R23" s="123">
        <f t="shared" si="22"/>
        <v>3.21</v>
      </c>
      <c r="S23" s="129">
        <v>27.58</v>
      </c>
      <c r="T23" s="125">
        <f t="shared" si="2"/>
        <v>168.07486710000001</v>
      </c>
      <c r="U23" s="147">
        <f t="shared" si="3"/>
        <v>1.2778006310131562</v>
      </c>
      <c r="V23" s="130">
        <v>131.53</v>
      </c>
      <c r="W23" s="130">
        <v>51.57</v>
      </c>
      <c r="X23" s="129">
        <v>1.19</v>
      </c>
      <c r="Y23" s="131">
        <v>501</v>
      </c>
      <c r="Z23" s="150">
        <v>1159</v>
      </c>
      <c r="AA23" s="148" t="s">
        <v>174</v>
      </c>
      <c r="AB23" s="149">
        <v>76.650000000000006</v>
      </c>
      <c r="AC23" s="150">
        <v>110</v>
      </c>
      <c r="AD23" s="151">
        <v>5</v>
      </c>
      <c r="AE23" s="149">
        <v>3.75</v>
      </c>
      <c r="AF23" s="134">
        <f t="shared" si="4"/>
        <v>28.509630553200868</v>
      </c>
      <c r="AG23" s="152"/>
      <c r="AH23" s="129">
        <v>93.15</v>
      </c>
      <c r="AI23" s="134">
        <f t="shared" si="5"/>
        <v>708.17922294150958</v>
      </c>
      <c r="AJ23" s="136">
        <v>12.56</v>
      </c>
      <c r="AK23" s="154"/>
      <c r="AL23" s="155">
        <v>7.47</v>
      </c>
      <c r="AM23" s="478">
        <f t="shared" si="23"/>
        <v>37.345499999999994</v>
      </c>
      <c r="AN23" s="126">
        <f t="shared" si="24"/>
        <v>0.21499999999999997</v>
      </c>
      <c r="AO23" s="157" t="s">
        <v>239</v>
      </c>
      <c r="AP23" s="156">
        <v>7.43</v>
      </c>
      <c r="AQ23" s="156">
        <v>7.3</v>
      </c>
      <c r="AR23" s="151"/>
      <c r="AS23" s="149">
        <v>5.13</v>
      </c>
      <c r="AT23" s="149">
        <v>173.7</v>
      </c>
      <c r="AU23" s="149">
        <v>2.65</v>
      </c>
      <c r="AV23" s="149"/>
      <c r="AW23" s="149"/>
      <c r="AX23" s="158">
        <f t="shared" si="6"/>
        <v>0</v>
      </c>
      <c r="AY23" s="125">
        <f t="shared" si="7"/>
        <v>131.53450000000001</v>
      </c>
      <c r="AZ23" s="125">
        <f t="shared" si="25"/>
        <v>124.2466631123347</v>
      </c>
      <c r="BA23" s="159">
        <f t="shared" si="8"/>
        <v>3.7017285211267605</v>
      </c>
      <c r="BB23" s="160">
        <f t="shared" si="9"/>
        <v>5.2613800000000008</v>
      </c>
      <c r="BC23" s="161">
        <f t="shared" si="10"/>
        <v>0.98409344590898606</v>
      </c>
      <c r="BD23" s="160">
        <f t="shared" si="26"/>
        <v>8.9631085211267614</v>
      </c>
      <c r="BE23" s="162">
        <v>0.86199999999999999</v>
      </c>
      <c r="BF23" s="25">
        <f t="shared" si="27"/>
        <v>1448.5964999999999</v>
      </c>
      <c r="BG23" s="25">
        <f t="shared" si="11"/>
        <v>116.7741935483871</v>
      </c>
      <c r="BH23" s="25">
        <f t="shared" si="28"/>
        <v>1985.1612903225805</v>
      </c>
      <c r="BI23" s="26">
        <f t="shared" si="12"/>
        <v>1</v>
      </c>
      <c r="BJ23" s="37">
        <f t="shared" si="29"/>
        <v>1985.1612903225805</v>
      </c>
      <c r="BK23" s="38"/>
      <c r="BL23" s="31">
        <v>205.46299999999999</v>
      </c>
      <c r="BM23" s="31"/>
      <c r="BN23" s="234">
        <v>58.843000000000004</v>
      </c>
      <c r="BO23" s="42"/>
      <c r="BP23" s="40"/>
      <c r="BQ23" s="411">
        <v>10.967000000000001</v>
      </c>
      <c r="BR23" s="33"/>
      <c r="BS23" s="34">
        <v>1.4</v>
      </c>
      <c r="BT23" s="35"/>
      <c r="BU23" s="35"/>
      <c r="BV23" s="235"/>
      <c r="BW23" s="235"/>
      <c r="BX23" s="36"/>
      <c r="BY23" s="33"/>
      <c r="BZ23" s="34">
        <v>35.51</v>
      </c>
      <c r="CA23" s="35"/>
      <c r="CB23" s="405">
        <v>43.81</v>
      </c>
      <c r="CC23" s="404"/>
      <c r="CD23" s="235"/>
      <c r="CE23" s="413">
        <v>43.71</v>
      </c>
      <c r="CF23" s="30">
        <v>69.290000000000006</v>
      </c>
      <c r="CG23" s="30"/>
      <c r="CH23" s="31"/>
      <c r="CI23" s="32">
        <v>104.35899999999999</v>
      </c>
      <c r="CJ23" s="33">
        <v>3.21</v>
      </c>
      <c r="CK23" s="33"/>
      <c r="CL23" s="35"/>
      <c r="CM23" s="36">
        <v>3.21</v>
      </c>
      <c r="CN23" s="286"/>
      <c r="CO23" s="249">
        <f t="shared" ref="CO23:CU37" si="31">BK23*((100-BR23)/100)</f>
        <v>0</v>
      </c>
      <c r="CP23" s="12">
        <f t="shared" si="31"/>
        <v>202.58651799999998</v>
      </c>
      <c r="CQ23" s="12">
        <f t="shared" si="31"/>
        <v>0</v>
      </c>
      <c r="CR23" s="12">
        <f t="shared" si="31"/>
        <v>58.843000000000004</v>
      </c>
      <c r="CS23" s="11">
        <f t="shared" si="31"/>
        <v>0</v>
      </c>
      <c r="CT23" s="11">
        <f t="shared" si="31"/>
        <v>0</v>
      </c>
      <c r="CU23" s="272">
        <f t="shared" si="31"/>
        <v>10.967000000000001</v>
      </c>
      <c r="CV23" s="249">
        <f t="shared" si="14"/>
        <v>67.065791000000019</v>
      </c>
      <c r="CW23" s="11">
        <f t="shared" si="14"/>
        <v>0</v>
      </c>
      <c r="CX23" s="249">
        <f t="shared" si="14"/>
        <v>0</v>
      </c>
      <c r="CY23" s="272">
        <f t="shared" si="14"/>
        <v>101.0090761</v>
      </c>
      <c r="CZ23" s="13"/>
      <c r="DA23" s="240">
        <f>(D23+'[2]декабрь 20'!D23)/(AY23+'[2]декабрь 20'!BA23)</f>
        <v>2.1301834763948495</v>
      </c>
      <c r="DB23" s="241">
        <f>(T23+'[2]декабрь 20'!T23)/(AY23+'[2]декабрь 20'!BA23)</f>
        <v>1.2899981756862482</v>
      </c>
      <c r="DD23" s="292">
        <f t="shared" si="15"/>
        <v>27.492999999999999</v>
      </c>
      <c r="DE23" s="291">
        <v>0.19</v>
      </c>
      <c r="DF23" s="291">
        <v>21.12</v>
      </c>
      <c r="DG23" s="145">
        <f t="shared" si="16"/>
        <v>27.440763299999997</v>
      </c>
      <c r="DH23" s="293">
        <f t="shared" si="30"/>
        <v>7.560977441565556</v>
      </c>
      <c r="DJ23" s="322"/>
      <c r="DK23" s="537"/>
    </row>
    <row r="24" spans="1:115" s="76" customFormat="1" ht="16.5" customHeight="1" thickBot="1">
      <c r="A24" s="144">
        <v>18</v>
      </c>
      <c r="B24" s="122">
        <f>'[1]декабрь 20'!K23</f>
        <v>277.63200000000001</v>
      </c>
      <c r="C24" s="123">
        <f t="shared" si="17"/>
        <v>0.66604642116182566</v>
      </c>
      <c r="D24" s="145">
        <f t="shared" si="18"/>
        <v>275.78284200000002</v>
      </c>
      <c r="E24" s="125">
        <f t="shared" si="19"/>
        <v>38.672715537113874</v>
      </c>
      <c r="F24" s="146">
        <f t="shared" si="0"/>
        <v>2.1868175543071016</v>
      </c>
      <c r="G24" s="127">
        <v>18.09</v>
      </c>
      <c r="H24" s="126">
        <f t="shared" si="20"/>
        <v>1.6145461912672516</v>
      </c>
      <c r="I24" s="230">
        <f>'[1]июль 20'!AI23</f>
        <v>0</v>
      </c>
      <c r="J24" s="247">
        <f>'[1]декабрь 20'!AA23</f>
        <v>27.940999999999999</v>
      </c>
      <c r="K24" s="464">
        <f>'[1]сентябрь 20'!AM23</f>
        <v>0</v>
      </c>
      <c r="L24" s="446">
        <f>'[1]декабрь 20'!AE23</f>
        <v>72.17</v>
      </c>
      <c r="M24" s="468">
        <f t="shared" si="21"/>
        <v>0.57227136303984971</v>
      </c>
      <c r="N24" s="542">
        <f>'[1]декабрь 20'!W23</f>
        <v>0</v>
      </c>
      <c r="O24" s="403">
        <f>'[1]декабрь 20'!AU23</f>
        <v>10.054</v>
      </c>
      <c r="P24" s="401">
        <f t="shared" si="1"/>
        <v>173.904</v>
      </c>
      <c r="Q24" s="122">
        <f>'[1]декабрь 20'!S23</f>
        <v>173.904</v>
      </c>
      <c r="R24" s="123">
        <f t="shared" si="22"/>
        <v>3.0400000000000005</v>
      </c>
      <c r="S24" s="129">
        <v>9.1199999999999992</v>
      </c>
      <c r="T24" s="125">
        <f>Q24*((100-R24)/100)</f>
        <v>168.61731839999999</v>
      </c>
      <c r="U24" s="147">
        <f t="shared" si="3"/>
        <v>1.3370495030191536</v>
      </c>
      <c r="V24" s="130">
        <v>126.11</v>
      </c>
      <c r="W24" s="130">
        <v>101.41</v>
      </c>
      <c r="X24" s="129">
        <v>0.73</v>
      </c>
      <c r="Y24" s="150">
        <v>501</v>
      </c>
      <c r="Z24" s="150">
        <v>1158</v>
      </c>
      <c r="AA24" s="148" t="s">
        <v>112</v>
      </c>
      <c r="AB24" s="149">
        <v>75.69</v>
      </c>
      <c r="AC24" s="150">
        <v>111</v>
      </c>
      <c r="AD24" s="151">
        <v>5</v>
      </c>
      <c r="AE24" s="149">
        <v>1.75</v>
      </c>
      <c r="AF24" s="134">
        <f t="shared" si="4"/>
        <v>13.87660919107298</v>
      </c>
      <c r="AG24" s="152"/>
      <c r="AH24" s="129">
        <v>93.85</v>
      </c>
      <c r="AI24" s="134">
        <f t="shared" si="5"/>
        <v>744.18272718982803</v>
      </c>
      <c r="AJ24" s="153">
        <v>11.75</v>
      </c>
      <c r="AK24" s="154"/>
      <c r="AL24" s="155">
        <v>7.02</v>
      </c>
      <c r="AM24" s="478">
        <f t="shared" si="23"/>
        <v>36.098500000000001</v>
      </c>
      <c r="AN24" s="126">
        <f t="shared" si="24"/>
        <v>0.215</v>
      </c>
      <c r="AO24" s="157" t="s">
        <v>239</v>
      </c>
      <c r="AP24" s="156">
        <v>7.58</v>
      </c>
      <c r="AQ24" s="156">
        <v>7.16</v>
      </c>
      <c r="AR24" s="151"/>
      <c r="AS24" s="149">
        <v>7.25</v>
      </c>
      <c r="AT24" s="149">
        <v>167.9</v>
      </c>
      <c r="AU24" s="149">
        <v>1.33</v>
      </c>
      <c r="AV24" s="164"/>
      <c r="AW24" s="149"/>
      <c r="AX24" s="158">
        <f t="shared" si="6"/>
        <v>0</v>
      </c>
      <c r="AY24" s="125">
        <f t="shared" si="7"/>
        <v>126.11149999999999</v>
      </c>
      <c r="AZ24" s="125">
        <f t="shared" si="25"/>
        <v>131.28150631748053</v>
      </c>
      <c r="BA24" s="159">
        <f t="shared" si="8"/>
        <v>5.2708010563380272</v>
      </c>
      <c r="BB24" s="160">
        <f t="shared" si="9"/>
        <v>5.0444599999999999</v>
      </c>
      <c r="BC24" s="161">
        <f t="shared" si="10"/>
        <v>0.89499639326373537</v>
      </c>
      <c r="BD24" s="160">
        <f t="shared" si="26"/>
        <v>10.315261056338027</v>
      </c>
      <c r="BE24" s="162">
        <v>0.86399999999999999</v>
      </c>
      <c r="BF24" s="25">
        <f t="shared" si="27"/>
        <v>1574.7079999999999</v>
      </c>
      <c r="BG24" s="25">
        <f t="shared" si="11"/>
        <v>116.7741935483871</v>
      </c>
      <c r="BH24" s="25">
        <f t="shared" si="28"/>
        <v>2101.9354838709678</v>
      </c>
      <c r="BI24" s="26">
        <f t="shared" si="12"/>
        <v>1</v>
      </c>
      <c r="BJ24" s="37">
        <f t="shared" si="29"/>
        <v>2101.9354838709678</v>
      </c>
      <c r="BK24" s="38"/>
      <c r="BL24" s="31">
        <v>205.46199999999999</v>
      </c>
      <c r="BM24" s="31"/>
      <c r="BN24" s="234">
        <v>61.012</v>
      </c>
      <c r="BO24" s="42"/>
      <c r="BP24" s="40"/>
      <c r="BQ24" s="411">
        <v>11.157999999999999</v>
      </c>
      <c r="BR24" s="33"/>
      <c r="BS24" s="34">
        <v>0.9</v>
      </c>
      <c r="BT24" s="35"/>
      <c r="BU24" s="35"/>
      <c r="BV24" s="235"/>
      <c r="BW24" s="235"/>
      <c r="BX24" s="36"/>
      <c r="BY24" s="33"/>
      <c r="BZ24" s="34">
        <v>36.909999999999997</v>
      </c>
      <c r="CA24" s="35"/>
      <c r="CB24" s="405">
        <v>43.64</v>
      </c>
      <c r="CC24" s="404"/>
      <c r="CD24" s="235"/>
      <c r="CE24" s="413">
        <v>43.97</v>
      </c>
      <c r="CF24" s="30">
        <v>70.007000000000005</v>
      </c>
      <c r="CG24" s="30"/>
      <c r="CH24" s="31"/>
      <c r="CI24" s="32">
        <v>103.89700000000001</v>
      </c>
      <c r="CJ24" s="33">
        <v>3.04</v>
      </c>
      <c r="CK24" s="33"/>
      <c r="CL24" s="35"/>
      <c r="CM24" s="36">
        <v>3.04</v>
      </c>
      <c r="CN24" s="286"/>
      <c r="CO24" s="249">
        <f t="shared" si="31"/>
        <v>0</v>
      </c>
      <c r="CP24" s="12">
        <f t="shared" si="31"/>
        <v>203.612842</v>
      </c>
      <c r="CQ24" s="12">
        <f t="shared" si="31"/>
        <v>0</v>
      </c>
      <c r="CR24" s="12">
        <f t="shared" si="31"/>
        <v>61.012</v>
      </c>
      <c r="CS24" s="11">
        <f t="shared" si="31"/>
        <v>0</v>
      </c>
      <c r="CT24" s="11">
        <f t="shared" si="31"/>
        <v>0</v>
      </c>
      <c r="CU24" s="272">
        <f t="shared" si="31"/>
        <v>11.157999999999999</v>
      </c>
      <c r="CV24" s="249">
        <f t="shared" si="14"/>
        <v>67.878787200000005</v>
      </c>
      <c r="CW24" s="12">
        <f t="shared" si="14"/>
        <v>0</v>
      </c>
      <c r="CX24" s="249">
        <f t="shared" si="14"/>
        <v>0</v>
      </c>
      <c r="CY24" s="272">
        <f t="shared" si="14"/>
        <v>100.7385312</v>
      </c>
      <c r="CZ24" s="13"/>
      <c r="DA24" s="240">
        <f>(D24+'[2]декабрь 20'!D24)/(AY24+'[2]декабрь 20'!BA24)</f>
        <v>2.2238361543518717</v>
      </c>
      <c r="DB24" s="241">
        <f>(T24+'[2]декабрь 20'!T24)/(AY24+'[2]декабрь 20'!BA24)</f>
        <v>1.3410163422216774</v>
      </c>
      <c r="DD24" s="292">
        <f t="shared" si="15"/>
        <v>27.940999999999999</v>
      </c>
      <c r="DE24" s="291">
        <v>0.35</v>
      </c>
      <c r="DF24" s="291">
        <v>22.48</v>
      </c>
      <c r="DG24" s="145">
        <f t="shared" si="16"/>
        <v>27.843206500000001</v>
      </c>
      <c r="DH24" s="293">
        <f t="shared" si="30"/>
        <v>8.2694580805918871</v>
      </c>
      <c r="DJ24" s="322"/>
    </row>
    <row r="25" spans="1:115" s="76" customFormat="1" ht="16.5" customHeight="1" thickBot="1">
      <c r="A25" s="144">
        <v>19</v>
      </c>
      <c r="B25" s="122">
        <f>'[1]декабрь 20'!K24</f>
        <v>282.39299999999997</v>
      </c>
      <c r="C25" s="123">
        <f t="shared" si="17"/>
        <v>1.5620065653185453</v>
      </c>
      <c r="D25" s="145">
        <f t="shared" si="18"/>
        <v>277.98200279999998</v>
      </c>
      <c r="E25" s="125">
        <f t="shared" si="19"/>
        <v>39.078062027033248</v>
      </c>
      <c r="F25" s="146">
        <f t="shared" si="0"/>
        <v>1.9937422763484178</v>
      </c>
      <c r="G25" s="127">
        <v>19.79</v>
      </c>
      <c r="H25" s="126">
        <f t="shared" si="20"/>
        <v>1.4677260205591085</v>
      </c>
      <c r="I25" s="230">
        <f>'[1]июль 20'!AI24</f>
        <v>0</v>
      </c>
      <c r="J25" s="247">
        <f>'[1]декабрь 20'!AA24</f>
        <v>28.256</v>
      </c>
      <c r="K25" s="465">
        <f>'[1]сентябрь 20'!AM24</f>
        <v>0</v>
      </c>
      <c r="L25" s="446">
        <f>'[1]декабрь 20'!AE24</f>
        <v>73.340999999999994</v>
      </c>
      <c r="M25" s="469">
        <f t="shared" si="21"/>
        <v>0.52601625578930944</v>
      </c>
      <c r="N25" s="542">
        <f>'[1]декабрь 20'!W24</f>
        <v>0</v>
      </c>
      <c r="O25" s="403">
        <f>'[1]декабрь 20'!AU24</f>
        <v>8.99</v>
      </c>
      <c r="P25" s="401">
        <f t="shared" si="1"/>
        <v>177.012</v>
      </c>
      <c r="Q25" s="122">
        <f>'[1]декабрь 20'!S24</f>
        <v>177.012</v>
      </c>
      <c r="R25" s="123">
        <f>IF(Q25=0,0,(CI25*CM25+CG25*CK25+CH25*CL25+CF25*CJ25)/Q25)</f>
        <v>3.49</v>
      </c>
      <c r="S25" s="129"/>
      <c r="T25" s="125">
        <f t="shared" si="2"/>
        <v>170.83428120000002</v>
      </c>
      <c r="U25" s="147">
        <f t="shared" si="3"/>
        <v>1.2252574815898614</v>
      </c>
      <c r="V25" s="130">
        <v>139.43</v>
      </c>
      <c r="W25" s="130">
        <v>139.43</v>
      </c>
      <c r="X25" s="129">
        <v>0.39</v>
      </c>
      <c r="Y25" s="150">
        <v>504</v>
      </c>
      <c r="Z25" s="150">
        <v>1161</v>
      </c>
      <c r="AA25" s="148" t="s">
        <v>130</v>
      </c>
      <c r="AB25" s="149">
        <v>76.44</v>
      </c>
      <c r="AC25" s="150">
        <v>113</v>
      </c>
      <c r="AD25" s="151">
        <v>5</v>
      </c>
      <c r="AE25" s="149"/>
      <c r="AF25" s="134">
        <f t="shared" si="4"/>
        <v>0</v>
      </c>
      <c r="AG25" s="152"/>
      <c r="AH25" s="129">
        <v>100.5</v>
      </c>
      <c r="AI25" s="134">
        <f t="shared" si="5"/>
        <v>720.80601173730372</v>
      </c>
      <c r="AJ25" s="136">
        <v>13.95</v>
      </c>
      <c r="AK25" s="154"/>
      <c r="AL25" s="155">
        <v>5.51</v>
      </c>
      <c r="AM25" s="478">
        <f t="shared" si="23"/>
        <v>39.312750000000001</v>
      </c>
      <c r="AN25" s="126">
        <f t="shared" si="24"/>
        <v>0.21500000000000002</v>
      </c>
      <c r="AO25" s="157" t="s">
        <v>291</v>
      </c>
      <c r="AP25" s="156">
        <v>7.17</v>
      </c>
      <c r="AQ25" s="156">
        <v>7.16</v>
      </c>
      <c r="AR25" s="152"/>
      <c r="AS25" s="149">
        <v>10.16</v>
      </c>
      <c r="AT25" s="149">
        <v>182.85</v>
      </c>
      <c r="AU25" s="149">
        <v>1.4</v>
      </c>
      <c r="AV25" s="164"/>
      <c r="AW25" s="149"/>
      <c r="AX25" s="158">
        <f t="shared" si="6"/>
        <v>0</v>
      </c>
      <c r="AY25" s="125">
        <f t="shared" si="7"/>
        <v>139.42725000000002</v>
      </c>
      <c r="AZ25" s="125">
        <f t="shared" si="25"/>
        <v>130.78545892365946</v>
      </c>
      <c r="BA25" s="159">
        <f t="shared" si="8"/>
        <v>7.9097746478873239</v>
      </c>
      <c r="BB25" s="160">
        <f t="shared" si="9"/>
        <v>5.577090000000001</v>
      </c>
      <c r="BC25" s="161">
        <f t="shared" si="10"/>
        <v>0.98111212403767856</v>
      </c>
      <c r="BD25" s="160">
        <f t="shared" si="26"/>
        <v>13.486864647887325</v>
      </c>
      <c r="BE25" s="162">
        <v>0.873</v>
      </c>
      <c r="BF25" s="25">
        <f t="shared" si="27"/>
        <v>1714.1352499999998</v>
      </c>
      <c r="BG25" s="25">
        <f t="shared" si="11"/>
        <v>116.7741935483871</v>
      </c>
      <c r="BH25" s="25">
        <f t="shared" si="28"/>
        <v>2218.7096774193551</v>
      </c>
      <c r="BI25" s="26">
        <f t="shared" si="12"/>
        <v>1</v>
      </c>
      <c r="BJ25" s="37">
        <f t="shared" si="29"/>
        <v>2218.7096774193551</v>
      </c>
      <c r="BK25" s="38"/>
      <c r="BL25" s="31">
        <v>209.05199999999999</v>
      </c>
      <c r="BM25" s="31"/>
      <c r="BN25" s="234">
        <v>62.137</v>
      </c>
      <c r="BO25" s="42"/>
      <c r="BP25" s="40"/>
      <c r="BQ25" s="411">
        <v>11.204000000000001</v>
      </c>
      <c r="BR25" s="33"/>
      <c r="BS25" s="34">
        <v>2.11</v>
      </c>
      <c r="BT25" s="35"/>
      <c r="BU25" s="35"/>
      <c r="BV25" s="235"/>
      <c r="BW25" s="235"/>
      <c r="BX25" s="36"/>
      <c r="BY25" s="33"/>
      <c r="BZ25" s="34">
        <v>37.479999999999997</v>
      </c>
      <c r="CA25" s="35"/>
      <c r="CB25" s="405">
        <v>43.65</v>
      </c>
      <c r="CC25" s="404"/>
      <c r="CD25" s="235"/>
      <c r="CE25" s="413">
        <v>43.54</v>
      </c>
      <c r="CF25" s="30">
        <v>71.135999999999996</v>
      </c>
      <c r="CG25" s="30"/>
      <c r="CH25" s="31"/>
      <c r="CI25" s="32">
        <v>105.876</v>
      </c>
      <c r="CJ25" s="33">
        <v>3.49</v>
      </c>
      <c r="CK25" s="33"/>
      <c r="CL25" s="35"/>
      <c r="CM25" s="36">
        <v>3.49</v>
      </c>
      <c r="CN25" s="286"/>
      <c r="CO25" s="249">
        <f t="shared" si="31"/>
        <v>0</v>
      </c>
      <c r="CP25" s="12">
        <f t="shared" si="31"/>
        <v>204.6410028</v>
      </c>
      <c r="CQ25" s="12">
        <f t="shared" si="31"/>
        <v>0</v>
      </c>
      <c r="CR25" s="12">
        <f t="shared" si="31"/>
        <v>62.137</v>
      </c>
      <c r="CS25" s="11">
        <f t="shared" si="31"/>
        <v>0</v>
      </c>
      <c r="CT25" s="11">
        <f t="shared" si="31"/>
        <v>0</v>
      </c>
      <c r="CU25" s="272">
        <f t="shared" si="31"/>
        <v>11.204000000000001</v>
      </c>
      <c r="CV25" s="249">
        <f t="shared" si="14"/>
        <v>68.653353600000003</v>
      </c>
      <c r="CW25" s="251">
        <f t="shared" si="14"/>
        <v>0</v>
      </c>
      <c r="CX25" s="249">
        <f t="shared" si="14"/>
        <v>0</v>
      </c>
      <c r="CY25" s="272">
        <f t="shared" si="14"/>
        <v>102.18092760000002</v>
      </c>
      <c r="CZ25" s="13"/>
      <c r="DA25" s="240">
        <f>(D25+'[2]декабрь 20'!D25)/(AY25+'[2]декабрь 20'!BA25)</f>
        <v>2.0873404759614536</v>
      </c>
      <c r="DB25" s="241">
        <f>(T25+'[2]декабрь 20'!T25)/(AY25+'[2]декабрь 20'!BA25)</f>
        <v>1.2622009371607601</v>
      </c>
      <c r="DD25" s="292">
        <f t="shared" si="15"/>
        <v>28.256</v>
      </c>
      <c r="DE25" s="291">
        <v>0.3</v>
      </c>
      <c r="DF25" s="291">
        <v>18.239999999999998</v>
      </c>
      <c r="DG25" s="145">
        <f t="shared" si="16"/>
        <v>28.171232</v>
      </c>
      <c r="DH25" s="293">
        <f t="shared" si="30"/>
        <v>6.7221778084772366</v>
      </c>
      <c r="DJ25" s="322"/>
    </row>
    <row r="26" spans="1:115" s="76" customFormat="1" ht="16.5" customHeight="1" thickBot="1">
      <c r="A26" s="144">
        <v>20</v>
      </c>
      <c r="B26" s="122">
        <f>'[1]декабрь 20'!K25</f>
        <v>305.17500000000001</v>
      </c>
      <c r="C26" s="123">
        <f t="shared" si="17"/>
        <v>0.78462750880642262</v>
      </c>
      <c r="D26" s="145">
        <f t="shared" si="18"/>
        <v>302.78051299999998</v>
      </c>
      <c r="E26" s="125">
        <f t="shared" si="19"/>
        <v>38.46994698124027</v>
      </c>
      <c r="F26" s="146">
        <f t="shared" si="0"/>
        <v>1.9779233929971254</v>
      </c>
      <c r="G26" s="127">
        <v>30.88</v>
      </c>
      <c r="H26" s="126">
        <f t="shared" si="20"/>
        <v>1.4600242552913507</v>
      </c>
      <c r="I26" s="230">
        <f>'[1]июль 20'!AI25</f>
        <v>0</v>
      </c>
      <c r="J26" s="247">
        <f>'[1]декабрь 20'!AA25</f>
        <v>30.542000000000002</v>
      </c>
      <c r="K26" s="464">
        <f>'[1]сентябрь 20'!AM25</f>
        <v>0</v>
      </c>
      <c r="L26" s="446">
        <f>'[1]декабрь 20'!AE25</f>
        <v>79.28</v>
      </c>
      <c r="M26" s="468">
        <f t="shared" si="21"/>
        <v>0.51789913770577467</v>
      </c>
      <c r="N26" s="542">
        <f>'[1]декабрь 20'!W25</f>
        <v>0</v>
      </c>
      <c r="O26" s="403">
        <f>'[1]декабрь 20'!AU25</f>
        <v>9.7840000000000007</v>
      </c>
      <c r="P26" s="401">
        <f t="shared" si="1"/>
        <v>192.97</v>
      </c>
      <c r="Q26" s="122">
        <f>'[1]декабрь 20'!S25</f>
        <v>192.97</v>
      </c>
      <c r="R26" s="123">
        <f t="shared" si="22"/>
        <v>3.39</v>
      </c>
      <c r="S26" s="129">
        <v>11.85</v>
      </c>
      <c r="T26" s="125">
        <f t="shared" si="2"/>
        <v>186.42831699999999</v>
      </c>
      <c r="U26" s="147">
        <f t="shared" si="3"/>
        <v>1.2178489482623462</v>
      </c>
      <c r="V26" s="169">
        <v>124.27</v>
      </c>
      <c r="W26" s="169">
        <v>122.62</v>
      </c>
      <c r="X26" s="170">
        <v>0.6</v>
      </c>
      <c r="Y26" s="166">
        <v>481</v>
      </c>
      <c r="Z26" s="166">
        <v>1172</v>
      </c>
      <c r="AA26" s="148" t="s">
        <v>120</v>
      </c>
      <c r="AB26" s="164">
        <v>75.94</v>
      </c>
      <c r="AC26" s="166">
        <v>122</v>
      </c>
      <c r="AD26" s="171">
        <v>5</v>
      </c>
      <c r="AE26" s="164"/>
      <c r="AF26" s="172">
        <f t="shared" si="4"/>
        <v>0</v>
      </c>
      <c r="AG26" s="173"/>
      <c r="AH26" s="170">
        <v>94.6</v>
      </c>
      <c r="AI26" s="134">
        <f t="shared" si="5"/>
        <v>617.97752808988764</v>
      </c>
      <c r="AJ26" s="174">
        <v>16.71</v>
      </c>
      <c r="AK26" s="175"/>
      <c r="AL26" s="176">
        <v>7.19</v>
      </c>
      <c r="AM26" s="478">
        <v>21.85</v>
      </c>
      <c r="AN26" s="126">
        <f t="shared" si="24"/>
        <v>0.12088520055325036</v>
      </c>
      <c r="AO26" s="178" t="s">
        <v>199</v>
      </c>
      <c r="AP26" s="177">
        <v>7.36</v>
      </c>
      <c r="AQ26" s="177">
        <v>6.91</v>
      </c>
      <c r="AR26" s="171"/>
      <c r="AS26" s="164">
        <v>7.98</v>
      </c>
      <c r="AT26" s="149">
        <v>180.75</v>
      </c>
      <c r="AU26" s="164">
        <v>1.37</v>
      </c>
      <c r="AV26" s="164"/>
      <c r="AW26" s="164"/>
      <c r="AX26" s="179">
        <f t="shared" si="6"/>
        <v>0</v>
      </c>
      <c r="AY26" s="125">
        <f t="shared" si="7"/>
        <v>153.08000000000001</v>
      </c>
      <c r="AZ26" s="125">
        <f t="shared" si="25"/>
        <v>142.04489165847727</v>
      </c>
      <c r="BA26" s="159">
        <f t="shared" si="8"/>
        <v>5.847878873239436</v>
      </c>
      <c r="BB26" s="159">
        <f t="shared" si="9"/>
        <v>6.1232000000000006</v>
      </c>
      <c r="BC26" s="180">
        <f t="shared" si="10"/>
        <v>0.99802067475354594</v>
      </c>
      <c r="BD26" s="159">
        <f t="shared" si="26"/>
        <v>11.971078873239437</v>
      </c>
      <c r="BE26" s="167">
        <v>0.88200000000000001</v>
      </c>
      <c r="BF26" s="25">
        <f t="shared" si="27"/>
        <v>1867.2152499999997</v>
      </c>
      <c r="BG26" s="25">
        <f t="shared" si="11"/>
        <v>116.7741935483871</v>
      </c>
      <c r="BH26" s="25">
        <f t="shared" si="28"/>
        <v>2335.4838709677424</v>
      </c>
      <c r="BI26" s="26">
        <f t="shared" si="12"/>
        <v>1</v>
      </c>
      <c r="BJ26" s="37">
        <f t="shared" si="29"/>
        <v>2335.4838709677424</v>
      </c>
      <c r="BK26" s="38"/>
      <c r="BL26" s="43">
        <v>225.89500000000001</v>
      </c>
      <c r="BM26" s="31"/>
      <c r="BN26" s="406">
        <v>67.081999999999994</v>
      </c>
      <c r="BO26" s="42"/>
      <c r="BP26" s="40"/>
      <c r="BQ26" s="412">
        <v>12.198</v>
      </c>
      <c r="BR26" s="33"/>
      <c r="BS26" s="34">
        <v>1.06</v>
      </c>
      <c r="BT26" s="35"/>
      <c r="BU26" s="35"/>
      <c r="BV26" s="235"/>
      <c r="BW26" s="235"/>
      <c r="BX26" s="36"/>
      <c r="BY26" s="33"/>
      <c r="BZ26" s="34">
        <v>36.71</v>
      </c>
      <c r="CA26" s="35"/>
      <c r="CB26" s="405">
        <v>43.44</v>
      </c>
      <c r="CC26" s="404"/>
      <c r="CD26" s="235"/>
      <c r="CE26" s="413">
        <v>43.73</v>
      </c>
      <c r="CF26" s="30">
        <v>77.53</v>
      </c>
      <c r="CG26" s="30"/>
      <c r="CH26" s="43"/>
      <c r="CI26" s="32">
        <v>115.44</v>
      </c>
      <c r="CJ26" s="33">
        <v>3.39</v>
      </c>
      <c r="CK26" s="33"/>
      <c r="CL26" s="35"/>
      <c r="CM26" s="36">
        <v>3.39</v>
      </c>
      <c r="CN26" s="286"/>
      <c r="CO26" s="249">
        <f t="shared" si="31"/>
        <v>0</v>
      </c>
      <c r="CP26" s="12">
        <f t="shared" si="31"/>
        <v>223.50051299999998</v>
      </c>
      <c r="CQ26" s="12">
        <f t="shared" si="31"/>
        <v>0</v>
      </c>
      <c r="CR26" s="12">
        <f t="shared" si="31"/>
        <v>67.081999999999994</v>
      </c>
      <c r="CS26" s="11">
        <f t="shared" si="31"/>
        <v>0</v>
      </c>
      <c r="CT26" s="11">
        <f t="shared" si="31"/>
        <v>0</v>
      </c>
      <c r="CU26" s="272">
        <f t="shared" si="31"/>
        <v>12.198</v>
      </c>
      <c r="CV26" s="249">
        <f t="shared" si="14"/>
        <v>74.901732999999993</v>
      </c>
      <c r="CW26" s="12">
        <f t="shared" si="14"/>
        <v>0</v>
      </c>
      <c r="CX26" s="249">
        <f t="shared" si="14"/>
        <v>0</v>
      </c>
      <c r="CY26" s="274">
        <f t="shared" si="14"/>
        <v>111.526584</v>
      </c>
      <c r="CZ26" s="13"/>
      <c r="DA26" s="240">
        <f>(D26+'[2]декабрь 20'!D26)/(AY26+'[2]декабрь 20'!BA26)</f>
        <v>2.0594997611231758</v>
      </c>
      <c r="DB26" s="241">
        <f>(T26+'[2]декабрь 20'!T26)/(AY26+'[2]декабрь 20'!BA26)</f>
        <v>1.2312971996363822</v>
      </c>
      <c r="DD26" s="292">
        <f t="shared" si="15"/>
        <v>30.542000000000002</v>
      </c>
      <c r="DE26" s="291">
        <v>0.57999999999999996</v>
      </c>
      <c r="DF26" s="291">
        <v>20.36</v>
      </c>
      <c r="DG26" s="145">
        <f t="shared" si="16"/>
        <v>30.364856400000001</v>
      </c>
      <c r="DH26" s="293">
        <f t="shared" si="30"/>
        <v>8.1410123295233081</v>
      </c>
      <c r="DJ26" s="322"/>
    </row>
    <row r="27" spans="1:115" s="76" customFormat="1" ht="16.5" customHeight="1" thickBot="1">
      <c r="A27" s="144">
        <v>21</v>
      </c>
      <c r="B27" s="122">
        <f>'[1]декабрь 20'!K26</f>
        <v>292.73</v>
      </c>
      <c r="C27" s="123">
        <f t="shared" si="17"/>
        <v>3.3143858162812148</v>
      </c>
      <c r="D27" s="145">
        <f t="shared" si="18"/>
        <v>283.02779839999999</v>
      </c>
      <c r="E27" s="125">
        <f t="shared" si="19"/>
        <v>38.701810815427187</v>
      </c>
      <c r="F27" s="146">
        <f t="shared" si="0"/>
        <v>2.1268891544943029</v>
      </c>
      <c r="G27" s="127">
        <v>12.17</v>
      </c>
      <c r="H27" s="126">
        <f t="shared" si="20"/>
        <v>1.5545416338991329</v>
      </c>
      <c r="I27" s="230">
        <f>'[1]июль 20'!AI26</f>
        <v>0</v>
      </c>
      <c r="J27" s="247">
        <f>'[1]декабрь 20'!AA26</f>
        <v>18.077999999999999</v>
      </c>
      <c r="K27" s="464">
        <f>'[1]сентябрь 20'!AM26</f>
        <v>0</v>
      </c>
      <c r="L27" s="446">
        <f>'[1]декабрь 20'!AE26</f>
        <v>76.162999999999997</v>
      </c>
      <c r="M27" s="469">
        <f t="shared" si="21"/>
        <v>0.57234752059516991</v>
      </c>
      <c r="N27" s="542">
        <f>'[1]декабрь 20'!W26</f>
        <v>0</v>
      </c>
      <c r="O27" s="403">
        <f>'[1]декабрь 20'!AU26</f>
        <v>9.4770000000000003</v>
      </c>
      <c r="P27" s="401">
        <f t="shared" si="1"/>
        <v>183.46600000000001</v>
      </c>
      <c r="Q27" s="122">
        <f>'[1]декабрь 20'!S26</f>
        <v>183.46600000000001</v>
      </c>
      <c r="R27" s="123">
        <f t="shared" si="22"/>
        <v>3.120596186759399</v>
      </c>
      <c r="S27" s="129">
        <v>14.2</v>
      </c>
      <c r="T27" s="125">
        <f t="shared" si="2"/>
        <v>177.74076700000001</v>
      </c>
      <c r="U27" s="147">
        <f t="shared" si="3"/>
        <v>1.3356812008604415</v>
      </c>
      <c r="V27" s="130">
        <v>133.07</v>
      </c>
      <c r="W27" s="130">
        <v>109.36</v>
      </c>
      <c r="X27" s="129">
        <v>0.75</v>
      </c>
      <c r="Y27" s="150">
        <v>519</v>
      </c>
      <c r="Z27" s="150">
        <v>1168</v>
      </c>
      <c r="AA27" s="148" t="s">
        <v>116</v>
      </c>
      <c r="AB27" s="149">
        <v>76.45</v>
      </c>
      <c r="AC27" s="150">
        <v>117</v>
      </c>
      <c r="AD27" s="151">
        <v>5</v>
      </c>
      <c r="AE27" s="149"/>
      <c r="AF27" s="134">
        <f t="shared" si="4"/>
        <v>0</v>
      </c>
      <c r="AG27" s="152"/>
      <c r="AH27" s="129">
        <v>85.25</v>
      </c>
      <c r="AI27" s="134">
        <f t="shared" si="5"/>
        <v>640.63424669115227</v>
      </c>
      <c r="AJ27" s="136">
        <v>16.399999999999999</v>
      </c>
      <c r="AK27" s="154"/>
      <c r="AL27" s="155">
        <v>9.58</v>
      </c>
      <c r="AM27" s="478">
        <f t="shared" si="23"/>
        <v>38.53875</v>
      </c>
      <c r="AN27" s="126">
        <f t="shared" si="24"/>
        <v>0.215</v>
      </c>
      <c r="AO27" s="157" t="s">
        <v>468</v>
      </c>
      <c r="AP27" s="156">
        <v>7.33</v>
      </c>
      <c r="AQ27" s="156">
        <v>6.97</v>
      </c>
      <c r="AR27" s="151"/>
      <c r="AS27" s="149">
        <v>8.83</v>
      </c>
      <c r="AT27" s="149">
        <v>179.25</v>
      </c>
      <c r="AU27" s="149">
        <v>1.94</v>
      </c>
      <c r="AV27" s="164"/>
      <c r="AW27" s="149"/>
      <c r="AX27" s="158">
        <f t="shared" si="6"/>
        <v>0</v>
      </c>
      <c r="AY27" s="125">
        <f t="shared" si="7"/>
        <v>133.07124999999999</v>
      </c>
      <c r="AZ27" s="125">
        <f t="shared" si="25"/>
        <v>128.24557214803582</v>
      </c>
      <c r="BA27" s="159">
        <f t="shared" si="8"/>
        <v>5.8312200704225354</v>
      </c>
      <c r="BB27" s="160">
        <f t="shared" si="9"/>
        <v>5.3228499999999999</v>
      </c>
      <c r="BC27" s="161">
        <f t="shared" si="10"/>
        <v>0.92875539045333433</v>
      </c>
      <c r="BD27" s="160">
        <f t="shared" si="26"/>
        <v>11.154070070422534</v>
      </c>
      <c r="BE27" s="162">
        <v>0.88500000000000001</v>
      </c>
      <c r="BF27" s="25">
        <f t="shared" si="27"/>
        <v>2000.2864999999997</v>
      </c>
      <c r="BG27" s="25">
        <f t="shared" si="11"/>
        <v>116.7741935483871</v>
      </c>
      <c r="BH27" s="25">
        <f t="shared" si="28"/>
        <v>2452.2580645161297</v>
      </c>
      <c r="BI27" s="26">
        <f t="shared" si="12"/>
        <v>1</v>
      </c>
      <c r="BJ27" s="37">
        <f t="shared" si="29"/>
        <v>2452.2580645161297</v>
      </c>
      <c r="BK27" s="38"/>
      <c r="BL27" s="31">
        <v>216.56700000000001</v>
      </c>
      <c r="BM27" s="31"/>
      <c r="BN27" s="234">
        <v>64.366</v>
      </c>
      <c r="BO27" s="42"/>
      <c r="BP27" s="40"/>
      <c r="BQ27" s="411">
        <v>11.797000000000001</v>
      </c>
      <c r="BR27" s="33"/>
      <c r="BS27" s="34">
        <v>4.4800000000000004</v>
      </c>
      <c r="BT27" s="35"/>
      <c r="BU27" s="35"/>
      <c r="BV27" s="235"/>
      <c r="BW27" s="235"/>
      <c r="BX27" s="36"/>
      <c r="BY27" s="33"/>
      <c r="BZ27" s="34">
        <v>36.909999999999997</v>
      </c>
      <c r="CA27" s="35"/>
      <c r="CB27" s="405">
        <v>43.82</v>
      </c>
      <c r="CC27" s="404"/>
      <c r="CD27" s="235"/>
      <c r="CE27" s="413">
        <v>43.67</v>
      </c>
      <c r="CF27" s="30">
        <v>73.751000000000005</v>
      </c>
      <c r="CG27" s="30"/>
      <c r="CH27" s="31"/>
      <c r="CI27" s="32">
        <v>109.715</v>
      </c>
      <c r="CJ27" s="33">
        <v>3.3</v>
      </c>
      <c r="CK27" s="33"/>
      <c r="CL27" s="35"/>
      <c r="CM27" s="36">
        <v>3</v>
      </c>
      <c r="CN27" s="286"/>
      <c r="CO27" s="249">
        <f t="shared" si="31"/>
        <v>0</v>
      </c>
      <c r="CP27" s="12">
        <f t="shared" si="31"/>
        <v>206.86479839999998</v>
      </c>
      <c r="CQ27" s="12">
        <f t="shared" si="31"/>
        <v>0</v>
      </c>
      <c r="CR27" s="12">
        <f t="shared" si="31"/>
        <v>64.366</v>
      </c>
      <c r="CS27" s="11">
        <f t="shared" si="31"/>
        <v>0</v>
      </c>
      <c r="CT27" s="11">
        <f t="shared" si="31"/>
        <v>0</v>
      </c>
      <c r="CU27" s="272">
        <f t="shared" si="31"/>
        <v>11.797000000000001</v>
      </c>
      <c r="CV27" s="249">
        <f t="shared" si="14"/>
        <v>71.317217000000014</v>
      </c>
      <c r="CW27" s="11">
        <f t="shared" si="14"/>
        <v>0</v>
      </c>
      <c r="CX27" s="249">
        <f t="shared" si="14"/>
        <v>0</v>
      </c>
      <c r="CY27" s="272">
        <f t="shared" si="14"/>
        <v>106.42355000000001</v>
      </c>
      <c r="CZ27" s="13"/>
      <c r="DA27" s="240">
        <f>(D27+'[2]декабрь 20'!D27)/(AY27+'[2]декабрь 20'!BA27)</f>
        <v>2.1917237684491786</v>
      </c>
      <c r="DB27" s="241">
        <f>(T27+'[2]декабрь 20'!T27)/(AY27+'[2]декабрь 20'!BA27)</f>
        <v>1.3517950869942335</v>
      </c>
      <c r="DD27" s="292">
        <f t="shared" si="15"/>
        <v>18.077999999999999</v>
      </c>
      <c r="DE27" s="291">
        <v>1.65</v>
      </c>
      <c r="DF27" s="291">
        <v>13.6</v>
      </c>
      <c r="DG27" s="145">
        <f t="shared" si="16"/>
        <v>17.779712999999997</v>
      </c>
      <c r="DH27" s="293">
        <f t="shared" si="30"/>
        <v>3.1629051249182467</v>
      </c>
      <c r="DJ27" s="322"/>
    </row>
    <row r="28" spans="1:115" s="76" customFormat="1" ht="16.5" customHeight="1" thickBot="1">
      <c r="A28" s="144">
        <v>22</v>
      </c>
      <c r="B28" s="122">
        <f>'[1]декабрь 20'!K27</f>
        <v>300.077</v>
      </c>
      <c r="C28" s="123">
        <f t="shared" si="17"/>
        <v>1.1281567730949058</v>
      </c>
      <c r="D28" s="145">
        <f t="shared" si="18"/>
        <v>296.69166100000001</v>
      </c>
      <c r="E28" s="125">
        <f t="shared" si="19"/>
        <v>38.782250389066803</v>
      </c>
      <c r="F28" s="146">
        <f t="shared" si="0"/>
        <v>2.2582126889698397</v>
      </c>
      <c r="G28" s="127">
        <v>29.15</v>
      </c>
      <c r="H28" s="126">
        <f t="shared" si="20"/>
        <v>1.6643629332168297</v>
      </c>
      <c r="I28" s="230">
        <f>'[1]июль 20'!AI27</f>
        <v>0</v>
      </c>
      <c r="J28" s="247">
        <f>'[1]декабрь 20'!AA27</f>
        <v>12.002000000000001</v>
      </c>
      <c r="K28" s="464">
        <f>'[1]сентябрь 20'!AM27</f>
        <v>0</v>
      </c>
      <c r="L28" s="446">
        <f>'[1]декабрь 20'!AE27</f>
        <v>78.022000000000006</v>
      </c>
      <c r="M28" s="468">
        <f t="shared" si="21"/>
        <v>0.59384975575300991</v>
      </c>
      <c r="N28" s="542">
        <f>'[1]декабрь 20'!W27</f>
        <v>0</v>
      </c>
      <c r="O28" s="403">
        <f>'[1]декабрь 20'!AU27</f>
        <v>10.173999999999999</v>
      </c>
      <c r="P28" s="401">
        <f t="shared" si="1"/>
        <v>189.53800000000001</v>
      </c>
      <c r="Q28" s="122">
        <f>'[1]декабрь 20'!S27</f>
        <v>189.53800000000001</v>
      </c>
      <c r="R28" s="123">
        <f t="shared" si="22"/>
        <v>3.34</v>
      </c>
      <c r="S28" s="129">
        <v>11.36</v>
      </c>
      <c r="T28" s="125">
        <f t="shared" si="2"/>
        <v>183.20743080000003</v>
      </c>
      <c r="U28" s="147">
        <f t="shared" si="3"/>
        <v>1.3944488481802118</v>
      </c>
      <c r="V28" s="130">
        <v>131.38</v>
      </c>
      <c r="W28" s="130">
        <v>104.71</v>
      </c>
      <c r="X28" s="129">
        <v>0.56999999999999995</v>
      </c>
      <c r="Y28" s="150">
        <v>509</v>
      </c>
      <c r="Z28" s="150">
        <v>1152</v>
      </c>
      <c r="AA28" s="148" t="s">
        <v>114</v>
      </c>
      <c r="AB28" s="149">
        <v>76.180000000000007</v>
      </c>
      <c r="AC28" s="150">
        <v>120</v>
      </c>
      <c r="AD28" s="151">
        <v>5</v>
      </c>
      <c r="AE28" s="149"/>
      <c r="AF28" s="134">
        <f t="shared" si="4"/>
        <v>0</v>
      </c>
      <c r="AG28" s="152"/>
      <c r="AH28" s="129">
        <v>91.15</v>
      </c>
      <c r="AI28" s="134">
        <f t="shared" si="5"/>
        <v>693.77105479078796</v>
      </c>
      <c r="AJ28" s="153">
        <v>19.079999999999998</v>
      </c>
      <c r="AK28" s="154"/>
      <c r="AL28" s="155">
        <v>10.57</v>
      </c>
      <c r="AM28" s="478">
        <f t="shared" si="23"/>
        <v>38.1066</v>
      </c>
      <c r="AN28" s="126">
        <f t="shared" si="24"/>
        <v>0.215</v>
      </c>
      <c r="AO28" s="157" t="s">
        <v>197</v>
      </c>
      <c r="AP28" s="156">
        <v>7.19</v>
      </c>
      <c r="AQ28" s="156">
        <v>6.92</v>
      </c>
      <c r="AR28" s="151"/>
      <c r="AS28" s="149">
        <v>8.5299999999999994</v>
      </c>
      <c r="AT28" s="149">
        <v>177.24</v>
      </c>
      <c r="AU28" s="149">
        <v>2.82</v>
      </c>
      <c r="AV28" s="164"/>
      <c r="AW28" s="149"/>
      <c r="AX28" s="158">
        <f t="shared" si="6"/>
        <v>0</v>
      </c>
      <c r="AY28" s="125">
        <f t="shared" si="7"/>
        <v>131.38339999999999</v>
      </c>
      <c r="AZ28" s="125">
        <f t="shared" si="25"/>
        <v>134.35771630348333</v>
      </c>
      <c r="BA28" s="159">
        <f t="shared" si="8"/>
        <v>6.0229609154929573</v>
      </c>
      <c r="BB28" s="160">
        <f t="shared" si="9"/>
        <v>5.2553359999999998</v>
      </c>
      <c r="BC28" s="161">
        <f t="shared" si="10"/>
        <v>0.8698474987225242</v>
      </c>
      <c r="BD28" s="160">
        <f t="shared" si="26"/>
        <v>11.278296915492957</v>
      </c>
      <c r="BE28" s="162">
        <v>0.88400000000000001</v>
      </c>
      <c r="BF28" s="25">
        <f t="shared" si="27"/>
        <v>2131.6698999999999</v>
      </c>
      <c r="BG28" s="25">
        <f t="shared" si="11"/>
        <v>116.7741935483871</v>
      </c>
      <c r="BH28" s="25">
        <f t="shared" si="28"/>
        <v>2569.032258064517</v>
      </c>
      <c r="BI28" s="26">
        <f t="shared" si="12"/>
        <v>1</v>
      </c>
      <c r="BJ28" s="37">
        <f t="shared" si="29"/>
        <v>2569.032258064517</v>
      </c>
      <c r="BK28" s="38">
        <v>137.65</v>
      </c>
      <c r="BL28" s="31">
        <v>84.405000000000001</v>
      </c>
      <c r="BM28" s="31"/>
      <c r="BN28" s="234">
        <v>66.033000000000001</v>
      </c>
      <c r="BO28" s="42"/>
      <c r="BP28" s="40"/>
      <c r="BQ28" s="411">
        <v>11.989000000000001</v>
      </c>
      <c r="BR28" s="33">
        <v>1</v>
      </c>
      <c r="BS28" s="34">
        <v>2.38</v>
      </c>
      <c r="BT28" s="35"/>
      <c r="BU28" s="35"/>
      <c r="BV28" s="235"/>
      <c r="BW28" s="235"/>
      <c r="BX28" s="36"/>
      <c r="BY28" s="33">
        <v>37.33</v>
      </c>
      <c r="BZ28" s="34">
        <v>37.049999999999997</v>
      </c>
      <c r="CA28" s="35"/>
      <c r="CB28" s="405">
        <v>43.12</v>
      </c>
      <c r="CC28" s="404"/>
      <c r="CD28" s="235"/>
      <c r="CE28" s="36">
        <v>43.76</v>
      </c>
      <c r="CF28" s="30">
        <v>75.646000000000001</v>
      </c>
      <c r="CG28" s="30"/>
      <c r="CH28" s="31"/>
      <c r="CI28" s="32">
        <v>113.892</v>
      </c>
      <c r="CJ28" s="33">
        <v>3.34</v>
      </c>
      <c r="CK28" s="33"/>
      <c r="CL28" s="35"/>
      <c r="CM28" s="36">
        <v>3.34</v>
      </c>
      <c r="CN28" s="286"/>
      <c r="CO28" s="249">
        <f t="shared" si="31"/>
        <v>136.27350000000001</v>
      </c>
      <c r="CP28" s="12">
        <f t="shared" si="31"/>
        <v>82.396161000000006</v>
      </c>
      <c r="CQ28" s="12">
        <f t="shared" si="31"/>
        <v>0</v>
      </c>
      <c r="CR28" s="12">
        <f t="shared" si="31"/>
        <v>66.033000000000001</v>
      </c>
      <c r="CS28" s="11">
        <f t="shared" si="31"/>
        <v>0</v>
      </c>
      <c r="CT28" s="11">
        <f t="shared" si="31"/>
        <v>0</v>
      </c>
      <c r="CU28" s="272">
        <f t="shared" si="31"/>
        <v>11.989000000000001</v>
      </c>
      <c r="CV28" s="249">
        <f t="shared" si="14"/>
        <v>73.119423600000005</v>
      </c>
      <c r="CW28" s="12">
        <f t="shared" si="14"/>
        <v>0</v>
      </c>
      <c r="CX28" s="249">
        <f t="shared" si="14"/>
        <v>0</v>
      </c>
      <c r="CY28" s="272">
        <f t="shared" si="14"/>
        <v>110.08800719999999</v>
      </c>
      <c r="CZ28" s="13"/>
      <c r="DA28" s="240">
        <f>(D28+'[2]декабрь 20'!D28)/(AY28+'[2]декабрь 20'!BA28)</f>
        <v>2.3046747112704336</v>
      </c>
      <c r="DB28" s="241">
        <f>(T28+'[2]декабрь 20'!T28)/(AY28+'[2]декабрь 20'!BA28)</f>
        <v>1.4006813459261378</v>
      </c>
      <c r="DD28" s="292">
        <f t="shared" si="15"/>
        <v>12.002000000000001</v>
      </c>
      <c r="DE28" s="305">
        <v>1.39</v>
      </c>
      <c r="DF28" s="291">
        <v>16.079999999999998</v>
      </c>
      <c r="DG28" s="145">
        <f t="shared" si="16"/>
        <v>11.835172200000001</v>
      </c>
      <c r="DH28" s="293">
        <f t="shared" si="30"/>
        <v>2.498156589341034</v>
      </c>
      <c r="DJ28" s="322"/>
    </row>
    <row r="29" spans="1:115" s="76" customFormat="1" ht="16.5" customHeight="1" thickBot="1">
      <c r="A29" s="144">
        <v>23</v>
      </c>
      <c r="B29" s="122">
        <f>'[1]декабрь 20'!K28</f>
        <v>277.64499999999998</v>
      </c>
      <c r="C29" s="123">
        <f t="shared" si="17"/>
        <v>1.6587109438311516</v>
      </c>
      <c r="D29" s="145">
        <f t="shared" si="18"/>
        <v>273.039672</v>
      </c>
      <c r="E29" s="125">
        <f t="shared" si="19"/>
        <v>38.750286516955107</v>
      </c>
      <c r="F29" s="146">
        <f t="shared" si="0"/>
        <v>2.1148037758866067</v>
      </c>
      <c r="G29" s="127">
        <v>15.72</v>
      </c>
      <c r="H29" s="126">
        <f t="shared" si="20"/>
        <v>1.5567470988604568</v>
      </c>
      <c r="I29" s="230">
        <f>'[1]июль 20'!AI28</f>
        <v>0</v>
      </c>
      <c r="J29" s="247">
        <f>'[1]декабрь 20'!AA28</f>
        <v>11.016999999999999</v>
      </c>
      <c r="K29" s="464">
        <f>'[1]сентябрь 20'!AM28</f>
        <v>0</v>
      </c>
      <c r="L29" s="446">
        <f>'[1]декабрь 20'!AE28</f>
        <v>72.05</v>
      </c>
      <c r="M29" s="469">
        <f t="shared" si="21"/>
        <v>0.55805667702615036</v>
      </c>
      <c r="N29" s="542">
        <f>'[1]декабрь 20'!W28</f>
        <v>0</v>
      </c>
      <c r="O29" s="403">
        <f>'[1]декабрь 20'!AU28</f>
        <v>9.7899999999999991</v>
      </c>
      <c r="P29" s="401">
        <f t="shared" si="1"/>
        <v>176.50200000000001</v>
      </c>
      <c r="Q29" s="122">
        <f>'[1]декабрь 20'!S28</f>
        <v>176.50200000000001</v>
      </c>
      <c r="R29" s="123">
        <f t="shared" si="22"/>
        <v>3.3399999999999994</v>
      </c>
      <c r="S29" s="129">
        <v>16.920000000000002</v>
      </c>
      <c r="T29" s="125">
        <f t="shared" si="2"/>
        <v>170.60683320000001</v>
      </c>
      <c r="U29" s="147">
        <f t="shared" si="3"/>
        <v>1.3214196032414534</v>
      </c>
      <c r="V29" s="130">
        <v>129.11000000000001</v>
      </c>
      <c r="W29" s="130">
        <v>103.07</v>
      </c>
      <c r="X29" s="129">
        <v>0.66</v>
      </c>
      <c r="Y29" s="150">
        <v>557</v>
      </c>
      <c r="Z29" s="150">
        <v>1160</v>
      </c>
      <c r="AA29" s="148" t="s">
        <v>134</v>
      </c>
      <c r="AB29" s="149">
        <v>76.84</v>
      </c>
      <c r="AC29" s="150">
        <v>111</v>
      </c>
      <c r="AD29" s="151">
        <v>5</v>
      </c>
      <c r="AE29" s="149"/>
      <c r="AF29" s="134">
        <f t="shared" si="4"/>
        <v>0</v>
      </c>
      <c r="AG29" s="152"/>
      <c r="AH29" s="129">
        <v>92.85</v>
      </c>
      <c r="AI29" s="134">
        <f t="shared" si="5"/>
        <v>719.16117226756501</v>
      </c>
      <c r="AJ29" s="136">
        <v>12.12</v>
      </c>
      <c r="AK29" s="154"/>
      <c r="AL29" s="155">
        <v>10.56</v>
      </c>
      <c r="AM29" s="478">
        <f t="shared" si="23"/>
        <v>37.571249999999999</v>
      </c>
      <c r="AN29" s="126">
        <f t="shared" si="24"/>
        <v>0.215</v>
      </c>
      <c r="AO29" s="157" t="s">
        <v>201</v>
      </c>
      <c r="AP29" s="156">
        <v>7.08</v>
      </c>
      <c r="AQ29" s="156">
        <v>6.96</v>
      </c>
      <c r="AR29" s="149"/>
      <c r="AS29" s="149">
        <v>7.76</v>
      </c>
      <c r="AT29" s="149">
        <v>174.75</v>
      </c>
      <c r="AU29" s="149">
        <v>2.4900000000000002</v>
      </c>
      <c r="AV29" s="164"/>
      <c r="AW29" s="149"/>
      <c r="AX29" s="158">
        <f t="shared" si="6"/>
        <v>0</v>
      </c>
      <c r="AY29" s="125">
        <f t="shared" si="7"/>
        <v>129.10875000000001</v>
      </c>
      <c r="AZ29" s="125">
        <f t="shared" si="25"/>
        <v>122.2767111681744</v>
      </c>
      <c r="BA29" s="159">
        <f t="shared" si="8"/>
        <v>5.5814619718309855</v>
      </c>
      <c r="BB29" s="160">
        <f t="shared" si="9"/>
        <v>5.1643500000000007</v>
      </c>
      <c r="BC29" s="161">
        <f t="shared" si="10"/>
        <v>0.9376534611004107</v>
      </c>
      <c r="BD29" s="160">
        <f t="shared" si="26"/>
        <v>10.745811971830985</v>
      </c>
      <c r="BE29" s="162">
        <v>0.88700000000000001</v>
      </c>
      <c r="BF29" s="25">
        <f t="shared" si="27"/>
        <v>2260.7786499999997</v>
      </c>
      <c r="BG29" s="25">
        <f t="shared" si="11"/>
        <v>116.7741935483871</v>
      </c>
      <c r="BH29" s="25">
        <f t="shared" si="28"/>
        <v>2685.8064516129043</v>
      </c>
      <c r="BI29" s="26">
        <f t="shared" si="12"/>
        <v>1</v>
      </c>
      <c r="BJ29" s="37">
        <f t="shared" si="29"/>
        <v>2685.8064516129043</v>
      </c>
      <c r="BK29" s="328"/>
      <c r="BL29" s="31">
        <v>205.595</v>
      </c>
      <c r="BM29" s="31"/>
      <c r="BN29" s="31">
        <v>61.064999999999998</v>
      </c>
      <c r="BO29" s="40"/>
      <c r="BP29" s="40"/>
      <c r="BQ29" s="32">
        <v>10.984999999999999</v>
      </c>
      <c r="BR29" s="33"/>
      <c r="BS29" s="34">
        <v>2.2400000000000002</v>
      </c>
      <c r="BT29" s="35"/>
      <c r="BU29" s="35"/>
      <c r="BV29" s="235"/>
      <c r="BW29" s="235"/>
      <c r="BX29" s="36"/>
      <c r="BY29" s="33"/>
      <c r="BZ29" s="34">
        <v>37.14</v>
      </c>
      <c r="CA29" s="35"/>
      <c r="CB29" s="35">
        <v>43.33</v>
      </c>
      <c r="CC29" s="235"/>
      <c r="CD29" s="235"/>
      <c r="CE29" s="36">
        <v>43.43</v>
      </c>
      <c r="CF29" s="30">
        <v>69.975999999999999</v>
      </c>
      <c r="CG29" s="30"/>
      <c r="CH29" s="31"/>
      <c r="CI29" s="32">
        <v>106.526</v>
      </c>
      <c r="CJ29" s="33">
        <v>3.34</v>
      </c>
      <c r="CK29" s="33"/>
      <c r="CL29" s="35"/>
      <c r="CM29" s="36">
        <v>3.34</v>
      </c>
      <c r="CN29" s="286"/>
      <c r="CO29" s="249">
        <f t="shared" si="31"/>
        <v>0</v>
      </c>
      <c r="CP29" s="12">
        <f t="shared" si="31"/>
        <v>200.98967200000001</v>
      </c>
      <c r="CQ29" s="12">
        <f t="shared" si="31"/>
        <v>0</v>
      </c>
      <c r="CR29" s="12">
        <f t="shared" si="31"/>
        <v>61.064999999999998</v>
      </c>
      <c r="CS29" s="11">
        <f t="shared" si="31"/>
        <v>0</v>
      </c>
      <c r="CT29" s="11">
        <f t="shared" si="31"/>
        <v>0</v>
      </c>
      <c r="CU29" s="272">
        <f t="shared" si="31"/>
        <v>10.984999999999999</v>
      </c>
      <c r="CV29" s="249">
        <f t="shared" si="14"/>
        <v>67.638801599999994</v>
      </c>
      <c r="CW29" s="12">
        <f t="shared" si="14"/>
        <v>0</v>
      </c>
      <c r="CX29" s="249">
        <f t="shared" si="14"/>
        <v>0</v>
      </c>
      <c r="CY29" s="272">
        <f t="shared" si="14"/>
        <v>102.9680316</v>
      </c>
      <c r="CZ29" s="13"/>
      <c r="DA29" s="240">
        <f>(D29+'[2]декабрь 20'!D29)/(AY29+'[2]декабрь 20'!BA29)</f>
        <v>2.104922118152901</v>
      </c>
      <c r="DB29" s="241">
        <f>(T29+'[2]декабрь 20'!T29)/(AY29+'[2]декабрь 20'!BA29)</f>
        <v>1.2870388234984149</v>
      </c>
      <c r="DD29" s="292">
        <f t="shared" si="15"/>
        <v>11.016999999999999</v>
      </c>
      <c r="DE29" s="291">
        <v>1.3</v>
      </c>
      <c r="DF29" s="291">
        <v>14.63</v>
      </c>
      <c r="DG29" s="145">
        <f t="shared" si="16"/>
        <v>10.873778999999999</v>
      </c>
      <c r="DH29" s="293">
        <f t="shared" si="30"/>
        <v>2.0703199735814679</v>
      </c>
      <c r="DJ29" s="322"/>
    </row>
    <row r="30" spans="1:115" s="76" customFormat="1" ht="16.5" customHeight="1" thickBot="1">
      <c r="A30" s="144">
        <v>24</v>
      </c>
      <c r="B30" s="122">
        <f>'[1]декабрь 20'!K29</f>
        <v>307.59699999999998</v>
      </c>
      <c r="C30" s="123">
        <f t="shared" si="17"/>
        <v>1.4057419285623722</v>
      </c>
      <c r="D30" s="145">
        <f t="shared" si="18"/>
        <v>303.27297999999996</v>
      </c>
      <c r="E30" s="125">
        <f t="shared" si="19"/>
        <v>38.118456811997518</v>
      </c>
      <c r="F30" s="146">
        <f t="shared" si="0"/>
        <v>2.2584404351217655</v>
      </c>
      <c r="G30" s="127">
        <v>26.59</v>
      </c>
      <c r="H30" s="126">
        <f t="shared" si="20"/>
        <v>1.6625626609226325</v>
      </c>
      <c r="I30" s="230">
        <f>'[1]июль 20'!AI29</f>
        <v>0</v>
      </c>
      <c r="J30" s="247">
        <f>'[1]декабрь 20'!AA29</f>
        <v>12.311</v>
      </c>
      <c r="K30" s="464">
        <f>'[1]сентябрь 20'!AM29</f>
        <v>0</v>
      </c>
      <c r="L30" s="446">
        <f>'[1]декабрь 20'!AE29</f>
        <v>80.016999999999996</v>
      </c>
      <c r="M30" s="468">
        <f t="shared" si="21"/>
        <v>0.59587777419913346</v>
      </c>
      <c r="N30" s="542">
        <f>'[1]декабрь 20'!W29</f>
        <v>0</v>
      </c>
      <c r="O30" s="403">
        <f>'[1]декабрь 20'!AU29</f>
        <v>11.757999999999999</v>
      </c>
      <c r="P30" s="401">
        <f t="shared" si="1"/>
        <v>196.166</v>
      </c>
      <c r="Q30" s="122">
        <f>'[1]декабрь 20'!S29</f>
        <v>196.166</v>
      </c>
      <c r="R30" s="123">
        <f t="shared" si="22"/>
        <v>3.27</v>
      </c>
      <c r="S30" s="129">
        <v>10.33</v>
      </c>
      <c r="T30" s="125">
        <f t="shared" si="2"/>
        <v>189.75137180000002</v>
      </c>
      <c r="U30" s="147">
        <f t="shared" si="3"/>
        <v>1.4130575387657152</v>
      </c>
      <c r="V30" s="169">
        <v>134.28</v>
      </c>
      <c r="W30" s="169">
        <v>103.98</v>
      </c>
      <c r="X30" s="170">
        <v>0.61</v>
      </c>
      <c r="Y30" s="166">
        <v>536</v>
      </c>
      <c r="Z30" s="166">
        <v>1166</v>
      </c>
      <c r="AA30" s="148" t="s">
        <v>174</v>
      </c>
      <c r="AB30" s="164">
        <v>76.16</v>
      </c>
      <c r="AC30" s="166">
        <v>123</v>
      </c>
      <c r="AD30" s="171">
        <v>5</v>
      </c>
      <c r="AE30" s="164"/>
      <c r="AF30" s="172">
        <f t="shared" si="4"/>
        <v>0</v>
      </c>
      <c r="AG30" s="173"/>
      <c r="AH30" s="170">
        <v>85.6</v>
      </c>
      <c r="AI30" s="134">
        <f t="shared" si="5"/>
        <v>637.45375946918557</v>
      </c>
      <c r="AJ30" s="174">
        <v>13.57</v>
      </c>
      <c r="AK30" s="175"/>
      <c r="AL30" s="176">
        <v>7.39</v>
      </c>
      <c r="AM30" s="478">
        <f t="shared" si="23"/>
        <v>38.065750000000001</v>
      </c>
      <c r="AN30" s="126">
        <f t="shared" si="24"/>
        <v>0.215</v>
      </c>
      <c r="AO30" s="178" t="s">
        <v>200</v>
      </c>
      <c r="AP30" s="177">
        <v>6.82</v>
      </c>
      <c r="AQ30" s="177">
        <v>6.75</v>
      </c>
      <c r="AR30" s="171"/>
      <c r="AS30" s="164">
        <v>8.1199999999999992</v>
      </c>
      <c r="AT30" s="149">
        <v>177.05</v>
      </c>
      <c r="AU30" s="164">
        <v>2.69</v>
      </c>
      <c r="AV30" s="164"/>
      <c r="AW30" s="164"/>
      <c r="AX30" s="179">
        <f t="shared" si="6"/>
        <v>0</v>
      </c>
      <c r="AY30" s="125">
        <f t="shared" si="7"/>
        <v>134.28425000000001</v>
      </c>
      <c r="AZ30" s="125">
        <f t="shared" si="25"/>
        <v>134.69622781299975</v>
      </c>
      <c r="BA30" s="159">
        <f t="shared" si="8"/>
        <v>5.3843605633802802</v>
      </c>
      <c r="BB30" s="159">
        <f t="shared" si="9"/>
        <v>5.3713700000000006</v>
      </c>
      <c r="BC30" s="180">
        <f t="shared" si="10"/>
        <v>0.88467343043529556</v>
      </c>
      <c r="BD30" s="159">
        <f t="shared" si="26"/>
        <v>10.755730563380281</v>
      </c>
      <c r="BE30" s="167">
        <v>0.88700000000000001</v>
      </c>
      <c r="BF30" s="25">
        <f t="shared" si="27"/>
        <v>2395.0628999999999</v>
      </c>
      <c r="BG30" s="25">
        <f t="shared" si="11"/>
        <v>116.7741935483871</v>
      </c>
      <c r="BH30" s="25">
        <f t="shared" si="28"/>
        <v>2802.5806451612916</v>
      </c>
      <c r="BI30" s="26">
        <f t="shared" si="12"/>
        <v>1</v>
      </c>
      <c r="BJ30" s="37">
        <f t="shared" si="29"/>
        <v>2802.5806451612916</v>
      </c>
      <c r="BK30" s="38"/>
      <c r="BL30" s="31">
        <v>227.58</v>
      </c>
      <c r="BM30" s="31"/>
      <c r="BN30" s="31">
        <v>67.602999999999994</v>
      </c>
      <c r="BO30" s="40"/>
      <c r="BP30" s="40"/>
      <c r="BQ30" s="44">
        <v>12.414</v>
      </c>
      <c r="BR30" s="45"/>
      <c r="BS30" s="46">
        <v>1.9</v>
      </c>
      <c r="BT30" s="47"/>
      <c r="BU30" s="47"/>
      <c r="BV30" s="283"/>
      <c r="BW30" s="283"/>
      <c r="BX30" s="48"/>
      <c r="BY30" s="45"/>
      <c r="BZ30" s="46">
        <v>36.43</v>
      </c>
      <c r="CA30" s="47"/>
      <c r="CB30" s="47">
        <v>42.84</v>
      </c>
      <c r="CC30" s="283"/>
      <c r="CD30" s="283"/>
      <c r="CE30" s="48">
        <v>43.36</v>
      </c>
      <c r="CF30" s="49">
        <v>77.558999999999997</v>
      </c>
      <c r="CG30" s="49"/>
      <c r="CH30" s="43"/>
      <c r="CI30" s="32">
        <v>118.607</v>
      </c>
      <c r="CJ30" s="33">
        <v>3.27</v>
      </c>
      <c r="CK30" s="33"/>
      <c r="CL30" s="35"/>
      <c r="CM30" s="36">
        <v>3.27</v>
      </c>
      <c r="CN30" s="286"/>
      <c r="CO30" s="249">
        <f t="shared" si="31"/>
        <v>0</v>
      </c>
      <c r="CP30" s="12">
        <f t="shared" si="31"/>
        <v>223.25598000000002</v>
      </c>
      <c r="CQ30" s="12">
        <f t="shared" si="31"/>
        <v>0</v>
      </c>
      <c r="CR30" s="12">
        <f t="shared" si="31"/>
        <v>67.602999999999994</v>
      </c>
      <c r="CS30" s="11">
        <f t="shared" si="31"/>
        <v>0</v>
      </c>
      <c r="CT30" s="11">
        <f t="shared" si="31"/>
        <v>0</v>
      </c>
      <c r="CU30" s="272">
        <f t="shared" si="31"/>
        <v>12.414</v>
      </c>
      <c r="CV30" s="249">
        <f t="shared" si="14"/>
        <v>75.022820699999997</v>
      </c>
      <c r="CW30" s="11">
        <f t="shared" si="14"/>
        <v>0</v>
      </c>
      <c r="CX30" s="252">
        <f t="shared" si="14"/>
        <v>0</v>
      </c>
      <c r="CY30" s="272">
        <f t="shared" si="14"/>
        <v>114.7285511</v>
      </c>
      <c r="CZ30" s="13"/>
      <c r="DA30" s="240">
        <f>(D30+'[2]декабрь 20'!D30)/(AY30+'[2]декабрь 20'!BA30)</f>
        <v>2.2518760587576296</v>
      </c>
      <c r="DB30" s="241">
        <f>(T30+'[2]декабрь 20'!T30)/(AY30+'[2]декабрь 20'!BA30)</f>
        <v>1.3793615528242655</v>
      </c>
      <c r="DD30" s="292">
        <f t="shared" si="15"/>
        <v>12.311</v>
      </c>
      <c r="DE30" s="291">
        <v>0.66</v>
      </c>
      <c r="DF30" s="291">
        <v>13.6</v>
      </c>
      <c r="DG30" s="145">
        <f t="shared" si="16"/>
        <v>12.229747400000001</v>
      </c>
      <c r="DH30" s="293">
        <f t="shared" si="30"/>
        <v>2.183883464285715</v>
      </c>
      <c r="DJ30" s="322"/>
    </row>
    <row r="31" spans="1:115" s="76" customFormat="1" ht="16.5" customHeight="1" thickBot="1">
      <c r="A31" s="144">
        <v>25</v>
      </c>
      <c r="B31" s="122">
        <f>'[1]декабрь 20'!K30</f>
        <v>294.97399999999999</v>
      </c>
      <c r="C31" s="123">
        <f t="shared" si="17"/>
        <v>1.1098232386583227</v>
      </c>
      <c r="D31" s="145">
        <f t="shared" si="18"/>
        <v>291.70031</v>
      </c>
      <c r="E31" s="125">
        <f t="shared" si="19"/>
        <v>38.195770067870392</v>
      </c>
      <c r="F31" s="146">
        <f t="shared" si="0"/>
        <v>2.15354858952684</v>
      </c>
      <c r="G31" s="127">
        <v>17.88</v>
      </c>
      <c r="H31" s="126">
        <f t="shared" si="20"/>
        <v>1.5870854404913954</v>
      </c>
      <c r="I31" s="230">
        <f>'[1]июль 20'!AI30</f>
        <v>0</v>
      </c>
      <c r="J31" s="247">
        <f>'[1]декабрь 20'!AA30</f>
        <v>11.798</v>
      </c>
      <c r="K31" s="464">
        <f>'[1]сентябрь 20'!AM30</f>
        <v>0</v>
      </c>
      <c r="L31" s="446">
        <f>'[1]декабрь 20'!AE30</f>
        <v>76.727999999999994</v>
      </c>
      <c r="M31" s="469">
        <f t="shared" si="21"/>
        <v>0.56646314903544459</v>
      </c>
      <c r="N31" s="542">
        <f>'[1]декабрь 20'!W30</f>
        <v>0</v>
      </c>
      <c r="O31" s="403">
        <f>'[1]декабрь 20'!AU30</f>
        <v>11.781000000000001</v>
      </c>
      <c r="P31" s="401">
        <f t="shared" si="1"/>
        <v>187.35599999999999</v>
      </c>
      <c r="Q31" s="122">
        <f>'[1]декабрь 20'!S30</f>
        <v>187.35599999999999</v>
      </c>
      <c r="R31" s="123">
        <f>IF(Q31=0,0,(CI31*CM31+CG31*CK31+CH31*CL31+CF31*CJ31)/Q31)</f>
        <v>3.3</v>
      </c>
      <c r="S31" s="129">
        <v>40.98</v>
      </c>
      <c r="T31" s="125">
        <f t="shared" si="2"/>
        <v>181.17325200000002</v>
      </c>
      <c r="U31" s="147">
        <f t="shared" si="3"/>
        <v>1.3375556621951852</v>
      </c>
      <c r="V31" s="130">
        <v>135.44999999999999</v>
      </c>
      <c r="W31" s="130">
        <v>107.11</v>
      </c>
      <c r="X31" s="129">
        <v>0.8</v>
      </c>
      <c r="Y31" s="150">
        <v>548</v>
      </c>
      <c r="Z31" s="150">
        <v>1170</v>
      </c>
      <c r="AA31" s="148" t="s">
        <v>391</v>
      </c>
      <c r="AB31" s="149">
        <v>76.459999999999994</v>
      </c>
      <c r="AC31" s="150">
        <v>118</v>
      </c>
      <c r="AD31" s="151">
        <v>5</v>
      </c>
      <c r="AE31" s="149"/>
      <c r="AF31" s="134">
        <f t="shared" si="4"/>
        <v>0</v>
      </c>
      <c r="AG31" s="152"/>
      <c r="AH31" s="129">
        <v>86.85</v>
      </c>
      <c r="AI31" s="134">
        <f t="shared" si="5"/>
        <v>641.19127950328902</v>
      </c>
      <c r="AJ31" s="136">
        <v>17.03</v>
      </c>
      <c r="AK31" s="154"/>
      <c r="AL31" s="155">
        <v>10.79</v>
      </c>
      <c r="AM31" s="478">
        <f t="shared" si="23"/>
        <v>39.259</v>
      </c>
      <c r="AN31" s="126">
        <f t="shared" si="24"/>
        <v>0.215</v>
      </c>
      <c r="AO31" s="157" t="s">
        <v>184</v>
      </c>
      <c r="AP31" s="156">
        <v>7.16</v>
      </c>
      <c r="AQ31" s="156">
        <v>7.01</v>
      </c>
      <c r="AR31" s="151"/>
      <c r="AS31" s="149">
        <v>8.2799999999999994</v>
      </c>
      <c r="AT31" s="149">
        <v>182.6</v>
      </c>
      <c r="AU31" s="149">
        <v>2.9</v>
      </c>
      <c r="AV31" s="164"/>
      <c r="AW31" s="149"/>
      <c r="AX31" s="158">
        <f t="shared" si="6"/>
        <v>0</v>
      </c>
      <c r="AY31" s="125">
        <f t="shared" si="7"/>
        <v>135.45099999999999</v>
      </c>
      <c r="AZ31" s="125">
        <f t="shared" si="25"/>
        <v>130.60588326944452</v>
      </c>
      <c r="BA31" s="159">
        <f t="shared" si="8"/>
        <v>5.5706323943661964</v>
      </c>
      <c r="BB31" s="160">
        <f t="shared" si="9"/>
        <v>5.4180399999999995</v>
      </c>
      <c r="BC31" s="161">
        <f t="shared" si="10"/>
        <v>0.92953200649695678</v>
      </c>
      <c r="BD31" s="160">
        <f t="shared" si="26"/>
        <v>10.988672394366196</v>
      </c>
      <c r="BE31" s="162">
        <v>0.88900000000000001</v>
      </c>
      <c r="BF31" s="25">
        <f t="shared" si="27"/>
        <v>2530.5138999999999</v>
      </c>
      <c r="BG31" s="25">
        <f t="shared" si="11"/>
        <v>116.7741935483871</v>
      </c>
      <c r="BH31" s="25">
        <f t="shared" si="28"/>
        <v>2919.3548387096789</v>
      </c>
      <c r="BI31" s="26">
        <f t="shared" si="12"/>
        <v>1</v>
      </c>
      <c r="BJ31" s="37">
        <f t="shared" si="29"/>
        <v>2919.3548387096789</v>
      </c>
      <c r="BK31" s="38"/>
      <c r="BL31" s="31">
        <v>218.24600000000001</v>
      </c>
      <c r="BM31" s="31"/>
      <c r="BN31" s="31">
        <v>64.965000000000003</v>
      </c>
      <c r="BO31" s="40"/>
      <c r="BP31" s="40"/>
      <c r="BQ31" s="32">
        <v>11.763</v>
      </c>
      <c r="BR31" s="33"/>
      <c r="BS31" s="34">
        <v>1.5</v>
      </c>
      <c r="BT31" s="35"/>
      <c r="BU31" s="35"/>
      <c r="BV31" s="235"/>
      <c r="BW31" s="235"/>
      <c r="BX31" s="36"/>
      <c r="BY31" s="33"/>
      <c r="BZ31" s="34">
        <v>36.36</v>
      </c>
      <c r="CA31" s="35"/>
      <c r="CB31" s="35">
        <v>43.35</v>
      </c>
      <c r="CC31" s="235"/>
      <c r="CD31" s="235"/>
      <c r="CE31" s="36">
        <v>43.79</v>
      </c>
      <c r="CF31" s="30">
        <v>74.396000000000001</v>
      </c>
      <c r="CG31" s="30"/>
      <c r="CH31" s="31"/>
      <c r="CI31" s="32">
        <v>112.96</v>
      </c>
      <c r="CJ31" s="33">
        <v>3.3</v>
      </c>
      <c r="CK31" s="33"/>
      <c r="CL31" s="35"/>
      <c r="CM31" s="36">
        <v>3.3</v>
      </c>
      <c r="CN31" s="286"/>
      <c r="CO31" s="249">
        <f t="shared" si="31"/>
        <v>0</v>
      </c>
      <c r="CP31" s="12">
        <f t="shared" si="31"/>
        <v>214.97230999999999</v>
      </c>
      <c r="CQ31" s="12">
        <f t="shared" si="31"/>
        <v>0</v>
      </c>
      <c r="CR31" s="12">
        <f t="shared" si="31"/>
        <v>64.965000000000003</v>
      </c>
      <c r="CS31" s="11">
        <f t="shared" si="31"/>
        <v>0</v>
      </c>
      <c r="CT31" s="11">
        <f t="shared" si="31"/>
        <v>0</v>
      </c>
      <c r="CU31" s="272">
        <f t="shared" si="31"/>
        <v>11.763</v>
      </c>
      <c r="CV31" s="249">
        <f t="shared" si="14"/>
        <v>71.940932000000004</v>
      </c>
      <c r="CW31" s="12">
        <f t="shared" si="14"/>
        <v>0</v>
      </c>
      <c r="CX31" s="249">
        <f t="shared" si="14"/>
        <v>0</v>
      </c>
      <c r="CY31" s="272">
        <f t="shared" si="14"/>
        <v>109.23232</v>
      </c>
      <c r="CZ31" s="13"/>
      <c r="DA31" s="240">
        <f>(D31+'[2]декабрь 20'!D31)/(AY31+'[2]декабрь 20'!BA31)</f>
        <v>1.9756840983291724</v>
      </c>
      <c r="DB31" s="241">
        <f>(T31+'[2]декабрь 20'!T31)/(AY31+'[2]декабрь 20'!BA31)</f>
        <v>1.2259391280967928</v>
      </c>
      <c r="DD31" s="292">
        <f t="shared" si="15"/>
        <v>11.798</v>
      </c>
      <c r="DE31" s="291">
        <v>0.51</v>
      </c>
      <c r="DF31" s="291">
        <v>22.1</v>
      </c>
      <c r="DG31" s="145">
        <f t="shared" si="16"/>
        <v>11.737830199999999</v>
      </c>
      <c r="DH31" s="293">
        <f t="shared" si="30"/>
        <v>3.3927026866335339</v>
      </c>
      <c r="DJ31" s="322"/>
    </row>
    <row r="32" spans="1:115" s="76" customFormat="1" ht="16.5" customHeight="1" thickBot="1">
      <c r="A32" s="144">
        <v>26</v>
      </c>
      <c r="B32" s="122">
        <f>'[1]декабрь 20'!K31</f>
        <v>292.89400000000001</v>
      </c>
      <c r="C32" s="123">
        <f t="shared" si="17"/>
        <v>0.93330098943645134</v>
      </c>
      <c r="D32" s="145">
        <f t="shared" si="18"/>
        <v>290.16041740000003</v>
      </c>
      <c r="E32" s="125">
        <f t="shared" si="19"/>
        <v>38.743850642211846</v>
      </c>
      <c r="F32" s="146">
        <f t="shared" si="0"/>
        <v>2.2103881649637684</v>
      </c>
      <c r="G32" s="127">
        <v>23.48</v>
      </c>
      <c r="H32" s="126">
        <f t="shared" si="20"/>
        <v>1.6318684967195789</v>
      </c>
      <c r="I32" s="230">
        <f>'[1]июль 20'!AI31</f>
        <v>0</v>
      </c>
      <c r="J32" s="247">
        <f>'[1]декабрь 20'!AA31</f>
        <v>11.627000000000001</v>
      </c>
      <c r="K32" s="464">
        <f>'[1]сентябрь 20'!AM31</f>
        <v>0</v>
      </c>
      <c r="L32" s="446">
        <f>'[1]декабрь 20'!AE31</f>
        <v>75.942999999999998</v>
      </c>
      <c r="M32" s="468">
        <f t="shared" si="21"/>
        <v>0.5785196682441891</v>
      </c>
      <c r="N32" s="542">
        <f>'[1]декабрь 20'!W31</f>
        <v>0</v>
      </c>
      <c r="O32" s="403">
        <f>'[1]декабрь 20'!AU31</f>
        <v>11.553000000000001</v>
      </c>
      <c r="P32" s="401">
        <f t="shared" si="1"/>
        <v>184.51900000000001</v>
      </c>
      <c r="Q32" s="122">
        <f>'[1]декабрь 20'!S31</f>
        <v>184.51900000000001</v>
      </c>
      <c r="R32" s="123">
        <f t="shared" si="22"/>
        <v>3.1500000000000004</v>
      </c>
      <c r="S32" s="129">
        <v>8.5500000000000007</v>
      </c>
      <c r="T32" s="125">
        <f t="shared" si="2"/>
        <v>178.70665149999999</v>
      </c>
      <c r="U32" s="147">
        <f t="shared" si="3"/>
        <v>1.3613540779111954</v>
      </c>
      <c r="V32" s="130">
        <v>131.27000000000001</v>
      </c>
      <c r="W32" s="130">
        <v>51.74</v>
      </c>
      <c r="X32" s="129">
        <v>1.04</v>
      </c>
      <c r="Y32" s="150">
        <v>546</v>
      </c>
      <c r="Z32" s="150">
        <v>1166</v>
      </c>
      <c r="AA32" s="148" t="s">
        <v>159</v>
      </c>
      <c r="AB32" s="149">
        <v>75.8</v>
      </c>
      <c r="AC32" s="150">
        <v>117</v>
      </c>
      <c r="AD32" s="151">
        <v>5</v>
      </c>
      <c r="AE32" s="149"/>
      <c r="AF32" s="134">
        <f t="shared" si="4"/>
        <v>0</v>
      </c>
      <c r="AG32" s="152"/>
      <c r="AH32" s="129">
        <v>85.85</v>
      </c>
      <c r="AI32" s="134">
        <f t="shared" si="5"/>
        <v>653.98935410457364</v>
      </c>
      <c r="AJ32" s="153">
        <v>16.29</v>
      </c>
      <c r="AK32" s="154"/>
      <c r="AL32" s="155">
        <v>8.2100000000000009</v>
      </c>
      <c r="AM32" s="478">
        <f t="shared" si="23"/>
        <v>37.678750000000001</v>
      </c>
      <c r="AN32" s="126">
        <f t="shared" si="24"/>
        <v>0.215</v>
      </c>
      <c r="AO32" s="157" t="s">
        <v>184</v>
      </c>
      <c r="AP32" s="156">
        <v>7.52</v>
      </c>
      <c r="AQ32" s="156">
        <v>6.76</v>
      </c>
      <c r="AR32" s="151"/>
      <c r="AS32" s="149">
        <v>7.6</v>
      </c>
      <c r="AT32" s="149">
        <v>175.25</v>
      </c>
      <c r="AU32" s="149">
        <v>1.91</v>
      </c>
      <c r="AV32" s="149"/>
      <c r="AW32" s="149"/>
      <c r="AX32" s="158">
        <f t="shared" si="6"/>
        <v>0</v>
      </c>
      <c r="AY32" s="125">
        <f t="shared" si="7"/>
        <v>131.27124999999998</v>
      </c>
      <c r="AZ32" s="125">
        <f t="shared" si="25"/>
        <v>132.52292007158263</v>
      </c>
      <c r="BA32" s="159">
        <f t="shared" si="8"/>
        <v>5.0542676056338021</v>
      </c>
      <c r="BB32" s="160">
        <f t="shared" si="9"/>
        <v>5.2508499999999989</v>
      </c>
      <c r="BC32" s="161">
        <f t="shared" si="10"/>
        <v>0.88511128349644219</v>
      </c>
      <c r="BD32" s="160">
        <f t="shared" si="26"/>
        <v>10.3051176056338</v>
      </c>
      <c r="BE32" s="162">
        <v>0.88900000000000001</v>
      </c>
      <c r="BF32" s="25">
        <f t="shared" si="27"/>
        <v>2661.7851499999997</v>
      </c>
      <c r="BG32" s="25">
        <f t="shared" si="11"/>
        <v>116.7741935483871</v>
      </c>
      <c r="BH32" s="25">
        <f t="shared" si="28"/>
        <v>3036.1290322580662</v>
      </c>
      <c r="BI32" s="26">
        <f t="shared" si="12"/>
        <v>1</v>
      </c>
      <c r="BJ32" s="37">
        <f t="shared" si="29"/>
        <v>3036.1290322580662</v>
      </c>
      <c r="BK32" s="38"/>
      <c r="BL32" s="31">
        <v>216.95099999999999</v>
      </c>
      <c r="BM32" s="31"/>
      <c r="BN32" s="31">
        <v>64.328999999999994</v>
      </c>
      <c r="BO32" s="40"/>
      <c r="BP32" s="40"/>
      <c r="BQ32" s="32">
        <v>11.614000000000001</v>
      </c>
      <c r="BR32" s="33"/>
      <c r="BS32" s="34">
        <v>1.26</v>
      </c>
      <c r="BT32" s="35"/>
      <c r="BU32" s="35"/>
      <c r="BV32" s="235"/>
      <c r="BW32" s="235"/>
      <c r="BX32" s="36"/>
      <c r="BY32" s="33"/>
      <c r="BZ32" s="34">
        <v>36.9</v>
      </c>
      <c r="CA32" s="35"/>
      <c r="CB32" s="35">
        <v>43.97</v>
      </c>
      <c r="CC32" s="235"/>
      <c r="CD32" s="235"/>
      <c r="CE32" s="36">
        <v>44.24</v>
      </c>
      <c r="CF32" s="30">
        <v>73.745000000000005</v>
      </c>
      <c r="CG32" s="30"/>
      <c r="CH32" s="31"/>
      <c r="CI32" s="50">
        <v>110.774</v>
      </c>
      <c r="CJ32" s="33">
        <v>3.15</v>
      </c>
      <c r="CK32" s="33"/>
      <c r="CL32" s="35"/>
      <c r="CM32" s="36">
        <v>3.15</v>
      </c>
      <c r="CN32" s="286"/>
      <c r="CO32" s="249">
        <f t="shared" si="31"/>
        <v>0</v>
      </c>
      <c r="CP32" s="12">
        <f t="shared" si="31"/>
        <v>214.21741739999999</v>
      </c>
      <c r="CQ32" s="12">
        <f t="shared" si="31"/>
        <v>0</v>
      </c>
      <c r="CR32" s="12">
        <f t="shared" si="31"/>
        <v>64.328999999999994</v>
      </c>
      <c r="CS32" s="11">
        <f t="shared" si="31"/>
        <v>0</v>
      </c>
      <c r="CT32" s="11">
        <f t="shared" si="31"/>
        <v>0</v>
      </c>
      <c r="CU32" s="272">
        <f t="shared" si="31"/>
        <v>11.614000000000001</v>
      </c>
      <c r="CV32" s="249">
        <f t="shared" si="14"/>
        <v>71.4220325</v>
      </c>
      <c r="CW32" s="11">
        <f t="shared" si="14"/>
        <v>0</v>
      </c>
      <c r="CX32" s="249">
        <f t="shared" si="14"/>
        <v>0</v>
      </c>
      <c r="CY32" s="272">
        <f t="shared" si="14"/>
        <v>107.28461899999999</v>
      </c>
      <c r="CZ32" s="13"/>
      <c r="DA32" s="240">
        <f>(D32+'[2]декабрь 20'!D32)/(AY32+'[2]декабрь 20'!BA32)</f>
        <v>2.3786149125793656</v>
      </c>
      <c r="DB32" s="241">
        <f>(T32+'[2]декабрь 20'!T32)/(AY32+'[2]декабрь 20'!BA32)</f>
        <v>1.4587470348567837</v>
      </c>
      <c r="DD32" s="292">
        <f t="shared" si="15"/>
        <v>11.627000000000001</v>
      </c>
      <c r="DE32" s="291">
        <v>0.25</v>
      </c>
      <c r="DF32" s="291">
        <v>19.920000000000002</v>
      </c>
      <c r="DG32" s="145">
        <f t="shared" si="16"/>
        <v>11.597932500000001</v>
      </c>
      <c r="DH32" s="293">
        <f t="shared" si="30"/>
        <v>3.0478999393139845</v>
      </c>
      <c r="DJ32" s="322"/>
    </row>
    <row r="33" spans="1:114" s="76" customFormat="1" ht="16.5" customHeight="1" thickBot="1">
      <c r="A33" s="144">
        <v>27</v>
      </c>
      <c r="B33" s="122">
        <f>'[1]декабрь 20'!K32</f>
        <v>265.06400000000002</v>
      </c>
      <c r="C33" s="123">
        <f t="shared" si="17"/>
        <v>0.74004014124890583</v>
      </c>
      <c r="D33" s="145">
        <f t="shared" si="18"/>
        <v>263.10242</v>
      </c>
      <c r="E33" s="125">
        <f t="shared" si="19"/>
        <v>38.828875818670198</v>
      </c>
      <c r="F33" s="146">
        <f t="shared" si="0"/>
        <v>2.1359053261162968</v>
      </c>
      <c r="G33" s="127">
        <v>25.72</v>
      </c>
      <c r="H33" s="126">
        <f t="shared" si="20"/>
        <v>1.5765159734779988</v>
      </c>
      <c r="I33" s="230">
        <f>'[1]июль 20'!AI32</f>
        <v>0</v>
      </c>
      <c r="J33" s="247">
        <f>'[1]декабрь 20'!AA32</f>
        <v>10.63</v>
      </c>
      <c r="K33" s="464">
        <f>'[1]сентябрь 20'!AM32</f>
        <v>0</v>
      </c>
      <c r="L33" s="446">
        <f>'[1]декабрь 20'!AE32</f>
        <v>68.906000000000006</v>
      </c>
      <c r="M33" s="469">
        <f t="shared" si="21"/>
        <v>0.55938935263829792</v>
      </c>
      <c r="N33" s="542">
        <f>'[1]декабрь 20'!W32</f>
        <v>0</v>
      </c>
      <c r="O33" s="403">
        <f>'[1]декабрь 20'!AU32</f>
        <v>10.581</v>
      </c>
      <c r="P33" s="401">
        <f t="shared" si="1"/>
        <v>167.149</v>
      </c>
      <c r="Q33" s="122">
        <f>'[1]декабрь 20'!S32</f>
        <v>167.149</v>
      </c>
      <c r="R33" s="123">
        <f t="shared" si="22"/>
        <v>3.3</v>
      </c>
      <c r="S33" s="129"/>
      <c r="T33" s="125">
        <f t="shared" si="2"/>
        <v>161.63308300000003</v>
      </c>
      <c r="U33" s="147">
        <f t="shared" si="3"/>
        <v>1.3121618678243154</v>
      </c>
      <c r="V33" s="130">
        <v>123.18</v>
      </c>
      <c r="W33" s="130">
        <v>123.18</v>
      </c>
      <c r="X33" s="129">
        <v>0.65</v>
      </c>
      <c r="Y33" s="150">
        <v>550</v>
      </c>
      <c r="Z33" s="150">
        <v>1169</v>
      </c>
      <c r="AA33" s="148" t="s">
        <v>249</v>
      </c>
      <c r="AB33" s="149">
        <v>76.09</v>
      </c>
      <c r="AC33" s="150">
        <v>106</v>
      </c>
      <c r="AD33" s="151">
        <v>5</v>
      </c>
      <c r="AE33" s="149">
        <v>3.25</v>
      </c>
      <c r="AF33" s="134">
        <f t="shared" si="4"/>
        <v>26.383992628718371</v>
      </c>
      <c r="AG33" s="152"/>
      <c r="AH33" s="129">
        <v>88.7</v>
      </c>
      <c r="AI33" s="134">
        <f t="shared" si="5"/>
        <v>720.08004497455977</v>
      </c>
      <c r="AJ33" s="136">
        <v>13.61</v>
      </c>
      <c r="AK33" s="154"/>
      <c r="AL33" s="155">
        <v>9.0299999999999994</v>
      </c>
      <c r="AM33" s="478">
        <f t="shared" si="23"/>
        <v>35.679249999999996</v>
      </c>
      <c r="AN33" s="126">
        <f t="shared" si="24"/>
        <v>0.215</v>
      </c>
      <c r="AO33" s="157" t="s">
        <v>117</v>
      </c>
      <c r="AP33" s="156">
        <v>6.95</v>
      </c>
      <c r="AQ33" s="156">
        <v>6.71</v>
      </c>
      <c r="AR33" s="151"/>
      <c r="AS33" s="149">
        <v>8.4</v>
      </c>
      <c r="AT33" s="149">
        <v>165.95</v>
      </c>
      <c r="AU33" s="149">
        <v>1.94</v>
      </c>
      <c r="AV33" s="149"/>
      <c r="AW33" s="149"/>
      <c r="AX33" s="158">
        <f t="shared" si="6"/>
        <v>0</v>
      </c>
      <c r="AY33" s="125">
        <f t="shared" si="7"/>
        <v>123.18074999999999</v>
      </c>
      <c r="AZ33" s="125">
        <f t="shared" si="25"/>
        <v>119.60262314289153</v>
      </c>
      <c r="BA33" s="159">
        <f t="shared" si="8"/>
        <v>5.7717464788732391</v>
      </c>
      <c r="BB33" s="160">
        <f t="shared" si="9"/>
        <v>4.9272299999999998</v>
      </c>
      <c r="BC33" s="161">
        <f t="shared" si="10"/>
        <v>0.91746766799952861</v>
      </c>
      <c r="BD33" s="160">
        <f t="shared" si="26"/>
        <v>10.698976478873238</v>
      </c>
      <c r="BE33" s="162">
        <v>0.89</v>
      </c>
      <c r="BF33" s="25">
        <f t="shared" si="27"/>
        <v>2784.9658999999997</v>
      </c>
      <c r="BG33" s="25">
        <f t="shared" si="11"/>
        <v>116.7741935483871</v>
      </c>
      <c r="BH33" s="25">
        <f t="shared" si="28"/>
        <v>3152.9032258064535</v>
      </c>
      <c r="BI33" s="26">
        <f t="shared" si="12"/>
        <v>1</v>
      </c>
      <c r="BJ33" s="37">
        <f t="shared" si="29"/>
        <v>3152.9032258064535</v>
      </c>
      <c r="BK33" s="38"/>
      <c r="BL33" s="31">
        <v>196.15799999999999</v>
      </c>
      <c r="BM33" s="31"/>
      <c r="BN33" s="31">
        <v>58.328000000000003</v>
      </c>
      <c r="BO33" s="40"/>
      <c r="BP33" s="40"/>
      <c r="BQ33" s="32">
        <v>10.577999999999999</v>
      </c>
      <c r="BR33" s="33"/>
      <c r="BS33" s="34">
        <v>1</v>
      </c>
      <c r="BT33" s="35"/>
      <c r="BU33" s="35"/>
      <c r="BV33" s="235"/>
      <c r="BW33" s="235"/>
      <c r="BX33" s="36"/>
      <c r="BY33" s="33"/>
      <c r="BZ33" s="34">
        <v>37.340000000000003</v>
      </c>
      <c r="CA33" s="35"/>
      <c r="CB33" s="35">
        <v>42.9</v>
      </c>
      <c r="CC33" s="235"/>
      <c r="CD33" s="235"/>
      <c r="CE33" s="36">
        <v>43.99</v>
      </c>
      <c r="CF33" s="30">
        <v>67.132000000000005</v>
      </c>
      <c r="CG33" s="30"/>
      <c r="CH33" s="31"/>
      <c r="CI33" s="32">
        <v>100.017</v>
      </c>
      <c r="CJ33" s="33">
        <v>3.3</v>
      </c>
      <c r="CK33" s="33"/>
      <c r="CL33" s="35"/>
      <c r="CM33" s="36">
        <v>3.3</v>
      </c>
      <c r="CN33" s="270"/>
      <c r="CO33" s="249">
        <f t="shared" si="31"/>
        <v>0</v>
      </c>
      <c r="CP33" s="12">
        <f t="shared" si="31"/>
        <v>194.19641999999999</v>
      </c>
      <c r="CQ33" s="12">
        <f t="shared" si="31"/>
        <v>0</v>
      </c>
      <c r="CR33" s="12">
        <f t="shared" si="31"/>
        <v>58.328000000000003</v>
      </c>
      <c r="CS33" s="11">
        <f t="shared" si="31"/>
        <v>0</v>
      </c>
      <c r="CT33" s="11">
        <f t="shared" si="31"/>
        <v>0</v>
      </c>
      <c r="CU33" s="272">
        <f t="shared" si="31"/>
        <v>10.577999999999999</v>
      </c>
      <c r="CV33" s="249">
        <f t="shared" si="14"/>
        <v>64.916644000000005</v>
      </c>
      <c r="CW33" s="12">
        <f t="shared" si="14"/>
        <v>0</v>
      </c>
      <c r="CX33" s="254">
        <f t="shared" si="14"/>
        <v>0</v>
      </c>
      <c r="CY33" s="275">
        <f t="shared" si="14"/>
        <v>96.716439000000008</v>
      </c>
      <c r="CZ33" s="13"/>
      <c r="DA33" s="240">
        <f>(D33+'[2]декабрь 20'!D33)/(AY33+'[2]декабрь 20'!BA33)</f>
        <v>2.1334439022646188</v>
      </c>
      <c r="DB33" s="241">
        <f>(T33+'[2]декабрь 20'!T33)/(AY33+'[2]декабрь 20'!BA33)</f>
        <v>1.3039536336552724</v>
      </c>
      <c r="DD33" s="292">
        <f t="shared" si="15"/>
        <v>10.63</v>
      </c>
      <c r="DE33" s="291">
        <v>0.33</v>
      </c>
      <c r="DF33" s="291">
        <v>17.18</v>
      </c>
      <c r="DG33" s="145">
        <f t="shared" si="16"/>
        <v>10.594921000000001</v>
      </c>
      <c r="DH33" s="293">
        <f t="shared" si="30"/>
        <v>2.3921769323169935</v>
      </c>
      <c r="DJ33" s="322"/>
    </row>
    <row r="34" spans="1:114" s="76" customFormat="1" ht="16.5" customHeight="1" thickBot="1">
      <c r="A34" s="144">
        <v>28</v>
      </c>
      <c r="B34" s="122">
        <f>'[1]декабрь 20'!K33</f>
        <v>285.048</v>
      </c>
      <c r="C34" s="123">
        <f t="shared" si="17"/>
        <v>1.1988481939883811</v>
      </c>
      <c r="D34" s="145">
        <f t="shared" si="18"/>
        <v>281.63070720000002</v>
      </c>
      <c r="E34" s="125">
        <f t="shared" si="19"/>
        <v>38.238181078274536</v>
      </c>
      <c r="F34" s="146">
        <f t="shared" si="0"/>
        <v>2.2358697065145554</v>
      </c>
      <c r="G34" s="127">
        <v>26.22</v>
      </c>
      <c r="H34" s="126">
        <f t="shared" si="20"/>
        <v>1.6475571237751592</v>
      </c>
      <c r="I34" s="230">
        <f>'[1]июль 20'!AI33</f>
        <v>0</v>
      </c>
      <c r="J34" s="247">
        <f>'[1]декабрь 20'!AA33</f>
        <v>11.365</v>
      </c>
      <c r="K34" s="464">
        <f>'[1]сентябрь 20'!AM33</f>
        <v>0</v>
      </c>
      <c r="L34" s="446">
        <f>'[1]декабрь 20'!AE33</f>
        <v>74.103999999999999</v>
      </c>
      <c r="M34" s="468">
        <f t="shared" si="21"/>
        <v>0.58831258273939591</v>
      </c>
      <c r="N34" s="542">
        <f>'[1]декабрь 20'!W33</f>
        <v>0</v>
      </c>
      <c r="O34" s="403">
        <f>'[1]декабрь 20'!AU33</f>
        <v>11.717000000000001</v>
      </c>
      <c r="P34" s="401">
        <f t="shared" si="1"/>
        <v>180.64</v>
      </c>
      <c r="Q34" s="122">
        <f>'[1]декабрь 20'!S33</f>
        <v>180.64</v>
      </c>
      <c r="R34" s="123">
        <f t="shared" si="22"/>
        <v>3.25</v>
      </c>
      <c r="S34" s="129"/>
      <c r="T34" s="125">
        <f t="shared" si="2"/>
        <v>174.76919999999998</v>
      </c>
      <c r="U34" s="147">
        <f t="shared" si="3"/>
        <v>1.387494864451285</v>
      </c>
      <c r="V34" s="169">
        <v>125.96</v>
      </c>
      <c r="W34" s="169">
        <v>98</v>
      </c>
      <c r="X34" s="170">
        <v>0.89</v>
      </c>
      <c r="Y34" s="166">
        <v>541</v>
      </c>
      <c r="Z34" s="166">
        <v>1172</v>
      </c>
      <c r="AA34" s="148" t="s">
        <v>116</v>
      </c>
      <c r="AB34" s="164">
        <v>75.760000000000005</v>
      </c>
      <c r="AC34" s="166">
        <v>114</v>
      </c>
      <c r="AD34" s="171">
        <v>5</v>
      </c>
      <c r="AE34" s="164"/>
      <c r="AF34" s="172">
        <f t="shared" si="4"/>
        <v>0</v>
      </c>
      <c r="AG34" s="173"/>
      <c r="AH34" s="170">
        <v>78.8</v>
      </c>
      <c r="AI34" s="134">
        <f t="shared" si="5"/>
        <v>625.59418546724066</v>
      </c>
      <c r="AJ34" s="174">
        <v>12.15</v>
      </c>
      <c r="AK34" s="175"/>
      <c r="AL34" s="176">
        <v>7.63</v>
      </c>
      <c r="AM34" s="478">
        <f t="shared" si="23"/>
        <v>35.829750000000004</v>
      </c>
      <c r="AN34" s="126">
        <f t="shared" si="24"/>
        <v>0.21500000000000002</v>
      </c>
      <c r="AO34" s="178" t="s">
        <v>469</v>
      </c>
      <c r="AP34" s="177">
        <v>7.28</v>
      </c>
      <c r="AQ34" s="177">
        <v>6.58</v>
      </c>
      <c r="AR34" s="171"/>
      <c r="AS34" s="164">
        <v>7.38</v>
      </c>
      <c r="AT34" s="149">
        <v>166.65</v>
      </c>
      <c r="AU34" s="164">
        <v>2.77</v>
      </c>
      <c r="AV34" s="164"/>
      <c r="AW34" s="164"/>
      <c r="AX34" s="179">
        <f t="shared" si="6"/>
        <v>0</v>
      </c>
      <c r="AY34" s="125">
        <f t="shared" si="7"/>
        <v>125.96025</v>
      </c>
      <c r="AZ34" s="125">
        <f t="shared" si="25"/>
        <v>125.61343380620868</v>
      </c>
      <c r="BA34" s="159">
        <f t="shared" si="8"/>
        <v>4.5049183098591543</v>
      </c>
      <c r="BB34" s="159">
        <f t="shared" si="9"/>
        <v>5.0384099999999998</v>
      </c>
      <c r="BC34" s="180">
        <f t="shared" si="10"/>
        <v>0.88612756956426642</v>
      </c>
      <c r="BD34" s="159">
        <f t="shared" si="26"/>
        <v>9.5433283098591541</v>
      </c>
      <c r="BE34" s="167">
        <v>0.89</v>
      </c>
      <c r="BF34" s="25">
        <f t="shared" si="27"/>
        <v>2910.9261499999998</v>
      </c>
      <c r="BG34" s="25">
        <f t="shared" si="11"/>
        <v>116.7741935483871</v>
      </c>
      <c r="BH34" s="25">
        <f t="shared" si="28"/>
        <v>3269.6774193548408</v>
      </c>
      <c r="BI34" s="26">
        <f t="shared" si="12"/>
        <v>1</v>
      </c>
      <c r="BJ34" s="37">
        <f t="shared" si="29"/>
        <v>3269.6774193548408</v>
      </c>
      <c r="BK34" s="38"/>
      <c r="BL34" s="30">
        <v>210.94399999999999</v>
      </c>
      <c r="BM34" s="43"/>
      <c r="BN34" s="43">
        <v>62.71</v>
      </c>
      <c r="BO34" s="281"/>
      <c r="BP34" s="281"/>
      <c r="BQ34" s="44">
        <v>11.394</v>
      </c>
      <c r="BR34" s="45"/>
      <c r="BS34" s="46">
        <v>1.62</v>
      </c>
      <c r="BT34" s="47"/>
      <c r="BU34" s="47"/>
      <c r="BV34" s="283"/>
      <c r="BW34" s="283"/>
      <c r="BX34" s="48"/>
      <c r="BY34" s="45"/>
      <c r="BZ34" s="46">
        <v>36.39</v>
      </c>
      <c r="CA34" s="47"/>
      <c r="CB34" s="47">
        <v>43.45</v>
      </c>
      <c r="CC34" s="283"/>
      <c r="CD34" s="283"/>
      <c r="CE34" s="48">
        <v>43.77</v>
      </c>
      <c r="CF34" s="49">
        <v>71.855000000000004</v>
      </c>
      <c r="CG34" s="49"/>
      <c r="CH34" s="43"/>
      <c r="CI34" s="32">
        <v>108.785</v>
      </c>
      <c r="CJ34" s="33">
        <v>3.25</v>
      </c>
      <c r="CK34" s="33"/>
      <c r="CL34" s="35"/>
      <c r="CM34" s="36">
        <v>3.25</v>
      </c>
      <c r="CN34" s="270"/>
      <c r="CO34" s="249">
        <f t="shared" si="31"/>
        <v>0</v>
      </c>
      <c r="CP34" s="12">
        <f t="shared" si="31"/>
        <v>207.5267072</v>
      </c>
      <c r="CQ34" s="12">
        <f t="shared" si="31"/>
        <v>0</v>
      </c>
      <c r="CR34" s="12">
        <f t="shared" si="31"/>
        <v>62.71</v>
      </c>
      <c r="CS34" s="11">
        <f t="shared" si="31"/>
        <v>0</v>
      </c>
      <c r="CT34" s="11">
        <f t="shared" si="31"/>
        <v>0</v>
      </c>
      <c r="CU34" s="272">
        <f t="shared" si="31"/>
        <v>11.394</v>
      </c>
      <c r="CV34" s="249">
        <f t="shared" si="14"/>
        <v>69.519712500000011</v>
      </c>
      <c r="CW34" s="12">
        <f t="shared" si="14"/>
        <v>0</v>
      </c>
      <c r="CX34" s="249">
        <f t="shared" si="14"/>
        <v>0</v>
      </c>
      <c r="CY34" s="272">
        <f t="shared" si="14"/>
        <v>105.2494875</v>
      </c>
      <c r="CZ34" s="13"/>
      <c r="DA34" s="240">
        <f>(D34+'[2]декабрь 20'!D34)/(AY34+'[2]декабрь 20'!BA34)</f>
        <v>2.1223995545833501</v>
      </c>
      <c r="DB34" s="241">
        <f>(T34+'[2]декабрь 20'!T34)/(AY34+'[2]декабрь 20'!BA34)</f>
        <v>1.3033836512348704</v>
      </c>
      <c r="DD34" s="292">
        <f t="shared" si="15"/>
        <v>11.365</v>
      </c>
      <c r="DE34" s="291">
        <v>0.42</v>
      </c>
      <c r="DF34" s="291">
        <v>10.17</v>
      </c>
      <c r="DG34" s="145">
        <f t="shared" si="16"/>
        <v>11.317267000000001</v>
      </c>
      <c r="DH34" s="293">
        <f t="shared" si="30"/>
        <v>1.5192265758975714</v>
      </c>
      <c r="DJ34" s="322"/>
    </row>
    <row r="35" spans="1:114" s="76" customFormat="1" ht="16.5" customHeight="1" thickBot="1">
      <c r="A35" s="144">
        <v>29</v>
      </c>
      <c r="B35" s="122">
        <f>'[1]декабрь 20'!K34</f>
        <v>175.06899999999999</v>
      </c>
      <c r="C35" s="123">
        <f t="shared" si="17"/>
        <v>1.0581096596199211</v>
      </c>
      <c r="D35" s="145">
        <f t="shared" si="18"/>
        <v>173.216578</v>
      </c>
      <c r="E35" s="125">
        <f t="shared" si="19"/>
        <v>39.070391045816223</v>
      </c>
      <c r="F35" s="146">
        <f t="shared" si="0"/>
        <v>2.295163696953435</v>
      </c>
      <c r="G35" s="127">
        <v>8.35</v>
      </c>
      <c r="H35" s="126">
        <f t="shared" si="20"/>
        <v>1.6918928716944752</v>
      </c>
      <c r="I35" s="230">
        <f>'[1]июль 20'!AI34</f>
        <v>0</v>
      </c>
      <c r="J35" s="247">
        <f>'[1]декабрь 20'!AA34</f>
        <v>6.97</v>
      </c>
      <c r="K35" s="464">
        <f>'[1]сентябрь 20'!AM34</f>
        <v>0</v>
      </c>
      <c r="L35" s="446">
        <f>'[1]декабрь 20'!AE34</f>
        <v>45.529000000000003</v>
      </c>
      <c r="M35" s="469">
        <f t="shared" si="21"/>
        <v>0.6032708252589597</v>
      </c>
      <c r="N35" s="542">
        <f>'[1]декабрь 20'!W34</f>
        <v>0</v>
      </c>
      <c r="O35" s="403">
        <f>'[1]декабрь 20'!AU34</f>
        <v>7.7169999999999996</v>
      </c>
      <c r="P35" s="401">
        <f t="shared" si="1"/>
        <v>114.12299999999999</v>
      </c>
      <c r="Q35" s="122">
        <f>'[1]декабрь 20'!S34</f>
        <v>114.123</v>
      </c>
      <c r="R35" s="123">
        <f t="shared" si="22"/>
        <v>3.18</v>
      </c>
      <c r="S35" s="129">
        <v>9.9499999999999993</v>
      </c>
      <c r="T35" s="125">
        <f t="shared" si="2"/>
        <v>110.49388860000001</v>
      </c>
      <c r="U35" s="147">
        <f t="shared" si="3"/>
        <v>1.4640721158337224</v>
      </c>
      <c r="V35" s="130">
        <v>75.47</v>
      </c>
      <c r="W35" s="130">
        <v>29.74</v>
      </c>
      <c r="X35" s="129">
        <v>1.0900000000000001</v>
      </c>
      <c r="Y35" s="150">
        <v>540</v>
      </c>
      <c r="Z35" s="150">
        <v>1136</v>
      </c>
      <c r="AA35" s="148" t="s">
        <v>433</v>
      </c>
      <c r="AB35" s="149">
        <v>76.739999999999995</v>
      </c>
      <c r="AC35" s="150">
        <v>70</v>
      </c>
      <c r="AD35" s="151">
        <v>3</v>
      </c>
      <c r="AE35" s="181">
        <v>4.3499999999999996</v>
      </c>
      <c r="AF35" s="134">
        <f t="shared" si="4"/>
        <v>57.638605940751482</v>
      </c>
      <c r="AG35" s="182"/>
      <c r="AH35" s="129">
        <v>51.3</v>
      </c>
      <c r="AI35" s="134">
        <f t="shared" si="5"/>
        <v>679.7380424736898</v>
      </c>
      <c r="AJ35" s="136">
        <v>9.52</v>
      </c>
      <c r="AK35" s="154"/>
      <c r="AL35" s="526">
        <v>5.28</v>
      </c>
      <c r="AM35" s="478">
        <f t="shared" si="23"/>
        <v>21.639749999999999</v>
      </c>
      <c r="AN35" s="527">
        <f t="shared" si="24"/>
        <v>0.21499999999999997</v>
      </c>
      <c r="AO35" s="184" t="s">
        <v>219</v>
      </c>
      <c r="AP35" s="183">
        <v>7.27</v>
      </c>
      <c r="AQ35" s="183">
        <v>6.88</v>
      </c>
      <c r="AR35" s="185"/>
      <c r="AS35" s="181">
        <v>8.14</v>
      </c>
      <c r="AT35" s="149">
        <v>100.65</v>
      </c>
      <c r="AU35" s="181">
        <v>1.74</v>
      </c>
      <c r="AV35" s="149"/>
      <c r="AW35" s="149"/>
      <c r="AX35" s="158">
        <f t="shared" si="6"/>
        <v>0</v>
      </c>
      <c r="AY35" s="125">
        <f t="shared" si="7"/>
        <v>75.470250000000007</v>
      </c>
      <c r="AZ35" s="125">
        <f t="shared" si="25"/>
        <v>78.963317090203361</v>
      </c>
      <c r="BA35" s="159">
        <f t="shared" si="8"/>
        <v>3.2347901408450701</v>
      </c>
      <c r="BB35" s="160">
        <f t="shared" si="9"/>
        <v>3.0188100000000002</v>
      </c>
      <c r="BC35" s="161">
        <f t="shared" si="10"/>
        <v>0.85577652858005882</v>
      </c>
      <c r="BD35" s="160">
        <f t="shared" si="26"/>
        <v>6.2536001408450703</v>
      </c>
      <c r="BE35" s="162">
        <v>0.88900000000000001</v>
      </c>
      <c r="BF35" s="25">
        <f t="shared" si="27"/>
        <v>2986.3963999999996</v>
      </c>
      <c r="BG35" s="25">
        <f t="shared" si="11"/>
        <v>116.7741935483871</v>
      </c>
      <c r="BH35" s="25">
        <f t="shared" si="28"/>
        <v>3386.4516129032281</v>
      </c>
      <c r="BI35" s="26">
        <f t="shared" si="12"/>
        <v>1</v>
      </c>
      <c r="BJ35" s="37">
        <f t="shared" si="29"/>
        <v>3386.4516129032281</v>
      </c>
      <c r="BK35" s="38"/>
      <c r="BL35" s="31">
        <v>129.54</v>
      </c>
      <c r="BM35" s="31"/>
      <c r="BN35" s="31">
        <v>38.496000000000002</v>
      </c>
      <c r="BO35" s="40"/>
      <c r="BP35" s="40"/>
      <c r="BQ35" s="32">
        <v>7.0330000000000004</v>
      </c>
      <c r="BR35" s="33"/>
      <c r="BS35" s="34">
        <v>1.43</v>
      </c>
      <c r="BT35" s="35"/>
      <c r="BU35" s="35"/>
      <c r="BV35" s="235"/>
      <c r="BW35" s="235"/>
      <c r="BX35" s="36"/>
      <c r="BY35" s="33"/>
      <c r="BZ35" s="34">
        <v>37.36</v>
      </c>
      <c r="CA35" s="35"/>
      <c r="CB35" s="35">
        <v>43.96</v>
      </c>
      <c r="CC35" s="235"/>
      <c r="CD35" s="235"/>
      <c r="CE35" s="36">
        <v>43.81</v>
      </c>
      <c r="CF35" s="30">
        <v>44.750999999999998</v>
      </c>
      <c r="CG35" s="30"/>
      <c r="CH35" s="31"/>
      <c r="CI35" s="50">
        <v>69.372</v>
      </c>
      <c r="CJ35" s="33">
        <v>3.18</v>
      </c>
      <c r="CK35" s="33"/>
      <c r="CL35" s="35"/>
      <c r="CM35" s="36">
        <v>3.18</v>
      </c>
      <c r="CN35" s="270"/>
      <c r="CO35" s="249">
        <f t="shared" si="31"/>
        <v>0</v>
      </c>
      <c r="CP35" s="12">
        <f t="shared" si="31"/>
        <v>127.68757799999997</v>
      </c>
      <c r="CQ35" s="12">
        <f t="shared" si="31"/>
        <v>0</v>
      </c>
      <c r="CR35" s="12">
        <f t="shared" si="31"/>
        <v>38.496000000000002</v>
      </c>
      <c r="CS35" s="11">
        <f t="shared" si="31"/>
        <v>0</v>
      </c>
      <c r="CT35" s="11">
        <f t="shared" si="31"/>
        <v>0</v>
      </c>
      <c r="CU35" s="272">
        <f t="shared" si="31"/>
        <v>7.0330000000000004</v>
      </c>
      <c r="CV35" s="249">
        <f t="shared" si="14"/>
        <v>43.327918199999992</v>
      </c>
      <c r="CW35" s="12">
        <f t="shared" si="14"/>
        <v>0</v>
      </c>
      <c r="CX35" s="249">
        <f t="shared" si="14"/>
        <v>0</v>
      </c>
      <c r="CY35" s="272">
        <f t="shared" si="14"/>
        <v>67.165970399999992</v>
      </c>
      <c r="CZ35" s="13"/>
      <c r="DA35" s="240">
        <f>(D35+'[2]декабрь 20'!D35)/(AY35+'[2]декабрь 20'!BA35)</f>
        <v>1.9997920985095612</v>
      </c>
      <c r="DB35" s="241">
        <f>(T35+'[2]декабрь 20'!T35)/(AY35+'[2]декабрь 20'!BA35)</f>
        <v>1.2351120763569108</v>
      </c>
      <c r="DD35" s="292">
        <f t="shared" si="15"/>
        <v>6.97</v>
      </c>
      <c r="DE35" s="291">
        <v>0.56999999999999995</v>
      </c>
      <c r="DF35" s="291">
        <v>21.86</v>
      </c>
      <c r="DG35" s="145">
        <f t="shared" si="16"/>
        <v>6.9302710000000003</v>
      </c>
      <c r="DH35" s="293">
        <f t="shared" si="30"/>
        <v>1.9741428728173054</v>
      </c>
      <c r="DJ35" s="322"/>
    </row>
    <row r="36" spans="1:114" s="76" customFormat="1" ht="16.5" customHeight="1" thickBot="1">
      <c r="A36" s="144">
        <v>30</v>
      </c>
      <c r="B36" s="122">
        <f>'[1]декабрь 20'!K35</f>
        <v>300.05200000000002</v>
      </c>
      <c r="C36" s="123">
        <f t="shared" si="17"/>
        <v>1.4872494101022486</v>
      </c>
      <c r="D36" s="145">
        <f t="shared" si="18"/>
        <v>295.58947840000002</v>
      </c>
      <c r="E36" s="125">
        <f t="shared" si="19"/>
        <v>38.636504139282529</v>
      </c>
      <c r="F36" s="146">
        <f t="shared" si="0"/>
        <v>2.3288331657816368</v>
      </c>
      <c r="G36" s="127">
        <v>14.49</v>
      </c>
      <c r="H36" s="126">
        <f t="shared" si="20"/>
        <v>1.7140182342467265</v>
      </c>
      <c r="I36" s="230">
        <f>'[1]июль 20'!AI35</f>
        <v>0</v>
      </c>
      <c r="J36" s="247">
        <f>'[1]декабрь 20'!AA35</f>
        <v>12.013</v>
      </c>
      <c r="K36" s="464">
        <f>'[1]сентябрь 20'!AM35</f>
        <v>0</v>
      </c>
      <c r="L36" s="446">
        <f>'[1]декабрь 20'!AE35</f>
        <v>78.036000000000001</v>
      </c>
      <c r="M36" s="468">
        <f t="shared" si="21"/>
        <v>0.61481493153491018</v>
      </c>
      <c r="N36" s="542">
        <f>'[1]декабрь 20'!W35</f>
        <v>0</v>
      </c>
      <c r="O36" s="403">
        <f>'[1]декабрь 20'!AU35</f>
        <v>13.243</v>
      </c>
      <c r="P36" s="401">
        <f t="shared" si="1"/>
        <v>195.63600000000002</v>
      </c>
      <c r="Q36" s="122">
        <f>'[1]декабрь 20'!S35</f>
        <v>195.636</v>
      </c>
      <c r="R36" s="123">
        <f t="shared" si="22"/>
        <v>3.37</v>
      </c>
      <c r="S36" s="129">
        <v>12.47</v>
      </c>
      <c r="T36" s="125">
        <f t="shared" si="2"/>
        <v>189.04306679999999</v>
      </c>
      <c r="U36" s="147">
        <f t="shared" si="3"/>
        <v>1.4893959220333108</v>
      </c>
      <c r="V36" s="130">
        <v>126.93</v>
      </c>
      <c r="W36" s="130">
        <v>100.28</v>
      </c>
      <c r="X36" s="129">
        <v>0.75</v>
      </c>
      <c r="Y36" s="150">
        <v>538</v>
      </c>
      <c r="Z36" s="150">
        <v>1153</v>
      </c>
      <c r="AA36" s="148" t="s">
        <v>141</v>
      </c>
      <c r="AB36" s="149">
        <v>76.06</v>
      </c>
      <c r="AC36" s="150">
        <v>120</v>
      </c>
      <c r="AD36" s="151">
        <v>5</v>
      </c>
      <c r="AE36" s="149">
        <v>2.85</v>
      </c>
      <c r="AF36" s="134">
        <f t="shared" si="4"/>
        <v>22.454028331468731</v>
      </c>
      <c r="AG36" s="152"/>
      <c r="AH36" s="129">
        <v>90.3</v>
      </c>
      <c r="AI36" s="134">
        <f t="shared" si="5"/>
        <v>711.43816081811451</v>
      </c>
      <c r="AJ36" s="153">
        <v>12.9</v>
      </c>
      <c r="AK36" s="154"/>
      <c r="AL36" s="155">
        <v>14.84</v>
      </c>
      <c r="AM36" s="478">
        <f>AT36*0.215</f>
        <v>38.183999999999997</v>
      </c>
      <c r="AN36" s="126">
        <f t="shared" si="24"/>
        <v>0.215</v>
      </c>
      <c r="AO36" s="157" t="s">
        <v>382</v>
      </c>
      <c r="AP36" s="156">
        <v>7.02</v>
      </c>
      <c r="AQ36" s="156">
        <v>6.3</v>
      </c>
      <c r="AR36" s="151"/>
      <c r="AS36" s="149">
        <v>8.23</v>
      </c>
      <c r="AT36" s="149">
        <v>177.6</v>
      </c>
      <c r="AU36" s="149">
        <v>2.35</v>
      </c>
      <c r="AV36" s="149"/>
      <c r="AW36" s="149"/>
      <c r="AX36" s="158">
        <f t="shared" si="6"/>
        <v>0</v>
      </c>
      <c r="AY36" s="125">
        <f t="shared" si="7"/>
        <v>126.92599999999999</v>
      </c>
      <c r="AZ36" s="125">
        <f t="shared" si="25"/>
        <v>134.34135832436576</v>
      </c>
      <c r="BA36" s="159">
        <f t="shared" si="8"/>
        <v>5.7569429577464781</v>
      </c>
      <c r="BB36" s="160">
        <f t="shared" si="9"/>
        <v>5.0770399999999993</v>
      </c>
      <c r="BC36" s="161">
        <f t="shared" si="10"/>
        <v>0.84531800504639321</v>
      </c>
      <c r="BD36" s="160">
        <f t="shared" si="26"/>
        <v>10.833982957746478</v>
      </c>
      <c r="BE36" s="162">
        <v>0.88700000000000001</v>
      </c>
      <c r="BF36" s="25">
        <f t="shared" si="27"/>
        <v>3113.3223999999996</v>
      </c>
      <c r="BG36" s="25">
        <f t="shared" si="11"/>
        <v>116.7741935483871</v>
      </c>
      <c r="BH36" s="25">
        <f t="shared" si="28"/>
        <v>3503.2258064516154</v>
      </c>
      <c r="BI36" s="26">
        <f t="shared" si="12"/>
        <v>1</v>
      </c>
      <c r="BJ36" s="37">
        <f t="shared" si="29"/>
        <v>3503.2258064516154</v>
      </c>
      <c r="BK36" s="38"/>
      <c r="BL36" s="31">
        <v>222.01599999999999</v>
      </c>
      <c r="BM36" s="31"/>
      <c r="BN36" s="31">
        <v>66.033000000000001</v>
      </c>
      <c r="BO36" s="40"/>
      <c r="BP36" s="40"/>
      <c r="BQ36" s="32">
        <v>12.003</v>
      </c>
      <c r="BR36" s="33"/>
      <c r="BS36" s="34">
        <v>2.0099999999999998</v>
      </c>
      <c r="BT36" s="35"/>
      <c r="BU36" s="35"/>
      <c r="BV36" s="235"/>
      <c r="BW36" s="235"/>
      <c r="BX36" s="36"/>
      <c r="BY36" s="33"/>
      <c r="BZ36" s="34">
        <v>36.880000000000003</v>
      </c>
      <c r="CA36" s="35"/>
      <c r="CB36" s="35">
        <v>43.6</v>
      </c>
      <c r="CC36" s="235"/>
      <c r="CD36" s="235"/>
      <c r="CE36" s="36">
        <v>43.82</v>
      </c>
      <c r="CF36" s="30">
        <v>77.549000000000007</v>
      </c>
      <c r="CG36" s="30"/>
      <c r="CH36" s="34"/>
      <c r="CI36" s="50">
        <v>118.087</v>
      </c>
      <c r="CJ36" s="33">
        <v>3.37</v>
      </c>
      <c r="CK36" s="33"/>
      <c r="CL36" s="35"/>
      <c r="CM36" s="36">
        <v>3.37</v>
      </c>
      <c r="CN36" s="270"/>
      <c r="CO36" s="249">
        <f t="shared" si="31"/>
        <v>0</v>
      </c>
      <c r="CP36" s="12">
        <f t="shared" si="31"/>
        <v>217.55347839999999</v>
      </c>
      <c r="CQ36" s="12">
        <f t="shared" si="31"/>
        <v>0</v>
      </c>
      <c r="CR36" s="12">
        <f t="shared" si="31"/>
        <v>66.033000000000001</v>
      </c>
      <c r="CS36" s="11">
        <f t="shared" si="31"/>
        <v>0</v>
      </c>
      <c r="CT36" s="11">
        <f t="shared" si="31"/>
        <v>0</v>
      </c>
      <c r="CU36" s="272">
        <f t="shared" si="31"/>
        <v>12.003</v>
      </c>
      <c r="CV36" s="249">
        <f t="shared" si="14"/>
        <v>74.9355987</v>
      </c>
      <c r="CW36" s="12">
        <f t="shared" si="14"/>
        <v>0</v>
      </c>
      <c r="CX36" s="249">
        <f t="shared" si="14"/>
        <v>0</v>
      </c>
      <c r="CY36" s="274">
        <f t="shared" si="14"/>
        <v>114.10746809999999</v>
      </c>
      <c r="CZ36" s="13"/>
      <c r="DA36" s="240">
        <f>(D36+'[2]декабрь 20'!D36)/(AY36+'[2]декабрь 20'!BA36)</f>
        <v>2.4006687660353436</v>
      </c>
      <c r="DB36" s="241">
        <f>(T36+'[2]декабрь 20'!T36)/(AY36+'[2]декабрь 20'!BA36)</f>
        <v>1.5218191170111566</v>
      </c>
      <c r="DD36" s="292">
        <f t="shared" si="15"/>
        <v>12.013</v>
      </c>
      <c r="DE36" s="291">
        <v>0.37</v>
      </c>
      <c r="DF36" s="291">
        <v>20.71</v>
      </c>
      <c r="DG36" s="145">
        <f t="shared" si="16"/>
        <v>11.9685519</v>
      </c>
      <c r="DH36" s="293">
        <f t="shared" si="30"/>
        <v>3.2588576104259794</v>
      </c>
      <c r="DJ36" s="322"/>
    </row>
    <row r="37" spans="1:114" s="76" customFormat="1" ht="16.5" customHeight="1" thickBot="1">
      <c r="A37" s="186">
        <v>31</v>
      </c>
      <c r="B37" s="122">
        <f>'[1]декабрь 20'!K36</f>
        <v>292.98599999999999</v>
      </c>
      <c r="C37" s="123">
        <f t="shared" si="17"/>
        <v>0.46616851999754255</v>
      </c>
      <c r="D37" s="187">
        <f t="shared" si="18"/>
        <v>291.62019150000003</v>
      </c>
      <c r="E37" s="285">
        <f t="shared" si="19"/>
        <v>38.61216624685138</v>
      </c>
      <c r="F37" s="189">
        <f t="shared" si="0"/>
        <v>1.893883566047539</v>
      </c>
      <c r="G37" s="127">
        <v>37.07</v>
      </c>
      <c r="H37" s="126">
        <f t="shared" si="20"/>
        <v>1.3990725516300819</v>
      </c>
      <c r="I37" s="230">
        <f>'[1]июль 20'!AI36</f>
        <v>0</v>
      </c>
      <c r="J37" s="277">
        <f>'[1]декабрь 20'!AA36</f>
        <v>11.653</v>
      </c>
      <c r="K37" s="276">
        <f>'[1]сентябрь 20'!AM36</f>
        <v>0</v>
      </c>
      <c r="L37" s="446">
        <f>'[1]декабрь 20'!AE36</f>
        <v>76.191000000000003</v>
      </c>
      <c r="M37" s="128">
        <f t="shared" si="21"/>
        <v>0.49481101441745684</v>
      </c>
      <c r="N37" s="399">
        <f>'[1]декабрь 20'!W36</f>
        <v>0</v>
      </c>
      <c r="O37" s="453">
        <f>'[1]декабрь 20'!AU36</f>
        <v>13.068</v>
      </c>
      <c r="P37" s="125">
        <f t="shared" si="1"/>
        <v>187.81100000000001</v>
      </c>
      <c r="Q37" s="122">
        <f>'[1]декабрь 20'!S36</f>
        <v>187.81100000000001</v>
      </c>
      <c r="R37" s="123">
        <f t="shared" si="22"/>
        <v>3.3100000000000005</v>
      </c>
      <c r="S37" s="129">
        <v>10.27</v>
      </c>
      <c r="T37" s="125">
        <f t="shared" si="2"/>
        <v>181.59445590000001</v>
      </c>
      <c r="U37" s="191">
        <f t="shared" si="3"/>
        <v>1.1793379393427719</v>
      </c>
      <c r="V37" s="192">
        <v>153.97999999999999</v>
      </c>
      <c r="W37" s="192">
        <v>64.349999999999994</v>
      </c>
      <c r="X37" s="190">
        <v>1.03</v>
      </c>
      <c r="Y37" s="193">
        <v>533</v>
      </c>
      <c r="Z37" s="194">
        <v>1155</v>
      </c>
      <c r="AA37" s="551" t="s">
        <v>471</v>
      </c>
      <c r="AB37" s="196">
        <v>76.150000000000006</v>
      </c>
      <c r="AC37" s="194">
        <v>117</v>
      </c>
      <c r="AD37" s="193">
        <v>5</v>
      </c>
      <c r="AE37" s="196"/>
      <c r="AF37" s="134">
        <f t="shared" si="4"/>
        <v>0</v>
      </c>
      <c r="AG37" s="197"/>
      <c r="AH37" s="190">
        <v>92.65</v>
      </c>
      <c r="AI37" s="134">
        <f t="shared" si="5"/>
        <v>601.70151967788036</v>
      </c>
      <c r="AJ37" s="196">
        <v>14.84</v>
      </c>
      <c r="AK37" s="198"/>
      <c r="AL37" s="199">
        <v>9.93</v>
      </c>
      <c r="AM37" s="478">
        <v>25.68</v>
      </c>
      <c r="AN37" s="126">
        <f t="shared" si="24"/>
        <v>0.13877330451229397</v>
      </c>
      <c r="AO37" s="201" t="s">
        <v>382</v>
      </c>
      <c r="AP37" s="200">
        <v>7.16</v>
      </c>
      <c r="AQ37" s="201">
        <v>6.48</v>
      </c>
      <c r="AR37" s="193"/>
      <c r="AS37" s="196">
        <v>7.21</v>
      </c>
      <c r="AT37" s="242">
        <v>185.05</v>
      </c>
      <c r="AU37" s="196">
        <v>4.54</v>
      </c>
      <c r="AV37" s="196"/>
      <c r="AW37" s="196"/>
      <c r="AX37" s="202">
        <f t="shared" si="6"/>
        <v>0</v>
      </c>
      <c r="AY37" s="188">
        <f t="shared" si="7"/>
        <v>153.97999999999999</v>
      </c>
      <c r="AZ37" s="125">
        <f t="shared" si="25"/>
        <v>131.25888187253165</v>
      </c>
      <c r="BA37" s="203">
        <f t="shared" si="8"/>
        <v>5.1746982394366201</v>
      </c>
      <c r="BB37" s="204">
        <f t="shared" si="9"/>
        <v>6.1591999999999993</v>
      </c>
      <c r="BC37" s="205">
        <f t="shared" si="10"/>
        <v>1.0413397935411759</v>
      </c>
      <c r="BD37" s="206">
        <f t="shared" si="26"/>
        <v>11.333898239436619</v>
      </c>
      <c r="BE37" s="207">
        <v>0.89300000000000002</v>
      </c>
      <c r="BF37" s="25">
        <f t="shared" si="27"/>
        <v>3267.3023999999996</v>
      </c>
      <c r="BG37" s="25">
        <f t="shared" si="11"/>
        <v>116.7741935483871</v>
      </c>
      <c r="BH37" s="25">
        <f t="shared" si="28"/>
        <v>3620.0000000000027</v>
      </c>
      <c r="BI37" s="26">
        <f t="shared" si="12"/>
        <v>1</v>
      </c>
      <c r="BJ37" s="37">
        <f t="shared" si="29"/>
        <v>3620.0000000000027</v>
      </c>
      <c r="BK37" s="51"/>
      <c r="BL37" s="53">
        <v>216.79499999999999</v>
      </c>
      <c r="BM37" s="53"/>
      <c r="BN37" s="53">
        <v>64.405000000000001</v>
      </c>
      <c r="BO37" s="282"/>
      <c r="BP37" s="282"/>
      <c r="BQ37" s="54">
        <v>11.786</v>
      </c>
      <c r="BR37" s="55"/>
      <c r="BS37" s="52">
        <v>0.63</v>
      </c>
      <c r="BT37" s="56"/>
      <c r="BU37" s="56"/>
      <c r="BV37" s="284"/>
      <c r="BW37" s="284"/>
      <c r="BX37" s="57"/>
      <c r="BY37" s="55"/>
      <c r="BZ37" s="52">
        <v>37.07</v>
      </c>
      <c r="CA37" s="56"/>
      <c r="CB37" s="56">
        <v>42.81</v>
      </c>
      <c r="CC37" s="284"/>
      <c r="CD37" s="284"/>
      <c r="CE37" s="57">
        <v>44.04</v>
      </c>
      <c r="CF37" s="58">
        <v>85.956000000000003</v>
      </c>
      <c r="CG37" s="58"/>
      <c r="CH37" s="52"/>
      <c r="CI37" s="54">
        <v>101.855</v>
      </c>
      <c r="CJ37" s="33">
        <v>3.31</v>
      </c>
      <c r="CK37" s="265"/>
      <c r="CL37" s="59"/>
      <c r="CM37" s="60">
        <v>3.31</v>
      </c>
      <c r="CN37" s="270"/>
      <c r="CO37" s="269">
        <f t="shared" si="31"/>
        <v>0</v>
      </c>
      <c r="CP37" s="18">
        <f t="shared" si="31"/>
        <v>215.4291915</v>
      </c>
      <c r="CQ37" s="18">
        <f t="shared" si="31"/>
        <v>0</v>
      </c>
      <c r="CR37" s="18">
        <f t="shared" si="31"/>
        <v>64.405000000000001</v>
      </c>
      <c r="CS37" s="251">
        <f t="shared" si="31"/>
        <v>0</v>
      </c>
      <c r="CT37" s="11">
        <f t="shared" si="31"/>
        <v>0</v>
      </c>
      <c r="CU37" s="273">
        <f t="shared" si="31"/>
        <v>11.786</v>
      </c>
      <c r="CV37" s="269">
        <f t="shared" si="14"/>
        <v>83.110856400000003</v>
      </c>
      <c r="CW37" s="18">
        <f t="shared" si="14"/>
        <v>0</v>
      </c>
      <c r="CX37" s="261">
        <f t="shared" si="14"/>
        <v>0</v>
      </c>
      <c r="CY37" s="273">
        <f t="shared" si="14"/>
        <v>98.483599499999997</v>
      </c>
      <c r="CZ37" s="13"/>
      <c r="DA37" s="240">
        <f>(D37+'[2]декабрь 20'!D37)/(AY37+'[2]декабрь 20'!BA37)</f>
        <v>2.1437398823184859</v>
      </c>
      <c r="DB37" s="241">
        <f>(T37+'[2]декабрь 20'!T37)/(AY37+'[2]декабрь 20'!BA37)</f>
        <v>1.3205475542479832</v>
      </c>
      <c r="DD37" s="292">
        <f t="shared" si="15"/>
        <v>11.653</v>
      </c>
      <c r="DE37" s="294">
        <v>0.17</v>
      </c>
      <c r="DF37" s="294">
        <v>14.21</v>
      </c>
      <c r="DG37" s="323">
        <f t="shared" si="16"/>
        <v>11.6331899</v>
      </c>
      <c r="DH37" s="293">
        <f t="shared" si="30"/>
        <v>2.1708158697176625</v>
      </c>
      <c r="DJ37" s="322"/>
    </row>
    <row r="38" spans="1:114" s="214" customFormat="1" ht="16.5" customHeight="1" thickBot="1">
      <c r="A38" s="91" t="s">
        <v>56</v>
      </c>
      <c r="B38" s="329">
        <f>SUM(B7:B37)</f>
        <v>7323.8710000000001</v>
      </c>
      <c r="C38" s="330"/>
      <c r="D38" s="331">
        <f>SUM(D7:D37)</f>
        <v>7226.6831707876208</v>
      </c>
      <c r="E38" s="332"/>
      <c r="F38" s="331"/>
      <c r="G38" s="333">
        <f>SUM(G7:G37)</f>
        <v>555.42000000000007</v>
      </c>
      <c r="H38" s="329"/>
      <c r="I38" s="334">
        <f>SUM(I7:I37)</f>
        <v>0</v>
      </c>
      <c r="J38" s="329">
        <f>SUM(J7:J37)</f>
        <v>397.53799999999995</v>
      </c>
      <c r="K38" s="329">
        <f>SUM(K7:K37)</f>
        <v>0</v>
      </c>
      <c r="L38" s="329">
        <f>SUM(L7:L37)</f>
        <v>1919.826</v>
      </c>
      <c r="M38" s="335"/>
      <c r="N38" s="329">
        <f>SUM(N7:N37)</f>
        <v>0</v>
      </c>
      <c r="O38" s="329">
        <f>SUM(O7:O37)</f>
        <v>283.11799999999999</v>
      </c>
      <c r="P38" s="330">
        <f>SUM(P7:P37)</f>
        <v>4732.5070020000003</v>
      </c>
      <c r="Q38" s="396">
        <f>SUM(Q7:Q37)</f>
        <v>4732.5069999999996</v>
      </c>
      <c r="R38" s="336">
        <f>IF(Q38=0,0,(CA38*CH38+CE38*CI38+CF38*CJ38)/Q38)</f>
        <v>0</v>
      </c>
      <c r="S38" s="396">
        <f>SUM(S7:S37)</f>
        <v>363.56</v>
      </c>
      <c r="T38" s="331">
        <f>SUM(T7:T37)</f>
        <v>4581.8931043000002</v>
      </c>
      <c r="U38" s="337"/>
      <c r="V38" s="90">
        <f>SUM(V7:V37)</f>
        <v>3183.6399999999994</v>
      </c>
      <c r="W38" s="332">
        <f>SUM(W7:W37)</f>
        <v>2192.4500000000003</v>
      </c>
      <c r="X38" s="338"/>
      <c r="Y38" s="337"/>
      <c r="Z38" s="339"/>
      <c r="AA38" s="340"/>
      <c r="AB38" s="338"/>
      <c r="AC38" s="339"/>
      <c r="AD38" s="339">
        <f>SUM(AD7:AD37)</f>
        <v>132</v>
      </c>
      <c r="AE38" s="332">
        <f>SUM(AE7:AE37)</f>
        <v>51.9</v>
      </c>
      <c r="AF38" s="341"/>
      <c r="AG38" s="342">
        <f>SUM(AG7:AG37)</f>
        <v>0</v>
      </c>
      <c r="AH38" s="332">
        <f>SUM(AH7:AH37)</f>
        <v>2385.2000000000003</v>
      </c>
      <c r="AI38" s="341"/>
      <c r="AJ38" s="332">
        <f>SUM(AJ7:AJ37)</f>
        <v>403.33999999999992</v>
      </c>
      <c r="AK38" s="343"/>
      <c r="AL38" s="522">
        <f>SUM(AL7:AL37)</f>
        <v>229.42000000000002</v>
      </c>
      <c r="AM38" s="345">
        <f>SUM(AM7:AM37)</f>
        <v>900.35760000000005</v>
      </c>
      <c r="AN38" s="345"/>
      <c r="AO38" s="342"/>
      <c r="AP38" s="332"/>
      <c r="AQ38" s="342"/>
      <c r="AR38" s="342"/>
      <c r="AS38" s="346"/>
      <c r="AT38" s="332">
        <f>SUM(AT7:AT37)</f>
        <v>4332.4400000000005</v>
      </c>
      <c r="AU38" s="332">
        <f>SUM(AU7:AU37)</f>
        <v>64.64</v>
      </c>
      <c r="AV38" s="347">
        <f>SUM(AV7:AV37)</f>
        <v>0</v>
      </c>
      <c r="AW38" s="332">
        <f>SUM(AW7:AW37)</f>
        <v>0</v>
      </c>
      <c r="AX38" s="331"/>
      <c r="AY38" s="332">
        <f>SUM(AY7:AY37)</f>
        <v>3267.3023999999996</v>
      </c>
      <c r="AZ38" s="330">
        <f>SUM(AZ7:AZ37)</f>
        <v>3202.0201964459366</v>
      </c>
      <c r="BA38" s="342">
        <f>SUM(BA7:BA37)</f>
        <v>170.85411866197182</v>
      </c>
      <c r="BB38" s="342">
        <f>SUM(BB7:BB37)</f>
        <v>130.69209599999999</v>
      </c>
      <c r="BC38" s="332"/>
      <c r="BD38" s="342">
        <f>SUM(BD7:BD37)</f>
        <v>301.54621466197176</v>
      </c>
      <c r="BE38" s="348"/>
      <c r="BF38" s="19"/>
      <c r="BG38" s="19">
        <f t="shared" si="11"/>
        <v>0</v>
      </c>
      <c r="BH38" s="19"/>
      <c r="BI38" s="208">
        <f>SUM(BI7:BI37)</f>
        <v>31</v>
      </c>
      <c r="BJ38" s="209"/>
      <c r="BK38" s="278">
        <f t="shared" ref="BK38:BQ38" si="32">SUM(BK7:BK37)</f>
        <v>300.589</v>
      </c>
      <c r="BL38" s="61">
        <f>SUM(BL7:BL37)</f>
        <v>5103.456000000001</v>
      </c>
      <c r="BM38" s="61">
        <f t="shared" si="32"/>
        <v>9.9999999999999995E-7</v>
      </c>
      <c r="BN38" s="61">
        <f t="shared" si="32"/>
        <v>1529.8529999999998</v>
      </c>
      <c r="BO38" s="61">
        <f t="shared" si="32"/>
        <v>9.9999999999999995E-7</v>
      </c>
      <c r="BP38" s="61">
        <f t="shared" si="32"/>
        <v>9.9999999999999995E-7</v>
      </c>
      <c r="BQ38" s="64">
        <f t="shared" si="32"/>
        <v>389.97299999999996</v>
      </c>
      <c r="BR38" s="63"/>
      <c r="BS38" s="24"/>
      <c r="BT38" s="24"/>
      <c r="BU38" s="24"/>
      <c r="BV38" s="62"/>
      <c r="BW38" s="62"/>
      <c r="BX38" s="65"/>
      <c r="BY38" s="63"/>
      <c r="BZ38" s="24"/>
      <c r="CA38" s="24"/>
      <c r="CB38" s="24"/>
      <c r="CC38" s="62"/>
      <c r="CD38" s="62"/>
      <c r="CE38" s="62"/>
      <c r="CF38" s="66">
        <f>SUM(CF7:CF37)</f>
        <v>1898.4099999999999</v>
      </c>
      <c r="CG38" s="66">
        <f>SUM(CG7:CG37)</f>
        <v>9.9999999999999995E-7</v>
      </c>
      <c r="CH38" s="61">
        <f>SUM(CH7:CH37)</f>
        <v>9.9999999999999995E-7</v>
      </c>
      <c r="CI38" s="67">
        <f>SUM(CI7:CI37)</f>
        <v>2834.0969999999993</v>
      </c>
      <c r="CJ38" s="210"/>
      <c r="CK38" s="266"/>
      <c r="CL38" s="211"/>
      <c r="CM38" s="212"/>
      <c r="CN38" s="213"/>
      <c r="CO38" s="68">
        <f t="shared" ref="CO38:CY38" si="33">SUM(CO7:CO37)</f>
        <v>297.58311000000003</v>
      </c>
      <c r="CP38" s="69">
        <f t="shared" si="33"/>
        <v>5009.274061600001</v>
      </c>
      <c r="CQ38" s="70">
        <f t="shared" si="33"/>
        <v>9.9999998999999992E-7</v>
      </c>
      <c r="CR38" s="69">
        <f t="shared" si="33"/>
        <v>1529.85299941536</v>
      </c>
      <c r="CS38" s="72">
        <f t="shared" si="33"/>
        <v>9.9999998999999992E-7</v>
      </c>
      <c r="CT38" s="72">
        <f t="shared" si="33"/>
        <v>9.9999998999999992E-7</v>
      </c>
      <c r="CU38" s="71">
        <f t="shared" si="33"/>
        <v>389.97299977225993</v>
      </c>
      <c r="CV38" s="72">
        <f t="shared" si="33"/>
        <v>1837.8334818000001</v>
      </c>
      <c r="CW38" s="72">
        <f t="shared" si="33"/>
        <v>9.9999998999999992E-7</v>
      </c>
      <c r="CX38" s="72">
        <f t="shared" si="33"/>
        <v>9.9999998999999992E-7</v>
      </c>
      <c r="CY38" s="72">
        <f t="shared" si="33"/>
        <v>2744.0596224999995</v>
      </c>
      <c r="CZ38" s="70"/>
      <c r="DA38" s="240">
        <f>(D38+'[2]декабрь 20'!D38)/(AY38+'[2]декабрь 20'!BA38)</f>
        <v>2.1939390389231961</v>
      </c>
      <c r="DB38" s="241">
        <f>(T38+'[2]декабрь 20'!T38)/(AY38+'[2]декабрь 20'!BA38)</f>
        <v>1.3633305572661312</v>
      </c>
      <c r="DD38" s="295">
        <f>SUM(DD7:DD37)</f>
        <v>397.53799999999995</v>
      </c>
      <c r="DE38" s="296">
        <f>(SUMPRODUCT(DD7:DD37,DE7:DE37))/DD38</f>
        <v>0.46343305545633379</v>
      </c>
      <c r="DF38" s="296">
        <f>(SUMPRODUCT(DD7:DD37,DF7:DF37))/DD38</f>
        <v>17.742238377211745</v>
      </c>
      <c r="DG38" s="296">
        <f>(SUMPRODUCT(DE7:DE37,DG7:DG37))/DE38</f>
        <v>394.44289276474325</v>
      </c>
      <c r="DH38" s="324">
        <f>IF(J38=0,0,(DG38*DF38%)/(AB39/100))</f>
        <v>91.94032382609744</v>
      </c>
    </row>
    <row r="39" spans="1:114" s="214" customFormat="1" ht="16.5" customHeight="1" thickBot="1">
      <c r="A39" s="93" t="s">
        <v>57</v>
      </c>
      <c r="B39" s="349">
        <f>B38/AU2</f>
        <v>236.25390322580645</v>
      </c>
      <c r="C39" s="349">
        <f>(BK38*BR39+BM38*BT39+BQ38*BX39+BL38*BS39+BN38*BU39+BO38*BV39+BP38*BW39)/B38</f>
        <v>1.3270008334715346</v>
      </c>
      <c r="D39" s="350">
        <f>D38/AU2</f>
        <v>233.11881196089101</v>
      </c>
      <c r="E39" s="349">
        <f>(BK38*BY39+BM38*CA39+BQ38*CE39+BL38*BZ39+BN38*CB39+BO38*CC39+BP38*CD39)/B38</f>
        <v>38.52474937638852</v>
      </c>
      <c r="F39" s="351">
        <f>IF($AY$38=0,0,$D$38/$AY$38)</f>
        <v>2.2118195030823049</v>
      </c>
      <c r="G39" s="352">
        <f>G38/AU2</f>
        <v>17.916774193548388</v>
      </c>
      <c r="H39" s="353">
        <f>IF($AY$38=0,0,(CP38+CO38+CS38+CQ38+CT38)/AY38)</f>
        <v>1.6242320192339719</v>
      </c>
      <c r="I39" s="349">
        <f>I38/AU2</f>
        <v>0</v>
      </c>
      <c r="J39" s="349">
        <f>J38/AU2</f>
        <v>12.823806451612901</v>
      </c>
      <c r="K39" s="349">
        <f>K38/AU2</f>
        <v>0</v>
      </c>
      <c r="L39" s="349">
        <f>L38/AU2</f>
        <v>61.929870967741934</v>
      </c>
      <c r="M39" s="354">
        <f>IF($AY$38=0,0,(CR38+CU38)/$AY$38)</f>
        <v>0.58758748476652189</v>
      </c>
      <c r="N39" s="349">
        <f>N38/AU2</f>
        <v>0</v>
      </c>
      <c r="O39" s="349">
        <f>O38/AU2</f>
        <v>9.1328387096774186</v>
      </c>
      <c r="P39" s="349">
        <f>P38/AU2</f>
        <v>152.66151619354841</v>
      </c>
      <c r="Q39" s="349">
        <f>Q38/AU2</f>
        <v>152.66151612903224</v>
      </c>
      <c r="R39" s="349">
        <f>(SUMPRODUCT(R7:R37,Q7:Q37))/Q38</f>
        <v>3.1825393116164453</v>
      </c>
      <c r="S39" s="355">
        <f>S38/AU2</f>
        <v>11.727741935483872</v>
      </c>
      <c r="T39" s="356"/>
      <c r="U39" s="354">
        <f>IF($AY$38=0,0,$T$38/$AY$38)</f>
        <v>1.4023474240706955</v>
      </c>
      <c r="V39" s="349">
        <f>V38/AU2</f>
        <v>102.69806451612901</v>
      </c>
      <c r="W39" s="349">
        <f>W38/AU2</f>
        <v>70.724193548387106</v>
      </c>
      <c r="X39" s="349">
        <f>(SUMPRODUCT(X7:X37,AY7:AY37))/AY38</f>
        <v>0.9008555874717934</v>
      </c>
      <c r="Y39" s="357">
        <f>AVERAGE(Y7:Y37)</f>
        <v>541.09677419354841</v>
      </c>
      <c r="Z39" s="357">
        <f>AVERAGE(Z7:Z37)</f>
        <v>1128.258064516129</v>
      </c>
      <c r="AA39" s="357"/>
      <c r="AB39" s="349">
        <f>(SUMPRODUCT(AB7:AB37,AY7:AY37))/AY38</f>
        <v>76.117850562133469</v>
      </c>
      <c r="AC39" s="358">
        <f>AVERAGE(AC7:AC37)</f>
        <v>94.709677419354833</v>
      </c>
      <c r="AD39" s="358">
        <f>AVERAGE(AD7:AD37)</f>
        <v>4.7142857142857144</v>
      </c>
      <c r="AE39" s="349">
        <f>AE38/AU2</f>
        <v>1.6741935483870967</v>
      </c>
      <c r="AF39" s="355">
        <f>IF(AY38=0,0,AE38/AY38*1000)</f>
        <v>15.884663751968599</v>
      </c>
      <c r="AG39" s="356" t="e">
        <f>AG38/$AW$2</f>
        <v>#DIV/0!</v>
      </c>
      <c r="AH39" s="349">
        <f>AH38/AU2</f>
        <v>76.941935483870978</v>
      </c>
      <c r="AI39" s="355">
        <f>IF(AY38=0,0,AH38/AY38*1000)</f>
        <v>730.02119424268801</v>
      </c>
      <c r="AJ39" s="349">
        <f>AJ38/AU2</f>
        <v>13.010967741935481</v>
      </c>
      <c r="AK39" s="359"/>
      <c r="AL39" s="349">
        <f>AL38/AU2</f>
        <v>7.4006451612903232</v>
      </c>
      <c r="AM39" s="349">
        <f>AM38/AU2</f>
        <v>29.043793548387097</v>
      </c>
      <c r="AN39" s="360">
        <f>IF(AM39=0,0,AM39/AT39)</f>
        <v>0.20781767318185593</v>
      </c>
      <c r="AO39" s="356"/>
      <c r="AP39" s="349">
        <f>AVERAGE(AP7:AP37)</f>
        <v>7.7683333333333344</v>
      </c>
      <c r="AQ39" s="349">
        <f>AVERAGE(AQ7:AQ37)</f>
        <v>6.9243333333333332</v>
      </c>
      <c r="AR39" s="356"/>
      <c r="AS39" s="349">
        <f>AVERAGE(AS7:AS37)</f>
        <v>9.0966666666666658</v>
      </c>
      <c r="AT39" s="349">
        <f>AT38/AU2</f>
        <v>139.75612903225809</v>
      </c>
      <c r="AU39" s="349">
        <f>AU38/AU2</f>
        <v>2.0851612903225805</v>
      </c>
      <c r="AV39" s="349" t="e">
        <f>AV38/$AW$2</f>
        <v>#DIV/0!</v>
      </c>
      <c r="AW39" s="349" t="e">
        <f>AW38/$AW$2</f>
        <v>#DIV/0!</v>
      </c>
      <c r="AX39" s="349" t="e">
        <f>IF(AY39=0,0,AW39/AY39*100)</f>
        <v>#DIV/0!</v>
      </c>
      <c r="AY39" s="349">
        <f>AY38/AU2</f>
        <v>105.39685161290321</v>
      </c>
      <c r="AZ39" s="349">
        <f>AZ38/AU2</f>
        <v>103.29097407890119</v>
      </c>
      <c r="BA39" s="356"/>
      <c r="BB39" s="356"/>
      <c r="BC39" s="351">
        <f>(AY38*AB39)/(D38*E39)</f>
        <v>0.89329933515660565</v>
      </c>
      <c r="BD39" s="349">
        <f>BD38/AU2</f>
        <v>9.7272972471603794</v>
      </c>
      <c r="BE39" s="361"/>
      <c r="BF39" s="19"/>
      <c r="BG39" s="19"/>
      <c r="BH39" s="19"/>
      <c r="BI39" s="19"/>
      <c r="BJ39" s="215"/>
      <c r="BK39" s="73"/>
      <c r="BL39" s="216"/>
      <c r="BM39" s="216"/>
      <c r="BN39" s="216"/>
      <c r="BO39" s="219"/>
      <c r="BP39" s="219"/>
      <c r="BQ39" s="217"/>
      <c r="BR39" s="73">
        <f>(SUMPRODUCT(BK7:BK37,BR7:BR37))/BK38</f>
        <v>1</v>
      </c>
      <c r="BS39" s="29">
        <f>(SUMPRODUCT(BL7:BL37,BS7:BS37))/BL38</f>
        <v>1.8454541079613493</v>
      </c>
      <c r="BT39" s="29">
        <f t="shared" ref="BT39:BX39" si="34">(SUMPRODUCT(BM7:BM37,BT7:BT37))/BM38</f>
        <v>9.9999999999999995E-7</v>
      </c>
      <c r="BU39" s="29">
        <f t="shared" si="34"/>
        <v>3.8215436385064449E-8</v>
      </c>
      <c r="BV39" s="29">
        <f t="shared" si="34"/>
        <v>9.9999999999999995E-7</v>
      </c>
      <c r="BW39" s="29">
        <f t="shared" si="34"/>
        <v>9.9999999999999995E-7</v>
      </c>
      <c r="BX39" s="74">
        <f t="shared" si="34"/>
        <v>5.8398914796665415E-8</v>
      </c>
      <c r="BY39" s="73">
        <f t="shared" ref="BY39:CE39" si="35">(SUMPRODUCT(BK7:BK37,BY7:BY37))/BK38</f>
        <v>37.33</v>
      </c>
      <c r="BZ39" s="29">
        <f t="shared" si="35"/>
        <v>36.687850631023359</v>
      </c>
      <c r="CA39" s="29">
        <f t="shared" si="35"/>
        <v>9.9999999999999995E-7</v>
      </c>
      <c r="CB39" s="29">
        <f t="shared" si="35"/>
        <v>43.529696219179236</v>
      </c>
      <c r="CC39" s="29">
        <f t="shared" si="35"/>
        <v>9.9999999999999995E-7</v>
      </c>
      <c r="CD39" s="29">
        <f t="shared" si="35"/>
        <v>9.9999999999999995E-7</v>
      </c>
      <c r="CE39" s="74">
        <f t="shared" si="35"/>
        <v>43.850316791162463</v>
      </c>
      <c r="CF39" s="218"/>
      <c r="CG39" s="218"/>
      <c r="CH39" s="216"/>
      <c r="CI39" s="219"/>
      <c r="CJ39" s="75">
        <f>(SUMPRODUCT(CF7:CF37,CJ7:CJ37))/CF38</f>
        <v>3.1909080862405919</v>
      </c>
      <c r="CK39" s="75">
        <f>(SUMPRODUCT(CG7:CG37,CK7:CK37))/CG38</f>
        <v>9.9999999999999995E-7</v>
      </c>
      <c r="CL39" s="29">
        <f>(SUMPRODUCT(CH7:CH37,CL7:CL37))/CH38</f>
        <v>9.9999999999999995E-7</v>
      </c>
      <c r="CM39" s="74">
        <f>(SUMPRODUCT(CI7:CI37,CM7:CM37))/CI38</f>
        <v>3.1769335170955695</v>
      </c>
      <c r="CN39" s="19"/>
      <c r="CO39" s="596">
        <f>CO38+CP38</f>
        <v>5306.8571716000006</v>
      </c>
      <c r="CP39" s="596"/>
      <c r="CQ39" s="597">
        <f>CQ38+CR38+CU38+CS38+CT38</f>
        <v>1919.8260021876197</v>
      </c>
      <c r="CR39" s="597"/>
      <c r="CS39" s="597"/>
      <c r="CT39" s="597"/>
      <c r="CU39" s="597"/>
      <c r="CV39" s="597">
        <f>CV38+CX38+CY38+CW38</f>
        <v>4581.8931063</v>
      </c>
      <c r="CW39" s="597"/>
      <c r="CX39" s="597"/>
      <c r="CY39" s="597"/>
      <c r="DA39" s="236"/>
      <c r="DB39" s="238"/>
      <c r="DD39" s="297"/>
      <c r="DE39" s="298"/>
      <c r="DF39" s="298"/>
      <c r="DG39" s="299"/>
      <c r="DH39" s="300"/>
    </row>
    <row r="40" spans="1:114" s="214" customFormat="1" ht="16.5" customHeight="1" thickBot="1">
      <c r="A40" s="94" t="s">
        <v>58</v>
      </c>
      <c r="B40" s="362"/>
      <c r="C40" s="362"/>
      <c r="D40" s="363"/>
      <c r="E40" s="364">
        <v>39.299999999999997</v>
      </c>
      <c r="F40" s="363">
        <v>2.15</v>
      </c>
      <c r="G40" s="543">
        <v>10.53</v>
      </c>
      <c r="H40" s="363">
        <v>1.5049999999999999</v>
      </c>
      <c r="I40" s="363"/>
      <c r="J40" s="363">
        <v>9.34</v>
      </c>
      <c r="K40" s="363"/>
      <c r="L40" s="363"/>
      <c r="M40" s="363">
        <v>0.64500000000000002</v>
      </c>
      <c r="N40" s="363"/>
      <c r="O40" s="364">
        <v>10.5</v>
      </c>
      <c r="P40" s="366"/>
      <c r="Q40" s="362"/>
      <c r="R40" s="367"/>
      <c r="S40" s="368">
        <v>10.63</v>
      </c>
      <c r="T40" s="362"/>
      <c r="U40" s="369">
        <v>1.3</v>
      </c>
      <c r="V40" s="370">
        <v>3620</v>
      </c>
      <c r="W40" s="370">
        <v>3620</v>
      </c>
      <c r="X40" s="371"/>
      <c r="Y40" s="371"/>
      <c r="Z40" s="372">
        <v>1190</v>
      </c>
      <c r="AA40" s="372"/>
      <c r="AB40" s="362">
        <v>76</v>
      </c>
      <c r="AC40" s="362"/>
      <c r="AD40" s="362"/>
      <c r="AE40" s="362"/>
      <c r="AF40" s="362"/>
      <c r="AG40" s="362"/>
      <c r="AH40" s="362"/>
      <c r="AI40" s="362">
        <v>645</v>
      </c>
      <c r="AJ40" s="373"/>
      <c r="AK40" s="374"/>
      <c r="AL40" s="375"/>
      <c r="AM40" s="362"/>
      <c r="AN40" s="362"/>
      <c r="AO40" s="362"/>
      <c r="AP40" s="362"/>
      <c r="AQ40" s="362"/>
      <c r="AR40" s="362"/>
      <c r="AS40" s="362"/>
      <c r="AT40" s="376">
        <v>3620</v>
      </c>
      <c r="AU40" s="377">
        <v>43.4</v>
      </c>
      <c r="AV40" s="377"/>
      <c r="AW40" s="378"/>
      <c r="AX40" s="362"/>
      <c r="AY40" s="379">
        <v>116.77</v>
      </c>
      <c r="AZ40" s="362"/>
      <c r="BA40" s="362"/>
      <c r="BB40" s="362"/>
      <c r="BC40" s="363">
        <v>0.9</v>
      </c>
      <c r="BD40" s="362"/>
      <c r="BE40" s="380"/>
      <c r="BF40" s="19"/>
      <c r="BG40" s="19"/>
      <c r="BH40" s="19"/>
      <c r="BI40" s="19"/>
      <c r="BJ40" s="215"/>
      <c r="BK40" s="220"/>
      <c r="BL40" s="221"/>
      <c r="BM40" s="216"/>
      <c r="BN40" s="216"/>
      <c r="BO40" s="219"/>
      <c r="BP40" s="219"/>
      <c r="BQ40" s="217"/>
      <c r="BR40" s="218"/>
      <c r="BS40" s="216"/>
      <c r="BT40" s="216"/>
      <c r="BU40" s="216"/>
      <c r="BV40" s="219"/>
      <c r="BW40" s="219"/>
      <c r="BX40" s="217"/>
      <c r="BY40" s="218"/>
      <c r="BZ40" s="216"/>
      <c r="CA40" s="216"/>
      <c r="CB40" s="216"/>
      <c r="CC40" s="219"/>
      <c r="CD40" s="219"/>
      <c r="CE40" s="217"/>
      <c r="CF40" s="218"/>
      <c r="CG40" s="218"/>
      <c r="CH40" s="216"/>
      <c r="CI40" s="219"/>
      <c r="CJ40" s="220"/>
      <c r="CK40" s="218"/>
      <c r="CL40" s="216"/>
      <c r="CM40" s="217"/>
      <c r="CN40" s="213"/>
      <c r="CO40" s="604">
        <f>CO39+CQ39</f>
        <v>7226.68317378762</v>
      </c>
      <c r="CP40" s="604"/>
      <c r="CQ40" s="604"/>
      <c r="CR40" s="604"/>
      <c r="CS40" s="604"/>
      <c r="CT40" s="604"/>
      <c r="CU40" s="604"/>
      <c r="DA40" s="237"/>
      <c r="DB40" s="239"/>
      <c r="DD40" s="301"/>
      <c r="DE40" s="302"/>
      <c r="DF40" s="302"/>
      <c r="DG40" s="303"/>
      <c r="DH40" s="304"/>
    </row>
    <row r="41" spans="1:114" s="214" customFormat="1" ht="16.5" customHeight="1" thickBot="1">
      <c r="A41" s="95" t="s">
        <v>59</v>
      </c>
      <c r="B41" s="381"/>
      <c r="C41" s="381"/>
      <c r="D41" s="382"/>
      <c r="E41" s="381"/>
      <c r="F41" s="383">
        <f>F39-F40</f>
        <v>6.1819503082304994E-2</v>
      </c>
      <c r="G41" s="384">
        <f>G39-G40</f>
        <v>7.3867741935483888</v>
      </c>
      <c r="H41" s="383"/>
      <c r="I41" s="385">
        <f>I39-I40</f>
        <v>0</v>
      </c>
      <c r="J41" s="385"/>
      <c r="K41" s="385"/>
      <c r="L41" s="385"/>
      <c r="M41" s="385"/>
      <c r="N41" s="385"/>
      <c r="O41" s="385"/>
      <c r="P41" s="383"/>
      <c r="Q41" s="386"/>
      <c r="R41" s="385">
        <f>R39-R40</f>
        <v>3.1825393116164453</v>
      </c>
      <c r="S41" s="386"/>
      <c r="T41" s="386"/>
      <c r="U41" s="383">
        <f>U39-U40</f>
        <v>0.10234742407069541</v>
      </c>
      <c r="V41" s="383"/>
      <c r="W41" s="383"/>
      <c r="X41" s="383"/>
      <c r="Y41" s="383"/>
      <c r="Z41" s="387">
        <f>Z39-Z40</f>
        <v>-61.741935483870975</v>
      </c>
      <c r="AA41" s="388"/>
      <c r="AB41" s="381"/>
      <c r="AC41" s="381"/>
      <c r="AD41" s="381"/>
      <c r="AE41" s="381"/>
      <c r="AF41" s="381"/>
      <c r="AG41" s="381"/>
      <c r="AH41" s="381"/>
      <c r="AI41" s="381"/>
      <c r="AJ41" s="381"/>
      <c r="AK41" s="389"/>
      <c r="AL41" s="390"/>
      <c r="AM41" s="381"/>
      <c r="AN41" s="381"/>
      <c r="AO41" s="381"/>
      <c r="AP41" s="381"/>
      <c r="AQ41" s="381"/>
      <c r="AR41" s="381"/>
      <c r="AS41" s="381"/>
      <c r="AT41" s="391">
        <f>AT38+AV38-AT40</f>
        <v>712.44000000000051</v>
      </c>
      <c r="AU41" s="392"/>
      <c r="AV41" s="393"/>
      <c r="AW41" s="390"/>
      <c r="AX41" s="381"/>
      <c r="AY41" s="385"/>
      <c r="AZ41" s="381"/>
      <c r="BA41" s="381"/>
      <c r="BB41" s="381"/>
      <c r="BC41" s="394"/>
      <c r="BD41" s="381"/>
      <c r="BE41" s="395"/>
      <c r="BF41" s="222"/>
      <c r="BG41" s="222"/>
      <c r="BH41" s="222"/>
      <c r="BI41" s="222"/>
      <c r="BJ41" s="222"/>
      <c r="BK41" s="223"/>
      <c r="BL41" s="224"/>
      <c r="BM41" s="225"/>
      <c r="BN41" s="225"/>
      <c r="BO41" s="224"/>
      <c r="BP41" s="224"/>
      <c r="BQ41" s="226"/>
      <c r="BR41" s="227"/>
      <c r="BS41" s="225"/>
      <c r="BT41" s="225"/>
      <c r="BU41" s="225"/>
      <c r="BV41" s="224"/>
      <c r="BW41" s="224"/>
      <c r="BX41" s="224"/>
      <c r="BY41" s="228"/>
      <c r="BZ41" s="225"/>
      <c r="CA41" s="225"/>
      <c r="CB41" s="225"/>
      <c r="CC41" s="224"/>
      <c r="CD41" s="224"/>
      <c r="CE41" s="226"/>
      <c r="CF41" s="227"/>
      <c r="CG41" s="227"/>
      <c r="CH41" s="225"/>
      <c r="CI41" s="224"/>
      <c r="CJ41" s="228"/>
      <c r="CK41" s="227"/>
      <c r="CL41" s="225"/>
      <c r="CM41" s="226"/>
      <c r="CN41" s="213"/>
      <c r="CO41" s="222"/>
      <c r="CP41" s="222"/>
      <c r="CQ41" s="222"/>
      <c r="CR41" s="550"/>
      <c r="CS41" s="550"/>
      <c r="CT41" s="550"/>
      <c r="CU41" s="550"/>
      <c r="CV41" s="550"/>
      <c r="CW41" s="550"/>
      <c r="CX41" s="550"/>
      <c r="CY41" s="550"/>
      <c r="DA41" s="21"/>
      <c r="DH41" s="309"/>
    </row>
    <row r="42" spans="1:114" ht="15" hidden="1" customHeight="1">
      <c r="A42" s="96"/>
      <c r="B42" s="96"/>
      <c r="C42" s="96"/>
      <c r="D42" s="97"/>
      <c r="E42" s="96"/>
      <c r="F42" s="98"/>
      <c r="G42" s="99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1"/>
      <c r="AF42" s="101"/>
      <c r="AG42" s="100"/>
      <c r="AH42" s="100"/>
      <c r="AI42" s="100"/>
      <c r="AJ42" s="100"/>
      <c r="AK42" s="100"/>
      <c r="AL42" s="100"/>
      <c r="AM42" s="100"/>
      <c r="AN42" s="100"/>
      <c r="AO42" s="100"/>
      <c r="AP42" s="100"/>
      <c r="AQ42" s="100"/>
      <c r="AR42" s="100"/>
      <c r="AS42" s="96"/>
      <c r="AT42" s="612"/>
      <c r="AU42" s="612"/>
      <c r="AV42" s="612"/>
      <c r="AW42" s="96"/>
      <c r="AX42" s="96"/>
      <c r="AY42" s="100"/>
      <c r="AZ42" s="100"/>
      <c r="BA42" s="100"/>
      <c r="BB42" s="100"/>
      <c r="BC42" s="100"/>
      <c r="BD42" s="100"/>
      <c r="BE42" s="100"/>
      <c r="BK42" s="20"/>
      <c r="BL42" s="20"/>
      <c r="BM42" s="20"/>
      <c r="CO42" s="511"/>
      <c r="CP42" s="511"/>
      <c r="CQ42" s="511"/>
      <c r="CR42" s="511"/>
      <c r="CS42" s="511"/>
      <c r="CT42" s="511"/>
      <c r="CU42" s="511"/>
      <c r="CV42" s="511"/>
      <c r="CW42" s="511"/>
      <c r="CX42" s="511"/>
      <c r="CY42" s="511"/>
    </row>
    <row r="43" spans="1:114" ht="13.5" thickBot="1">
      <c r="A43" s="100"/>
      <c r="B43" s="100"/>
      <c r="C43" s="100"/>
      <c r="D43" s="102"/>
      <c r="E43" s="100"/>
      <c r="F43" s="100"/>
      <c r="G43" s="96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1"/>
      <c r="AF43" s="101"/>
      <c r="AG43" s="100"/>
      <c r="AH43" s="100"/>
      <c r="AI43" s="100"/>
      <c r="AJ43" s="100"/>
      <c r="AK43" s="100"/>
      <c r="AL43" s="100"/>
      <c r="AM43" s="100"/>
      <c r="AN43" s="100"/>
      <c r="AO43" s="100"/>
      <c r="AP43" s="100"/>
      <c r="AQ43" s="100"/>
      <c r="AR43" s="100"/>
      <c r="AS43" s="96" t="s">
        <v>60</v>
      </c>
      <c r="AT43" s="103">
        <f>AT40/BE43</f>
        <v>116.7741935483871</v>
      </c>
      <c r="AU43" s="104"/>
      <c r="AV43" s="96"/>
      <c r="AW43" s="96" t="s">
        <v>61</v>
      </c>
      <c r="AX43" s="96"/>
      <c r="AY43" s="100"/>
      <c r="AZ43" s="100"/>
      <c r="BA43" s="100"/>
      <c r="BB43" s="100"/>
      <c r="BC43" s="100"/>
      <c r="BD43" s="105" t="s">
        <v>62</v>
      </c>
      <c r="BE43" s="100">
        <v>31</v>
      </c>
      <c r="CO43" s="511"/>
      <c r="CP43" s="511"/>
      <c r="CQ43" s="511"/>
      <c r="CR43" s="511"/>
      <c r="CS43" s="511"/>
      <c r="CT43" s="511"/>
      <c r="CU43" s="511"/>
      <c r="CV43" s="511"/>
      <c r="CW43" s="511"/>
      <c r="CX43" s="511"/>
      <c r="CY43" s="511"/>
    </row>
    <row r="44" spans="1:114" ht="16.5" customHeight="1" thickBot="1">
      <c r="A44" s="100"/>
      <c r="B44" s="100"/>
      <c r="C44" s="100"/>
      <c r="D44" s="102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489" t="s">
        <v>343</v>
      </c>
      <c r="AG44" s="488"/>
      <c r="AH44" s="488"/>
      <c r="AI44" s="488"/>
      <c r="AJ44" s="488"/>
      <c r="AK44" s="488"/>
      <c r="AL44" s="488"/>
      <c r="AM44" s="490">
        <f>AM38/AT38</f>
        <v>0.20781767318185593</v>
      </c>
      <c r="AN44" s="479"/>
      <c r="AO44" s="480" t="s">
        <v>88</v>
      </c>
      <c r="AP44" s="100"/>
      <c r="AQ44" s="100"/>
      <c r="AR44" s="100"/>
      <c r="AS44" s="100"/>
      <c r="AT44" s="100"/>
      <c r="AU44" s="100"/>
      <c r="AV44" s="100"/>
      <c r="AW44" s="100"/>
      <c r="AX44" s="100"/>
      <c r="AY44" s="100"/>
      <c r="AZ44" s="100"/>
      <c r="BA44" s="100"/>
      <c r="BB44" s="100"/>
      <c r="BC44" s="100"/>
      <c r="BD44" s="96"/>
      <c r="BE44" s="96"/>
      <c r="CO44" s="511"/>
      <c r="CP44" s="511"/>
      <c r="CQ44" s="511"/>
      <c r="CR44" s="511">
        <v>7226.683</v>
      </c>
      <c r="CS44" s="511"/>
      <c r="CT44" s="511"/>
      <c r="CU44" s="511"/>
      <c r="CV44" s="511"/>
      <c r="CW44" s="511"/>
      <c r="CX44" s="511"/>
      <c r="CY44" s="511"/>
    </row>
    <row r="45" spans="1:114" ht="13.5" thickBot="1">
      <c r="A45" s="100"/>
      <c r="B45" s="100"/>
      <c r="C45" s="100"/>
      <c r="D45" s="102"/>
      <c r="E45" s="100"/>
      <c r="F45" s="100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101"/>
      <c r="AE45" s="101"/>
      <c r="AF45" s="101"/>
      <c r="AG45" s="100"/>
      <c r="AH45" s="100"/>
      <c r="AI45" s="100"/>
      <c r="AJ45" s="100"/>
      <c r="AK45" s="100"/>
      <c r="AL45" s="100"/>
      <c r="AM45" s="106" t="s">
        <v>63</v>
      </c>
      <c r="AN45" s="106"/>
      <c r="AO45" s="106"/>
      <c r="AP45" s="106"/>
      <c r="AQ45" s="106"/>
      <c r="AR45" s="106"/>
      <c r="AS45" s="107" t="s">
        <v>64</v>
      </c>
      <c r="AT45" s="108">
        <v>29.5</v>
      </c>
      <c r="AU45" s="108"/>
      <c r="AV45" s="100"/>
      <c r="AW45" s="100"/>
      <c r="AX45" s="100"/>
      <c r="AY45" s="100"/>
      <c r="AZ45" s="100"/>
      <c r="BA45" s="100"/>
      <c r="BB45" s="100"/>
      <c r="BC45" s="100"/>
      <c r="BD45" s="96"/>
      <c r="BE45" s="96"/>
      <c r="BM45" s="1"/>
      <c r="BS45" s="1"/>
      <c r="CO45" s="511"/>
      <c r="CP45" s="511"/>
      <c r="CQ45" s="511"/>
      <c r="CR45" s="511"/>
      <c r="CS45" s="511"/>
      <c r="CT45" s="511"/>
      <c r="CU45" s="511"/>
      <c r="CV45" s="511"/>
      <c r="CW45" s="511"/>
      <c r="CX45" s="511"/>
      <c r="CY45" s="511"/>
    </row>
    <row r="46" spans="1:114" ht="12.75" customHeight="1" thickBot="1">
      <c r="A46" s="100"/>
      <c r="B46" s="100"/>
      <c r="C46" s="109" t="s">
        <v>65</v>
      </c>
      <c r="D46" s="102"/>
      <c r="E46" s="100"/>
      <c r="F46" s="100"/>
      <c r="G46" s="100"/>
      <c r="H46" s="100"/>
      <c r="I46" s="100"/>
      <c r="J46" s="100"/>
      <c r="K46" s="100"/>
      <c r="L46" s="110">
        <f>AT38/AD38</f>
        <v>32.821515151515158</v>
      </c>
      <c r="M46" s="109" t="s">
        <v>88</v>
      </c>
      <c r="N46" s="606"/>
      <c r="O46" s="606"/>
      <c r="P46" s="111"/>
      <c r="Q46" s="100"/>
      <c r="R46" s="100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101"/>
      <c r="AE46" s="101"/>
      <c r="AF46" s="101"/>
      <c r="AG46" s="100"/>
      <c r="AH46" s="100"/>
      <c r="AI46" s="100"/>
      <c r="AJ46" s="100"/>
      <c r="AK46" s="100"/>
      <c r="AL46" s="100"/>
      <c r="AM46" s="100"/>
      <c r="AN46" s="100"/>
      <c r="AO46" s="106"/>
      <c r="AP46" s="106"/>
      <c r="AQ46" s="106"/>
      <c r="AR46" s="106"/>
      <c r="AS46" s="107" t="s">
        <v>66</v>
      </c>
      <c r="AT46" s="112">
        <f>AT40/AT45</f>
        <v>122.71186440677967</v>
      </c>
      <c r="AU46" s="112"/>
      <c r="AV46" s="100"/>
      <c r="AW46" s="100"/>
      <c r="AX46" s="100">
        <v>0</v>
      </c>
      <c r="AY46" s="100"/>
      <c r="AZ46" s="607" t="s">
        <v>67</v>
      </c>
      <c r="BA46" s="607"/>
      <c r="BB46" s="607"/>
      <c r="BC46" s="607"/>
      <c r="BD46" s="607"/>
      <c r="BE46" s="607"/>
    </row>
    <row r="47" spans="1:114">
      <c r="A47" s="100"/>
      <c r="B47" s="100"/>
      <c r="C47" s="100"/>
      <c r="D47" s="102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100"/>
      <c r="AI47" s="100"/>
      <c r="AJ47" s="100"/>
      <c r="AK47" s="100"/>
      <c r="AL47" s="100"/>
      <c r="AM47" s="100"/>
      <c r="AN47" s="100"/>
      <c r="AO47" s="100"/>
      <c r="AP47" s="100"/>
      <c r="AQ47" s="100"/>
      <c r="AR47" s="100"/>
      <c r="AS47" s="100"/>
      <c r="AT47" s="100"/>
      <c r="AU47" s="100"/>
      <c r="AV47" s="100"/>
      <c r="AW47" s="100"/>
      <c r="AX47" s="100"/>
      <c r="AY47" s="100"/>
      <c r="AZ47" s="607"/>
      <c r="BA47" s="607"/>
      <c r="BB47" s="607"/>
      <c r="BC47" s="607"/>
      <c r="BD47" s="607"/>
      <c r="BE47" s="607"/>
    </row>
    <row r="48" spans="1:114">
      <c r="A48" s="100"/>
      <c r="B48" s="100"/>
      <c r="C48" s="100"/>
      <c r="D48" s="102"/>
      <c r="E48" s="100"/>
      <c r="F48" s="100"/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13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  <c r="AE48" s="100"/>
      <c r="AF48" s="100"/>
      <c r="AG48" s="100"/>
      <c r="AH48" s="100"/>
      <c r="AI48" s="100"/>
      <c r="AJ48" s="100"/>
      <c r="AK48" s="100"/>
      <c r="AL48" s="100"/>
      <c r="AM48" s="100"/>
      <c r="AN48" s="100"/>
      <c r="AO48" s="100"/>
      <c r="AP48" s="100"/>
      <c r="AQ48" s="100"/>
      <c r="AR48" s="100"/>
      <c r="AS48" s="100"/>
      <c r="AT48" s="100"/>
      <c r="AU48" s="100"/>
      <c r="AV48" s="100"/>
      <c r="AW48" s="100"/>
      <c r="AX48" s="100"/>
      <c r="AY48" s="100"/>
      <c r="AZ48" s="608">
        <f>BF37-BJ37</f>
        <v>-352.69760000000315</v>
      </c>
      <c r="BA48" s="608"/>
      <c r="BB48" s="608"/>
      <c r="BC48" s="608"/>
      <c r="BD48" s="609" t="s">
        <v>68</v>
      </c>
      <c r="BE48" s="114"/>
    </row>
    <row r="49" spans="1:57" ht="12" customHeight="1">
      <c r="A49" s="100"/>
      <c r="B49" s="100"/>
      <c r="C49" s="100"/>
      <c r="D49" s="102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15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100"/>
      <c r="AI49" s="100"/>
      <c r="AJ49" s="100"/>
      <c r="AK49" s="100"/>
      <c r="AL49" s="100"/>
      <c r="AM49" s="100"/>
      <c r="AN49" s="100"/>
      <c r="AO49" s="100"/>
      <c r="AP49" s="100"/>
      <c r="AQ49" s="100"/>
      <c r="AR49" s="100"/>
      <c r="AS49" s="100"/>
      <c r="AT49" s="100"/>
      <c r="AU49" s="100"/>
      <c r="AV49" s="100"/>
      <c r="AW49" s="100"/>
      <c r="AX49" s="100"/>
      <c r="AY49" s="100"/>
      <c r="AZ49" s="608"/>
      <c r="BA49" s="608"/>
      <c r="BB49" s="608"/>
      <c r="BC49" s="608"/>
      <c r="BD49" s="609"/>
      <c r="BE49" s="114"/>
    </row>
    <row r="50" spans="1:57" ht="13.5" customHeight="1">
      <c r="A50" s="100"/>
      <c r="B50" s="100"/>
      <c r="C50" s="100"/>
      <c r="D50" s="102"/>
      <c r="E50" s="100"/>
      <c r="F50" s="100"/>
      <c r="G50" s="100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100"/>
      <c r="AC50" s="100"/>
      <c r="AD50" s="100"/>
      <c r="AE50" s="100"/>
      <c r="AF50" s="100"/>
      <c r="AG50" s="100"/>
      <c r="AH50" s="100"/>
      <c r="AI50" s="100"/>
      <c r="AJ50" s="100"/>
      <c r="AK50" s="100"/>
      <c r="AL50" s="100"/>
      <c r="AM50" s="100"/>
      <c r="AN50" s="100"/>
      <c r="AO50" s="100"/>
      <c r="AP50" s="100"/>
      <c r="AQ50" s="100"/>
      <c r="AR50" s="100"/>
      <c r="AS50" s="100"/>
      <c r="AT50" s="100"/>
      <c r="AU50" s="100"/>
      <c r="AV50" s="100"/>
      <c r="AW50" s="100"/>
      <c r="AX50" s="100"/>
      <c r="AY50" s="100"/>
      <c r="AZ50" s="116"/>
      <c r="BA50" s="96"/>
      <c r="BB50" s="96"/>
      <c r="BC50" s="96"/>
      <c r="BD50" s="96"/>
      <c r="BE50" s="114"/>
    </row>
    <row r="51" spans="1:57" ht="13.5" customHeight="1" thickBot="1">
      <c r="A51" s="100"/>
      <c r="B51" s="100"/>
      <c r="C51" s="100"/>
      <c r="D51" s="102"/>
      <c r="E51" s="100"/>
      <c r="F51" s="100"/>
      <c r="G51" s="100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0"/>
      <c r="AC51" s="100"/>
      <c r="AD51" s="100"/>
      <c r="AE51" s="100"/>
      <c r="AF51" s="100"/>
      <c r="AG51" s="100"/>
      <c r="AH51" s="100"/>
      <c r="AI51" s="100"/>
      <c r="AJ51" s="100"/>
      <c r="AK51" s="100"/>
      <c r="AL51" s="100"/>
      <c r="AM51" s="100"/>
      <c r="AN51" s="100"/>
      <c r="AO51" s="100"/>
      <c r="AP51" s="100"/>
      <c r="AQ51" s="100"/>
      <c r="AR51" s="100"/>
      <c r="AS51" s="100"/>
      <c r="AT51" s="100"/>
      <c r="AU51" s="100"/>
      <c r="AV51" s="100"/>
      <c r="AW51" s="100"/>
      <c r="AX51" s="100"/>
      <c r="AY51" s="100"/>
      <c r="AZ51" s="610">
        <f>AZ48/AT40*100</f>
        <v>-9.7430276243094784</v>
      </c>
      <c r="BA51" s="610"/>
      <c r="BB51" s="610"/>
      <c r="BC51" s="610"/>
      <c r="BD51" s="611" t="s">
        <v>69</v>
      </c>
      <c r="BE51" s="114"/>
    </row>
    <row r="52" spans="1:57" ht="13.5" thickBot="1">
      <c r="A52" s="100"/>
      <c r="B52" s="100"/>
      <c r="C52" s="100"/>
      <c r="D52" s="102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  <c r="AF52" s="100"/>
      <c r="AG52" s="100"/>
      <c r="AH52" s="100"/>
      <c r="AI52" s="100"/>
      <c r="AJ52" s="100"/>
      <c r="AK52" s="100"/>
      <c r="AL52" s="100"/>
      <c r="AM52" s="100"/>
      <c r="AN52" s="100"/>
      <c r="AO52" s="100"/>
      <c r="AP52" s="100"/>
      <c r="AQ52" s="100"/>
      <c r="AR52" s="100"/>
      <c r="AS52" s="100"/>
      <c r="AT52" s="100"/>
      <c r="AU52" s="100"/>
      <c r="AV52" s="100"/>
      <c r="AW52" s="100"/>
      <c r="AX52" s="100"/>
      <c r="AY52" s="100"/>
      <c r="AZ52" s="610"/>
      <c r="BA52" s="610"/>
      <c r="BB52" s="610"/>
      <c r="BC52" s="610"/>
      <c r="BD52" s="611"/>
      <c r="BE52" s="117"/>
    </row>
    <row r="53" spans="1:57">
      <c r="A53" s="100"/>
      <c r="B53" s="100"/>
      <c r="C53" s="100"/>
      <c r="D53" s="102"/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100"/>
      <c r="AI53" s="100"/>
      <c r="AJ53" s="100"/>
      <c r="AK53" s="100"/>
      <c r="AL53" s="100"/>
      <c r="AM53" s="100"/>
      <c r="AN53" s="100"/>
      <c r="AO53" s="100"/>
      <c r="AP53" s="100"/>
      <c r="AQ53" s="100"/>
      <c r="AR53" s="100"/>
      <c r="AS53" s="100"/>
      <c r="AT53" s="100"/>
      <c r="AU53" s="100"/>
      <c r="AV53" s="100"/>
      <c r="AW53" s="100"/>
      <c r="AX53" s="100"/>
      <c r="AY53" s="100"/>
      <c r="AZ53" s="100"/>
      <c r="BA53" s="100"/>
      <c r="BB53" s="100"/>
      <c r="BC53" s="100"/>
      <c r="BD53" s="100"/>
      <c r="BE53" s="100"/>
    </row>
    <row r="54" spans="1:57">
      <c r="A54" s="100"/>
      <c r="B54" s="100"/>
      <c r="C54" s="100"/>
      <c r="D54" s="102"/>
      <c r="E54" s="100"/>
      <c r="F54" s="100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100"/>
      <c r="AI54" s="100"/>
      <c r="AJ54" s="100"/>
      <c r="AK54" s="100"/>
      <c r="AL54" s="100"/>
      <c r="AM54" s="100"/>
      <c r="AN54" s="100"/>
      <c r="AO54" s="100"/>
      <c r="AP54" s="100"/>
      <c r="AQ54" s="100"/>
      <c r="AR54" s="100"/>
      <c r="AS54" s="100"/>
      <c r="AT54" s="100"/>
      <c r="AU54" s="100"/>
      <c r="AV54" s="100"/>
      <c r="AW54" s="100"/>
      <c r="AX54" s="100"/>
      <c r="AY54" s="100"/>
      <c r="AZ54" s="100"/>
      <c r="BA54" s="100"/>
      <c r="BB54" s="100"/>
      <c r="BC54" s="100"/>
      <c r="BD54" s="100"/>
      <c r="BE54" s="100"/>
    </row>
    <row r="55" spans="1:57">
      <c r="A55" s="100"/>
      <c r="B55" s="100"/>
      <c r="C55" s="100"/>
      <c r="D55" s="102"/>
      <c r="E55" s="100"/>
      <c r="F55" s="100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  <c r="AH55" s="100"/>
      <c r="AI55" s="100"/>
      <c r="AJ55" s="100"/>
      <c r="AK55" s="100"/>
      <c r="AL55" s="100"/>
      <c r="AM55" s="100"/>
      <c r="AN55" s="100"/>
      <c r="AO55" s="100"/>
      <c r="AP55" s="100"/>
      <c r="AQ55" s="100"/>
      <c r="AR55" s="100"/>
      <c r="AS55" s="100"/>
      <c r="AT55" s="100"/>
      <c r="AU55" s="100"/>
      <c r="AV55" s="100"/>
      <c r="AW55" s="100"/>
      <c r="AX55" s="100"/>
      <c r="AY55" s="100"/>
      <c r="AZ55" s="100"/>
      <c r="BA55" s="100"/>
      <c r="BB55" s="100"/>
      <c r="BC55" s="100"/>
      <c r="BD55" s="100"/>
      <c r="BE55" s="100"/>
    </row>
    <row r="56" spans="1:57" ht="13.5" thickBot="1">
      <c r="A56" s="100"/>
      <c r="B56" s="100"/>
      <c r="C56" s="100"/>
      <c r="D56" s="102"/>
      <c r="E56" s="100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/>
      <c r="AE56" s="100"/>
      <c r="AF56" s="100"/>
      <c r="AG56" s="100"/>
      <c r="AH56" s="100"/>
      <c r="AI56" s="100"/>
      <c r="AJ56" s="100"/>
      <c r="AK56" s="100"/>
      <c r="AL56" s="100"/>
      <c r="AM56" s="100"/>
      <c r="AN56" s="100"/>
      <c r="AO56" s="100"/>
      <c r="AP56" s="100"/>
      <c r="AQ56" s="100"/>
      <c r="AR56" s="100"/>
      <c r="AS56" s="100"/>
      <c r="AT56" s="100"/>
      <c r="AU56" s="100"/>
      <c r="AV56" s="100"/>
      <c r="AW56" s="100"/>
      <c r="AX56" s="100"/>
      <c r="AY56" s="100"/>
      <c r="AZ56" s="100"/>
      <c r="BA56" s="100"/>
      <c r="BB56" s="100"/>
      <c r="BC56" s="100"/>
      <c r="BD56" s="100"/>
      <c r="BE56" s="100"/>
    </row>
    <row r="57" spans="1:57" ht="15.75">
      <c r="A57" s="100"/>
      <c r="B57" s="100"/>
      <c r="C57" s="100"/>
      <c r="D57" s="102"/>
      <c r="E57" s="100"/>
      <c r="F57" s="100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100"/>
      <c r="AI57" s="100"/>
      <c r="AJ57" s="100"/>
      <c r="AK57" s="100"/>
      <c r="AL57" s="100"/>
      <c r="AM57" s="100"/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X57" s="100"/>
      <c r="AY57" s="100"/>
      <c r="AZ57" s="481" t="s">
        <v>344</v>
      </c>
      <c r="BA57" s="482"/>
      <c r="BB57" s="482"/>
      <c r="BC57" s="482"/>
      <c r="BD57" s="482"/>
      <c r="BE57" s="483"/>
    </row>
    <row r="58" spans="1:57" ht="15.75">
      <c r="A58" s="100"/>
      <c r="B58" s="100"/>
      <c r="C58" s="100"/>
      <c r="D58" s="102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  <c r="AA58" s="100"/>
      <c r="AB58" s="100"/>
      <c r="AC58" s="100"/>
      <c r="AD58" s="100"/>
      <c r="AE58" s="100"/>
      <c r="AF58" s="100"/>
      <c r="AG58" s="100"/>
      <c r="AH58" s="100"/>
      <c r="AI58" s="100"/>
      <c r="AJ58" s="100"/>
      <c r="AK58" s="100"/>
      <c r="AL58" s="100"/>
      <c r="AM58" s="100"/>
      <c r="AN58" s="100"/>
      <c r="AO58" s="100"/>
      <c r="AP58" s="100"/>
      <c r="AQ58" s="100"/>
      <c r="AR58" s="100"/>
      <c r="AS58" s="100"/>
      <c r="AT58" s="100"/>
      <c r="AU58" s="100"/>
      <c r="AV58" s="100"/>
      <c r="AW58" s="100"/>
      <c r="AX58" s="100"/>
      <c r="AY58" s="100"/>
      <c r="AZ58" s="484" t="s">
        <v>340</v>
      </c>
      <c r="BA58" s="485"/>
      <c r="BB58" s="485"/>
      <c r="BC58" s="485"/>
      <c r="BD58" s="617">
        <f>'[5]декабрь 20'!$F$38</f>
        <v>900.35760000000005</v>
      </c>
      <c r="BE58" s="618"/>
    </row>
    <row r="59" spans="1:57" ht="16.5" thickBot="1">
      <c r="A59" s="100"/>
      <c r="B59" s="100"/>
      <c r="C59" s="100"/>
      <c r="D59" s="102"/>
      <c r="E59" s="100"/>
      <c r="F59" s="100"/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  <c r="AE59" s="100"/>
      <c r="AF59" s="100"/>
      <c r="AG59" s="100"/>
      <c r="AH59" s="100"/>
      <c r="AI59" s="100"/>
      <c r="AJ59" s="100"/>
      <c r="AK59" s="100"/>
      <c r="AL59" s="100"/>
      <c r="AM59" s="100"/>
      <c r="AN59" s="100"/>
      <c r="AO59" s="100"/>
      <c r="AP59" s="100"/>
      <c r="AQ59" s="100"/>
      <c r="AR59" s="100"/>
      <c r="AS59" s="100"/>
      <c r="AT59" s="100"/>
      <c r="AU59" s="100"/>
      <c r="AV59" s="100"/>
      <c r="AW59" s="100"/>
      <c r="AX59" s="100"/>
      <c r="AY59" s="100"/>
      <c r="AZ59" s="484" t="s">
        <v>341</v>
      </c>
      <c r="BA59" s="485"/>
      <c r="BB59" s="485"/>
      <c r="BC59" s="485"/>
      <c r="BD59" s="619">
        <f>'[5]декабрь 20'!$B$38</f>
        <v>900.36</v>
      </c>
      <c r="BE59" s="620"/>
    </row>
    <row r="60" spans="1:57" ht="16.5" thickBot="1">
      <c r="A60" s="100"/>
      <c r="B60" s="100"/>
      <c r="C60" s="100"/>
      <c r="D60" s="102"/>
      <c r="E60" s="100"/>
      <c r="F60" s="100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  <c r="AE60" s="100"/>
      <c r="AF60" s="100"/>
      <c r="AG60" s="100"/>
      <c r="AH60" s="100"/>
      <c r="AI60" s="100"/>
      <c r="AJ60" s="100"/>
      <c r="AK60" s="100"/>
      <c r="AL60" s="100"/>
      <c r="AM60" s="100"/>
      <c r="AN60" s="100"/>
      <c r="AO60" s="100"/>
      <c r="AP60" s="100"/>
      <c r="AQ60" s="100"/>
      <c r="AR60" s="100"/>
      <c r="AS60" s="100"/>
      <c r="AT60" s="100"/>
      <c r="AU60" s="100"/>
      <c r="AV60" s="100"/>
      <c r="AW60" s="100"/>
      <c r="AX60" s="100"/>
      <c r="AY60" s="100"/>
      <c r="AZ60" s="486" t="s">
        <v>342</v>
      </c>
      <c r="BA60" s="487"/>
      <c r="BB60" s="487"/>
      <c r="BC60" s="487"/>
      <c r="BD60" s="621">
        <f>BD59-BD58</f>
        <v>2.3999999999659849E-3</v>
      </c>
      <c r="BE60" s="622"/>
    </row>
    <row r="61" spans="1:57">
      <c r="A61" s="100"/>
      <c r="B61" s="100"/>
      <c r="C61" s="100"/>
      <c r="D61" s="102"/>
      <c r="E61" s="100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/>
      <c r="AE61" s="100"/>
      <c r="AF61" s="100"/>
      <c r="AG61" s="100"/>
      <c r="AH61" s="100"/>
      <c r="AI61" s="100"/>
      <c r="AJ61" s="100"/>
      <c r="AK61" s="100"/>
      <c r="AL61" s="100"/>
      <c r="AM61" s="100"/>
      <c r="AN61" s="100"/>
      <c r="AO61" s="100"/>
      <c r="AP61" s="100"/>
      <c r="AQ61" s="100"/>
      <c r="AR61" s="100"/>
      <c r="AS61" s="100"/>
      <c r="AT61" s="100"/>
      <c r="AU61" s="100"/>
      <c r="AV61" s="100"/>
      <c r="AW61" s="100"/>
      <c r="AX61" s="100"/>
      <c r="AY61" s="100"/>
      <c r="AZ61" s="100"/>
      <c r="BA61" s="100"/>
      <c r="BB61" s="100"/>
      <c r="BC61" s="100"/>
      <c r="BD61" s="100"/>
      <c r="BE61" s="100"/>
    </row>
    <row r="62" spans="1:57">
      <c r="A62" s="100"/>
      <c r="B62" s="100"/>
      <c r="C62" s="100"/>
      <c r="D62" s="102"/>
      <c r="E62" s="100"/>
      <c r="F62" s="100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100"/>
      <c r="AC62" s="100"/>
      <c r="AD62" s="100"/>
      <c r="AE62" s="100"/>
      <c r="AF62" s="100"/>
      <c r="AG62" s="100"/>
      <c r="AH62" s="100"/>
      <c r="AI62" s="100"/>
      <c r="AJ62" s="100"/>
      <c r="AK62" s="100"/>
      <c r="AL62" s="100"/>
      <c r="AM62" s="100"/>
      <c r="AN62" s="100"/>
      <c r="AO62" s="100"/>
      <c r="AP62" s="100"/>
      <c r="AQ62" s="100"/>
      <c r="AR62" s="100"/>
      <c r="AS62" s="100"/>
      <c r="AT62" s="100"/>
      <c r="AU62" s="100"/>
      <c r="AV62" s="100"/>
      <c r="AW62" s="100"/>
      <c r="AX62" s="100"/>
      <c r="AY62" s="100"/>
      <c r="AZ62" s="100"/>
      <c r="BA62" s="100"/>
      <c r="BB62" s="100"/>
      <c r="BC62" s="100"/>
      <c r="BD62" s="100"/>
      <c r="BE62" s="100"/>
    </row>
    <row r="63" spans="1:57">
      <c r="A63" s="100"/>
      <c r="B63" s="100"/>
      <c r="C63" s="100"/>
      <c r="D63" s="102"/>
      <c r="E63" s="100"/>
      <c r="F63" s="100"/>
      <c r="G63" s="100"/>
      <c r="H63" s="100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  <c r="AA63" s="100"/>
      <c r="AB63" s="100"/>
      <c r="AC63" s="100"/>
      <c r="AD63" s="100"/>
      <c r="AE63" s="100"/>
      <c r="AF63" s="100"/>
      <c r="AG63" s="100"/>
      <c r="AH63" s="100"/>
      <c r="AI63" s="100"/>
      <c r="AJ63" s="100"/>
      <c r="AK63" s="100"/>
      <c r="AL63" s="100"/>
      <c r="AM63" s="100"/>
      <c r="AN63" s="100"/>
      <c r="AO63" s="100"/>
      <c r="AP63" s="100"/>
      <c r="AQ63" s="100"/>
      <c r="AR63" s="100"/>
      <c r="AS63" s="100"/>
      <c r="AT63" s="100"/>
      <c r="AU63" s="100"/>
      <c r="AV63" s="100"/>
      <c r="AW63" s="100"/>
      <c r="AX63" s="100"/>
      <c r="AY63" s="100"/>
      <c r="AZ63" s="100"/>
      <c r="BA63" s="100"/>
      <c r="BB63" s="100"/>
      <c r="BC63" s="100"/>
      <c r="BD63" s="100"/>
      <c r="BE63" s="100"/>
    </row>
    <row r="64" spans="1:57">
      <c r="A64" s="100"/>
      <c r="B64" s="100"/>
      <c r="C64" s="100"/>
      <c r="D64" s="102"/>
      <c r="E64" s="100"/>
      <c r="F64" s="100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  <c r="AE64" s="100"/>
      <c r="AF64" s="100"/>
      <c r="AG64" s="100"/>
      <c r="AH64" s="100"/>
      <c r="AI64" s="100"/>
      <c r="AJ64" s="100"/>
      <c r="AK64" s="100"/>
      <c r="AL64" s="100"/>
      <c r="AM64" s="100"/>
      <c r="AN64" s="100"/>
      <c r="AO64" s="100"/>
      <c r="AP64" s="100"/>
      <c r="AQ64" s="100"/>
      <c r="AR64" s="100"/>
      <c r="AS64" s="100"/>
      <c r="AT64" s="100"/>
      <c r="AU64" s="100"/>
      <c r="AV64" s="100"/>
      <c r="AW64" s="100"/>
      <c r="AX64" s="100"/>
      <c r="AY64" s="100"/>
      <c r="AZ64" s="100"/>
      <c r="BA64" s="100"/>
      <c r="BB64" s="100"/>
      <c r="BC64" s="100"/>
      <c r="BD64" s="100"/>
      <c r="BE64" s="100"/>
    </row>
    <row r="65" spans="1:57">
      <c r="A65" s="100"/>
      <c r="B65" s="100"/>
      <c r="C65" s="100"/>
      <c r="D65" s="102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/>
      <c r="AE65" s="100"/>
      <c r="AF65" s="100"/>
      <c r="AG65" s="100"/>
      <c r="AH65" s="100"/>
      <c r="AI65" s="100"/>
      <c r="AJ65" s="100"/>
      <c r="AK65" s="100"/>
      <c r="AL65" s="100"/>
      <c r="AM65" s="100"/>
      <c r="AN65" s="100"/>
      <c r="AO65" s="100"/>
      <c r="AP65" s="100"/>
      <c r="AQ65" s="100"/>
      <c r="AR65" s="100"/>
      <c r="AS65" s="100"/>
      <c r="AT65" s="100"/>
      <c r="AU65" s="100"/>
      <c r="AV65" s="100"/>
      <c r="AW65" s="100"/>
      <c r="AX65" s="100"/>
      <c r="AY65" s="100"/>
      <c r="AZ65" s="100"/>
      <c r="BA65" s="100"/>
      <c r="BB65" s="100"/>
      <c r="BC65" s="100"/>
      <c r="BD65" s="100"/>
      <c r="BE65" s="100"/>
    </row>
    <row r="66" spans="1:57">
      <c r="A66" s="100"/>
      <c r="B66" s="100"/>
      <c r="C66" s="100"/>
      <c r="D66" s="102"/>
      <c r="E66" s="100"/>
      <c r="F66" s="100"/>
      <c r="G66" s="100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/>
      <c r="AE66" s="100"/>
      <c r="AF66" s="100"/>
      <c r="AG66" s="100"/>
      <c r="AH66" s="100"/>
      <c r="AI66" s="100"/>
      <c r="AJ66" s="100"/>
      <c r="AK66" s="100"/>
      <c r="AL66" s="100"/>
      <c r="AM66" s="100"/>
      <c r="AN66" s="100"/>
      <c r="AO66" s="100"/>
      <c r="AP66" s="100"/>
      <c r="AQ66" s="100"/>
      <c r="AR66" s="100"/>
      <c r="AS66" s="100"/>
      <c r="AT66" s="100"/>
      <c r="AU66" s="100"/>
      <c r="AV66" s="100"/>
      <c r="AW66" s="100"/>
      <c r="AX66" s="100"/>
      <c r="AY66" s="100"/>
      <c r="AZ66" s="100"/>
      <c r="BA66" s="100"/>
      <c r="BB66" s="100"/>
      <c r="BC66" s="100"/>
      <c r="BD66" s="100"/>
      <c r="BE66" s="100"/>
    </row>
    <row r="67" spans="1:57">
      <c r="A67" s="100"/>
      <c r="B67" s="100"/>
      <c r="C67" s="100"/>
      <c r="D67" s="102"/>
      <c r="E67" s="100"/>
      <c r="F67" s="100"/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  <c r="AD67" s="100"/>
      <c r="AE67" s="100"/>
      <c r="AF67" s="100"/>
      <c r="AG67" s="100"/>
      <c r="AH67" s="100"/>
      <c r="AI67" s="100"/>
      <c r="AJ67" s="100"/>
      <c r="AK67" s="100"/>
      <c r="AL67" s="100"/>
      <c r="AM67" s="100"/>
      <c r="AN67" s="100"/>
      <c r="AO67" s="100"/>
      <c r="AP67" s="100"/>
      <c r="AQ67" s="100"/>
      <c r="AR67" s="100"/>
      <c r="AS67" s="100"/>
      <c r="AT67" s="100"/>
      <c r="AU67" s="100"/>
      <c r="AV67" s="100"/>
      <c r="AW67" s="100"/>
      <c r="AX67" s="100"/>
      <c r="AY67" s="100"/>
      <c r="AZ67" s="100"/>
      <c r="BA67" s="100"/>
      <c r="BB67" s="100"/>
      <c r="BC67" s="100"/>
      <c r="BD67" s="100"/>
      <c r="BE67" s="100"/>
    </row>
    <row r="68" spans="1:57">
      <c r="A68" s="100"/>
      <c r="B68" s="100"/>
      <c r="C68" s="100"/>
      <c r="D68" s="102"/>
      <c r="E68" s="100"/>
      <c r="F68" s="100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  <c r="AI68" s="100"/>
      <c r="AJ68" s="100"/>
      <c r="AK68" s="100"/>
      <c r="AL68" s="100"/>
      <c r="AM68" s="100"/>
      <c r="AN68" s="100"/>
      <c r="AO68" s="100"/>
      <c r="AP68" s="100"/>
      <c r="AQ68" s="100"/>
      <c r="AR68" s="100"/>
      <c r="AS68" s="100"/>
      <c r="AT68" s="100"/>
      <c r="AU68" s="100"/>
      <c r="AV68" s="100"/>
      <c r="AW68" s="100"/>
      <c r="AX68" s="100"/>
      <c r="AY68" s="100"/>
      <c r="AZ68" s="100"/>
      <c r="BA68" s="100"/>
      <c r="BB68" s="100"/>
      <c r="BC68" s="100"/>
      <c r="BD68" s="100"/>
      <c r="BE68" s="100"/>
    </row>
    <row r="69" spans="1:57">
      <c r="A69" s="100"/>
      <c r="B69" s="100"/>
      <c r="C69" s="100"/>
      <c r="D69" s="102"/>
      <c r="E69" s="100"/>
      <c r="F69" s="100"/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100"/>
      <c r="AC69" s="100"/>
      <c r="AD69" s="100"/>
      <c r="AE69" s="100"/>
      <c r="AF69" s="100"/>
      <c r="AG69" s="100"/>
      <c r="AH69" s="100"/>
      <c r="AI69" s="100"/>
      <c r="AJ69" s="100"/>
      <c r="AK69" s="100"/>
      <c r="AL69" s="100"/>
      <c r="AM69" s="100"/>
      <c r="AN69" s="100"/>
      <c r="AO69" s="100"/>
      <c r="AP69" s="100"/>
      <c r="AQ69" s="100"/>
      <c r="AR69" s="100"/>
      <c r="AS69" s="100"/>
      <c r="AT69" s="100"/>
      <c r="AU69" s="100"/>
      <c r="AV69" s="100"/>
      <c r="AW69" s="100"/>
      <c r="AX69" s="100"/>
      <c r="AY69" s="100"/>
      <c r="AZ69" s="100"/>
      <c r="BA69" s="100"/>
      <c r="BB69" s="100"/>
      <c r="BC69" s="100"/>
      <c r="BD69" s="100"/>
      <c r="BE69" s="100"/>
    </row>
    <row r="70" spans="1:57">
      <c r="A70" s="100"/>
      <c r="B70" s="100"/>
      <c r="C70" s="100"/>
      <c r="D70" s="102"/>
      <c r="E70" s="100"/>
      <c r="F70" s="100"/>
      <c r="G70" s="100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  <c r="AE70" s="100"/>
      <c r="AF70" s="100"/>
      <c r="AG70" s="100"/>
      <c r="AH70" s="100"/>
      <c r="AI70" s="100"/>
      <c r="AJ70" s="100"/>
      <c r="AK70" s="100"/>
      <c r="AL70" s="100"/>
      <c r="AM70" s="100"/>
      <c r="AN70" s="100"/>
      <c r="AO70" s="100"/>
      <c r="AP70" s="100"/>
      <c r="AQ70" s="100"/>
      <c r="AR70" s="100"/>
      <c r="AS70" s="100"/>
      <c r="AT70" s="100"/>
      <c r="AU70" s="100"/>
      <c r="AV70" s="100"/>
      <c r="AW70" s="100"/>
      <c r="AX70" s="100"/>
      <c r="AY70" s="100"/>
      <c r="AZ70" s="100"/>
      <c r="BA70" s="100"/>
      <c r="BB70" s="100"/>
      <c r="BC70" s="100"/>
      <c r="BD70" s="100"/>
      <c r="BE70" s="100"/>
    </row>
    <row r="71" spans="1:57" ht="18" customHeight="1">
      <c r="A71" s="318" t="s">
        <v>70</v>
      </c>
      <c r="B71" s="319"/>
      <c r="C71" s="318"/>
      <c r="D71" s="318"/>
      <c r="E71" s="318"/>
      <c r="F71" s="318"/>
      <c r="G71" s="318"/>
      <c r="H71" s="318"/>
      <c r="I71" s="318"/>
      <c r="J71" s="320"/>
      <c r="K71" s="320"/>
      <c r="L71" s="605" t="s">
        <v>470</v>
      </c>
      <c r="M71" s="605"/>
      <c r="N71" s="605"/>
      <c r="O71" s="605"/>
      <c r="P71" s="605"/>
      <c r="Q71" s="605"/>
      <c r="R71" s="109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/>
      <c r="AE71" s="100"/>
      <c r="AF71" s="100"/>
      <c r="AG71" s="100"/>
      <c r="AH71" s="100"/>
      <c r="AI71" s="100"/>
      <c r="AJ71" s="100"/>
      <c r="AK71" s="100"/>
      <c r="AL71" s="100"/>
      <c r="AM71" s="100"/>
      <c r="AN71" s="100"/>
      <c r="AO71" s="100"/>
      <c r="AP71" s="100"/>
      <c r="AQ71" s="100"/>
      <c r="AR71" s="100"/>
      <c r="AS71" s="100"/>
      <c r="AT71" s="100"/>
      <c r="AU71" s="100"/>
      <c r="AV71" s="100"/>
      <c r="AW71" s="100"/>
      <c r="AX71" s="100"/>
      <c r="AY71" s="100"/>
      <c r="AZ71" s="100"/>
      <c r="BA71" s="100"/>
      <c r="BB71" s="100"/>
      <c r="BC71" s="100"/>
      <c r="BD71" s="100"/>
      <c r="BE71" s="100"/>
    </row>
    <row r="72" spans="1:57" ht="15">
      <c r="A72" s="118"/>
      <c r="B72" s="118"/>
      <c r="C72" s="119"/>
      <c r="D72" s="120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  <c r="AE72" s="100"/>
      <c r="AF72" s="100"/>
      <c r="AG72" s="100"/>
      <c r="AH72" s="100"/>
      <c r="AI72" s="100"/>
      <c r="AJ72" s="100"/>
      <c r="AK72" s="100"/>
      <c r="AL72" s="100"/>
      <c r="AM72" s="100"/>
      <c r="AN72" s="100"/>
      <c r="AO72" s="100"/>
      <c r="AP72" s="100"/>
      <c r="AQ72" s="100"/>
      <c r="AR72" s="100"/>
      <c r="AS72" s="100"/>
      <c r="AT72" s="100"/>
      <c r="AU72" s="100"/>
      <c r="AV72" s="100"/>
      <c r="AW72" s="100"/>
      <c r="AX72" s="100"/>
      <c r="AY72" s="100"/>
      <c r="AZ72" s="100"/>
      <c r="BA72" s="100"/>
      <c r="BB72" s="100"/>
      <c r="BC72" s="100"/>
      <c r="BD72" s="100"/>
      <c r="BE72" s="100"/>
    </row>
    <row r="73" spans="1:57" ht="15.75">
      <c r="A73" s="100"/>
      <c r="B73" s="100"/>
      <c r="C73" s="100"/>
      <c r="D73" s="102"/>
      <c r="E73" s="100"/>
      <c r="F73" s="100"/>
      <c r="G73" s="100"/>
      <c r="H73" s="100"/>
      <c r="I73" s="100"/>
      <c r="J73" s="100"/>
      <c r="K73" s="100"/>
      <c r="L73" s="111"/>
      <c r="M73" s="111"/>
      <c r="N73" s="111"/>
      <c r="O73" s="111"/>
      <c r="P73" s="111"/>
      <c r="Q73" s="111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00"/>
      <c r="AK73" s="100"/>
      <c r="AL73" s="100"/>
      <c r="AM73" s="100"/>
      <c r="AN73" s="100"/>
      <c r="AO73" s="100"/>
      <c r="AP73" s="100"/>
      <c r="AQ73" s="100"/>
      <c r="AR73" s="100"/>
      <c r="AS73" s="100"/>
      <c r="AT73" s="100"/>
      <c r="AU73" s="100"/>
      <c r="AV73" s="100"/>
      <c r="AW73" s="100"/>
      <c r="AX73" s="100"/>
      <c r="AY73" s="100"/>
      <c r="AZ73" s="100"/>
      <c r="BA73" s="100"/>
      <c r="BB73" s="100"/>
      <c r="BC73" s="100"/>
      <c r="BD73" s="100"/>
      <c r="BE73" s="100"/>
    </row>
    <row r="74" spans="1:57">
      <c r="A74" s="100"/>
      <c r="B74" s="100"/>
      <c r="C74" s="100"/>
      <c r="D74" s="102"/>
      <c r="E74" s="100"/>
      <c r="F74" s="100"/>
      <c r="G74" s="100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00"/>
      <c r="AK74" s="100"/>
      <c r="AL74" s="100"/>
      <c r="AM74" s="100"/>
      <c r="AN74" s="100"/>
      <c r="AO74" s="100"/>
      <c r="AP74" s="100"/>
      <c r="AQ74" s="100"/>
      <c r="AR74" s="100"/>
      <c r="AS74" s="100"/>
      <c r="AT74" s="100"/>
      <c r="AU74" s="100"/>
      <c r="AV74" s="100"/>
      <c r="AW74" s="100"/>
      <c r="AX74" s="100"/>
      <c r="AY74" s="100"/>
      <c r="AZ74" s="100"/>
      <c r="BA74" s="100"/>
      <c r="BB74" s="100"/>
      <c r="BC74" s="100"/>
      <c r="BD74" s="100"/>
      <c r="BE74" s="100"/>
    </row>
    <row r="75" spans="1:57">
      <c r="A75" s="100"/>
      <c r="B75" s="100"/>
      <c r="C75" s="100"/>
      <c r="D75" s="102"/>
      <c r="E75" s="100"/>
      <c r="F75" s="100"/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  <c r="AD75" s="100"/>
      <c r="AE75" s="100"/>
      <c r="AF75" s="100"/>
      <c r="AG75" s="100"/>
      <c r="AH75" s="100"/>
      <c r="AI75" s="100"/>
      <c r="AJ75" s="100"/>
      <c r="AK75" s="100"/>
      <c r="AL75" s="100"/>
      <c r="AM75" s="100"/>
      <c r="AN75" s="100"/>
      <c r="AO75" s="100"/>
      <c r="AP75" s="100"/>
      <c r="AQ75" s="100"/>
      <c r="AR75" s="100"/>
      <c r="AS75" s="100"/>
      <c r="AT75" s="100"/>
      <c r="AU75" s="100"/>
      <c r="AV75" s="100"/>
      <c r="AW75" s="100"/>
      <c r="AX75" s="100"/>
      <c r="AY75" s="100"/>
      <c r="AZ75" s="100"/>
      <c r="BA75" s="100"/>
      <c r="BB75" s="100"/>
      <c r="BC75" s="100"/>
      <c r="BD75" s="100"/>
      <c r="BE75" s="100"/>
    </row>
    <row r="77" spans="1:57">
      <c r="AY77" t="s">
        <v>302</v>
      </c>
    </row>
  </sheetData>
  <sheetProtection selectLockedCells="1" selectUnlockedCells="1"/>
  <mergeCells count="81">
    <mergeCell ref="CO40:CU40"/>
    <mergeCell ref="BD58:BE58"/>
    <mergeCell ref="BD59:BE59"/>
    <mergeCell ref="BD60:BE60"/>
    <mergeCell ref="L71:Q71"/>
    <mergeCell ref="N46:O46"/>
    <mergeCell ref="AZ46:BE47"/>
    <mergeCell ref="AZ48:BC49"/>
    <mergeCell ref="BD48:BD49"/>
    <mergeCell ref="AZ51:BC52"/>
    <mergeCell ref="BD51:BD52"/>
    <mergeCell ref="AT42:AV42"/>
    <mergeCell ref="AC3:AC6"/>
    <mergeCell ref="AD3:AD6"/>
    <mergeCell ref="DA5:DB5"/>
    <mergeCell ref="CO39:CP39"/>
    <mergeCell ref="CQ39:CU39"/>
    <mergeCell ref="CV39:CY39"/>
    <mergeCell ref="AX5:AX6"/>
    <mergeCell ref="AY5:AY6"/>
    <mergeCell ref="AJ3:AK6"/>
    <mergeCell ref="AL3:AL6"/>
    <mergeCell ref="AM3:AM6"/>
    <mergeCell ref="AN3:AN6"/>
    <mergeCell ref="AO3:AO6"/>
    <mergeCell ref="AP3:AP6"/>
    <mergeCell ref="AT5:AT6"/>
    <mergeCell ref="AW5:AW6"/>
    <mergeCell ref="Q4:Q6"/>
    <mergeCell ref="R4:R6"/>
    <mergeCell ref="S4:S6"/>
    <mergeCell ref="T4:T6"/>
    <mergeCell ref="U4:U6"/>
    <mergeCell ref="AA3:AA6"/>
    <mergeCell ref="AB3:AB6"/>
    <mergeCell ref="N4:N6"/>
    <mergeCell ref="O4:O6"/>
    <mergeCell ref="DD4:DH4"/>
    <mergeCell ref="AE5:AE6"/>
    <mergeCell ref="AF5:AF6"/>
    <mergeCell ref="AG5:AG6"/>
    <mergeCell ref="AH5:AH6"/>
    <mergeCell ref="CF3:CI5"/>
    <mergeCell ref="AQ3:AQ6"/>
    <mergeCell ref="AS3:AS6"/>
    <mergeCell ref="AT3:AY4"/>
    <mergeCell ref="AZ3:AZ6"/>
    <mergeCell ref="BA3:BB4"/>
    <mergeCell ref="BC3:BC6"/>
    <mergeCell ref="CJ3:CM5"/>
    <mergeCell ref="B4:B6"/>
    <mergeCell ref="C4:C6"/>
    <mergeCell ref="D4:D6"/>
    <mergeCell ref="E4:E6"/>
    <mergeCell ref="F4:F6"/>
    <mergeCell ref="G4:G6"/>
    <mergeCell ref="H4:H6"/>
    <mergeCell ref="I4:I6"/>
    <mergeCell ref="J4:J6"/>
    <mergeCell ref="BD3:BD6"/>
    <mergeCell ref="BE3:BE6"/>
    <mergeCell ref="BK3:BQ5"/>
    <mergeCell ref="BR3:BX5"/>
    <mergeCell ref="BY3:CE5"/>
    <mergeCell ref="K4:K6"/>
    <mergeCell ref="AE3:AF4"/>
    <mergeCell ref="AG3:AI4"/>
    <mergeCell ref="AI5:AI6"/>
    <mergeCell ref="AY2:BC2"/>
    <mergeCell ref="A3:A6"/>
    <mergeCell ref="B3:G3"/>
    <mergeCell ref="H3:P3"/>
    <mergeCell ref="Q3:U3"/>
    <mergeCell ref="V3:V6"/>
    <mergeCell ref="W3:W6"/>
    <mergeCell ref="X3:X6"/>
    <mergeCell ref="Y3:Y6"/>
    <mergeCell ref="Z3:Z6"/>
    <mergeCell ref="P4:P6"/>
    <mergeCell ref="L4:L6"/>
    <mergeCell ref="M4:M6"/>
  </mergeCells>
  <printOptions horizontalCentered="1" verticalCentered="1"/>
  <pageMargins left="0" right="0" top="0" bottom="0" header="0" footer="0"/>
  <pageSetup paperSize="9" scale="46" firstPageNumber="0" orientation="landscape" r:id="rId1"/>
  <headerFooter alignWithMargins="0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>
  <dimension ref="A1:DN77"/>
  <sheetViews>
    <sheetView showZeros="0" zoomScale="90" zoomScaleNormal="90" workbookViewId="0">
      <pane xSplit="1" ySplit="6" topLeftCell="AH22" activePane="bottomRight" state="frozen"/>
      <selection pane="topRight" activeCell="B1" sqref="B1"/>
      <selection pane="bottomLeft" activeCell="A7" sqref="A7"/>
      <selection pane="bottomRight" activeCell="BG44" sqref="BG44"/>
    </sheetView>
  </sheetViews>
  <sheetFormatPr defaultColWidth="8.7109375" defaultRowHeight="12.75"/>
  <cols>
    <col min="1" max="1" width="3.5703125" customWidth="1"/>
    <col min="2" max="2" width="9.7109375" customWidth="1"/>
    <col min="3" max="3" width="6" customWidth="1"/>
    <col min="4" max="4" width="12" style="1" hidden="1" customWidth="1"/>
    <col min="5" max="5" width="7.140625" customWidth="1"/>
    <col min="6" max="6" width="7.5703125" customWidth="1"/>
    <col min="7" max="7" width="7.7109375" customWidth="1"/>
    <col min="8" max="8" width="7.28515625" customWidth="1"/>
    <col min="9" max="9" width="7.42578125" hidden="1" customWidth="1"/>
    <col min="10" max="10" width="9.140625" customWidth="1"/>
    <col min="11" max="11" width="5.5703125" hidden="1" customWidth="1"/>
    <col min="12" max="12" width="10.140625" customWidth="1"/>
    <col min="13" max="13" width="7.42578125" customWidth="1"/>
    <col min="14" max="14" width="3.28515625" customWidth="1"/>
    <col min="15" max="15" width="8.42578125" customWidth="1"/>
    <col min="16" max="16" width="9.85546875" hidden="1" customWidth="1"/>
    <col min="17" max="17" width="9.28515625" customWidth="1"/>
    <col min="18" max="18" width="6" customWidth="1"/>
    <col min="19" max="19" width="8.28515625" customWidth="1"/>
    <col min="20" max="20" width="11.140625" hidden="1" customWidth="1"/>
    <col min="21" max="21" width="9.42578125" customWidth="1"/>
    <col min="22" max="22" width="8.42578125" customWidth="1"/>
    <col min="23" max="23" width="9" customWidth="1"/>
    <col min="24" max="24" width="6" customWidth="1"/>
    <col min="25" max="25" width="5.42578125" customWidth="1"/>
    <col min="26" max="26" width="6.85546875" customWidth="1"/>
    <col min="27" max="27" width="6.5703125" customWidth="1"/>
    <col min="28" max="28" width="7.5703125" customWidth="1"/>
    <col min="29" max="29" width="6.5703125" customWidth="1"/>
    <col min="30" max="30" width="4.28515625" customWidth="1"/>
    <col min="31" max="32" width="6.85546875" customWidth="1"/>
    <col min="33" max="33" width="0" hidden="1" customWidth="1"/>
    <col min="34" max="34" width="8.42578125" customWidth="1"/>
    <col min="35" max="35" width="7" customWidth="1"/>
    <col min="36" max="36" width="7.85546875" customWidth="1"/>
    <col min="37" max="37" width="0" hidden="1" customWidth="1"/>
    <col min="38" max="38" width="7.28515625" customWidth="1"/>
    <col min="39" max="39" width="7.7109375" customWidth="1"/>
    <col min="40" max="40" width="7" hidden="1" customWidth="1"/>
    <col min="41" max="41" width="9.42578125" customWidth="1"/>
    <col min="42" max="42" width="6.28515625" customWidth="1"/>
    <col min="43" max="43" width="6.85546875" customWidth="1"/>
    <col min="44" max="44" width="0" hidden="1" customWidth="1"/>
    <col min="45" max="45" width="6.7109375" customWidth="1"/>
    <col min="46" max="46" width="9.7109375" customWidth="1"/>
    <col min="47" max="47" width="7" customWidth="1"/>
    <col min="48" max="48" width="0" hidden="1" customWidth="1"/>
    <col min="49" max="49" width="6.140625" hidden="1" customWidth="1"/>
    <col min="50" max="50" width="5.140625" hidden="1" customWidth="1"/>
    <col min="51" max="51" width="8.42578125" customWidth="1"/>
    <col min="52" max="52" width="10" customWidth="1"/>
    <col min="53" max="53" width="8.7109375" hidden="1" customWidth="1"/>
    <col min="54" max="54" width="3.85546875" hidden="1" customWidth="1"/>
    <col min="55" max="55" width="6.5703125" customWidth="1"/>
    <col min="56" max="56" width="6.140625" customWidth="1"/>
    <col min="57" max="57" width="6.7109375" customWidth="1"/>
    <col min="58" max="58" width="8.85546875" customWidth="1"/>
    <col min="59" max="59" width="7.85546875" customWidth="1"/>
    <col min="60" max="60" width="9.85546875" customWidth="1"/>
    <col min="61" max="62" width="8.7109375" customWidth="1"/>
    <col min="63" max="63" width="10.28515625" customWidth="1"/>
    <col min="64" max="64" width="10.85546875" customWidth="1"/>
    <col min="65" max="65" width="10.7109375" customWidth="1"/>
    <col min="66" max="66" width="11.28515625" customWidth="1"/>
    <col min="67" max="68" width="8.85546875" customWidth="1"/>
    <col min="69" max="69" width="11.28515625" customWidth="1"/>
    <col min="70" max="70" width="7.7109375" customWidth="1"/>
    <col min="71" max="71" width="10" customWidth="1"/>
    <col min="72" max="72" width="8.85546875" customWidth="1"/>
    <col min="73" max="73" width="10.140625" customWidth="1"/>
    <col min="74" max="75" width="8.85546875" customWidth="1"/>
    <col min="76" max="76" width="9.7109375" customWidth="1"/>
    <col min="77" max="78" width="8.7109375" customWidth="1"/>
    <col min="79" max="79" width="9" customWidth="1"/>
    <col min="80" max="80" width="10.42578125" customWidth="1"/>
    <col min="81" max="81" width="8.42578125" customWidth="1"/>
    <col min="82" max="82" width="10.42578125" customWidth="1"/>
    <col min="83" max="83" width="9.85546875" customWidth="1"/>
    <col min="84" max="85" width="11.42578125" customWidth="1"/>
    <col min="86" max="86" width="11.140625" customWidth="1"/>
    <col min="87" max="87" width="11.28515625" customWidth="1"/>
    <col min="88" max="89" width="10" customWidth="1"/>
    <col min="90" max="90" width="8.7109375" customWidth="1"/>
    <col min="91" max="91" width="11.85546875" customWidth="1"/>
    <col min="92" max="92" width="8.7109375" customWidth="1"/>
    <col min="93" max="93" width="12.140625" customWidth="1"/>
    <col min="94" max="94" width="12.5703125" customWidth="1"/>
    <col min="95" max="95" width="11.7109375" customWidth="1"/>
    <col min="96" max="98" width="12.28515625" customWidth="1"/>
    <col min="99" max="99" width="13.28515625" customWidth="1"/>
    <col min="100" max="100" width="12.85546875" customWidth="1"/>
    <col min="101" max="101" width="13.42578125" customWidth="1"/>
    <col min="102" max="102" width="12.5703125" customWidth="1"/>
    <col min="103" max="103" width="14" customWidth="1"/>
    <col min="104" max="104" width="9.5703125" customWidth="1"/>
    <col min="105" max="105" width="19.140625" customWidth="1"/>
    <col min="106" max="106" width="19.42578125" customWidth="1"/>
    <col min="111" max="111" width="8.7109375" hidden="1" customWidth="1"/>
    <col min="112" max="112" width="9" bestFit="1" customWidth="1"/>
    <col min="114" max="114" width="9.7109375" bestFit="1" customWidth="1"/>
    <col min="115" max="115" width="13.28515625" customWidth="1"/>
  </cols>
  <sheetData>
    <row r="1" spans="1:118" ht="17.25" customHeight="1">
      <c r="A1" s="310" t="s">
        <v>0</v>
      </c>
      <c r="B1" s="310"/>
      <c r="C1" s="310"/>
      <c r="D1" s="311"/>
      <c r="E1" s="310"/>
      <c r="F1" s="310"/>
      <c r="G1" s="310"/>
      <c r="H1" s="310"/>
      <c r="I1" s="310"/>
      <c r="J1" s="310"/>
      <c r="K1" s="310"/>
      <c r="L1" s="310"/>
      <c r="M1" s="310"/>
      <c r="N1" s="310"/>
      <c r="O1" s="310"/>
      <c r="P1" s="77"/>
      <c r="Q1" s="77"/>
      <c r="R1" s="77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</row>
    <row r="2" spans="1:118" ht="19.5" customHeight="1" thickBot="1">
      <c r="A2" s="22"/>
      <c r="B2" s="78"/>
      <c r="C2" s="78"/>
      <c r="D2" s="79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80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80"/>
      <c r="AT2" s="312" t="s">
        <v>1</v>
      </c>
      <c r="AU2" s="313">
        <v>31</v>
      </c>
      <c r="AV2" s="314"/>
      <c r="AW2" s="314"/>
      <c r="AX2" s="315" t="s">
        <v>81</v>
      </c>
      <c r="AY2" s="556" t="s">
        <v>453</v>
      </c>
      <c r="AZ2" s="556"/>
      <c r="BA2" s="556"/>
      <c r="BB2" s="556"/>
      <c r="BC2" s="556"/>
      <c r="BD2" s="316" t="s">
        <v>107</v>
      </c>
      <c r="BE2" s="317"/>
    </row>
    <row r="3" spans="1:118" ht="39.75" customHeight="1" thickBot="1">
      <c r="A3" s="557" t="s">
        <v>3</v>
      </c>
      <c r="B3" s="558" t="s">
        <v>71</v>
      </c>
      <c r="C3" s="558"/>
      <c r="D3" s="558"/>
      <c r="E3" s="558"/>
      <c r="F3" s="558"/>
      <c r="G3" s="558"/>
      <c r="H3" s="554" t="s">
        <v>4</v>
      </c>
      <c r="I3" s="554"/>
      <c r="J3" s="554"/>
      <c r="K3" s="554"/>
      <c r="L3" s="554"/>
      <c r="M3" s="554"/>
      <c r="N3" s="554"/>
      <c r="O3" s="554"/>
      <c r="P3" s="559"/>
      <c r="Q3" s="560" t="s">
        <v>5</v>
      </c>
      <c r="R3" s="561"/>
      <c r="S3" s="561"/>
      <c r="T3" s="561"/>
      <c r="U3" s="562"/>
      <c r="V3" s="563" t="s">
        <v>6</v>
      </c>
      <c r="W3" s="563" t="s">
        <v>7</v>
      </c>
      <c r="X3" s="564" t="s">
        <v>8</v>
      </c>
      <c r="Y3" s="564" t="s">
        <v>9</v>
      </c>
      <c r="Z3" s="564" t="s">
        <v>10</v>
      </c>
      <c r="AA3" s="564" t="s">
        <v>11</v>
      </c>
      <c r="AB3" s="564" t="s">
        <v>12</v>
      </c>
      <c r="AC3" s="564" t="s">
        <v>13</v>
      </c>
      <c r="AD3" s="564" t="s">
        <v>14</v>
      </c>
      <c r="AE3" s="554" t="s">
        <v>15</v>
      </c>
      <c r="AF3" s="554"/>
      <c r="AG3" s="554" t="s">
        <v>16</v>
      </c>
      <c r="AH3" s="554"/>
      <c r="AI3" s="554"/>
      <c r="AJ3" s="593" t="s">
        <v>17</v>
      </c>
      <c r="AK3" s="593"/>
      <c r="AL3" s="564" t="s">
        <v>18</v>
      </c>
      <c r="AM3" s="599" t="s">
        <v>19</v>
      </c>
      <c r="AN3" s="600" t="s">
        <v>95</v>
      </c>
      <c r="AO3" s="603" t="s">
        <v>20</v>
      </c>
      <c r="AP3" s="564" t="s">
        <v>105</v>
      </c>
      <c r="AQ3" s="564" t="s">
        <v>21</v>
      </c>
      <c r="AR3" s="81"/>
      <c r="AS3" s="593" t="s">
        <v>22</v>
      </c>
      <c r="AT3" s="554" t="s">
        <v>23</v>
      </c>
      <c r="AU3" s="554"/>
      <c r="AV3" s="554"/>
      <c r="AW3" s="554"/>
      <c r="AX3" s="554"/>
      <c r="AY3" s="554"/>
      <c r="AZ3" s="564" t="s">
        <v>24</v>
      </c>
      <c r="BA3" s="594" t="s">
        <v>25</v>
      </c>
      <c r="BB3" s="594"/>
      <c r="BC3" s="564" t="s">
        <v>26</v>
      </c>
      <c r="BD3" s="564" t="s">
        <v>27</v>
      </c>
      <c r="BE3" s="572" t="s">
        <v>28</v>
      </c>
      <c r="BF3" s="3"/>
      <c r="BG3" s="3"/>
      <c r="BH3" s="3"/>
      <c r="BI3" s="3"/>
      <c r="BJ3" s="3"/>
      <c r="BK3" s="573" t="s">
        <v>29</v>
      </c>
      <c r="BL3" s="574"/>
      <c r="BM3" s="574"/>
      <c r="BN3" s="574"/>
      <c r="BO3" s="575"/>
      <c r="BP3" s="575"/>
      <c r="BQ3" s="576"/>
      <c r="BR3" s="573" t="s">
        <v>30</v>
      </c>
      <c r="BS3" s="585"/>
      <c r="BT3" s="585"/>
      <c r="BU3" s="585"/>
      <c r="BV3" s="585"/>
      <c r="BW3" s="585"/>
      <c r="BX3" s="586"/>
      <c r="BY3" s="566" t="s">
        <v>31</v>
      </c>
      <c r="BZ3" s="566"/>
      <c r="CA3" s="566"/>
      <c r="CB3" s="566"/>
      <c r="CC3" s="566"/>
      <c r="CD3" s="566"/>
      <c r="CE3" s="566"/>
      <c r="CF3" s="566" t="s">
        <v>87</v>
      </c>
      <c r="CG3" s="566"/>
      <c r="CH3" s="566"/>
      <c r="CI3" s="566"/>
      <c r="CJ3" s="566" t="s">
        <v>32</v>
      </c>
      <c r="CK3" s="566"/>
      <c r="CL3" s="566"/>
      <c r="CM3" s="566"/>
      <c r="CN3" s="4"/>
      <c r="CO3" s="5"/>
      <c r="CP3" s="6"/>
      <c r="CQ3" s="6"/>
    </row>
    <row r="4" spans="1:118" s="7" customFormat="1" ht="30.75" customHeight="1" thickBot="1">
      <c r="A4" s="557"/>
      <c r="B4" s="565" t="s">
        <v>72</v>
      </c>
      <c r="C4" s="613" t="s">
        <v>73</v>
      </c>
      <c r="D4" s="615" t="s">
        <v>33</v>
      </c>
      <c r="E4" s="613" t="s">
        <v>74</v>
      </c>
      <c r="F4" s="569" t="s">
        <v>75</v>
      </c>
      <c r="G4" s="569" t="s">
        <v>34</v>
      </c>
      <c r="H4" s="555" t="s">
        <v>76</v>
      </c>
      <c r="I4" s="570" t="s">
        <v>101</v>
      </c>
      <c r="J4" s="555" t="s">
        <v>89</v>
      </c>
      <c r="K4" s="565" t="s">
        <v>35</v>
      </c>
      <c r="L4" s="565" t="s">
        <v>77</v>
      </c>
      <c r="M4" s="565" t="s">
        <v>78</v>
      </c>
      <c r="N4" s="555" t="s">
        <v>101</v>
      </c>
      <c r="O4" s="565" t="s">
        <v>96</v>
      </c>
      <c r="P4" s="555" t="s">
        <v>79</v>
      </c>
      <c r="Q4" s="555" t="s">
        <v>36</v>
      </c>
      <c r="R4" s="555" t="s">
        <v>32</v>
      </c>
      <c r="S4" s="555" t="s">
        <v>37</v>
      </c>
      <c r="T4" s="555" t="s">
        <v>38</v>
      </c>
      <c r="U4" s="555" t="s">
        <v>39</v>
      </c>
      <c r="V4" s="563"/>
      <c r="W4" s="563"/>
      <c r="X4" s="564"/>
      <c r="Y4" s="564"/>
      <c r="Z4" s="564"/>
      <c r="AA4" s="564"/>
      <c r="AB4" s="564"/>
      <c r="AC4" s="564"/>
      <c r="AD4" s="564"/>
      <c r="AE4" s="554"/>
      <c r="AF4" s="554"/>
      <c r="AG4" s="554"/>
      <c r="AH4" s="554"/>
      <c r="AI4" s="554"/>
      <c r="AJ4" s="593"/>
      <c r="AK4" s="593"/>
      <c r="AL4" s="564"/>
      <c r="AM4" s="599"/>
      <c r="AN4" s="601"/>
      <c r="AO4" s="603"/>
      <c r="AP4" s="564"/>
      <c r="AQ4" s="564"/>
      <c r="AR4" s="82"/>
      <c r="AS4" s="593"/>
      <c r="AT4" s="554"/>
      <c r="AU4" s="554"/>
      <c r="AV4" s="554"/>
      <c r="AW4" s="554"/>
      <c r="AX4" s="554"/>
      <c r="AY4" s="554"/>
      <c r="AZ4" s="564"/>
      <c r="BA4" s="594"/>
      <c r="BB4" s="594"/>
      <c r="BC4" s="564"/>
      <c r="BD4" s="564"/>
      <c r="BE4" s="572"/>
      <c r="BF4" s="3"/>
      <c r="BG4" s="3"/>
      <c r="BH4" s="3"/>
      <c r="BI4" s="3"/>
      <c r="BJ4" s="3"/>
      <c r="BK4" s="577"/>
      <c r="BL4" s="578"/>
      <c r="BM4" s="578"/>
      <c r="BN4" s="578"/>
      <c r="BO4" s="579"/>
      <c r="BP4" s="579"/>
      <c r="BQ4" s="580"/>
      <c r="BR4" s="577"/>
      <c r="BS4" s="566"/>
      <c r="BT4" s="566"/>
      <c r="BU4" s="566"/>
      <c r="BV4" s="566"/>
      <c r="BW4" s="566"/>
      <c r="BX4" s="587"/>
      <c r="BY4" s="566"/>
      <c r="BZ4" s="566"/>
      <c r="CA4" s="566"/>
      <c r="CB4" s="566"/>
      <c r="CC4" s="566"/>
      <c r="CD4" s="566"/>
      <c r="CE4" s="566"/>
      <c r="CF4" s="566"/>
      <c r="CG4" s="566"/>
      <c r="CH4" s="566"/>
      <c r="CI4" s="566"/>
      <c r="CJ4" s="566"/>
      <c r="CK4" s="566"/>
      <c r="CL4" s="566"/>
      <c r="CM4" s="566"/>
      <c r="CN4" s="4"/>
      <c r="CO4" s="6"/>
      <c r="CP4" s="6"/>
      <c r="CQ4" s="262"/>
      <c r="CR4" s="231"/>
      <c r="CS4" s="231"/>
      <c r="CT4" s="231"/>
      <c r="CU4" s="231"/>
      <c r="CV4" s="231"/>
      <c r="CW4" s="231"/>
      <c r="CX4" s="231"/>
      <c r="CY4" s="231"/>
      <c r="DD4" s="590" t="s">
        <v>90</v>
      </c>
      <c r="DE4" s="591"/>
      <c r="DF4" s="591"/>
      <c r="DG4" s="591"/>
      <c r="DH4" s="592"/>
    </row>
    <row r="5" spans="1:118" s="7" customFormat="1" ht="8.25" hidden="1" customHeight="1">
      <c r="A5" s="557"/>
      <c r="B5" s="565"/>
      <c r="C5" s="614"/>
      <c r="D5" s="616"/>
      <c r="E5" s="614"/>
      <c r="F5" s="569"/>
      <c r="G5" s="569"/>
      <c r="H5" s="555"/>
      <c r="I5" s="570"/>
      <c r="J5" s="565"/>
      <c r="K5" s="565"/>
      <c r="L5" s="565"/>
      <c r="M5" s="565"/>
      <c r="N5" s="565"/>
      <c r="O5" s="565"/>
      <c r="P5" s="555"/>
      <c r="Q5" s="555"/>
      <c r="R5" s="555"/>
      <c r="S5" s="555"/>
      <c r="T5" s="555"/>
      <c r="U5" s="555"/>
      <c r="V5" s="563"/>
      <c r="W5" s="563"/>
      <c r="X5" s="564"/>
      <c r="Y5" s="564"/>
      <c r="Z5" s="564"/>
      <c r="AA5" s="564"/>
      <c r="AB5" s="564"/>
      <c r="AC5" s="564"/>
      <c r="AD5" s="564"/>
      <c r="AE5" s="555" t="s">
        <v>40</v>
      </c>
      <c r="AF5" s="555" t="s">
        <v>41</v>
      </c>
      <c r="AG5" s="555" t="s">
        <v>42</v>
      </c>
      <c r="AH5" s="555" t="s">
        <v>40</v>
      </c>
      <c r="AI5" s="555" t="s">
        <v>41</v>
      </c>
      <c r="AJ5" s="593"/>
      <c r="AK5" s="593"/>
      <c r="AL5" s="564"/>
      <c r="AM5" s="599"/>
      <c r="AN5" s="601"/>
      <c r="AO5" s="603"/>
      <c r="AP5" s="564"/>
      <c r="AQ5" s="564"/>
      <c r="AR5" s="83"/>
      <c r="AS5" s="593"/>
      <c r="AT5" s="555" t="s">
        <v>43</v>
      </c>
      <c r="AU5" s="84"/>
      <c r="AV5" s="85"/>
      <c r="AW5" s="598" t="s">
        <v>44</v>
      </c>
      <c r="AX5" s="598" t="s">
        <v>45</v>
      </c>
      <c r="AY5" s="555" t="s">
        <v>46</v>
      </c>
      <c r="AZ5" s="564"/>
      <c r="BA5" s="86" t="s">
        <v>47</v>
      </c>
      <c r="BB5" s="86" t="s">
        <v>48</v>
      </c>
      <c r="BC5" s="564"/>
      <c r="BD5" s="564"/>
      <c r="BE5" s="572"/>
      <c r="BF5" s="3"/>
      <c r="BG5" s="3"/>
      <c r="BH5" s="3"/>
      <c r="BI5" s="3"/>
      <c r="BJ5" s="3"/>
      <c r="BK5" s="581"/>
      <c r="BL5" s="582"/>
      <c r="BM5" s="582"/>
      <c r="BN5" s="582"/>
      <c r="BO5" s="583"/>
      <c r="BP5" s="583"/>
      <c r="BQ5" s="584"/>
      <c r="BR5" s="581"/>
      <c r="BS5" s="588"/>
      <c r="BT5" s="588"/>
      <c r="BU5" s="588"/>
      <c r="BV5" s="588"/>
      <c r="BW5" s="588"/>
      <c r="BX5" s="589"/>
      <c r="BY5" s="567"/>
      <c r="BZ5" s="566"/>
      <c r="CA5" s="566"/>
      <c r="CB5" s="566"/>
      <c r="CC5" s="566"/>
      <c r="CD5" s="566"/>
      <c r="CE5" s="566"/>
      <c r="CF5" s="567"/>
      <c r="CG5" s="567"/>
      <c r="CH5" s="567"/>
      <c r="CI5" s="567"/>
      <c r="CJ5" s="567"/>
      <c r="CK5" s="567"/>
      <c r="CL5" s="567"/>
      <c r="CM5" s="567"/>
      <c r="CN5" s="4"/>
      <c r="CO5"/>
      <c r="CP5"/>
      <c r="CQ5" s="255"/>
      <c r="CR5" s="256"/>
      <c r="CS5" s="256"/>
      <c r="CT5" s="256"/>
      <c r="CU5" s="256"/>
      <c r="CV5" s="257"/>
      <c r="CW5" s="257"/>
      <c r="CX5" s="257"/>
      <c r="CY5" s="258"/>
      <c r="DA5" s="595" t="s">
        <v>49</v>
      </c>
      <c r="DB5" s="595"/>
    </row>
    <row r="6" spans="1:118" s="7" customFormat="1" ht="106.5" customHeight="1" thickBot="1">
      <c r="A6" s="557"/>
      <c r="B6" s="565"/>
      <c r="C6" s="565"/>
      <c r="D6" s="568"/>
      <c r="E6" s="565"/>
      <c r="F6" s="569"/>
      <c r="G6" s="569"/>
      <c r="H6" s="555"/>
      <c r="I6" s="570"/>
      <c r="J6" s="571"/>
      <c r="K6" s="565"/>
      <c r="L6" s="565"/>
      <c r="M6" s="565"/>
      <c r="N6" s="571"/>
      <c r="O6" s="565"/>
      <c r="P6" s="565"/>
      <c r="Q6" s="565"/>
      <c r="R6" s="565"/>
      <c r="S6" s="565"/>
      <c r="T6" s="555"/>
      <c r="U6" s="555"/>
      <c r="V6" s="563"/>
      <c r="W6" s="563"/>
      <c r="X6" s="564"/>
      <c r="Y6" s="564"/>
      <c r="Z6" s="564"/>
      <c r="AA6" s="564"/>
      <c r="AB6" s="564"/>
      <c r="AC6" s="564"/>
      <c r="AD6" s="564"/>
      <c r="AE6" s="555"/>
      <c r="AF6" s="555"/>
      <c r="AG6" s="555"/>
      <c r="AH6" s="555"/>
      <c r="AI6" s="555"/>
      <c r="AJ6" s="593"/>
      <c r="AK6" s="593"/>
      <c r="AL6" s="564"/>
      <c r="AM6" s="599"/>
      <c r="AN6" s="602"/>
      <c r="AO6" s="603"/>
      <c r="AP6" s="564"/>
      <c r="AQ6" s="564"/>
      <c r="AR6" s="553"/>
      <c r="AS6" s="593"/>
      <c r="AT6" s="555"/>
      <c r="AU6" s="552" t="s">
        <v>50</v>
      </c>
      <c r="AV6" s="552" t="s">
        <v>51</v>
      </c>
      <c r="AW6" s="598"/>
      <c r="AX6" s="598"/>
      <c r="AY6" s="555"/>
      <c r="AZ6" s="555"/>
      <c r="BA6" s="87"/>
      <c r="BB6" s="88">
        <v>0.04</v>
      </c>
      <c r="BC6" s="564"/>
      <c r="BD6" s="564"/>
      <c r="BE6" s="572"/>
      <c r="BF6" s="8" t="s">
        <v>52</v>
      </c>
      <c r="BG6" s="8" t="s">
        <v>53</v>
      </c>
      <c r="BH6" s="8" t="s">
        <v>54</v>
      </c>
      <c r="BI6" s="3"/>
      <c r="BJ6" s="3"/>
      <c r="BK6" s="308" t="s">
        <v>100</v>
      </c>
      <c r="BL6" s="280" t="s">
        <v>82</v>
      </c>
      <c r="BM6" s="279" t="s">
        <v>262</v>
      </c>
      <c r="BN6" s="307" t="s">
        <v>444</v>
      </c>
      <c r="BO6" s="308" t="s">
        <v>97</v>
      </c>
      <c r="BP6" s="495" t="s">
        <v>99</v>
      </c>
      <c r="BQ6" s="495" t="s">
        <v>420</v>
      </c>
      <c r="BR6" s="308" t="s">
        <v>100</v>
      </c>
      <c r="BS6" s="280" t="s">
        <v>82</v>
      </c>
      <c r="BT6" s="279" t="s">
        <v>262</v>
      </c>
      <c r="BU6" s="327"/>
      <c r="BV6" s="308" t="s">
        <v>97</v>
      </c>
      <c r="BW6" s="495" t="s">
        <v>99</v>
      </c>
      <c r="BX6" s="306"/>
      <c r="BY6" s="308" t="s">
        <v>100</v>
      </c>
      <c r="BZ6" s="280" t="s">
        <v>82</v>
      </c>
      <c r="CA6" s="279" t="s">
        <v>262</v>
      </c>
      <c r="CB6" s="307" t="s">
        <v>444</v>
      </c>
      <c r="CC6" s="308" t="s">
        <v>97</v>
      </c>
      <c r="CD6" s="495" t="s">
        <v>99</v>
      </c>
      <c r="CE6" s="495" t="s">
        <v>420</v>
      </c>
      <c r="CF6" s="267" t="s">
        <v>106</v>
      </c>
      <c r="CG6" s="268" t="s">
        <v>85</v>
      </c>
      <c r="CH6" s="244" t="s">
        <v>430</v>
      </c>
      <c r="CI6" s="245" t="s">
        <v>408</v>
      </c>
      <c r="CJ6" s="267" t="s">
        <v>106</v>
      </c>
      <c r="CK6" s="268" t="s">
        <v>85</v>
      </c>
      <c r="CL6" s="244" t="s">
        <v>430</v>
      </c>
      <c r="CM6" s="245" t="s">
        <v>408</v>
      </c>
      <c r="CN6" s="243"/>
      <c r="CO6" s="248" t="s">
        <v>100</v>
      </c>
      <c r="CP6" s="10" t="s">
        <v>82</v>
      </c>
      <c r="CQ6" s="264" t="s">
        <v>263</v>
      </c>
      <c r="CR6" s="23" t="s">
        <v>446</v>
      </c>
      <c r="CS6" s="248" t="s">
        <v>98</v>
      </c>
      <c r="CT6" s="248" t="s">
        <v>99</v>
      </c>
      <c r="CU6" s="496" t="s">
        <v>423</v>
      </c>
      <c r="CV6" s="259" t="s">
        <v>106</v>
      </c>
      <c r="CW6" s="248" t="s">
        <v>84</v>
      </c>
      <c r="CX6" s="232" t="s">
        <v>430</v>
      </c>
      <c r="CY6" s="263" t="s">
        <v>408</v>
      </c>
      <c r="CZ6" s="253"/>
      <c r="DA6" s="321" t="s">
        <v>80</v>
      </c>
      <c r="DB6" s="321" t="s">
        <v>55</v>
      </c>
      <c r="DD6" s="288" t="s">
        <v>91</v>
      </c>
      <c r="DE6" s="289" t="s">
        <v>92</v>
      </c>
      <c r="DF6" s="290" t="s">
        <v>93</v>
      </c>
      <c r="DG6" s="290"/>
      <c r="DH6" s="289" t="s">
        <v>94</v>
      </c>
    </row>
    <row r="7" spans="1:118" s="76" customFormat="1" ht="16.5" customHeight="1" thickBot="1">
      <c r="A7" s="121">
        <v>1</v>
      </c>
      <c r="B7" s="122">
        <f>BK7+BL7+BM7+BN7+BO7+BP7+BQ7</f>
        <v>293.10200299999997</v>
      </c>
      <c r="C7" s="123">
        <f>IF(B7=0,0,(BK7*BR7+BL7*BS7+BM7*BT7+BN7*BU7+BQ7*BX7+BO7*BV7+BP7*BW7)/B7)</f>
        <v>0.95741710631709021</v>
      </c>
      <c r="D7" s="124">
        <f>B7*((100-C7)/100)</f>
        <v>290.29579428431992</v>
      </c>
      <c r="E7" s="125">
        <f>IF(B7=0,0,(BK7*BY7+BL7*BZ7+BM7*CA7+BQ7*CE7+BN7*CB7+BO7*CC7+BP7*CD7)/B7)</f>
        <v>38.56936675386693</v>
      </c>
      <c r="F7" s="126">
        <f t="shared" ref="F7:F37" si="0">IF(AY7=0,0,D7/AY7)</f>
        <v>2.2562404589049723</v>
      </c>
      <c r="G7" s="127"/>
      <c r="H7" s="126">
        <f>IF(AY7=0,0,(CP7+CO7+CS7+CQ7+CT7)/AY7)</f>
        <v>1.6999987953071383</v>
      </c>
      <c r="I7" s="230">
        <f>'[1]июль 20'!AI6</f>
        <v>0</v>
      </c>
      <c r="J7" s="246">
        <f>'[1]декабрь 20'!AA6</f>
        <v>11.538</v>
      </c>
      <c r="K7" s="445">
        <f>'[1]сентябрь 20'!AM6</f>
        <v>0</v>
      </c>
      <c r="L7" s="446">
        <f>BN7+BQ7</f>
        <v>71.567999999999998</v>
      </c>
      <c r="M7" s="443">
        <f>IF(AY7=0,0,(CR7+CU7)/AY7)</f>
        <v>0.55624166359783467</v>
      </c>
      <c r="N7" s="541">
        <f>'[1]декабрь 20'!W6</f>
        <v>0</v>
      </c>
      <c r="O7" s="540">
        <f>'[1]декабрь 20'!AU6</f>
        <v>7.7519999999999998</v>
      </c>
      <c r="P7" s="125">
        <f t="shared" ref="P7:P37" si="1">CF7+CH7+CI7+CG7</f>
        <v>184.17600199999998</v>
      </c>
      <c r="Q7" s="122">
        <f>'[1]декабрь 20'!S6</f>
        <v>184.17599999999999</v>
      </c>
      <c r="R7" s="123">
        <f>IF(Q7=0,0,(CI7*CM7+CG7*CK7+CH7*CL7+CF7*CJ7)/Q7)</f>
        <v>3.0500000000000114</v>
      </c>
      <c r="S7" s="129">
        <v>56.28</v>
      </c>
      <c r="T7" s="125">
        <f t="shared" ref="T7:T37" si="2">Q7*((100-R7)/100)</f>
        <v>178.55863199999996</v>
      </c>
      <c r="U7" s="128">
        <f t="shared" ref="U7:U37" si="3">IF(AY7=0,0,T7/AY7)</f>
        <v>1.387795544190854</v>
      </c>
      <c r="V7" s="130">
        <v>128.66</v>
      </c>
      <c r="W7" s="130">
        <v>128.66</v>
      </c>
      <c r="X7" s="129">
        <v>0.68</v>
      </c>
      <c r="Y7" s="131">
        <v>579</v>
      </c>
      <c r="Z7" s="131">
        <v>1165</v>
      </c>
      <c r="AA7" s="132" t="s">
        <v>167</v>
      </c>
      <c r="AB7" s="129">
        <v>76.02</v>
      </c>
      <c r="AC7" s="131">
        <v>117</v>
      </c>
      <c r="AD7" s="133">
        <v>5</v>
      </c>
      <c r="AE7" s="129"/>
      <c r="AF7" s="134">
        <f t="shared" ref="AF7:AF37" si="4">IF(AY7=0,0,AE7/AY7*1000)</f>
        <v>0</v>
      </c>
      <c r="AG7" s="135"/>
      <c r="AH7" s="129">
        <v>78.900000000000006</v>
      </c>
      <c r="AI7" s="134">
        <f t="shared" ref="AI7:AI37" si="5">IF(AY7=0,0,AH7/AY7*1000)</f>
        <v>613.22752762049845</v>
      </c>
      <c r="AJ7" s="136">
        <v>21.3</v>
      </c>
      <c r="AK7" s="127"/>
      <c r="AL7" s="137">
        <v>11.23</v>
      </c>
      <c r="AM7" s="478">
        <f>AT7*0.215</f>
        <v>36.356499999999997</v>
      </c>
      <c r="AN7" s="126">
        <f>IF(AM7=0,0,AM7/AT7)</f>
        <v>0.215</v>
      </c>
      <c r="AO7" s="139" t="s">
        <v>168</v>
      </c>
      <c r="AP7" s="138">
        <v>7.41</v>
      </c>
      <c r="AQ7" s="138">
        <v>7.92</v>
      </c>
      <c r="AR7" s="129"/>
      <c r="AS7" s="129">
        <v>9.6199999999999992</v>
      </c>
      <c r="AT7" s="129">
        <v>169.1</v>
      </c>
      <c r="AU7" s="129">
        <v>7.15</v>
      </c>
      <c r="AV7" s="129"/>
      <c r="AW7" s="129"/>
      <c r="AX7" s="140">
        <f t="shared" ref="AX7:AX37" si="6">IF(AY7=0,0,AW7/AY7*100)</f>
        <v>0</v>
      </c>
      <c r="AY7" s="125">
        <f t="shared" ref="AY7:AY37" si="7">AT7-AL7-AM7+AV7+AW7+AU7</f>
        <v>128.6635</v>
      </c>
      <c r="AZ7" s="125">
        <f>IF(AB7=0,0,((D7*0.97)*(E7/100)*0.9)/(AB7/100))+DH7</f>
        <v>132.02357482815313</v>
      </c>
      <c r="BA7" s="141">
        <f t="shared" ref="BA7:BA37" si="8">(AH7*AS7)/100*(55/71)</f>
        <v>5.8797169014084503</v>
      </c>
      <c r="BB7" s="142">
        <f t="shared" ref="BB7:BB37" si="9">AY7*$BB$6</f>
        <v>5.1465399999999999</v>
      </c>
      <c r="BC7" s="122">
        <f t="shared" ref="BC7:BC37" si="10">IF((D7*E7)=0,0,(AY7*AB7)/(D7*E7))</f>
        <v>0.87357455171926912</v>
      </c>
      <c r="BD7" s="142">
        <f>BA7+BB7</f>
        <v>11.02625690140845</v>
      </c>
      <c r="BE7" s="143">
        <v>0.86799999999999999</v>
      </c>
      <c r="BF7" s="25">
        <f>AY7</f>
        <v>128.6635</v>
      </c>
      <c r="BG7" s="25">
        <f t="shared" ref="BG7:BG38" si="11">IF(A7&lt;=$BE$43,$AT$43,0)</f>
        <v>116.7741935483871</v>
      </c>
      <c r="BH7" s="25">
        <f>BG7</f>
        <v>116.7741935483871</v>
      </c>
      <c r="BI7" s="26">
        <f t="shared" ref="BI7:BI37" si="12">IF(AY7&lt;&gt;0,1,0)</f>
        <v>1</v>
      </c>
      <c r="BJ7" s="27">
        <f>BG7*BI7</f>
        <v>116.7741935483871</v>
      </c>
      <c r="BK7" s="28">
        <v>139.46899999999999</v>
      </c>
      <c r="BL7" s="28">
        <f>DN7</f>
        <v>82.064999999999998</v>
      </c>
      <c r="BM7" s="28">
        <v>9.9999999999999995E-7</v>
      </c>
      <c r="BN7" s="28">
        <f>DK7</f>
        <v>48.793999999999997</v>
      </c>
      <c r="BO7" s="28">
        <v>9.9999999999999995E-7</v>
      </c>
      <c r="BP7" s="28">
        <v>9.9999999999999995E-7</v>
      </c>
      <c r="BQ7" s="28">
        <v>22.774000000000001</v>
      </c>
      <c r="BR7" s="28">
        <v>1</v>
      </c>
      <c r="BS7" s="28">
        <v>1.72</v>
      </c>
      <c r="BT7" s="28">
        <v>9.9999999999999995E-7</v>
      </c>
      <c r="BU7" s="28">
        <v>9.9999999999999995E-7</v>
      </c>
      <c r="BV7" s="28">
        <v>9.9999999999999995E-7</v>
      </c>
      <c r="BW7" s="28">
        <v>9.9999999999999995E-7</v>
      </c>
      <c r="BX7" s="28">
        <v>9.9999999999999995E-7</v>
      </c>
      <c r="BY7" s="28">
        <v>37.33</v>
      </c>
      <c r="BZ7" s="28">
        <v>36.08</v>
      </c>
      <c r="CA7" s="28">
        <v>9.9999999999999995E-7</v>
      </c>
      <c r="CB7" s="28">
        <v>43.89</v>
      </c>
      <c r="CC7" s="28">
        <v>9.9999999999999995E-7</v>
      </c>
      <c r="CD7" s="28">
        <v>9.9999999999999995E-7</v>
      </c>
      <c r="CE7" s="28">
        <v>43.73</v>
      </c>
      <c r="CF7" s="28">
        <v>71.451999999999998</v>
      </c>
      <c r="CG7" s="28">
        <v>9.9999999999999995E-7</v>
      </c>
      <c r="CH7" s="28">
        <v>9.9999999999999995E-7</v>
      </c>
      <c r="CI7" s="28">
        <v>112.724</v>
      </c>
      <c r="CJ7" s="28">
        <v>3.05</v>
      </c>
      <c r="CK7" s="28">
        <v>9.9999999999999995E-7</v>
      </c>
      <c r="CL7" s="28">
        <v>9.9999999999999995E-7</v>
      </c>
      <c r="CM7" s="28">
        <v>3.05</v>
      </c>
      <c r="CN7" s="286"/>
      <c r="CO7" s="252">
        <f t="shared" ref="CO7:CU22" si="13">BK7*((100-BR7)/100)</f>
        <v>138.07431</v>
      </c>
      <c r="CP7" s="11">
        <f t="shared" si="13"/>
        <v>80.653481999999997</v>
      </c>
      <c r="CQ7" s="11">
        <f t="shared" si="13"/>
        <v>9.9999998999999992E-7</v>
      </c>
      <c r="CR7" s="11">
        <f t="shared" si="13"/>
        <v>48.793999512059997</v>
      </c>
      <c r="CS7" s="11">
        <f t="shared" si="13"/>
        <v>9.9999998999999992E-7</v>
      </c>
      <c r="CT7" s="11">
        <f t="shared" si="13"/>
        <v>9.9999998999999992E-7</v>
      </c>
      <c r="CU7" s="271">
        <f t="shared" si="13"/>
        <v>22.773999772260002</v>
      </c>
      <c r="CV7" s="260">
        <f t="shared" ref="CV7:CY37" si="14">CF7*((100-CJ7)/100)</f>
        <v>69.272713999999993</v>
      </c>
      <c r="CW7" s="250">
        <f t="shared" si="14"/>
        <v>9.9999998999999992E-7</v>
      </c>
      <c r="CX7" s="260">
        <f t="shared" si="14"/>
        <v>9.9999998999999992E-7</v>
      </c>
      <c r="CY7" s="271">
        <f t="shared" si="14"/>
        <v>109.28591800000001</v>
      </c>
      <c r="CZ7" s="13"/>
      <c r="DA7" s="240">
        <f>(D7+'[2]декабрь 20'!D7)/(AY7+'[2]декабрь 20'!BA7)</f>
        <v>2.0202037541944353</v>
      </c>
      <c r="DB7" s="241">
        <f>(T7+'[2]декабрь 20'!T7)/(AY7+'[2]декабрь 20'!BA7)</f>
        <v>1.2538959481267229</v>
      </c>
      <c r="DD7" s="292">
        <f t="shared" ref="DD7:DD37" si="15">J7</f>
        <v>11.538</v>
      </c>
      <c r="DE7" s="291">
        <v>0.5</v>
      </c>
      <c r="DF7" s="291">
        <v>22.81</v>
      </c>
      <c r="DG7" s="145">
        <f t="shared" ref="DG7:DG37" si="16">DD7*((100-DE7)/100)</f>
        <v>11.480309999999999</v>
      </c>
      <c r="DH7" s="293">
        <f>IF(AB7=0,0,(DG7*DF7%)/(AB7/100))</f>
        <v>3.444697067876874</v>
      </c>
      <c r="DJ7" s="28">
        <v>58.463999999999999</v>
      </c>
      <c r="DK7" s="460">
        <f>DJ7-9.67</f>
        <v>48.793999999999997</v>
      </c>
      <c r="DM7" s="28">
        <v>72.064999999999998</v>
      </c>
      <c r="DN7" s="460">
        <f>DM7+10</f>
        <v>82.064999999999998</v>
      </c>
    </row>
    <row r="8" spans="1:118" s="76" customFormat="1" ht="16.5" customHeight="1" thickBot="1">
      <c r="A8" s="144">
        <v>2</v>
      </c>
      <c r="B8" s="122">
        <f t="shared" ref="B8:B37" si="17">BK8+BL8+BM8+BN8+BO8+BP8+BQ8</f>
        <v>273.27100000000002</v>
      </c>
      <c r="C8" s="123">
        <f t="shared" ref="C8:C37" si="18">IF(B8=0,0,(BK8*BR8+BL8*BS8+BM8*BT8+BN8*BU8+BQ8*BX8+BO8*BV8+BP8*BW8)/B8)</f>
        <v>0.84318570210523602</v>
      </c>
      <c r="D8" s="145">
        <f t="shared" ref="D8:D37" si="19">B8*((100-C8)/100)</f>
        <v>270.96681800000005</v>
      </c>
      <c r="E8" s="125">
        <f t="shared" ref="E8:E37" si="20">IF(B8=0,0,(BK8*BY8+BL8*BZ8+BM8*CA8+BQ8*CE8+BN8*CB8+BO8*CC8+BP8*CD8)/B8)</f>
        <v>38.977462628672626</v>
      </c>
      <c r="F8" s="146">
        <f t="shared" si="0"/>
        <v>2.0999726272634627</v>
      </c>
      <c r="G8" s="127">
        <v>28.06</v>
      </c>
      <c r="H8" s="126">
        <f t="shared" ref="H8:H37" si="21">IF(AY8=0,0,(CP8+CO8+CS8+CQ8+CT8)/AY8)</f>
        <v>1.5833548497095713</v>
      </c>
      <c r="I8" s="230">
        <f>'[1]июль 20'!AI7</f>
        <v>0</v>
      </c>
      <c r="J8" s="247">
        <f>'[1]декабрь 20'!AA7</f>
        <v>11.029</v>
      </c>
      <c r="K8" s="464">
        <f>'[1]сентябрь 20'!AM7</f>
        <v>0</v>
      </c>
      <c r="L8" s="446">
        <f t="shared" ref="L8:L37" si="22">BN8+BQ8</f>
        <v>66.661000000000001</v>
      </c>
      <c r="M8" s="468">
        <f t="shared" ref="M8:M37" si="23">IF(AY8=0,0,(CR8+CU8)/AY8)</f>
        <v>0.51661777755389104</v>
      </c>
      <c r="N8" s="542">
        <f>'[1]декабрь 20'!W7</f>
        <v>0</v>
      </c>
      <c r="O8" s="403">
        <f>'[1]декабрь 20'!AU7</f>
        <v>8.6560000000000006</v>
      </c>
      <c r="P8" s="401">
        <f t="shared" si="1"/>
        <v>171.809</v>
      </c>
      <c r="Q8" s="122">
        <f>'[1]декабрь 20'!S7</f>
        <v>171.809</v>
      </c>
      <c r="R8" s="123">
        <f t="shared" ref="R8:R37" si="24">IF(Q8=0,0,(CI8*CM8+CG8*CK8+CH8*CL8+CF8*CJ8)/Q8)</f>
        <v>3.0199999999999996</v>
      </c>
      <c r="S8" s="129">
        <v>14.48</v>
      </c>
      <c r="T8" s="125">
        <f t="shared" si="2"/>
        <v>166.6203682</v>
      </c>
      <c r="U8" s="147">
        <f t="shared" si="3"/>
        <v>1.291295424831536</v>
      </c>
      <c r="V8" s="130">
        <v>129.03</v>
      </c>
      <c r="W8" s="130">
        <v>105.47</v>
      </c>
      <c r="X8" s="129">
        <v>0.66</v>
      </c>
      <c r="Y8" s="131">
        <v>540</v>
      </c>
      <c r="Z8" s="131">
        <v>1156</v>
      </c>
      <c r="AA8" s="148" t="s">
        <v>455</v>
      </c>
      <c r="AB8" s="149">
        <v>76.099999999999994</v>
      </c>
      <c r="AC8" s="150">
        <v>109</v>
      </c>
      <c r="AD8" s="151">
        <v>5</v>
      </c>
      <c r="AE8" s="149">
        <v>4.45</v>
      </c>
      <c r="AF8" s="134">
        <f t="shared" si="4"/>
        <v>34.487168061007416</v>
      </c>
      <c r="AG8" s="152"/>
      <c r="AH8" s="129">
        <v>87</v>
      </c>
      <c r="AI8" s="134">
        <f t="shared" si="5"/>
        <v>674.24351040621229</v>
      </c>
      <c r="AJ8" s="153">
        <v>22.6</v>
      </c>
      <c r="AK8" s="154"/>
      <c r="AL8" s="155">
        <v>10.51</v>
      </c>
      <c r="AM8" s="478">
        <f t="shared" ref="AM8:AM35" si="25">AT8*0.215</f>
        <v>37.646499999999996</v>
      </c>
      <c r="AN8" s="126">
        <f t="shared" ref="AN8:AN37" si="26">IF(AM8=0,0,AM8/AT8)</f>
        <v>0.215</v>
      </c>
      <c r="AO8" s="157" t="s">
        <v>456</v>
      </c>
      <c r="AP8" s="156">
        <v>7.92</v>
      </c>
      <c r="AQ8" s="156">
        <v>7.64</v>
      </c>
      <c r="AR8" s="149"/>
      <c r="AS8" s="149">
        <v>8.02</v>
      </c>
      <c r="AT8" s="149">
        <v>175.1</v>
      </c>
      <c r="AU8" s="149">
        <v>2.09</v>
      </c>
      <c r="AV8" s="149"/>
      <c r="AW8" s="149"/>
      <c r="AX8" s="158">
        <f t="shared" si="6"/>
        <v>0</v>
      </c>
      <c r="AY8" s="125">
        <f t="shared" si="7"/>
        <v>129.0335</v>
      </c>
      <c r="AZ8" s="125">
        <f t="shared" ref="AZ8:AZ37" si="27">IF(AB8=0,0,((D8*0.97)*(E8/100)*0.9)/(AB8/100))+DH8</f>
        <v>123.94927252595615</v>
      </c>
      <c r="BA8" s="159">
        <f t="shared" si="8"/>
        <v>5.4050281690140842</v>
      </c>
      <c r="BB8" s="160">
        <f t="shared" si="9"/>
        <v>5.16134</v>
      </c>
      <c r="BC8" s="161">
        <f t="shared" si="10"/>
        <v>0.92973131524450037</v>
      </c>
      <c r="BD8" s="160">
        <f t="shared" ref="BD8:BD37" si="28">BA8+BB8</f>
        <v>10.566368169014083</v>
      </c>
      <c r="BE8" s="162">
        <v>0.89600000000000002</v>
      </c>
      <c r="BF8" s="25">
        <f t="shared" ref="BF8:BF37" si="29">BF7+AY8</f>
        <v>257.697</v>
      </c>
      <c r="BG8" s="25">
        <f t="shared" si="11"/>
        <v>116.7741935483871</v>
      </c>
      <c r="BH8" s="25">
        <f t="shared" ref="BH8:BH37" si="30">BG8+BH7</f>
        <v>233.54838709677421</v>
      </c>
      <c r="BI8" s="26">
        <f t="shared" si="12"/>
        <v>1</v>
      </c>
      <c r="BJ8" s="27">
        <f t="shared" ref="BJ8:BJ37" si="31">BG8*BI8+BJ7</f>
        <v>233.54838709677421</v>
      </c>
      <c r="BK8" s="30">
        <v>23.47</v>
      </c>
      <c r="BL8" s="28">
        <f t="shared" ref="BL8:BL36" si="32">DN8</f>
        <v>183.14</v>
      </c>
      <c r="BM8" s="31"/>
      <c r="BN8" s="28">
        <f t="shared" ref="BN8:BN37" si="33">DK8</f>
        <v>44.866</v>
      </c>
      <c r="BO8" s="40"/>
      <c r="BP8" s="40"/>
      <c r="BQ8" s="32">
        <v>21.795000000000002</v>
      </c>
      <c r="BR8" s="33">
        <v>1</v>
      </c>
      <c r="BS8" s="34">
        <v>1.1299999999999999</v>
      </c>
      <c r="BT8" s="35"/>
      <c r="BU8" s="28"/>
      <c r="BV8" s="287"/>
      <c r="BW8" s="28"/>
      <c r="BX8" s="36"/>
      <c r="BY8" s="33">
        <v>37.33</v>
      </c>
      <c r="BZ8" s="34">
        <v>37.409999999999997</v>
      </c>
      <c r="CA8" s="35"/>
      <c r="CB8" s="35">
        <v>43.89</v>
      </c>
      <c r="CC8" s="235"/>
      <c r="CD8" s="235"/>
      <c r="CE8" s="36">
        <v>43.81</v>
      </c>
      <c r="CF8" s="30">
        <v>66.509</v>
      </c>
      <c r="CG8" s="30"/>
      <c r="CH8" s="31"/>
      <c r="CI8" s="32">
        <v>105.3</v>
      </c>
      <c r="CJ8" s="33">
        <v>3.02</v>
      </c>
      <c r="CK8" s="33"/>
      <c r="CL8" s="35"/>
      <c r="CM8" s="28">
        <v>3.02</v>
      </c>
      <c r="CN8" s="286"/>
      <c r="CO8" s="249">
        <f t="shared" si="13"/>
        <v>23.235299999999999</v>
      </c>
      <c r="CP8" s="12">
        <f t="shared" si="13"/>
        <v>181.07051799999999</v>
      </c>
      <c r="CQ8" s="12">
        <f t="shared" si="13"/>
        <v>0</v>
      </c>
      <c r="CR8" s="12">
        <f t="shared" si="13"/>
        <v>44.866</v>
      </c>
      <c r="CS8" s="11">
        <f t="shared" si="13"/>
        <v>0</v>
      </c>
      <c r="CT8" s="11">
        <f t="shared" si="13"/>
        <v>0</v>
      </c>
      <c r="CU8" s="272">
        <f t="shared" si="13"/>
        <v>21.795000000000002</v>
      </c>
      <c r="CV8" s="249">
        <f t="shared" si="14"/>
        <v>64.500428200000002</v>
      </c>
      <c r="CW8" s="12">
        <f t="shared" si="14"/>
        <v>0</v>
      </c>
      <c r="CX8" s="254">
        <f t="shared" si="14"/>
        <v>0</v>
      </c>
      <c r="CY8" s="272">
        <f t="shared" si="14"/>
        <v>102.11994</v>
      </c>
      <c r="CZ8" s="13"/>
      <c r="DA8" s="240">
        <f>(D8+'[2]декабрь 20'!D8)/(AY8+'[2]декабрь 20'!BA8)</f>
        <v>2.3587209655772843</v>
      </c>
      <c r="DB8" s="241">
        <f>(T8+'[2]декабрь 20'!T8)/(AY8+'[2]декабрь 20'!BA8)</f>
        <v>1.4351721382813194</v>
      </c>
      <c r="DD8" s="292">
        <f t="shared" si="15"/>
        <v>11.029</v>
      </c>
      <c r="DE8" s="291">
        <v>0.28000000000000003</v>
      </c>
      <c r="DF8" s="291">
        <v>19.3</v>
      </c>
      <c r="DG8" s="145">
        <f t="shared" si="16"/>
        <v>10.9981188</v>
      </c>
      <c r="DH8" s="293">
        <f t="shared" ref="DH8:DH37" si="34">IF(AB8=0,0,(DG8*DF8%)/(AB8/100))</f>
        <v>2.7892732304862027</v>
      </c>
      <c r="DJ8" s="31">
        <v>54.536000000000001</v>
      </c>
      <c r="DK8" s="460">
        <f t="shared" ref="DK8:DK36" si="35">DJ8-9.67</f>
        <v>44.866</v>
      </c>
      <c r="DM8" s="31">
        <v>173.14</v>
      </c>
      <c r="DN8" s="460">
        <f t="shared" ref="DN8:DN37" si="36">DM8+10</f>
        <v>183.14</v>
      </c>
    </row>
    <row r="9" spans="1:118" s="76" customFormat="1" ht="16.5" customHeight="1" thickBot="1">
      <c r="A9" s="144">
        <v>3</v>
      </c>
      <c r="B9" s="122">
        <f t="shared" si="17"/>
        <v>274.928</v>
      </c>
      <c r="C9" s="123">
        <f t="shared" si="18"/>
        <v>0.59535911220392246</v>
      </c>
      <c r="D9" s="145">
        <f>B9*((100-C9)/100)</f>
        <v>273.29119109999999</v>
      </c>
      <c r="E9" s="125">
        <f t="shared" si="20"/>
        <v>38.842353525286619</v>
      </c>
      <c r="F9" s="146">
        <f t="shared" si="0"/>
        <v>2.2355336238611847</v>
      </c>
      <c r="G9" s="127">
        <v>16.93</v>
      </c>
      <c r="H9" s="126">
        <f t="shared" si="21"/>
        <v>1.6814420687328091</v>
      </c>
      <c r="I9" s="230">
        <f>'[1]июль 20'!AI8</f>
        <v>0</v>
      </c>
      <c r="J9" s="247">
        <f>'[1]декабрь 20'!AA8</f>
        <v>10.601000000000001</v>
      </c>
      <c r="K9" s="465">
        <f>'[1]сентябрь 20'!AM8</f>
        <v>0</v>
      </c>
      <c r="L9" s="446">
        <f t="shared" si="22"/>
        <v>67.736999999999995</v>
      </c>
      <c r="M9" s="469">
        <f t="shared" si="23"/>
        <v>0.55409155512837549</v>
      </c>
      <c r="N9" s="542">
        <f>'[1]декабрь 20'!W8</f>
        <v>0</v>
      </c>
      <c r="O9" s="403">
        <f>'[1]декабрь 20'!AU8</f>
        <v>8.4939999999999998</v>
      </c>
      <c r="P9" s="401">
        <f t="shared" si="1"/>
        <v>174.125</v>
      </c>
      <c r="Q9" s="122">
        <f>'[1]декабрь 20'!S8</f>
        <v>174.125</v>
      </c>
      <c r="R9" s="123">
        <f t="shared" si="24"/>
        <v>2.9900000000000007</v>
      </c>
      <c r="S9" s="129">
        <v>1.27</v>
      </c>
      <c r="T9" s="125">
        <f t="shared" si="2"/>
        <v>168.91866250000001</v>
      </c>
      <c r="U9" s="147">
        <f>IF(AY9=0,0,T9/AY9)</f>
        <v>1.3817618789558177</v>
      </c>
      <c r="V9" s="130">
        <v>122.25</v>
      </c>
      <c r="W9" s="130">
        <v>95.96</v>
      </c>
      <c r="X9" s="129">
        <v>0.52</v>
      </c>
      <c r="Y9" s="131">
        <v>552</v>
      </c>
      <c r="Z9" s="131">
        <v>1166</v>
      </c>
      <c r="AA9" s="148" t="s">
        <v>252</v>
      </c>
      <c r="AB9" s="149">
        <v>76.55</v>
      </c>
      <c r="AC9" s="150">
        <v>105</v>
      </c>
      <c r="AD9" s="151">
        <v>5</v>
      </c>
      <c r="AE9" s="149"/>
      <c r="AF9" s="134">
        <f t="shared" si="4"/>
        <v>0</v>
      </c>
      <c r="AG9" s="152"/>
      <c r="AH9" s="129">
        <v>79.849999999999994</v>
      </c>
      <c r="AI9" s="134">
        <f t="shared" si="5"/>
        <v>653.1764128467571</v>
      </c>
      <c r="AJ9" s="153">
        <v>20.28</v>
      </c>
      <c r="AK9" s="154"/>
      <c r="AL9" s="155">
        <v>8.57</v>
      </c>
      <c r="AM9" s="478">
        <f t="shared" si="25"/>
        <v>34.991250000000001</v>
      </c>
      <c r="AN9" s="126">
        <f t="shared" si="26"/>
        <v>0.215</v>
      </c>
      <c r="AO9" s="157" t="s">
        <v>151</v>
      </c>
      <c r="AP9" s="156">
        <v>7.52</v>
      </c>
      <c r="AQ9" s="156">
        <v>7.22</v>
      </c>
      <c r="AR9" s="149"/>
      <c r="AS9" s="149">
        <v>9.14</v>
      </c>
      <c r="AT9" s="149">
        <v>162.75</v>
      </c>
      <c r="AU9" s="149">
        <v>3.06</v>
      </c>
      <c r="AV9" s="149"/>
      <c r="AW9" s="149"/>
      <c r="AX9" s="158">
        <f t="shared" si="6"/>
        <v>0</v>
      </c>
      <c r="AY9" s="125">
        <f t="shared" si="7"/>
        <v>122.24875</v>
      </c>
      <c r="AZ9" s="125">
        <f t="shared" si="27"/>
        <v>123.01354351017832</v>
      </c>
      <c r="BA9" s="159">
        <f t="shared" si="8"/>
        <v>5.6536049295774644</v>
      </c>
      <c r="BB9" s="160">
        <f t="shared" si="9"/>
        <v>4.8899499999999998</v>
      </c>
      <c r="BC9" s="161">
        <f t="shared" si="10"/>
        <v>0.88157334809561627</v>
      </c>
      <c r="BD9" s="160">
        <f t="shared" si="28"/>
        <v>10.543554929577464</v>
      </c>
      <c r="BE9" s="162">
        <v>0.89</v>
      </c>
      <c r="BF9" s="25">
        <f t="shared" si="29"/>
        <v>379.94574999999998</v>
      </c>
      <c r="BG9" s="25">
        <f t="shared" si="11"/>
        <v>116.7741935483871</v>
      </c>
      <c r="BH9" s="25">
        <f t="shared" si="30"/>
        <v>350.32258064516134</v>
      </c>
      <c r="BI9" s="26">
        <f t="shared" si="12"/>
        <v>1</v>
      </c>
      <c r="BJ9" s="37">
        <f t="shared" si="31"/>
        <v>350.32258064516134</v>
      </c>
      <c r="BK9" s="38"/>
      <c r="BL9" s="28">
        <f t="shared" si="32"/>
        <v>207.191</v>
      </c>
      <c r="BM9" s="31"/>
      <c r="BN9" s="28">
        <f t="shared" si="33"/>
        <v>45.936999999999998</v>
      </c>
      <c r="BO9" s="40"/>
      <c r="BP9" s="40"/>
      <c r="BQ9" s="32">
        <v>21.8</v>
      </c>
      <c r="BR9" s="33"/>
      <c r="BS9" s="34">
        <v>0.79</v>
      </c>
      <c r="BT9" s="35"/>
      <c r="BU9" s="28"/>
      <c r="BV9" s="287"/>
      <c r="BW9" s="287"/>
      <c r="BX9" s="36"/>
      <c r="BY9" s="33"/>
      <c r="BZ9" s="34">
        <v>37.33</v>
      </c>
      <c r="CA9" s="35"/>
      <c r="CB9" s="35">
        <v>43.42</v>
      </c>
      <c r="CC9" s="235"/>
      <c r="CD9" s="235"/>
      <c r="CE9" s="36">
        <v>43.57</v>
      </c>
      <c r="CF9" s="30">
        <v>67.403000000000006</v>
      </c>
      <c r="CG9" s="30"/>
      <c r="CH9" s="31"/>
      <c r="CI9" s="32">
        <v>106.72199999999999</v>
      </c>
      <c r="CJ9" s="33">
        <v>2.99</v>
      </c>
      <c r="CK9" s="33"/>
      <c r="CL9" s="35"/>
      <c r="CM9" s="36">
        <v>2.99</v>
      </c>
      <c r="CN9" s="286"/>
      <c r="CO9" s="249">
        <f t="shared" si="13"/>
        <v>0</v>
      </c>
      <c r="CP9" s="12">
        <f t="shared" si="13"/>
        <v>205.5541911</v>
      </c>
      <c r="CQ9" s="12">
        <f t="shared" si="13"/>
        <v>0</v>
      </c>
      <c r="CR9" s="12">
        <f t="shared" si="13"/>
        <v>45.936999999999998</v>
      </c>
      <c r="CS9" s="11">
        <f t="shared" si="13"/>
        <v>0</v>
      </c>
      <c r="CT9" s="11">
        <f t="shared" si="13"/>
        <v>0</v>
      </c>
      <c r="CU9" s="272">
        <f t="shared" si="13"/>
        <v>21.8</v>
      </c>
      <c r="CV9" s="249">
        <f t="shared" si="14"/>
        <v>65.387650300000004</v>
      </c>
      <c r="CW9" s="251">
        <f t="shared" si="14"/>
        <v>0</v>
      </c>
      <c r="CX9" s="249">
        <f t="shared" si="14"/>
        <v>0</v>
      </c>
      <c r="CY9" s="272">
        <f t="shared" si="14"/>
        <v>103.53101220000001</v>
      </c>
      <c r="CZ9" s="13"/>
      <c r="DA9" s="240">
        <f>(D9+'[2]декабрь 20'!D9)/(AY9+'[2]декабрь 20'!BA9)</f>
        <v>2.2251244365479912</v>
      </c>
      <c r="DB9" s="241">
        <f>(T9+'[2]декабрь 20'!T9)/(AY9+'[2]декабрь 20'!BA9)</f>
        <v>1.3716188269931846</v>
      </c>
      <c r="DD9" s="292">
        <f t="shared" si="15"/>
        <v>10.601000000000001</v>
      </c>
      <c r="DE9" s="291">
        <v>0.23</v>
      </c>
      <c r="DF9" s="291">
        <v>14.14</v>
      </c>
      <c r="DG9" s="145">
        <f t="shared" si="16"/>
        <v>10.5766177</v>
      </c>
      <c r="DH9" s="293">
        <f t="shared" si="34"/>
        <v>1.9536691610450687</v>
      </c>
      <c r="DJ9" s="31">
        <v>55.606999999999999</v>
      </c>
      <c r="DK9" s="460">
        <f t="shared" si="35"/>
        <v>45.936999999999998</v>
      </c>
      <c r="DM9" s="31">
        <v>197.191</v>
      </c>
      <c r="DN9" s="460">
        <f t="shared" si="36"/>
        <v>207.191</v>
      </c>
    </row>
    <row r="10" spans="1:118" s="76" customFormat="1" ht="16.5" customHeight="1" thickBot="1">
      <c r="A10" s="144">
        <v>4</v>
      </c>
      <c r="B10" s="122">
        <f t="shared" si="17"/>
        <v>255.96999999999997</v>
      </c>
      <c r="C10" s="123">
        <f t="shared" si="18"/>
        <v>1.0472785873344532</v>
      </c>
      <c r="D10" s="145">
        <f t="shared" si="19"/>
        <v>253.28928099999999</v>
      </c>
      <c r="E10" s="125">
        <f>IF(B10=0,0,(BK10*BY10+BL10*BZ10+BM10*CA10+BQ10*CE10+BN10*CB10+BO10*CC10+BP10*CD10)/B10)</f>
        <v>38.566543618392778</v>
      </c>
      <c r="F10" s="146">
        <f t="shared" si="0"/>
        <v>2.2169546087123964</v>
      </c>
      <c r="G10" s="127">
        <v>16.010000000000002</v>
      </c>
      <c r="H10" s="126">
        <f t="shared" si="21"/>
        <v>1.6767842819756504</v>
      </c>
      <c r="I10" s="230">
        <f>'[1]июль 20'!AI9</f>
        <v>0</v>
      </c>
      <c r="J10" s="247">
        <f>'[1]декабрь 20'!AA9</f>
        <v>9.7829999999999995</v>
      </c>
      <c r="K10" s="464">
        <f>'[1]сентябрь 20'!AM9</f>
        <v>0</v>
      </c>
      <c r="L10" s="446">
        <f t="shared" si="22"/>
        <v>61.714999999999996</v>
      </c>
      <c r="M10" s="470">
        <f t="shared" si="23"/>
        <v>0.54017032673674625</v>
      </c>
      <c r="N10" s="542">
        <f>'[1]декабрь 20'!W9</f>
        <v>0</v>
      </c>
      <c r="O10" s="403">
        <f>'[1]декабрь 20'!AU9</f>
        <v>8.6769999999999996</v>
      </c>
      <c r="P10" s="401">
        <f t="shared" si="1"/>
        <v>162.19999999999999</v>
      </c>
      <c r="Q10" s="122">
        <f>'[1]декабрь 20'!S9</f>
        <v>162.19999999999999</v>
      </c>
      <c r="R10" s="123">
        <f t="shared" si="24"/>
        <v>3.1000000000000005</v>
      </c>
      <c r="S10" s="129">
        <v>30.84</v>
      </c>
      <c r="T10" s="125">
        <f t="shared" si="2"/>
        <v>157.17179999999999</v>
      </c>
      <c r="U10" s="147">
        <f t="shared" si="3"/>
        <v>1.3756711100996928</v>
      </c>
      <c r="V10" s="130">
        <v>114.25</v>
      </c>
      <c r="W10" s="130">
        <v>88.76</v>
      </c>
      <c r="X10" s="129">
        <v>0.75</v>
      </c>
      <c r="Y10" s="131">
        <v>564</v>
      </c>
      <c r="Z10" s="131">
        <v>1171</v>
      </c>
      <c r="AA10" s="148" t="s">
        <v>414</v>
      </c>
      <c r="AB10" s="149">
        <v>76.010000000000005</v>
      </c>
      <c r="AC10" s="150">
        <v>102</v>
      </c>
      <c r="AD10" s="151">
        <v>5</v>
      </c>
      <c r="AE10" s="149"/>
      <c r="AF10" s="134">
        <f t="shared" si="4"/>
        <v>0</v>
      </c>
      <c r="AG10" s="152"/>
      <c r="AH10" s="129">
        <v>67.05</v>
      </c>
      <c r="AI10" s="134">
        <f t="shared" si="5"/>
        <v>586.86576047474421</v>
      </c>
      <c r="AJ10" s="153">
        <v>15.25</v>
      </c>
      <c r="AK10" s="154"/>
      <c r="AL10" s="155">
        <v>7.49</v>
      </c>
      <c r="AM10" s="478">
        <f t="shared" si="25"/>
        <v>32.808999999999997</v>
      </c>
      <c r="AN10" s="126">
        <f t="shared" si="26"/>
        <v>0.215</v>
      </c>
      <c r="AO10" s="157" t="s">
        <v>193</v>
      </c>
      <c r="AP10" s="156">
        <v>7.83</v>
      </c>
      <c r="AQ10" s="156">
        <v>6.97</v>
      </c>
      <c r="AR10" s="149"/>
      <c r="AS10" s="149">
        <v>7.47</v>
      </c>
      <c r="AT10" s="149">
        <v>152.6</v>
      </c>
      <c r="AU10" s="149">
        <v>1.95</v>
      </c>
      <c r="AV10" s="149"/>
      <c r="AW10" s="149"/>
      <c r="AX10" s="158">
        <f t="shared" si="6"/>
        <v>0</v>
      </c>
      <c r="AY10" s="125">
        <f>AT10-AL10-AM10+AV10+AW10+AU10</f>
        <v>114.25099999999999</v>
      </c>
      <c r="AZ10" s="125">
        <f t="shared" si="27"/>
        <v>114.23299935122483</v>
      </c>
      <c r="BA10" s="159">
        <f t="shared" si="8"/>
        <v>3.8799285211267605</v>
      </c>
      <c r="BB10" s="160">
        <f t="shared" si="9"/>
        <v>4.5700399999999997</v>
      </c>
      <c r="BC10" s="161">
        <f t="shared" si="10"/>
        <v>0.88900297177486232</v>
      </c>
      <c r="BD10" s="160">
        <f t="shared" si="28"/>
        <v>8.4499685211267597</v>
      </c>
      <c r="BE10" s="162">
        <v>0.88800000000000001</v>
      </c>
      <c r="BF10" s="25">
        <f t="shared" si="29"/>
        <v>494.19674999999995</v>
      </c>
      <c r="BG10" s="25">
        <f t="shared" si="11"/>
        <v>116.7741935483871</v>
      </c>
      <c r="BH10" s="25">
        <f t="shared" si="30"/>
        <v>467.09677419354841</v>
      </c>
      <c r="BI10" s="26">
        <f t="shared" si="12"/>
        <v>1</v>
      </c>
      <c r="BJ10" s="37">
        <f t="shared" si="31"/>
        <v>467.09677419354841</v>
      </c>
      <c r="BK10" s="38"/>
      <c r="BL10" s="28">
        <f t="shared" si="32"/>
        <v>194.255</v>
      </c>
      <c r="BM10" s="31"/>
      <c r="BN10" s="28">
        <f t="shared" si="33"/>
        <v>41.330999999999996</v>
      </c>
      <c r="BO10" s="40"/>
      <c r="BP10" s="40"/>
      <c r="BQ10" s="32">
        <v>20.384</v>
      </c>
      <c r="BR10" s="33"/>
      <c r="BS10" s="34">
        <v>1.38</v>
      </c>
      <c r="BT10" s="35"/>
      <c r="BU10" s="28"/>
      <c r="BV10" s="287"/>
      <c r="BW10" s="287"/>
      <c r="BX10" s="36"/>
      <c r="BY10" s="33"/>
      <c r="BZ10" s="34">
        <v>36.86</v>
      </c>
      <c r="CA10" s="35"/>
      <c r="CB10" s="35">
        <v>43.73</v>
      </c>
      <c r="CC10" s="235"/>
      <c r="CD10" s="235"/>
      <c r="CE10" s="36">
        <v>44.36</v>
      </c>
      <c r="CF10" s="30">
        <v>62.261000000000003</v>
      </c>
      <c r="CG10" s="30"/>
      <c r="CH10" s="31"/>
      <c r="CI10" s="32">
        <v>99.938999999999993</v>
      </c>
      <c r="CJ10" s="33">
        <v>3.1</v>
      </c>
      <c r="CK10" s="33"/>
      <c r="CL10" s="35"/>
      <c r="CM10" s="36">
        <v>3.1</v>
      </c>
      <c r="CN10" s="286"/>
      <c r="CO10" s="249">
        <f t="shared" si="13"/>
        <v>0</v>
      </c>
      <c r="CP10" s="12">
        <f t="shared" si="13"/>
        <v>191.57428100000001</v>
      </c>
      <c r="CQ10" s="12">
        <f t="shared" si="13"/>
        <v>0</v>
      </c>
      <c r="CR10" s="14">
        <f t="shared" si="13"/>
        <v>41.330999999999996</v>
      </c>
      <c r="CS10" s="11">
        <f t="shared" si="13"/>
        <v>0</v>
      </c>
      <c r="CT10" s="11">
        <f t="shared" si="13"/>
        <v>0</v>
      </c>
      <c r="CU10" s="272">
        <f t="shared" si="13"/>
        <v>20.384</v>
      </c>
      <c r="CV10" s="249">
        <f t="shared" si="14"/>
        <v>60.330909000000005</v>
      </c>
      <c r="CW10" s="12">
        <f t="shared" si="14"/>
        <v>0</v>
      </c>
      <c r="CX10" s="249">
        <f t="shared" si="14"/>
        <v>0</v>
      </c>
      <c r="CY10" s="272">
        <f t="shared" si="14"/>
        <v>96.840890999999999</v>
      </c>
      <c r="CZ10" s="13"/>
      <c r="DA10" s="240">
        <f>(D10+'[2]декабрь 20'!D10)/(AY10+'[2]декабрь 20'!BA10)</f>
        <v>2.1245737644373199</v>
      </c>
      <c r="DB10" s="241">
        <f>(T10+'[2]декабрь 20'!T10)/(AY10+'[2]декабрь 20'!BA10)</f>
        <v>1.3090642860784301</v>
      </c>
      <c r="DD10" s="292">
        <f t="shared" si="15"/>
        <v>9.7829999999999995</v>
      </c>
      <c r="DE10" s="291">
        <v>0.13</v>
      </c>
      <c r="DF10" s="291">
        <v>15.86</v>
      </c>
      <c r="DG10" s="145">
        <f t="shared" si="16"/>
        <v>9.7702820999999993</v>
      </c>
      <c r="DH10" s="293">
        <f t="shared" si="34"/>
        <v>2.0386353651624782</v>
      </c>
      <c r="DJ10" s="31">
        <v>51.000999999999998</v>
      </c>
      <c r="DK10" s="460">
        <f t="shared" si="35"/>
        <v>41.330999999999996</v>
      </c>
      <c r="DM10" s="31">
        <v>184.255</v>
      </c>
      <c r="DN10" s="460">
        <f t="shared" si="36"/>
        <v>194.255</v>
      </c>
    </row>
    <row r="11" spans="1:118" s="76" customFormat="1" ht="16.5" customHeight="1" thickBot="1">
      <c r="A11" s="144">
        <v>5</v>
      </c>
      <c r="B11" s="122">
        <f t="shared" si="17"/>
        <v>238.07999999999998</v>
      </c>
      <c r="C11" s="123">
        <f t="shared" si="18"/>
        <v>1.233249495967742</v>
      </c>
      <c r="D11" s="145">
        <f t="shared" si="19"/>
        <v>235.14387959999999</v>
      </c>
      <c r="E11" s="125">
        <f t="shared" si="20"/>
        <v>38.019842153897848</v>
      </c>
      <c r="F11" s="146">
        <f t="shared" si="0"/>
        <v>2.1419848112335291</v>
      </c>
      <c r="G11" s="127">
        <v>12.52</v>
      </c>
      <c r="H11" s="126">
        <f t="shared" si="21"/>
        <v>1.6242331567656689</v>
      </c>
      <c r="I11" s="230">
        <f>'[1]июль 20'!AI10</f>
        <v>0</v>
      </c>
      <c r="J11" s="247">
        <f>'[1]декабрь 20'!AA10</f>
        <v>9.3819999999999997</v>
      </c>
      <c r="K11" s="464">
        <f>'[1]сентябрь 20'!AM10</f>
        <v>0</v>
      </c>
      <c r="L11" s="446">
        <f t="shared" si="22"/>
        <v>56.837999999999994</v>
      </c>
      <c r="M11" s="468">
        <f t="shared" si="23"/>
        <v>0.5177516544678602</v>
      </c>
      <c r="N11" s="542">
        <f>'[1]декабрь 20'!W10</f>
        <v>0</v>
      </c>
      <c r="O11" s="403">
        <f>'[1]декабрь 20'!AU10</f>
        <v>9.3780000000000001</v>
      </c>
      <c r="P11" s="401">
        <f t="shared" si="1"/>
        <v>152.315</v>
      </c>
      <c r="Q11" s="122">
        <f>'[1]декабрь 20'!S10</f>
        <v>152.315</v>
      </c>
      <c r="R11" s="123">
        <f t="shared" si="24"/>
        <v>3.21</v>
      </c>
      <c r="S11" s="129"/>
      <c r="T11" s="125">
        <f t="shared" si="2"/>
        <v>147.42568850000001</v>
      </c>
      <c r="U11" s="147">
        <f t="shared" si="3"/>
        <v>1.342937720045364</v>
      </c>
      <c r="V11" s="130">
        <v>109.78</v>
      </c>
      <c r="W11" s="130">
        <v>71.010000000000005</v>
      </c>
      <c r="X11" s="129">
        <v>0.71</v>
      </c>
      <c r="Y11" s="131">
        <v>558</v>
      </c>
      <c r="Z11" s="131">
        <v>1170</v>
      </c>
      <c r="AA11" s="148" t="s">
        <v>457</v>
      </c>
      <c r="AB11" s="149">
        <v>76.39</v>
      </c>
      <c r="AC11" s="150">
        <v>95</v>
      </c>
      <c r="AD11" s="151">
        <v>5</v>
      </c>
      <c r="AE11" s="149"/>
      <c r="AF11" s="134">
        <f t="shared" si="4"/>
        <v>0</v>
      </c>
      <c r="AG11" s="152"/>
      <c r="AH11" s="129">
        <v>75.75</v>
      </c>
      <c r="AI11" s="134">
        <f t="shared" si="5"/>
        <v>690.02582472888582</v>
      </c>
      <c r="AJ11" s="163">
        <v>16.66</v>
      </c>
      <c r="AK11" s="154"/>
      <c r="AL11" s="155">
        <v>8.86</v>
      </c>
      <c r="AM11" s="478">
        <f t="shared" si="25"/>
        <v>31.8415</v>
      </c>
      <c r="AN11" s="126">
        <f t="shared" si="26"/>
        <v>0.215</v>
      </c>
      <c r="AO11" s="157" t="s">
        <v>404</v>
      </c>
      <c r="AP11" s="156">
        <v>7.19</v>
      </c>
      <c r="AQ11" s="156">
        <v>7.46</v>
      </c>
      <c r="AR11" s="149"/>
      <c r="AS11" s="149">
        <v>8.3000000000000007</v>
      </c>
      <c r="AT11" s="149">
        <v>148.1</v>
      </c>
      <c r="AU11" s="149">
        <v>2.38</v>
      </c>
      <c r="AV11" s="149"/>
      <c r="AW11" s="149"/>
      <c r="AX11" s="158">
        <f t="shared" si="6"/>
        <v>0</v>
      </c>
      <c r="AY11" s="125">
        <f t="shared" si="7"/>
        <v>109.77850000000001</v>
      </c>
      <c r="AZ11" s="125">
        <f t="shared" si="27"/>
        <v>104.90337849724533</v>
      </c>
      <c r="BA11" s="159">
        <f t="shared" si="8"/>
        <v>4.8704049295774645</v>
      </c>
      <c r="BB11" s="160">
        <f t="shared" si="9"/>
        <v>4.39114</v>
      </c>
      <c r="BC11" s="161">
        <f t="shared" si="10"/>
        <v>0.93801506539920199</v>
      </c>
      <c r="BD11" s="160">
        <f t="shared" si="28"/>
        <v>9.2615449295774646</v>
      </c>
      <c r="BE11" s="162">
        <v>0.89600000000000002</v>
      </c>
      <c r="BF11" s="25">
        <f t="shared" si="29"/>
        <v>603.97524999999996</v>
      </c>
      <c r="BG11" s="25">
        <f t="shared" si="11"/>
        <v>116.7741935483871</v>
      </c>
      <c r="BH11" s="25">
        <f t="shared" si="30"/>
        <v>583.87096774193549</v>
      </c>
      <c r="BI11" s="26">
        <f t="shared" si="12"/>
        <v>1</v>
      </c>
      <c r="BJ11" s="37">
        <f t="shared" si="31"/>
        <v>583.87096774193549</v>
      </c>
      <c r="BK11" s="38"/>
      <c r="BL11" s="28">
        <f t="shared" si="32"/>
        <v>181.24199999999999</v>
      </c>
      <c r="BM11" s="31"/>
      <c r="BN11" s="28">
        <f t="shared" si="33"/>
        <v>37.827999999999996</v>
      </c>
      <c r="BO11" s="40"/>
      <c r="BP11" s="40"/>
      <c r="BQ11" s="32">
        <v>19.010000000000002</v>
      </c>
      <c r="BR11" s="33"/>
      <c r="BS11" s="34">
        <v>1.62</v>
      </c>
      <c r="BT11" s="35"/>
      <c r="BU11" s="28"/>
      <c r="BV11" s="287"/>
      <c r="BW11" s="287"/>
      <c r="BX11" s="36"/>
      <c r="BY11" s="33"/>
      <c r="BZ11" s="34">
        <v>36.229999999999997</v>
      </c>
      <c r="CA11" s="35"/>
      <c r="CB11" s="35">
        <v>43.57</v>
      </c>
      <c r="CC11" s="235"/>
      <c r="CD11" s="235"/>
      <c r="CE11" s="36">
        <v>44.04</v>
      </c>
      <c r="CF11" s="30">
        <v>57.994</v>
      </c>
      <c r="CG11" s="30"/>
      <c r="CH11" s="31"/>
      <c r="CI11" s="32">
        <v>94.320999999999998</v>
      </c>
      <c r="CJ11" s="33">
        <v>3.21</v>
      </c>
      <c r="CK11" s="33"/>
      <c r="CL11" s="35"/>
      <c r="CM11" s="36">
        <v>3.21</v>
      </c>
      <c r="CN11" s="286"/>
      <c r="CO11" s="249">
        <f t="shared" si="13"/>
        <v>0</v>
      </c>
      <c r="CP11" s="12">
        <f t="shared" si="13"/>
        <v>178.3058796</v>
      </c>
      <c r="CQ11" s="15">
        <f t="shared" si="13"/>
        <v>0</v>
      </c>
      <c r="CR11" s="16">
        <f t="shared" si="13"/>
        <v>37.827999999999996</v>
      </c>
      <c r="CS11" s="11">
        <f t="shared" si="13"/>
        <v>0</v>
      </c>
      <c r="CT11" s="11">
        <f t="shared" si="13"/>
        <v>0</v>
      </c>
      <c r="CU11" s="272">
        <f t="shared" si="13"/>
        <v>19.010000000000002</v>
      </c>
      <c r="CV11" s="249">
        <f t="shared" si="14"/>
        <v>56.132392600000003</v>
      </c>
      <c r="CW11" s="12">
        <f t="shared" si="14"/>
        <v>0</v>
      </c>
      <c r="CX11" s="249">
        <f t="shared" si="14"/>
        <v>0</v>
      </c>
      <c r="CY11" s="272">
        <f t="shared" si="14"/>
        <v>91.293295900000004</v>
      </c>
      <c r="CZ11" s="13"/>
      <c r="DA11" s="240">
        <f>(D11+'[2]декабрь 20'!D11)/(AY11+'[2]декабрь 20'!BA11)</f>
        <v>2.1347834524167615</v>
      </c>
      <c r="DB11" s="241">
        <f>(T11+'[2]декабрь 20'!T11)/(AY11+'[2]декабрь 20'!BA11)</f>
        <v>1.341365291867016</v>
      </c>
      <c r="DD11" s="292">
        <f t="shared" si="15"/>
        <v>9.3819999999999997</v>
      </c>
      <c r="DE11" s="291">
        <v>0.63</v>
      </c>
      <c r="DF11" s="407">
        <v>22.4</v>
      </c>
      <c r="DG11" s="145">
        <f t="shared" si="16"/>
        <v>9.3228933999999999</v>
      </c>
      <c r="DH11" s="293">
        <f t="shared" si="34"/>
        <v>2.7337715952349777</v>
      </c>
      <c r="DJ11" s="31">
        <v>47.497999999999998</v>
      </c>
      <c r="DK11" s="460">
        <f t="shared" si="35"/>
        <v>37.827999999999996</v>
      </c>
      <c r="DM11" s="31">
        <v>171.24199999999999</v>
      </c>
      <c r="DN11" s="460">
        <f t="shared" si="36"/>
        <v>181.24199999999999</v>
      </c>
    </row>
    <row r="12" spans="1:118" s="76" customFormat="1" ht="16.5" customHeight="1" thickBot="1">
      <c r="A12" s="144">
        <v>6</v>
      </c>
      <c r="B12" s="122">
        <f t="shared" si="17"/>
        <v>215.75399999999999</v>
      </c>
      <c r="C12" s="123">
        <f t="shared" si="18"/>
        <v>1.0872029255541034</v>
      </c>
      <c r="D12" s="145">
        <f t="shared" si="19"/>
        <v>213.40831619999997</v>
      </c>
      <c r="E12" s="125">
        <f t="shared" si="20"/>
        <v>37.775823252407832</v>
      </c>
      <c r="F12" s="146">
        <f t="shared" si="0"/>
        <v>2.2398664550036864</v>
      </c>
      <c r="G12" s="127">
        <v>33.9</v>
      </c>
      <c r="H12" s="126">
        <f t="shared" si="21"/>
        <v>1.709152144924418</v>
      </c>
      <c r="I12" s="230">
        <f>'[1]июль 20'!AI11</f>
        <v>0</v>
      </c>
      <c r="J12" s="247">
        <f>'[1]декабрь 20'!AA11</f>
        <v>8.8670000000000009</v>
      </c>
      <c r="K12" s="464">
        <f>'[1]сентябрь 20'!AM11</f>
        <v>0</v>
      </c>
      <c r="L12" s="446">
        <f t="shared" si="22"/>
        <v>50.564999999999998</v>
      </c>
      <c r="M12" s="469">
        <f t="shared" si="23"/>
        <v>0.53071431007926861</v>
      </c>
      <c r="N12" s="542">
        <f>'[1]декабрь 20'!W11</f>
        <v>0</v>
      </c>
      <c r="O12" s="403">
        <f>'[1]декабрь 20'!AU11</f>
        <v>8.8209999999999997</v>
      </c>
      <c r="P12" s="401">
        <f t="shared" si="1"/>
        <v>138.17000000000002</v>
      </c>
      <c r="Q12" s="122">
        <f>'[1]декабрь 20'!S11</f>
        <v>138.16999999999999</v>
      </c>
      <c r="R12" s="123">
        <f t="shared" si="24"/>
        <v>3.2300000000000009</v>
      </c>
      <c r="S12" s="129"/>
      <c r="T12" s="125">
        <f t="shared" si="2"/>
        <v>133.707109</v>
      </c>
      <c r="U12" s="147">
        <f t="shared" si="3"/>
        <v>1.4033476931796416</v>
      </c>
      <c r="V12" s="130">
        <v>95.28</v>
      </c>
      <c r="W12" s="130">
        <v>95.28</v>
      </c>
      <c r="X12" s="129">
        <v>0.69</v>
      </c>
      <c r="Y12" s="131">
        <v>603</v>
      </c>
      <c r="Z12" s="150">
        <v>1172</v>
      </c>
      <c r="AA12" s="148" t="s">
        <v>458</v>
      </c>
      <c r="AB12" s="149">
        <v>76.09</v>
      </c>
      <c r="AC12" s="150">
        <v>86</v>
      </c>
      <c r="AD12" s="151">
        <v>5</v>
      </c>
      <c r="AE12" s="149">
        <v>3.7</v>
      </c>
      <c r="AF12" s="134">
        <f t="shared" si="4"/>
        <v>38.834034357624724</v>
      </c>
      <c r="AG12" s="152"/>
      <c r="AH12" s="129">
        <v>67.900000000000006</v>
      </c>
      <c r="AI12" s="134">
        <f t="shared" si="5"/>
        <v>712.65700888722142</v>
      </c>
      <c r="AJ12" s="153">
        <v>15.89</v>
      </c>
      <c r="AK12" s="154"/>
      <c r="AL12" s="155">
        <v>7.76</v>
      </c>
      <c r="AM12" s="478">
        <f t="shared" si="25"/>
        <v>27.702749999999998</v>
      </c>
      <c r="AN12" s="126">
        <f t="shared" si="26"/>
        <v>0.215</v>
      </c>
      <c r="AO12" s="157" t="s">
        <v>183</v>
      </c>
      <c r="AP12" s="156">
        <v>7.03</v>
      </c>
      <c r="AQ12" s="156">
        <v>7.03</v>
      </c>
      <c r="AR12" s="149"/>
      <c r="AS12" s="149">
        <v>9.17</v>
      </c>
      <c r="AT12" s="149">
        <v>128.85</v>
      </c>
      <c r="AU12" s="149">
        <v>1.89</v>
      </c>
      <c r="AV12" s="164"/>
      <c r="AW12" s="164"/>
      <c r="AX12" s="158">
        <f t="shared" si="6"/>
        <v>0</v>
      </c>
      <c r="AY12" s="125">
        <f t="shared" si="7"/>
        <v>95.277249999999995</v>
      </c>
      <c r="AZ12" s="125">
        <f t="shared" si="27"/>
        <v>94.619238167811616</v>
      </c>
      <c r="BA12" s="159">
        <f t="shared" si="8"/>
        <v>4.8232908450704226</v>
      </c>
      <c r="BB12" s="160">
        <f t="shared" si="9"/>
        <v>3.8110900000000001</v>
      </c>
      <c r="BC12" s="161">
        <f t="shared" si="10"/>
        <v>0.89927293054485558</v>
      </c>
      <c r="BD12" s="160">
        <f t="shared" si="28"/>
        <v>8.6343808450704227</v>
      </c>
      <c r="BE12" s="162">
        <v>0.89500000000000002</v>
      </c>
      <c r="BF12" s="25">
        <f t="shared" si="29"/>
        <v>699.25249999999994</v>
      </c>
      <c r="BG12" s="25">
        <f t="shared" si="11"/>
        <v>116.7741935483871</v>
      </c>
      <c r="BH12" s="25">
        <f t="shared" si="30"/>
        <v>700.64516129032256</v>
      </c>
      <c r="BI12" s="26">
        <f t="shared" si="12"/>
        <v>1</v>
      </c>
      <c r="BJ12" s="37">
        <f t="shared" si="31"/>
        <v>700.64516129032256</v>
      </c>
      <c r="BK12" s="38"/>
      <c r="BL12" s="28">
        <f t="shared" si="32"/>
        <v>165.18899999999999</v>
      </c>
      <c r="BM12" s="31"/>
      <c r="BN12" s="28">
        <f t="shared" si="33"/>
        <v>33.356000000000002</v>
      </c>
      <c r="BO12" s="40"/>
      <c r="BP12" s="40"/>
      <c r="BQ12" s="32">
        <v>17.209</v>
      </c>
      <c r="BR12" s="33"/>
      <c r="BS12" s="34">
        <v>1.42</v>
      </c>
      <c r="BT12" s="33"/>
      <c r="BU12" s="28"/>
      <c r="BV12" s="287"/>
      <c r="BW12" s="287"/>
      <c r="BX12" s="36"/>
      <c r="BY12" s="33"/>
      <c r="BZ12" s="34">
        <v>35.85</v>
      </c>
      <c r="CA12" s="33"/>
      <c r="CB12" s="35">
        <v>44.04</v>
      </c>
      <c r="CC12" s="235"/>
      <c r="CD12" s="235"/>
      <c r="CE12" s="36">
        <v>44.12</v>
      </c>
      <c r="CF12" s="30">
        <v>52.487000000000002</v>
      </c>
      <c r="CG12" s="30"/>
      <c r="CH12" s="31"/>
      <c r="CI12" s="32">
        <v>85.683000000000007</v>
      </c>
      <c r="CJ12" s="33">
        <v>3.23</v>
      </c>
      <c r="CK12" s="33"/>
      <c r="CL12" s="35"/>
      <c r="CM12" s="36">
        <v>3.23</v>
      </c>
      <c r="CN12" s="286"/>
      <c r="CO12" s="249">
        <f t="shared" si="13"/>
        <v>0</v>
      </c>
      <c r="CP12" s="12">
        <f t="shared" si="13"/>
        <v>162.8433162</v>
      </c>
      <c r="CQ12" s="12">
        <f t="shared" si="13"/>
        <v>0</v>
      </c>
      <c r="CR12" s="12">
        <f t="shared" si="13"/>
        <v>33.356000000000002</v>
      </c>
      <c r="CS12" s="11">
        <f t="shared" si="13"/>
        <v>0</v>
      </c>
      <c r="CT12" s="11">
        <f t="shared" si="13"/>
        <v>0</v>
      </c>
      <c r="CU12" s="272">
        <f t="shared" si="13"/>
        <v>17.209</v>
      </c>
      <c r="CV12" s="249">
        <f t="shared" si="14"/>
        <v>50.791669900000002</v>
      </c>
      <c r="CW12" s="12">
        <f t="shared" si="14"/>
        <v>0</v>
      </c>
      <c r="CX12" s="252">
        <f t="shared" si="14"/>
        <v>0</v>
      </c>
      <c r="CY12" s="272">
        <f t="shared" si="14"/>
        <v>82.9154391</v>
      </c>
      <c r="CZ12" s="13"/>
      <c r="DA12" s="240">
        <f>(D12+'[2]декабрь 20'!D12)/(AY12+'[2]декабрь 20'!BA12)</f>
        <v>2.123301590382507</v>
      </c>
      <c r="DB12" s="241">
        <f>(T12+'[2]декабрь 20'!T12)/(AY12+'[2]декабрь 20'!BA12)</f>
        <v>1.3325460180158457</v>
      </c>
      <c r="DD12" s="292">
        <f t="shared" si="15"/>
        <v>8.8670000000000009</v>
      </c>
      <c r="DE12" s="291">
        <v>0.49</v>
      </c>
      <c r="DF12" s="291">
        <v>18.329999999999998</v>
      </c>
      <c r="DG12" s="145">
        <f t="shared" si="16"/>
        <v>8.8235517000000012</v>
      </c>
      <c r="DH12" s="293">
        <f t="shared" si="34"/>
        <v>2.1255842116046786</v>
      </c>
      <c r="DJ12" s="31">
        <v>43.026000000000003</v>
      </c>
      <c r="DK12" s="460">
        <f t="shared" si="35"/>
        <v>33.356000000000002</v>
      </c>
      <c r="DM12" s="31">
        <v>155.18899999999999</v>
      </c>
      <c r="DN12" s="460">
        <f t="shared" si="36"/>
        <v>165.18899999999999</v>
      </c>
    </row>
    <row r="13" spans="1:118" s="76" customFormat="1" ht="16.5" customHeight="1" thickBot="1">
      <c r="A13" s="144">
        <v>7</v>
      </c>
      <c r="B13" s="122">
        <f t="shared" si="17"/>
        <v>233.40299999999999</v>
      </c>
      <c r="C13" s="123">
        <f t="shared" si="18"/>
        <v>1.3543699952442771</v>
      </c>
      <c r="D13" s="145">
        <f t="shared" si="19"/>
        <v>230.24185979999996</v>
      </c>
      <c r="E13" s="125">
        <f t="shared" si="20"/>
        <v>37.795536646915416</v>
      </c>
      <c r="F13" s="146">
        <f t="shared" si="0"/>
        <v>2.0373808205116859</v>
      </c>
      <c r="G13" s="127">
        <v>28.35</v>
      </c>
      <c r="H13" s="126">
        <f t="shared" si="21"/>
        <v>1.6078477091375671</v>
      </c>
      <c r="I13" s="230">
        <f>'[1]июль 20'!AI12</f>
        <v>0</v>
      </c>
      <c r="J13" s="247">
        <f>'[1]декабрь 20'!AA12</f>
        <v>9.6419999999999995</v>
      </c>
      <c r="K13" s="464">
        <f>'[1]сентябрь 20'!AM12</f>
        <v>0</v>
      </c>
      <c r="L13" s="446">
        <f t="shared" si="22"/>
        <v>48.540999999999997</v>
      </c>
      <c r="M13" s="468">
        <f t="shared" si="23"/>
        <v>0.42953311137411926</v>
      </c>
      <c r="N13" s="542">
        <f>'[1]декабрь 20'!W12</f>
        <v>0</v>
      </c>
      <c r="O13" s="403">
        <f>'[1]декабрь 20'!AU12</f>
        <v>9.7349999999999994</v>
      </c>
      <c r="P13" s="401">
        <f t="shared" si="1"/>
        <v>172.33500000000001</v>
      </c>
      <c r="Q13" s="122">
        <f>'[1]декабрь 20'!S12</f>
        <v>172.33500000000001</v>
      </c>
      <c r="R13" s="123">
        <f t="shared" si="24"/>
        <v>3.17</v>
      </c>
      <c r="S13" s="129">
        <v>10.79</v>
      </c>
      <c r="T13" s="125">
        <f t="shared" si="2"/>
        <v>166.87198050000001</v>
      </c>
      <c r="U13" s="147">
        <f t="shared" si="3"/>
        <v>1.4766288495359874</v>
      </c>
      <c r="V13" s="130">
        <v>113.01</v>
      </c>
      <c r="W13" s="130">
        <v>48.46</v>
      </c>
      <c r="X13" s="129">
        <v>1.42</v>
      </c>
      <c r="Y13" s="165">
        <v>561</v>
      </c>
      <c r="Z13" s="166">
        <v>1164</v>
      </c>
      <c r="AA13" s="148" t="s">
        <v>459</v>
      </c>
      <c r="AB13" s="149">
        <v>76.06</v>
      </c>
      <c r="AC13" s="150">
        <v>102</v>
      </c>
      <c r="AD13" s="151">
        <v>5</v>
      </c>
      <c r="AE13" s="149"/>
      <c r="AF13" s="134">
        <f t="shared" si="4"/>
        <v>0</v>
      </c>
      <c r="AG13" s="152"/>
      <c r="AH13" s="129">
        <v>71.3</v>
      </c>
      <c r="AI13" s="134">
        <f t="shared" si="5"/>
        <v>630.92459654672757</v>
      </c>
      <c r="AJ13" s="136">
        <v>14.69</v>
      </c>
      <c r="AK13" s="154"/>
      <c r="AL13" s="155">
        <v>9.43</v>
      </c>
      <c r="AM13" s="478">
        <f t="shared" si="25"/>
        <v>32.841250000000002</v>
      </c>
      <c r="AN13" s="126">
        <f t="shared" si="26"/>
        <v>0.21500000000000002</v>
      </c>
      <c r="AO13" s="157" t="s">
        <v>203</v>
      </c>
      <c r="AP13" s="156">
        <v>7.65</v>
      </c>
      <c r="AQ13" s="156">
        <v>6.89</v>
      </c>
      <c r="AR13" s="149"/>
      <c r="AS13" s="149">
        <v>7.23</v>
      </c>
      <c r="AT13" s="149">
        <v>152.75</v>
      </c>
      <c r="AU13" s="149">
        <v>2.5299999999999998</v>
      </c>
      <c r="AV13" s="149"/>
      <c r="AW13" s="149"/>
      <c r="AX13" s="158">
        <f t="shared" si="6"/>
        <v>0</v>
      </c>
      <c r="AY13" s="125">
        <f t="shared" si="7"/>
        <v>113.00874999999999</v>
      </c>
      <c r="AZ13" s="125">
        <f t="shared" si="27"/>
        <v>101.83124378661323</v>
      </c>
      <c r="BA13" s="159">
        <f t="shared" si="8"/>
        <v>3.9933021126760568</v>
      </c>
      <c r="BB13" s="160">
        <f t="shared" si="9"/>
        <v>4.5203499999999996</v>
      </c>
      <c r="BC13" s="161">
        <f t="shared" si="10"/>
        <v>0.98774216049564079</v>
      </c>
      <c r="BD13" s="160">
        <f t="shared" si="28"/>
        <v>8.5136521126760556</v>
      </c>
      <c r="BE13" s="162">
        <v>0.90100000000000002</v>
      </c>
      <c r="BF13" s="25">
        <f t="shared" si="29"/>
        <v>812.2612499999999</v>
      </c>
      <c r="BG13" s="25">
        <f t="shared" si="11"/>
        <v>116.7741935483871</v>
      </c>
      <c r="BH13" s="25">
        <f t="shared" si="30"/>
        <v>817.41935483870964</v>
      </c>
      <c r="BI13" s="26">
        <f t="shared" si="12"/>
        <v>1</v>
      </c>
      <c r="BJ13" s="37">
        <f t="shared" si="31"/>
        <v>817.41935483870964</v>
      </c>
      <c r="BK13" s="39"/>
      <c r="BL13" s="28">
        <f t="shared" si="32"/>
        <v>184.86199999999999</v>
      </c>
      <c r="BM13" s="325"/>
      <c r="BN13" s="28">
        <f t="shared" si="33"/>
        <v>29.157999999999998</v>
      </c>
      <c r="BO13" s="40"/>
      <c r="BP13" s="40"/>
      <c r="BQ13" s="32">
        <v>19.382999999999999</v>
      </c>
      <c r="BR13" s="33"/>
      <c r="BS13" s="34">
        <v>1.71</v>
      </c>
      <c r="BT13" s="33"/>
      <c r="BU13" s="28"/>
      <c r="BV13" s="287"/>
      <c r="BW13" s="287"/>
      <c r="BX13" s="36"/>
      <c r="BY13" s="33"/>
      <c r="BZ13" s="34">
        <v>36.229999999999997</v>
      </c>
      <c r="CA13" s="33"/>
      <c r="CB13" s="35">
        <v>43.57</v>
      </c>
      <c r="CC13" s="235"/>
      <c r="CD13" s="235"/>
      <c r="CE13" s="36">
        <v>44.04</v>
      </c>
      <c r="CF13" s="30">
        <v>74.792000000000002</v>
      </c>
      <c r="CG13" s="30"/>
      <c r="CH13" s="30"/>
      <c r="CI13" s="32">
        <v>97.543000000000006</v>
      </c>
      <c r="CJ13" s="33">
        <v>3.17</v>
      </c>
      <c r="CK13" s="33"/>
      <c r="CL13" s="33"/>
      <c r="CM13" s="36">
        <v>3.17</v>
      </c>
      <c r="CN13" s="286"/>
      <c r="CO13" s="249">
        <f t="shared" si="13"/>
        <v>0</v>
      </c>
      <c r="CP13" s="12">
        <f t="shared" si="13"/>
        <v>181.70085980000002</v>
      </c>
      <c r="CQ13" s="12">
        <f t="shared" si="13"/>
        <v>0</v>
      </c>
      <c r="CR13" s="12">
        <f t="shared" si="13"/>
        <v>29.157999999999998</v>
      </c>
      <c r="CS13" s="11">
        <f t="shared" si="13"/>
        <v>0</v>
      </c>
      <c r="CT13" s="11">
        <f t="shared" si="13"/>
        <v>0</v>
      </c>
      <c r="CU13" s="272">
        <f t="shared" si="13"/>
        <v>19.382999999999999</v>
      </c>
      <c r="CV13" s="249">
        <f t="shared" si="14"/>
        <v>72.421093599999992</v>
      </c>
      <c r="CW13" s="251">
        <f t="shared" si="14"/>
        <v>0</v>
      </c>
      <c r="CX13" s="249">
        <f t="shared" si="14"/>
        <v>0</v>
      </c>
      <c r="CY13" s="272">
        <f t="shared" si="14"/>
        <v>94.4508869</v>
      </c>
      <c r="CZ13" s="13"/>
      <c r="DA13" s="240">
        <f>(D13+'[2]декабрь 20'!D13)/(AY13+'[2]декабрь 20'!BA13)</f>
        <v>2.1018606299320894</v>
      </c>
      <c r="DB13" s="241">
        <f>(T13+'[2]декабрь 20'!T13)/(AY13+'[2]декабрь 20'!BA13)</f>
        <v>1.3883205227789173</v>
      </c>
      <c r="DD13" s="292">
        <f t="shared" si="15"/>
        <v>9.6419999999999995</v>
      </c>
      <c r="DE13" s="291">
        <v>0.1</v>
      </c>
      <c r="DF13" s="291">
        <v>15.4</v>
      </c>
      <c r="DG13" s="145">
        <f t="shared" si="16"/>
        <v>9.632358</v>
      </c>
      <c r="DH13" s="293">
        <f t="shared" si="34"/>
        <v>1.9502802156192478</v>
      </c>
      <c r="DJ13" s="31">
        <v>48.497999999999998</v>
      </c>
      <c r="DK13" s="460">
        <f>DJ13-19.34</f>
        <v>29.157999999999998</v>
      </c>
      <c r="DM13" s="40">
        <v>174.86199999999999</v>
      </c>
      <c r="DN13" s="460">
        <f t="shared" si="36"/>
        <v>184.86199999999999</v>
      </c>
    </row>
    <row r="14" spans="1:118" s="76" customFormat="1" ht="16.5" customHeight="1" thickBot="1">
      <c r="A14" s="144">
        <v>8</v>
      </c>
      <c r="B14" s="122">
        <f t="shared" si="17"/>
        <v>65.528999999999996</v>
      </c>
      <c r="C14" s="123">
        <f t="shared" si="18"/>
        <v>1.3136716568236966</v>
      </c>
      <c r="D14" s="145">
        <f t="shared" si="19"/>
        <v>64.668164099999998</v>
      </c>
      <c r="E14" s="125">
        <f t="shared" si="20"/>
        <v>36.548122052831573</v>
      </c>
      <c r="F14" s="146">
        <f t="shared" si="0"/>
        <v>1.778968243401235</v>
      </c>
      <c r="G14" s="127">
        <v>4.43</v>
      </c>
      <c r="H14" s="126">
        <f t="shared" si="21"/>
        <v>1.5445900196690645</v>
      </c>
      <c r="I14" s="230">
        <f>'[1]июль 20'!AI13</f>
        <v>0</v>
      </c>
      <c r="J14" s="247">
        <f>'[1]декабрь 20'!AA13</f>
        <v>2.6230000000000002</v>
      </c>
      <c r="K14" s="464">
        <f>'[1]сентябрь 20'!AM13</f>
        <v>0</v>
      </c>
      <c r="L14" s="446">
        <f t="shared" si="22"/>
        <v>8.5200000000000014</v>
      </c>
      <c r="M14" s="471">
        <f t="shared" si="23"/>
        <v>0.23437822373217063</v>
      </c>
      <c r="N14" s="542">
        <f>'[1]декабрь 20'!W13</f>
        <v>0</v>
      </c>
      <c r="O14" s="403">
        <f>'[1]декабрь 20'!AU13</f>
        <v>2.8660000000000001</v>
      </c>
      <c r="P14" s="401">
        <f t="shared" si="1"/>
        <v>50.757999999999996</v>
      </c>
      <c r="Q14" s="122">
        <f>'[1]декабрь 20'!S13</f>
        <v>50.758000000000003</v>
      </c>
      <c r="R14" s="123">
        <f t="shared" si="24"/>
        <v>3.2099999999999995</v>
      </c>
      <c r="S14" s="129">
        <v>5.56</v>
      </c>
      <c r="T14" s="125">
        <f t="shared" si="2"/>
        <v>49.128668200000007</v>
      </c>
      <c r="U14" s="147">
        <f t="shared" si="3"/>
        <v>1.3514894350989644</v>
      </c>
      <c r="V14" s="130">
        <v>36.35</v>
      </c>
      <c r="W14" s="130"/>
      <c r="X14" s="129">
        <v>1.07</v>
      </c>
      <c r="Y14" s="131">
        <v>578</v>
      </c>
      <c r="Z14" s="150">
        <v>1185</v>
      </c>
      <c r="AA14" s="148" t="s">
        <v>122</v>
      </c>
      <c r="AB14" s="149">
        <v>75.62</v>
      </c>
      <c r="AC14" s="150">
        <v>28</v>
      </c>
      <c r="AD14" s="151">
        <v>2</v>
      </c>
      <c r="AE14" s="149">
        <v>3.3</v>
      </c>
      <c r="AF14" s="134">
        <f t="shared" si="4"/>
        <v>90.780297924432276</v>
      </c>
      <c r="AG14" s="152"/>
      <c r="AH14" s="129">
        <v>22.4</v>
      </c>
      <c r="AI14" s="134">
        <f t="shared" si="5"/>
        <v>616.20565863857053</v>
      </c>
      <c r="AJ14" s="153">
        <v>6.08</v>
      </c>
      <c r="AK14" s="154"/>
      <c r="AL14" s="155">
        <v>4.13</v>
      </c>
      <c r="AM14" s="478">
        <f t="shared" si="25"/>
        <v>10.7285</v>
      </c>
      <c r="AN14" s="126">
        <f t="shared" si="26"/>
        <v>0.21500000000000002</v>
      </c>
      <c r="AO14" s="157" t="s">
        <v>456</v>
      </c>
      <c r="AP14" s="156">
        <v>6.86</v>
      </c>
      <c r="AQ14" s="156">
        <v>7.59</v>
      </c>
      <c r="AR14" s="149"/>
      <c r="AS14" s="149">
        <v>7.28</v>
      </c>
      <c r="AT14" s="149">
        <v>49.9</v>
      </c>
      <c r="AU14" s="149">
        <v>1.31</v>
      </c>
      <c r="AV14" s="149"/>
      <c r="AW14" s="149"/>
      <c r="AX14" s="158">
        <f t="shared" si="6"/>
        <v>0</v>
      </c>
      <c r="AY14" s="125">
        <f t="shared" si="7"/>
        <v>36.351500000000001</v>
      </c>
      <c r="AZ14" s="125">
        <f t="shared" si="27"/>
        <v>27.720070068513678</v>
      </c>
      <c r="BA14" s="159">
        <f t="shared" si="8"/>
        <v>1.2632338028169012</v>
      </c>
      <c r="BB14" s="160">
        <f t="shared" si="9"/>
        <v>1.4540600000000001</v>
      </c>
      <c r="BC14" s="161">
        <f t="shared" si="10"/>
        <v>1.1630634579930934</v>
      </c>
      <c r="BD14" s="159">
        <f t="shared" si="28"/>
        <v>2.7172938028169016</v>
      </c>
      <c r="BE14" s="167">
        <v>0.90800000000000003</v>
      </c>
      <c r="BF14" s="25">
        <f t="shared" si="29"/>
        <v>848.61274999999989</v>
      </c>
      <c r="BG14" s="25">
        <f t="shared" si="11"/>
        <v>116.7741935483871</v>
      </c>
      <c r="BH14" s="25">
        <f t="shared" si="30"/>
        <v>934.19354838709671</v>
      </c>
      <c r="BI14" s="26">
        <f t="shared" si="12"/>
        <v>1</v>
      </c>
      <c r="BJ14" s="37">
        <f t="shared" si="31"/>
        <v>934.19354838709671</v>
      </c>
      <c r="BK14" s="39"/>
      <c r="BL14" s="28">
        <f t="shared" si="32"/>
        <v>57.009</v>
      </c>
      <c r="BM14" s="325"/>
      <c r="BN14" s="28">
        <f t="shared" si="33"/>
        <v>3.322000000000001</v>
      </c>
      <c r="BO14" s="40"/>
      <c r="BP14" s="40"/>
      <c r="BQ14" s="32">
        <v>5.1980000000000004</v>
      </c>
      <c r="BR14" s="33"/>
      <c r="BS14" s="34">
        <v>1.51</v>
      </c>
      <c r="BT14" s="33"/>
      <c r="BU14" s="28"/>
      <c r="BV14" s="287"/>
      <c r="BW14" s="287"/>
      <c r="BX14" s="36"/>
      <c r="BY14" s="33"/>
      <c r="BZ14" s="34">
        <v>35.450000000000003</v>
      </c>
      <c r="CA14" s="33"/>
      <c r="CB14" s="235">
        <v>43.42</v>
      </c>
      <c r="CC14" s="235"/>
      <c r="CD14" s="235"/>
      <c r="CE14" s="36">
        <v>44.2</v>
      </c>
      <c r="CF14" s="30">
        <v>23.46</v>
      </c>
      <c r="CG14" s="30"/>
      <c r="CH14" s="30"/>
      <c r="CI14" s="32">
        <v>27.297999999999998</v>
      </c>
      <c r="CJ14" s="33">
        <v>3.21</v>
      </c>
      <c r="CK14" s="33"/>
      <c r="CL14" s="33"/>
      <c r="CM14" s="36">
        <v>3.21</v>
      </c>
      <c r="CN14" s="286"/>
      <c r="CO14" s="249">
        <f t="shared" si="13"/>
        <v>0</v>
      </c>
      <c r="CP14" s="12">
        <f t="shared" si="13"/>
        <v>56.148164100000002</v>
      </c>
      <c r="CQ14" s="12">
        <f t="shared" si="13"/>
        <v>0</v>
      </c>
      <c r="CR14" s="12">
        <f t="shared" si="13"/>
        <v>3.322000000000001</v>
      </c>
      <c r="CS14" s="11">
        <f t="shared" si="13"/>
        <v>0</v>
      </c>
      <c r="CT14" s="11">
        <f t="shared" si="13"/>
        <v>0</v>
      </c>
      <c r="CU14" s="272">
        <f t="shared" si="13"/>
        <v>5.1980000000000004</v>
      </c>
      <c r="CV14" s="249">
        <f t="shared" si="14"/>
        <v>22.706934000000004</v>
      </c>
      <c r="CW14" s="12">
        <f t="shared" si="14"/>
        <v>0</v>
      </c>
      <c r="CX14" s="252">
        <f t="shared" si="14"/>
        <v>0</v>
      </c>
      <c r="CY14" s="272">
        <f t="shared" si="14"/>
        <v>26.4217342</v>
      </c>
      <c r="CZ14" s="13"/>
      <c r="DA14" s="240">
        <f>(D14+'[2]декабрь 20'!D14)/(AY14+'[2]декабрь 20'!BA14)</f>
        <v>2.2244247351888093</v>
      </c>
      <c r="DB14" s="241">
        <f>(T14+'[2]декабрь 20'!T14)/(AY14+'[2]декабрь 20'!BA14)</f>
        <v>1.4374067844999665</v>
      </c>
      <c r="DD14" s="292">
        <f t="shared" si="15"/>
        <v>2.6230000000000002</v>
      </c>
      <c r="DE14" s="291">
        <v>0.11</v>
      </c>
      <c r="DF14" s="291">
        <v>12.54</v>
      </c>
      <c r="DG14" s="145">
        <f t="shared" si="16"/>
        <v>2.6201147000000002</v>
      </c>
      <c r="DH14" s="293">
        <f t="shared" si="34"/>
        <v>0.43449138241206026</v>
      </c>
      <c r="DJ14" s="40">
        <v>12.992000000000001</v>
      </c>
      <c r="DK14" s="460">
        <f t="shared" si="35"/>
        <v>3.322000000000001</v>
      </c>
      <c r="DM14" s="40">
        <v>47.009</v>
      </c>
      <c r="DN14" s="460">
        <f t="shared" si="36"/>
        <v>57.009</v>
      </c>
    </row>
    <row r="15" spans="1:118" s="76" customFormat="1" ht="16.5" customHeight="1" thickBot="1">
      <c r="A15" s="144">
        <v>9</v>
      </c>
      <c r="B15" s="122">
        <f t="shared" si="17"/>
        <v>20.019000000000002</v>
      </c>
      <c r="C15" s="123">
        <f t="shared" si="18"/>
        <v>1.316385433837854</v>
      </c>
      <c r="D15" s="145">
        <f t="shared" si="19"/>
        <v>19.755472800000003</v>
      </c>
      <c r="E15" s="125">
        <f t="shared" si="20"/>
        <v>37.649950047454915</v>
      </c>
      <c r="F15" s="146">
        <f t="shared" si="0"/>
        <v>0</v>
      </c>
      <c r="G15" s="127">
        <v>1</v>
      </c>
      <c r="H15" s="126">
        <f t="shared" si="21"/>
        <v>0</v>
      </c>
      <c r="I15" s="230">
        <f>'[1]июль 20'!AI14</f>
        <v>0</v>
      </c>
      <c r="J15" s="247">
        <f>'[1]декабрь 20'!AA14</f>
        <v>0.68200000000000005</v>
      </c>
      <c r="K15" s="464">
        <f>'[1]сентябрь 20'!AM14</f>
        <v>0</v>
      </c>
      <c r="L15" s="446">
        <f t="shared" si="22"/>
        <v>2.7949999999999999</v>
      </c>
      <c r="M15" s="469">
        <f t="shared" si="23"/>
        <v>0</v>
      </c>
      <c r="N15" s="542">
        <f>'[1]декабрь 20'!W14</f>
        <v>0</v>
      </c>
      <c r="O15" s="403">
        <f>'[1]декабрь 20'!AU14</f>
        <v>0.60899999999999999</v>
      </c>
      <c r="P15" s="401">
        <f t="shared" si="1"/>
        <v>9.9439999999999991</v>
      </c>
      <c r="Q15" s="122">
        <f>'[1]декабрь 20'!S14</f>
        <v>9.9440000000000008</v>
      </c>
      <c r="R15" s="123">
        <f t="shared" si="24"/>
        <v>3.1899999999999995</v>
      </c>
      <c r="S15" s="129">
        <v>1.58</v>
      </c>
      <c r="T15" s="125">
        <f t="shared" si="2"/>
        <v>9.6267864000000021</v>
      </c>
      <c r="U15" s="147">
        <f t="shared" si="3"/>
        <v>0</v>
      </c>
      <c r="V15" s="130"/>
      <c r="W15" s="130"/>
      <c r="X15" s="129"/>
      <c r="Y15" s="131">
        <v>502</v>
      </c>
      <c r="Z15" s="150">
        <v>735</v>
      </c>
      <c r="AA15" s="148" t="s">
        <v>460</v>
      </c>
      <c r="AB15" s="149"/>
      <c r="AC15" s="150">
        <v>5</v>
      </c>
      <c r="AD15" s="151"/>
      <c r="AE15" s="149"/>
      <c r="AF15" s="134">
        <f t="shared" si="4"/>
        <v>0</v>
      </c>
      <c r="AG15" s="152"/>
      <c r="AH15" s="129"/>
      <c r="AI15" s="134">
        <f t="shared" si="5"/>
        <v>0</v>
      </c>
      <c r="AJ15" s="136"/>
      <c r="AK15" s="154"/>
      <c r="AL15" s="155"/>
      <c r="AM15" s="478">
        <f t="shared" si="25"/>
        <v>0</v>
      </c>
      <c r="AN15" s="126">
        <f t="shared" si="26"/>
        <v>0</v>
      </c>
      <c r="AO15" s="157"/>
      <c r="AP15" s="156"/>
      <c r="AQ15" s="156"/>
      <c r="AR15" s="149"/>
      <c r="AS15" s="149"/>
      <c r="AT15" s="149"/>
      <c r="AU15" s="149"/>
      <c r="AV15" s="149"/>
      <c r="AW15" s="149"/>
      <c r="AX15" s="158">
        <f t="shared" si="6"/>
        <v>0</v>
      </c>
      <c r="AY15" s="125">
        <f t="shared" si="7"/>
        <v>0</v>
      </c>
      <c r="AZ15" s="125">
        <f t="shared" si="27"/>
        <v>0</v>
      </c>
      <c r="BA15" s="159">
        <f t="shared" si="8"/>
        <v>0</v>
      </c>
      <c r="BB15" s="160">
        <f t="shared" si="9"/>
        <v>0</v>
      </c>
      <c r="BC15" s="161">
        <f t="shared" si="10"/>
        <v>0</v>
      </c>
      <c r="BD15" s="159">
        <f t="shared" si="28"/>
        <v>0</v>
      </c>
      <c r="BE15" s="167">
        <v>0.90400000000000003</v>
      </c>
      <c r="BF15" s="25">
        <f t="shared" si="29"/>
        <v>848.61274999999989</v>
      </c>
      <c r="BG15" s="25">
        <f t="shared" si="11"/>
        <v>116.7741935483871</v>
      </c>
      <c r="BH15" s="25">
        <f t="shared" si="30"/>
        <v>1050.9677419354839</v>
      </c>
      <c r="BI15" s="26">
        <v>1</v>
      </c>
      <c r="BJ15" s="37">
        <f t="shared" si="31"/>
        <v>1050.9677419354839</v>
      </c>
      <c r="BK15" s="38"/>
      <c r="BL15" s="28">
        <f t="shared" si="32"/>
        <v>17.224</v>
      </c>
      <c r="BM15" s="31"/>
      <c r="BN15" s="28">
        <v>2</v>
      </c>
      <c r="BO15" s="40"/>
      <c r="BP15" s="40"/>
      <c r="BQ15" s="32">
        <v>0.79500000000000004</v>
      </c>
      <c r="BR15" s="33"/>
      <c r="BS15" s="35">
        <v>1.53</v>
      </c>
      <c r="BT15" s="35"/>
      <c r="BU15" s="28"/>
      <c r="BV15" s="287"/>
      <c r="BW15" s="287"/>
      <c r="BX15" s="36"/>
      <c r="BY15" s="33"/>
      <c r="BZ15" s="34">
        <v>36.700000000000003</v>
      </c>
      <c r="CA15" s="35"/>
      <c r="CB15" s="59">
        <v>43.43</v>
      </c>
      <c r="CC15" s="35"/>
      <c r="CD15" s="35"/>
      <c r="CE15" s="35">
        <v>43.69</v>
      </c>
      <c r="CF15" s="38">
        <v>5.7519999999999998</v>
      </c>
      <c r="CG15" s="30"/>
      <c r="CH15" s="30"/>
      <c r="CI15" s="32">
        <v>4.1920000000000002</v>
      </c>
      <c r="CJ15" s="33">
        <v>3.19</v>
      </c>
      <c r="CK15" s="33"/>
      <c r="CL15" s="33"/>
      <c r="CM15" s="36">
        <v>3.19</v>
      </c>
      <c r="CN15" s="286"/>
      <c r="CO15" s="249">
        <f t="shared" si="13"/>
        <v>0</v>
      </c>
      <c r="CP15" s="12">
        <f t="shared" si="13"/>
        <v>16.960472800000002</v>
      </c>
      <c r="CQ15" s="12">
        <f t="shared" si="13"/>
        <v>0</v>
      </c>
      <c r="CR15" s="17">
        <f t="shared" si="13"/>
        <v>2</v>
      </c>
      <c r="CS15" s="11">
        <f t="shared" si="13"/>
        <v>0</v>
      </c>
      <c r="CT15" s="11">
        <f t="shared" si="13"/>
        <v>0</v>
      </c>
      <c r="CU15" s="272">
        <f t="shared" si="13"/>
        <v>0.79500000000000004</v>
      </c>
      <c r="CV15" s="249">
        <f t="shared" si="14"/>
        <v>5.5685112000000005</v>
      </c>
      <c r="CW15" s="12">
        <f t="shared" si="14"/>
        <v>0</v>
      </c>
      <c r="CX15" s="249">
        <f t="shared" si="14"/>
        <v>0</v>
      </c>
      <c r="CY15" s="274">
        <f t="shared" si="14"/>
        <v>4.0582752000000006</v>
      </c>
      <c r="CZ15" s="13"/>
      <c r="DA15" s="240">
        <f>(D15+'[2]декабрь 20'!D15)/(AY15+'[2]декабрь 20'!BA15)</f>
        <v>1.7685543358650397</v>
      </c>
      <c r="DB15" s="241">
        <f>(T15+'[2]декабрь 20'!T15)/(AY15+'[2]декабрь 20'!BA15)</f>
        <v>1.1006265025174833</v>
      </c>
      <c r="DD15" s="292">
        <f t="shared" si="15"/>
        <v>0.68200000000000005</v>
      </c>
      <c r="DE15" s="291">
        <v>0.48</v>
      </c>
      <c r="DF15" s="291">
        <v>18.309999999999999</v>
      </c>
      <c r="DG15" s="145">
        <f t="shared" si="16"/>
        <v>0.67872640000000006</v>
      </c>
      <c r="DH15" s="293">
        <f t="shared" si="34"/>
        <v>0</v>
      </c>
      <c r="DJ15" s="533">
        <v>2</v>
      </c>
      <c r="DK15" s="460"/>
      <c r="DM15" s="42">
        <v>7.2240000000000002</v>
      </c>
      <c r="DN15" s="460">
        <f t="shared" si="36"/>
        <v>17.224</v>
      </c>
    </row>
    <row r="16" spans="1:118" s="76" customFormat="1" ht="16.5" customHeight="1" thickBot="1">
      <c r="A16" s="144">
        <v>10</v>
      </c>
      <c r="B16" s="122">
        <f t="shared" si="17"/>
        <v>107.758</v>
      </c>
      <c r="C16" s="123">
        <f t="shared" si="18"/>
        <v>1.7826741402030475</v>
      </c>
      <c r="D16" s="145">
        <f t="shared" si="19"/>
        <v>105.83702599999999</v>
      </c>
      <c r="E16" s="125">
        <f t="shared" si="20"/>
        <v>37.742159190036936</v>
      </c>
      <c r="F16" s="146">
        <f t="shared" si="0"/>
        <v>0</v>
      </c>
      <c r="G16" s="127">
        <v>11.94</v>
      </c>
      <c r="H16" s="126">
        <f t="shared" si="21"/>
        <v>0</v>
      </c>
      <c r="I16" s="230">
        <f>'[1]июль 20'!AI15</f>
        <v>0</v>
      </c>
      <c r="J16" s="247">
        <f>'[1]декабрь 20'!AA15</f>
        <v>4.18</v>
      </c>
      <c r="K16" s="467">
        <f>'[1]сентябрь 20'!AM15</f>
        <v>0</v>
      </c>
      <c r="L16" s="446">
        <f t="shared" si="22"/>
        <v>20.441000000000003</v>
      </c>
      <c r="M16" s="468">
        <f t="shared" si="23"/>
        <v>0</v>
      </c>
      <c r="N16" s="542">
        <f>'[1]декабрь 20'!W15</f>
        <v>0</v>
      </c>
      <c r="O16" s="403">
        <f>'[1]декабрь 20'!AU15</f>
        <v>4.67</v>
      </c>
      <c r="P16" s="401">
        <f t="shared" si="1"/>
        <v>79.966999999999999</v>
      </c>
      <c r="Q16" s="122">
        <f>'[1]декабрь 20'!S15</f>
        <v>79.966999999999999</v>
      </c>
      <c r="R16" s="123">
        <f t="shared" si="24"/>
        <v>2.8899999999999997</v>
      </c>
      <c r="S16" s="129">
        <v>1.28</v>
      </c>
      <c r="T16" s="125">
        <f t="shared" si="2"/>
        <v>77.655953699999998</v>
      </c>
      <c r="U16" s="147">
        <f t="shared" si="3"/>
        <v>0</v>
      </c>
      <c r="V16" s="130"/>
      <c r="W16" s="130"/>
      <c r="X16" s="129"/>
      <c r="Y16" s="131">
        <v>506</v>
      </c>
      <c r="Z16" s="150">
        <v>975</v>
      </c>
      <c r="AA16" s="148" t="s">
        <v>461</v>
      </c>
      <c r="AB16" s="149"/>
      <c r="AC16" s="150">
        <v>45</v>
      </c>
      <c r="AD16" s="151"/>
      <c r="AE16" s="149"/>
      <c r="AF16" s="134">
        <f t="shared" si="4"/>
        <v>0</v>
      </c>
      <c r="AG16" s="152"/>
      <c r="AH16" s="129">
        <v>91.35</v>
      </c>
      <c r="AI16" s="134">
        <f t="shared" si="5"/>
        <v>0</v>
      </c>
      <c r="AJ16" s="153"/>
      <c r="AK16" s="154"/>
      <c r="AL16" s="155"/>
      <c r="AM16" s="478">
        <f t="shared" si="25"/>
        <v>0</v>
      </c>
      <c r="AN16" s="126">
        <f t="shared" si="26"/>
        <v>0</v>
      </c>
      <c r="AO16" s="157" t="s">
        <v>462</v>
      </c>
      <c r="AP16" s="156">
        <v>16.29</v>
      </c>
      <c r="AQ16" s="156">
        <v>6.28</v>
      </c>
      <c r="AR16" s="149"/>
      <c r="AS16" s="149">
        <v>36.659999999999997</v>
      </c>
      <c r="AT16" s="149"/>
      <c r="AU16" s="149"/>
      <c r="AV16" s="149"/>
      <c r="AW16" s="149"/>
      <c r="AX16" s="158">
        <f t="shared" si="6"/>
        <v>0</v>
      </c>
      <c r="AY16" s="125">
        <f t="shared" si="7"/>
        <v>0</v>
      </c>
      <c r="AZ16" s="125">
        <f t="shared" si="27"/>
        <v>0</v>
      </c>
      <c r="BA16" s="159">
        <f t="shared" si="8"/>
        <v>25.942113380281686</v>
      </c>
      <c r="BB16" s="160">
        <f t="shared" si="9"/>
        <v>0</v>
      </c>
      <c r="BC16" s="161">
        <f t="shared" si="10"/>
        <v>0</v>
      </c>
      <c r="BD16" s="160">
        <f t="shared" si="28"/>
        <v>25.942113380281686</v>
      </c>
      <c r="BE16" s="162">
        <v>0.85499999999999998</v>
      </c>
      <c r="BF16" s="25">
        <f t="shared" si="29"/>
        <v>848.61274999999989</v>
      </c>
      <c r="BG16" s="25">
        <f t="shared" si="11"/>
        <v>116.7741935483871</v>
      </c>
      <c r="BH16" s="25">
        <f t="shared" si="30"/>
        <v>1167.741935483871</v>
      </c>
      <c r="BI16" s="26">
        <v>1</v>
      </c>
      <c r="BJ16" s="37">
        <f t="shared" si="31"/>
        <v>1167.741935483871</v>
      </c>
      <c r="BK16" s="328"/>
      <c r="BL16" s="28">
        <f t="shared" si="32"/>
        <v>87.316999999999993</v>
      </c>
      <c r="BM16" s="40"/>
      <c r="BN16" s="28">
        <f t="shared" si="33"/>
        <v>11.842000000000001</v>
      </c>
      <c r="BO16" s="42"/>
      <c r="BP16" s="40"/>
      <c r="BQ16" s="32">
        <v>8.5990000000000002</v>
      </c>
      <c r="BR16" s="33"/>
      <c r="BS16" s="34">
        <v>2.2000000000000002</v>
      </c>
      <c r="BT16" s="35"/>
      <c r="BU16" s="28"/>
      <c r="BV16" s="287"/>
      <c r="BW16" s="287"/>
      <c r="BX16" s="36"/>
      <c r="BY16" s="33"/>
      <c r="BZ16" s="34">
        <v>36.31</v>
      </c>
      <c r="CA16" s="235"/>
      <c r="CB16" s="305">
        <v>43.7</v>
      </c>
      <c r="CC16" s="404"/>
      <c r="CD16" s="235"/>
      <c r="CE16" s="36">
        <v>44.08</v>
      </c>
      <c r="CF16" s="38">
        <v>34.844999999999999</v>
      </c>
      <c r="CG16" s="30"/>
      <c r="CH16" s="30"/>
      <c r="CI16" s="32">
        <v>45.122</v>
      </c>
      <c r="CJ16" s="33">
        <v>2.89</v>
      </c>
      <c r="CK16" s="33"/>
      <c r="CL16" s="33"/>
      <c r="CM16" s="36">
        <v>2.89</v>
      </c>
      <c r="CN16" s="286"/>
      <c r="CO16" s="249">
        <f t="shared" si="13"/>
        <v>0</v>
      </c>
      <c r="CP16" s="12">
        <f t="shared" si="13"/>
        <v>85.396025999999992</v>
      </c>
      <c r="CQ16" s="12">
        <f t="shared" si="13"/>
        <v>0</v>
      </c>
      <c r="CR16" s="11">
        <f t="shared" si="13"/>
        <v>11.842000000000001</v>
      </c>
      <c r="CS16" s="11">
        <f t="shared" si="13"/>
        <v>0</v>
      </c>
      <c r="CT16" s="11">
        <f t="shared" si="13"/>
        <v>0</v>
      </c>
      <c r="CU16" s="272">
        <f t="shared" si="13"/>
        <v>8.5990000000000002</v>
      </c>
      <c r="CV16" s="249">
        <f t="shared" si="14"/>
        <v>33.837979499999996</v>
      </c>
      <c r="CW16" s="12">
        <f t="shared" si="14"/>
        <v>0</v>
      </c>
      <c r="CX16" s="249">
        <f t="shared" si="14"/>
        <v>0</v>
      </c>
      <c r="CY16" s="272">
        <f t="shared" si="14"/>
        <v>43.817974199999995</v>
      </c>
      <c r="CZ16" s="13"/>
      <c r="DA16" s="240">
        <f>(D16+'[2]декабрь 20'!D16)/(AY16+'[2]декабрь 20'!BA16)</f>
        <v>4.8254983093695687</v>
      </c>
      <c r="DB16" s="241">
        <f>(T16+'[2]декабрь 20'!T16)/(AY16+'[2]декабрь 20'!BA16)</f>
        <v>3.1134140756833619</v>
      </c>
      <c r="DD16" s="292">
        <f t="shared" si="15"/>
        <v>4.18</v>
      </c>
      <c r="DE16" s="291">
        <v>0.86</v>
      </c>
      <c r="DF16" s="291">
        <v>19.61</v>
      </c>
      <c r="DG16" s="145">
        <f t="shared" si="16"/>
        <v>4.1440520000000003</v>
      </c>
      <c r="DH16" s="293">
        <f t="shared" si="34"/>
        <v>0</v>
      </c>
      <c r="DJ16" s="535">
        <v>21.512</v>
      </c>
      <c r="DK16" s="460">
        <f t="shared" si="35"/>
        <v>11.842000000000001</v>
      </c>
      <c r="DM16" s="31">
        <v>77.316999999999993</v>
      </c>
      <c r="DN16" s="460">
        <f t="shared" si="36"/>
        <v>87.316999999999993</v>
      </c>
    </row>
    <row r="17" spans="1:118" s="76" customFormat="1" ht="16.5" customHeight="1" thickBot="1">
      <c r="A17" s="144">
        <v>11</v>
      </c>
      <c r="B17" s="122">
        <f t="shared" si="17"/>
        <v>70.495999999999995</v>
      </c>
      <c r="C17" s="123">
        <f t="shared" si="18"/>
        <v>1.8805245687698593</v>
      </c>
      <c r="D17" s="145">
        <f t="shared" si="19"/>
        <v>69.17030539999999</v>
      </c>
      <c r="E17" s="125">
        <f t="shared" si="20"/>
        <v>38.641176946209718</v>
      </c>
      <c r="F17" s="146">
        <f t="shared" si="0"/>
        <v>0</v>
      </c>
      <c r="G17" s="127">
        <v>3.31</v>
      </c>
      <c r="H17" s="126">
        <f t="shared" si="21"/>
        <v>0</v>
      </c>
      <c r="I17" s="230">
        <f>'[1]июль 20'!AI16</f>
        <v>0</v>
      </c>
      <c r="J17" s="247">
        <f>'[1]декабрь 20'!AA16</f>
        <v>1.2310000000000001</v>
      </c>
      <c r="K17" s="465">
        <f>'[1]сентябрь 20'!AM16</f>
        <v>0</v>
      </c>
      <c r="L17" s="446">
        <f t="shared" si="22"/>
        <v>9.9619999999999997</v>
      </c>
      <c r="M17" s="469">
        <f t="shared" si="23"/>
        <v>0</v>
      </c>
      <c r="N17" s="542">
        <f>'[1]декабрь 20'!W16</f>
        <v>0</v>
      </c>
      <c r="O17" s="403">
        <f>'[1]декабрь 20'!AU16</f>
        <v>3.1030000000000002</v>
      </c>
      <c r="P17" s="401">
        <f t="shared" si="1"/>
        <v>57.332999999999998</v>
      </c>
      <c r="Q17" s="122">
        <f>'[1]декабрь 20'!S16</f>
        <v>57.332999999999998</v>
      </c>
      <c r="R17" s="123">
        <f t="shared" si="24"/>
        <v>3.1300000000000003</v>
      </c>
      <c r="S17" s="129">
        <v>8.2899999999999991</v>
      </c>
      <c r="T17" s="125">
        <f t="shared" si="2"/>
        <v>55.538477100000001</v>
      </c>
      <c r="U17" s="147">
        <f t="shared" si="3"/>
        <v>0</v>
      </c>
      <c r="V17" s="130"/>
      <c r="W17" s="130"/>
      <c r="X17" s="129"/>
      <c r="Y17" s="131">
        <v>530</v>
      </c>
      <c r="Z17" s="150">
        <v>970</v>
      </c>
      <c r="AA17" s="148" t="s">
        <v>463</v>
      </c>
      <c r="AB17" s="149"/>
      <c r="AC17" s="150">
        <v>31</v>
      </c>
      <c r="AD17" s="151"/>
      <c r="AE17" s="149"/>
      <c r="AF17" s="134">
        <f t="shared" si="4"/>
        <v>0</v>
      </c>
      <c r="AG17" s="152"/>
      <c r="AH17" s="129">
        <v>68.5</v>
      </c>
      <c r="AI17" s="134">
        <f t="shared" si="5"/>
        <v>0</v>
      </c>
      <c r="AJ17" s="136"/>
      <c r="AK17" s="154"/>
      <c r="AL17" s="155"/>
      <c r="AM17" s="478">
        <f t="shared" si="25"/>
        <v>0</v>
      </c>
      <c r="AN17" s="126">
        <f t="shared" si="26"/>
        <v>0</v>
      </c>
      <c r="AO17" s="157" t="s">
        <v>464</v>
      </c>
      <c r="AP17" s="156">
        <v>9</v>
      </c>
      <c r="AQ17" s="156">
        <v>5.59</v>
      </c>
      <c r="AR17" s="149"/>
      <c r="AS17" s="149">
        <v>14.67</v>
      </c>
      <c r="AT17" s="149"/>
      <c r="AU17" s="149"/>
      <c r="AV17" s="149"/>
      <c r="AW17" s="149"/>
      <c r="AX17" s="158">
        <f t="shared" si="6"/>
        <v>0</v>
      </c>
      <c r="AY17" s="125">
        <f t="shared" si="7"/>
        <v>0</v>
      </c>
      <c r="AZ17" s="125">
        <f t="shared" si="27"/>
        <v>0</v>
      </c>
      <c r="BA17" s="159">
        <f t="shared" si="8"/>
        <v>7.7843978873239434</v>
      </c>
      <c r="BB17" s="160">
        <f t="shared" si="9"/>
        <v>0</v>
      </c>
      <c r="BC17" s="161">
        <f t="shared" si="10"/>
        <v>0</v>
      </c>
      <c r="BD17" s="160">
        <f t="shared" si="28"/>
        <v>7.7843978873239434</v>
      </c>
      <c r="BE17" s="162">
        <v>0.82499999999999996</v>
      </c>
      <c r="BF17" s="25">
        <f t="shared" si="29"/>
        <v>848.61274999999989</v>
      </c>
      <c r="BG17" s="25">
        <f t="shared" si="11"/>
        <v>116.7741935483871</v>
      </c>
      <c r="BH17" s="25">
        <f t="shared" si="30"/>
        <v>1284.516129032258</v>
      </c>
      <c r="BI17" s="26">
        <v>1</v>
      </c>
      <c r="BJ17" s="37">
        <f t="shared" si="31"/>
        <v>1284.516129032258</v>
      </c>
      <c r="BK17" s="39"/>
      <c r="BL17" s="28">
        <f t="shared" si="32"/>
        <v>60.533999999999999</v>
      </c>
      <c r="BM17" s="31"/>
      <c r="BN17" s="28">
        <f t="shared" si="33"/>
        <v>4.3810000000000002</v>
      </c>
      <c r="BO17" s="42"/>
      <c r="BP17" s="40"/>
      <c r="BQ17" s="32">
        <v>5.5810000000000004</v>
      </c>
      <c r="BR17" s="33"/>
      <c r="BS17" s="34">
        <v>2.19</v>
      </c>
      <c r="BT17" s="35"/>
      <c r="BU17" s="28"/>
      <c r="BV17" s="287"/>
      <c r="BW17" s="287"/>
      <c r="BX17" s="36"/>
      <c r="BY17" s="33"/>
      <c r="BZ17" s="34">
        <v>37.799999999999997</v>
      </c>
      <c r="CA17" s="35"/>
      <c r="CB17" s="536">
        <v>43.31</v>
      </c>
      <c r="CC17" s="404"/>
      <c r="CD17" s="235"/>
      <c r="CE17" s="36">
        <v>44.1</v>
      </c>
      <c r="CF17" s="38">
        <v>27.945</v>
      </c>
      <c r="CG17" s="42"/>
      <c r="CH17" s="234"/>
      <c r="CI17" s="233">
        <v>29.388000000000002</v>
      </c>
      <c r="CJ17" s="33">
        <v>3.13</v>
      </c>
      <c r="CK17" s="33"/>
      <c r="CL17" s="33"/>
      <c r="CM17" s="36">
        <v>3.13</v>
      </c>
      <c r="CN17" s="286"/>
      <c r="CO17" s="249">
        <f t="shared" si="13"/>
        <v>0</v>
      </c>
      <c r="CP17" s="12">
        <f t="shared" si="13"/>
        <v>59.2083054</v>
      </c>
      <c r="CQ17" s="12">
        <f t="shared" si="13"/>
        <v>0</v>
      </c>
      <c r="CR17" s="12">
        <f t="shared" si="13"/>
        <v>4.3810000000000002</v>
      </c>
      <c r="CS17" s="11">
        <f t="shared" si="13"/>
        <v>0</v>
      </c>
      <c r="CT17" s="11">
        <f t="shared" si="13"/>
        <v>0</v>
      </c>
      <c r="CU17" s="272">
        <f t="shared" si="13"/>
        <v>5.5810000000000004</v>
      </c>
      <c r="CV17" s="249">
        <f t="shared" si="14"/>
        <v>27.070321500000002</v>
      </c>
      <c r="CW17" s="12">
        <f t="shared" si="14"/>
        <v>0</v>
      </c>
      <c r="CX17" s="254">
        <f t="shared" si="14"/>
        <v>0</v>
      </c>
      <c r="CY17" s="272">
        <f t="shared" si="14"/>
        <v>28.468155600000003</v>
      </c>
      <c r="CZ17" s="13"/>
      <c r="DA17" s="240">
        <f>(D17+'[2]декабрь 20'!D17)/(AY17+'[2]декабрь 20'!BA17)</f>
        <v>2.3323522507378707</v>
      </c>
      <c r="DB17" s="241">
        <f>(T17+'[2]декабрь 20'!T17)/(AY17+'[2]декабрь 20'!BA17)</f>
        <v>1.5037856827289771</v>
      </c>
      <c r="DD17" s="292">
        <f t="shared" si="15"/>
        <v>1.2310000000000001</v>
      </c>
      <c r="DE17" s="291">
        <v>0.23</v>
      </c>
      <c r="DF17" s="291">
        <v>16.84</v>
      </c>
      <c r="DG17" s="145">
        <f t="shared" si="16"/>
        <v>1.2281686999999999</v>
      </c>
      <c r="DH17" s="293">
        <f t="shared" si="34"/>
        <v>0</v>
      </c>
      <c r="DJ17" s="534">
        <v>14.051</v>
      </c>
      <c r="DK17" s="460">
        <f t="shared" si="35"/>
        <v>4.3810000000000002</v>
      </c>
      <c r="DM17" s="31">
        <v>50.533999999999999</v>
      </c>
      <c r="DN17" s="460">
        <f t="shared" si="36"/>
        <v>60.533999999999999</v>
      </c>
    </row>
    <row r="18" spans="1:118" s="76" customFormat="1" ht="16.5" customHeight="1" thickBot="1">
      <c r="A18" s="144">
        <v>12</v>
      </c>
      <c r="B18" s="122">
        <f t="shared" si="17"/>
        <v>97.954000000000008</v>
      </c>
      <c r="C18" s="123">
        <f t="shared" si="18"/>
        <v>1.6723359944463725</v>
      </c>
      <c r="D18" s="145">
        <f t="shared" si="19"/>
        <v>96.315880000000007</v>
      </c>
      <c r="E18" s="125">
        <f t="shared" si="20"/>
        <v>37.357085366600643</v>
      </c>
      <c r="F18" s="146">
        <f t="shared" si="0"/>
        <v>3.1799488254618087</v>
      </c>
      <c r="G18" s="127">
        <v>5.5</v>
      </c>
      <c r="H18" s="126">
        <f t="shared" si="21"/>
        <v>2.5970873433811508</v>
      </c>
      <c r="I18" s="230">
        <f>'[1]июль 20'!AI17</f>
        <v>0</v>
      </c>
      <c r="J18" s="247">
        <f>'[1]декабрь 20'!AA17</f>
        <v>1.39</v>
      </c>
      <c r="K18" s="464">
        <f>'[1]сентябрь 20'!AM17</f>
        <v>0</v>
      </c>
      <c r="L18" s="446">
        <f t="shared" si="22"/>
        <v>17.654</v>
      </c>
      <c r="M18" s="468">
        <f t="shared" si="23"/>
        <v>0.58286148208065758</v>
      </c>
      <c r="N18" s="542">
        <f>'[1]декабрь 20'!W17</f>
        <v>0</v>
      </c>
      <c r="O18" s="403">
        <f>'[1]декабрь 20'!AU17</f>
        <v>4.4459999999999997</v>
      </c>
      <c r="P18" s="401">
        <f t="shared" si="1"/>
        <v>69.888000000000005</v>
      </c>
      <c r="Q18" s="122">
        <f>'[1]декабрь 20'!S17</f>
        <v>69.888000000000005</v>
      </c>
      <c r="R18" s="123">
        <f t="shared" si="24"/>
        <v>3.0699999999999994</v>
      </c>
      <c r="S18" s="129"/>
      <c r="T18" s="125">
        <f t="shared" si="2"/>
        <v>67.742438400000012</v>
      </c>
      <c r="U18" s="147">
        <f t="shared" si="3"/>
        <v>2.2365729039074238</v>
      </c>
      <c r="V18" s="130">
        <v>15.98</v>
      </c>
      <c r="W18" s="130"/>
      <c r="X18" s="129">
        <v>2.68</v>
      </c>
      <c r="Y18" s="131">
        <v>547</v>
      </c>
      <c r="Z18" s="150">
        <v>1035</v>
      </c>
      <c r="AA18" s="148" t="s">
        <v>465</v>
      </c>
      <c r="AB18" s="149">
        <v>74.459999999999994</v>
      </c>
      <c r="AC18" s="150">
        <v>40</v>
      </c>
      <c r="AD18" s="151">
        <v>3</v>
      </c>
      <c r="AE18" s="149">
        <v>5.35</v>
      </c>
      <c r="AF18" s="134">
        <f t="shared" si="4"/>
        <v>176.63469633689351</v>
      </c>
      <c r="AG18" s="152"/>
      <c r="AH18" s="129">
        <v>60.1</v>
      </c>
      <c r="AI18" s="134">
        <f t="shared" si="5"/>
        <v>1984.251448569589</v>
      </c>
      <c r="AJ18" s="153">
        <v>8</v>
      </c>
      <c r="AK18" s="154"/>
      <c r="AL18" s="155">
        <v>1.97</v>
      </c>
      <c r="AM18" s="478">
        <f t="shared" si="25"/>
        <v>8.6215000000000011</v>
      </c>
      <c r="AN18" s="126">
        <f t="shared" si="26"/>
        <v>0.21500000000000002</v>
      </c>
      <c r="AO18" s="157" t="s">
        <v>189</v>
      </c>
      <c r="AP18" s="156">
        <v>7.9</v>
      </c>
      <c r="AQ18" s="156">
        <v>7.36</v>
      </c>
      <c r="AR18" s="151"/>
      <c r="AS18" s="149">
        <v>7.44</v>
      </c>
      <c r="AT18" s="149">
        <v>40.1</v>
      </c>
      <c r="AU18" s="149">
        <v>0.78</v>
      </c>
      <c r="AV18" s="149"/>
      <c r="AW18" s="149"/>
      <c r="AX18" s="158">
        <f t="shared" si="6"/>
        <v>0</v>
      </c>
      <c r="AY18" s="125">
        <f t="shared" si="7"/>
        <v>30.288500000000003</v>
      </c>
      <c r="AZ18" s="125">
        <f t="shared" si="27"/>
        <v>42.505564979475125</v>
      </c>
      <c r="BA18" s="159">
        <f t="shared" si="8"/>
        <v>3.4637915492957747</v>
      </c>
      <c r="BB18" s="160">
        <f t="shared" si="9"/>
        <v>1.2115400000000001</v>
      </c>
      <c r="BC18" s="161">
        <f t="shared" si="10"/>
        <v>0.62680133972350449</v>
      </c>
      <c r="BD18" s="160">
        <f t="shared" si="28"/>
        <v>4.675331549295775</v>
      </c>
      <c r="BE18" s="162">
        <v>0.81599999999999995</v>
      </c>
      <c r="BF18" s="25">
        <f t="shared" si="29"/>
        <v>878.90124999999989</v>
      </c>
      <c r="BG18" s="25">
        <f t="shared" si="11"/>
        <v>116.7741935483871</v>
      </c>
      <c r="BH18" s="25">
        <f t="shared" si="30"/>
        <v>1401.2903225806451</v>
      </c>
      <c r="BI18" s="26">
        <f t="shared" si="12"/>
        <v>1</v>
      </c>
      <c r="BJ18" s="37">
        <f t="shared" si="31"/>
        <v>1401.2903225806451</v>
      </c>
      <c r="BK18" s="38"/>
      <c r="BL18" s="28">
        <f t="shared" si="32"/>
        <v>80.3</v>
      </c>
      <c r="BM18" s="31"/>
      <c r="BN18" s="28">
        <f t="shared" si="33"/>
        <v>9.8579999999999988</v>
      </c>
      <c r="BO18" s="42"/>
      <c r="BP18" s="40"/>
      <c r="BQ18" s="411">
        <v>7.7960000000000003</v>
      </c>
      <c r="BR18" s="41"/>
      <c r="BS18" s="34">
        <v>2.04</v>
      </c>
      <c r="BT18" s="35"/>
      <c r="BU18" s="28"/>
      <c r="BV18" s="287"/>
      <c r="BW18" s="287"/>
      <c r="BX18" s="36"/>
      <c r="BY18" s="34"/>
      <c r="BZ18" s="34">
        <v>36.03</v>
      </c>
      <c r="CA18" s="35"/>
      <c r="CB18" s="405">
        <v>43.23</v>
      </c>
      <c r="CC18" s="404"/>
      <c r="CD18" s="235"/>
      <c r="CE18" s="405">
        <v>43.6</v>
      </c>
      <c r="CF18" s="38">
        <v>29.216999999999999</v>
      </c>
      <c r="CG18" s="42"/>
      <c r="CH18" s="234"/>
      <c r="CI18" s="233">
        <v>40.670999999999999</v>
      </c>
      <c r="CJ18" s="33">
        <v>3.07</v>
      </c>
      <c r="CK18" s="33"/>
      <c r="CL18" s="33"/>
      <c r="CM18" s="36">
        <v>3.07</v>
      </c>
      <c r="CN18" s="286"/>
      <c r="CO18" s="249">
        <f t="shared" si="13"/>
        <v>0</v>
      </c>
      <c r="CP18" s="12">
        <f t="shared" si="13"/>
        <v>78.661879999999996</v>
      </c>
      <c r="CQ18" s="12">
        <f t="shared" si="13"/>
        <v>0</v>
      </c>
      <c r="CR18" s="12">
        <f t="shared" si="13"/>
        <v>9.8579999999999988</v>
      </c>
      <c r="CS18" s="11">
        <f t="shared" si="13"/>
        <v>0</v>
      </c>
      <c r="CT18" s="11">
        <f t="shared" si="13"/>
        <v>0</v>
      </c>
      <c r="CU18" s="272">
        <f t="shared" si="13"/>
        <v>7.7960000000000003</v>
      </c>
      <c r="CV18" s="249">
        <f t="shared" si="14"/>
        <v>28.320038100000001</v>
      </c>
      <c r="CW18" s="11">
        <f t="shared" si="14"/>
        <v>0</v>
      </c>
      <c r="CX18" s="249">
        <f t="shared" si="14"/>
        <v>0</v>
      </c>
      <c r="CY18" s="272">
        <f t="shared" si="14"/>
        <v>39.4224003</v>
      </c>
      <c r="CZ18" s="13"/>
      <c r="DA18" s="240">
        <f>(D18+'[2]декабрь 20'!D18)/(AY18+'[2]декабрь 20'!BA18)</f>
        <v>2.2153255671980943</v>
      </c>
      <c r="DB18" s="241">
        <f>(T18+'[2]декабрь 20'!T18)/(AY18+'[2]декабрь 20'!BA18)</f>
        <v>1.4077237133053055</v>
      </c>
      <c r="DD18" s="292">
        <f t="shared" si="15"/>
        <v>1.39</v>
      </c>
      <c r="DE18" s="291">
        <v>0.11</v>
      </c>
      <c r="DF18" s="291">
        <v>17.170000000000002</v>
      </c>
      <c r="DG18" s="145">
        <f t="shared" si="16"/>
        <v>1.388471</v>
      </c>
      <c r="DH18" s="293">
        <f t="shared" si="34"/>
        <v>0.32017253652968042</v>
      </c>
      <c r="DJ18" s="234">
        <v>19.527999999999999</v>
      </c>
      <c r="DK18" s="460">
        <f t="shared" si="35"/>
        <v>9.8579999999999988</v>
      </c>
      <c r="DM18" s="31">
        <v>70.3</v>
      </c>
      <c r="DN18" s="460">
        <f t="shared" si="36"/>
        <v>80.3</v>
      </c>
    </row>
    <row r="19" spans="1:118" s="76" customFormat="1" ht="16.5" customHeight="1" thickBot="1">
      <c r="A19" s="144">
        <v>13</v>
      </c>
      <c r="B19" s="122">
        <f t="shared" si="17"/>
        <v>172.89600000000002</v>
      </c>
      <c r="C19" s="123">
        <f t="shared" si="18"/>
        <v>0.93114242087729016</v>
      </c>
      <c r="D19" s="145">
        <f t="shared" si="19"/>
        <v>171.286092</v>
      </c>
      <c r="E19" s="125">
        <f t="shared" si="20"/>
        <v>37.621183428188033</v>
      </c>
      <c r="F19" s="146">
        <f t="shared" si="0"/>
        <v>2.3425100535757633</v>
      </c>
      <c r="G19" s="127">
        <v>8.6999999999999993</v>
      </c>
      <c r="H19" s="126">
        <f t="shared" si="21"/>
        <v>1.8127425115305846</v>
      </c>
      <c r="I19" s="230">
        <f>'[1]июль 20'!AI18</f>
        <v>0</v>
      </c>
      <c r="J19" s="247">
        <f>'[1]декабрь 20'!AA18</f>
        <v>6.8730000000000002</v>
      </c>
      <c r="K19" s="464">
        <f>'[1]сентябрь 20'!AM18</f>
        <v>0</v>
      </c>
      <c r="L19" s="446">
        <f t="shared" si="22"/>
        <v>38.737000000000002</v>
      </c>
      <c r="M19" s="469">
        <f t="shared" si="23"/>
        <v>0.52976754204517873</v>
      </c>
      <c r="N19" s="542">
        <f>'[1]декабрь 20'!W18</f>
        <v>0</v>
      </c>
      <c r="O19" s="403">
        <f>'[1]декабрь 20'!AU18</f>
        <v>7.4880000000000004</v>
      </c>
      <c r="P19" s="401">
        <f t="shared" si="1"/>
        <v>115.947</v>
      </c>
      <c r="Q19" s="122">
        <f>'[1]декабрь 20'!S18</f>
        <v>115.947</v>
      </c>
      <c r="R19" s="123">
        <f t="shared" si="24"/>
        <v>2.9</v>
      </c>
      <c r="S19" s="129">
        <v>3.71</v>
      </c>
      <c r="T19" s="125">
        <f t="shared" si="2"/>
        <v>112.584537</v>
      </c>
      <c r="U19" s="147">
        <f t="shared" si="3"/>
        <v>1.5397070872495153</v>
      </c>
      <c r="V19" s="130">
        <v>73.12</v>
      </c>
      <c r="W19" s="130"/>
      <c r="X19" s="129">
        <v>2.2200000000000002</v>
      </c>
      <c r="Y19" s="131">
        <v>576</v>
      </c>
      <c r="Z19" s="150">
        <v>1074</v>
      </c>
      <c r="AA19" s="148" t="s">
        <v>466</v>
      </c>
      <c r="AB19" s="149">
        <v>75.709999999999994</v>
      </c>
      <c r="AC19" s="150">
        <v>69</v>
      </c>
      <c r="AD19" s="151">
        <v>4</v>
      </c>
      <c r="AE19" s="149">
        <v>7.7</v>
      </c>
      <c r="AF19" s="134">
        <f t="shared" si="4"/>
        <v>105.30526560518047</v>
      </c>
      <c r="AG19" s="152"/>
      <c r="AH19" s="129">
        <v>47.15</v>
      </c>
      <c r="AI19" s="134">
        <f t="shared" si="5"/>
        <v>644.82380172522846</v>
      </c>
      <c r="AJ19" s="136">
        <v>11.47</v>
      </c>
      <c r="AK19" s="154"/>
      <c r="AL19" s="155">
        <v>3.8</v>
      </c>
      <c r="AM19" s="478">
        <f t="shared" si="25"/>
        <v>20.629249999999999</v>
      </c>
      <c r="AN19" s="126">
        <f t="shared" si="26"/>
        <v>0.215</v>
      </c>
      <c r="AO19" s="157" t="s">
        <v>217</v>
      </c>
      <c r="AP19" s="156">
        <v>8.68</v>
      </c>
      <c r="AQ19" s="156">
        <v>6.63</v>
      </c>
      <c r="AR19" s="151"/>
      <c r="AS19" s="149">
        <v>6.89</v>
      </c>
      <c r="AT19" s="149">
        <v>95.95</v>
      </c>
      <c r="AU19" s="149">
        <v>1.6</v>
      </c>
      <c r="AV19" s="164"/>
      <c r="AW19" s="149"/>
      <c r="AX19" s="158">
        <f t="shared" si="6"/>
        <v>0</v>
      </c>
      <c r="AY19" s="125">
        <f t="shared" si="7"/>
        <v>73.120750000000001</v>
      </c>
      <c r="AZ19" s="125">
        <f t="shared" si="27"/>
        <v>75.566892419484162</v>
      </c>
      <c r="BA19" s="159">
        <f t="shared" si="8"/>
        <v>2.5165482394366192</v>
      </c>
      <c r="BB19" s="160">
        <f t="shared" si="9"/>
        <v>2.92483</v>
      </c>
      <c r="BC19" s="161">
        <f t="shared" si="10"/>
        <v>0.85909131773709935</v>
      </c>
      <c r="BD19" s="160">
        <f t="shared" si="28"/>
        <v>5.4413782394366192</v>
      </c>
      <c r="BE19" s="162">
        <v>0.81899999999999995</v>
      </c>
      <c r="BF19" s="25">
        <f t="shared" si="29"/>
        <v>952.02199999999993</v>
      </c>
      <c r="BG19" s="25">
        <f t="shared" si="11"/>
        <v>116.7741935483871</v>
      </c>
      <c r="BH19" s="25">
        <f t="shared" si="30"/>
        <v>1518.0645161290322</v>
      </c>
      <c r="BI19" s="26">
        <f t="shared" si="12"/>
        <v>1</v>
      </c>
      <c r="BJ19" s="37">
        <f t="shared" si="31"/>
        <v>1518.0645161290322</v>
      </c>
      <c r="BK19" s="38"/>
      <c r="BL19" s="28">
        <f t="shared" si="32"/>
        <v>134.15899999999999</v>
      </c>
      <c r="BM19" s="31"/>
      <c r="BN19" s="28">
        <f t="shared" si="33"/>
        <v>24.896000000000001</v>
      </c>
      <c r="BO19" s="42"/>
      <c r="BP19" s="40"/>
      <c r="BQ19" s="411">
        <v>13.840999999999999</v>
      </c>
      <c r="BR19" s="33"/>
      <c r="BS19" s="34">
        <v>1.2</v>
      </c>
      <c r="BT19" s="35"/>
      <c r="BU19" s="28"/>
      <c r="BV19" s="287"/>
      <c r="BW19" s="512"/>
      <c r="BX19" s="36"/>
      <c r="BY19" s="33"/>
      <c r="BZ19" s="34">
        <v>35.86</v>
      </c>
      <c r="CA19" s="35"/>
      <c r="CB19" s="405">
        <v>43.66</v>
      </c>
      <c r="CC19" s="404"/>
      <c r="CD19" s="235"/>
      <c r="CE19" s="413">
        <v>43.83</v>
      </c>
      <c r="CF19" s="41">
        <v>44.881</v>
      </c>
      <c r="CG19" s="41"/>
      <c r="CH19" s="30"/>
      <c r="CI19" s="32">
        <v>71.066000000000003</v>
      </c>
      <c r="CJ19" s="33">
        <v>2.9</v>
      </c>
      <c r="CK19" s="33"/>
      <c r="CL19" s="33"/>
      <c r="CM19" s="36">
        <v>2.9</v>
      </c>
      <c r="CN19" s="286"/>
      <c r="CO19" s="249">
        <f t="shared" si="13"/>
        <v>0</v>
      </c>
      <c r="CP19" s="12">
        <f t="shared" si="13"/>
        <v>132.549092</v>
      </c>
      <c r="CQ19" s="12">
        <f t="shared" si="13"/>
        <v>0</v>
      </c>
      <c r="CR19" s="12">
        <f t="shared" si="13"/>
        <v>24.896000000000001</v>
      </c>
      <c r="CS19" s="11">
        <f t="shared" si="13"/>
        <v>0</v>
      </c>
      <c r="CT19" s="11">
        <f t="shared" si="13"/>
        <v>0</v>
      </c>
      <c r="CU19" s="272">
        <f t="shared" si="13"/>
        <v>13.840999999999999</v>
      </c>
      <c r="CV19" s="249">
        <f t="shared" si="14"/>
        <v>43.579450999999999</v>
      </c>
      <c r="CW19" s="251">
        <f t="shared" si="14"/>
        <v>0</v>
      </c>
      <c r="CX19" s="249">
        <f t="shared" si="14"/>
        <v>0</v>
      </c>
      <c r="CY19" s="272">
        <f t="shared" si="14"/>
        <v>69.005086000000006</v>
      </c>
      <c r="CZ19" s="13"/>
      <c r="DA19" s="240">
        <f>(D19+'[2]декабрь 20'!D19)/(AY19+'[2]декабрь 20'!BA19)</f>
        <v>2.1883027081054731</v>
      </c>
      <c r="DB19" s="241">
        <f>(T19+'[2]декабрь 20'!T19)/(AY19+'[2]декабрь 20'!BA19)</f>
        <v>1.3814067303241451</v>
      </c>
      <c r="DD19" s="292">
        <f t="shared" si="15"/>
        <v>6.8730000000000002</v>
      </c>
      <c r="DE19" s="291">
        <v>0.25</v>
      </c>
      <c r="DF19" s="291">
        <v>13.94</v>
      </c>
      <c r="DG19" s="145">
        <f t="shared" si="16"/>
        <v>6.8558175000000006</v>
      </c>
      <c r="DH19" s="293">
        <f t="shared" si="34"/>
        <v>1.2623180022454104</v>
      </c>
      <c r="DJ19" s="234">
        <v>34.566000000000003</v>
      </c>
      <c r="DK19" s="460">
        <f t="shared" si="35"/>
        <v>24.896000000000001</v>
      </c>
      <c r="DM19" s="31">
        <v>124.15900000000001</v>
      </c>
      <c r="DN19" s="460">
        <f t="shared" si="36"/>
        <v>134.15899999999999</v>
      </c>
    </row>
    <row r="20" spans="1:118" s="76" customFormat="1" ht="16.5" customHeight="1" thickBot="1">
      <c r="A20" s="144">
        <v>14</v>
      </c>
      <c r="B20" s="122">
        <f t="shared" si="17"/>
        <v>258.83</v>
      </c>
      <c r="C20" s="123">
        <f t="shared" si="18"/>
        <v>3.5169220337673375</v>
      </c>
      <c r="D20" s="145">
        <f t="shared" si="19"/>
        <v>249.72715069999995</v>
      </c>
      <c r="E20" s="125">
        <f t="shared" si="20"/>
        <v>38.314320364718156</v>
      </c>
      <c r="F20" s="146">
        <f t="shared" si="0"/>
        <v>2.1134884272218515</v>
      </c>
      <c r="G20" s="127">
        <v>23.33</v>
      </c>
      <c r="H20" s="126">
        <f t="shared" si="21"/>
        <v>1.7104120575073787</v>
      </c>
      <c r="I20" s="230">
        <f>'[1]июль 20'!AI19</f>
        <v>0</v>
      </c>
      <c r="J20" s="247">
        <f>'[1]декабрь 20'!AA19</f>
        <v>17.186</v>
      </c>
      <c r="K20" s="464">
        <f>'[1]сентябрь 20'!AM19</f>
        <v>0</v>
      </c>
      <c r="L20" s="446">
        <f t="shared" si="22"/>
        <v>47.626999999999995</v>
      </c>
      <c r="M20" s="468">
        <f t="shared" si="23"/>
        <v>0.40307636971447303</v>
      </c>
      <c r="N20" s="542">
        <f>'[1]декабрь 20'!W19</f>
        <v>0</v>
      </c>
      <c r="O20" s="403">
        <f>'[1]декабрь 20'!AU19</f>
        <v>13.965</v>
      </c>
      <c r="P20" s="401">
        <f t="shared" si="1"/>
        <v>172.46100000000001</v>
      </c>
      <c r="Q20" s="122">
        <f>'[1]декабрь 20'!S19</f>
        <v>172.46100000000001</v>
      </c>
      <c r="R20" s="123">
        <f t="shared" si="24"/>
        <v>2.8699999999999997</v>
      </c>
      <c r="S20" s="129">
        <v>20.36</v>
      </c>
      <c r="T20" s="125">
        <f t="shared" si="2"/>
        <v>167.51136930000001</v>
      </c>
      <c r="U20" s="147">
        <f t="shared" si="3"/>
        <v>1.4176806144276237</v>
      </c>
      <c r="V20" s="130">
        <v>118.16</v>
      </c>
      <c r="W20" s="130">
        <v>46.97</v>
      </c>
      <c r="X20" s="129">
        <v>1.6</v>
      </c>
      <c r="Y20" s="131">
        <v>562</v>
      </c>
      <c r="Z20" s="150">
        <v>1126</v>
      </c>
      <c r="AA20" s="168" t="s">
        <v>112</v>
      </c>
      <c r="AB20" s="149">
        <v>75.430000000000007</v>
      </c>
      <c r="AC20" s="150">
        <v>103</v>
      </c>
      <c r="AD20" s="151">
        <v>5</v>
      </c>
      <c r="AE20" s="149">
        <v>11.45</v>
      </c>
      <c r="AF20" s="134">
        <f t="shared" si="4"/>
        <v>96.903530208300253</v>
      </c>
      <c r="AG20" s="152"/>
      <c r="AH20" s="129">
        <v>74.849999999999994</v>
      </c>
      <c r="AI20" s="134">
        <f t="shared" si="5"/>
        <v>633.46980227871381</v>
      </c>
      <c r="AJ20" s="153">
        <v>15.27</v>
      </c>
      <c r="AK20" s="154"/>
      <c r="AL20" s="155">
        <v>7.79</v>
      </c>
      <c r="AM20" s="478">
        <f t="shared" si="25"/>
        <v>34.131250000000001</v>
      </c>
      <c r="AN20" s="126">
        <f t="shared" si="26"/>
        <v>0.215</v>
      </c>
      <c r="AO20" s="157" t="s">
        <v>181</v>
      </c>
      <c r="AP20" s="156">
        <v>8.16</v>
      </c>
      <c r="AQ20" s="156">
        <v>6.76</v>
      </c>
      <c r="AR20" s="149"/>
      <c r="AS20" s="149">
        <v>6.08</v>
      </c>
      <c r="AT20" s="149">
        <v>158.75</v>
      </c>
      <c r="AU20" s="149">
        <v>1.33</v>
      </c>
      <c r="AV20" s="149"/>
      <c r="AW20" s="149"/>
      <c r="AX20" s="158">
        <f t="shared" si="6"/>
        <v>0</v>
      </c>
      <c r="AY20" s="125">
        <f t="shared" si="7"/>
        <v>118.15875000000001</v>
      </c>
      <c r="AZ20" s="125">
        <f t="shared" si="27"/>
        <v>114.27697794747003</v>
      </c>
      <c r="BA20" s="159">
        <f t="shared" si="8"/>
        <v>3.5253295774647881</v>
      </c>
      <c r="BB20" s="160">
        <f t="shared" si="9"/>
        <v>4.7263500000000009</v>
      </c>
      <c r="BC20" s="161">
        <f t="shared" si="10"/>
        <v>0.93150053214459716</v>
      </c>
      <c r="BD20" s="160">
        <f t="shared" si="28"/>
        <v>8.2516795774647882</v>
      </c>
      <c r="BE20" s="162">
        <v>0.82899999999999996</v>
      </c>
      <c r="BF20" s="25">
        <f t="shared" si="29"/>
        <v>1070.18075</v>
      </c>
      <c r="BG20" s="25">
        <f t="shared" si="11"/>
        <v>116.7741935483871</v>
      </c>
      <c r="BH20" s="25">
        <f t="shared" si="30"/>
        <v>1634.8387096774193</v>
      </c>
      <c r="BI20" s="26">
        <f t="shared" si="12"/>
        <v>1</v>
      </c>
      <c r="BJ20" s="37">
        <f t="shared" si="31"/>
        <v>1634.8387096774193</v>
      </c>
      <c r="BK20" s="38"/>
      <c r="BL20" s="28">
        <f t="shared" si="32"/>
        <v>211.203</v>
      </c>
      <c r="BM20" s="31"/>
      <c r="BN20" s="28">
        <f t="shared" si="33"/>
        <v>31.756999999999998</v>
      </c>
      <c r="BO20" s="42"/>
      <c r="BP20" s="40"/>
      <c r="BQ20" s="411">
        <v>15.87</v>
      </c>
      <c r="BR20" s="33"/>
      <c r="BS20" s="34">
        <v>4.3099999999999996</v>
      </c>
      <c r="BT20" s="35"/>
      <c r="BU20" s="28"/>
      <c r="BV20" s="287"/>
      <c r="BW20" s="287"/>
      <c r="BX20" s="36"/>
      <c r="BY20" s="33"/>
      <c r="BZ20" s="34">
        <v>37.06</v>
      </c>
      <c r="CA20" s="35"/>
      <c r="CB20" s="405">
        <v>43.78</v>
      </c>
      <c r="CC20" s="404"/>
      <c r="CD20" s="235"/>
      <c r="CE20" s="413">
        <v>44.07</v>
      </c>
      <c r="CF20" s="30">
        <v>66.528000000000006</v>
      </c>
      <c r="CG20" s="30"/>
      <c r="CH20" s="31"/>
      <c r="CI20" s="32">
        <v>105.93300000000001</v>
      </c>
      <c r="CJ20" s="33">
        <v>2.87</v>
      </c>
      <c r="CK20" s="33"/>
      <c r="CL20" s="35"/>
      <c r="CM20" s="36">
        <v>2.87</v>
      </c>
      <c r="CN20" s="286"/>
      <c r="CO20" s="249">
        <f t="shared" si="13"/>
        <v>0</v>
      </c>
      <c r="CP20" s="12">
        <f t="shared" si="13"/>
        <v>202.1001507</v>
      </c>
      <c r="CQ20" s="12">
        <f t="shared" si="13"/>
        <v>0</v>
      </c>
      <c r="CR20" s="12">
        <f t="shared" si="13"/>
        <v>31.756999999999998</v>
      </c>
      <c r="CS20" s="11">
        <f t="shared" si="13"/>
        <v>0</v>
      </c>
      <c r="CT20" s="11">
        <f t="shared" si="13"/>
        <v>0</v>
      </c>
      <c r="CU20" s="272">
        <f t="shared" si="13"/>
        <v>15.87</v>
      </c>
      <c r="CV20" s="249">
        <f t="shared" si="14"/>
        <v>64.618646400000003</v>
      </c>
      <c r="CW20" s="12">
        <f t="shared" si="14"/>
        <v>0</v>
      </c>
      <c r="CX20" s="249">
        <f t="shared" si="14"/>
        <v>0</v>
      </c>
      <c r="CY20" s="272">
        <f t="shared" si="14"/>
        <v>102.8927229</v>
      </c>
      <c r="CZ20" s="13"/>
      <c r="DA20" s="240">
        <f>(D20+'[2]декабрь 20'!D20)/(AY20+'[2]декабрь 20'!BA20)</f>
        <v>2.0840152800925944</v>
      </c>
      <c r="DB20" s="241">
        <f>(T20+'[2]декабрь 20'!T20)/(AY20+'[2]декабрь 20'!BA20)</f>
        <v>1.3541734550949043</v>
      </c>
      <c r="DD20" s="292">
        <f t="shared" si="15"/>
        <v>17.186</v>
      </c>
      <c r="DE20" s="291">
        <v>0.37</v>
      </c>
      <c r="DF20" s="407">
        <v>15.59</v>
      </c>
      <c r="DG20" s="145">
        <f t="shared" si="16"/>
        <v>17.122411799999998</v>
      </c>
      <c r="DH20" s="293">
        <f t="shared" si="34"/>
        <v>3.5388890356887175</v>
      </c>
      <c r="DJ20" s="234">
        <v>41.427</v>
      </c>
      <c r="DK20" s="460">
        <f t="shared" si="35"/>
        <v>31.756999999999998</v>
      </c>
      <c r="DM20" s="31">
        <v>201.203</v>
      </c>
      <c r="DN20" s="460">
        <f t="shared" si="36"/>
        <v>211.203</v>
      </c>
    </row>
    <row r="21" spans="1:118" s="76" customFormat="1" ht="16.5" customHeight="1" thickBot="1">
      <c r="A21" s="144">
        <v>15</v>
      </c>
      <c r="B21" s="122">
        <f t="shared" si="17"/>
        <v>265.55</v>
      </c>
      <c r="C21" s="123">
        <f t="shared" si="18"/>
        <v>3.2173872340425533</v>
      </c>
      <c r="D21" s="145">
        <f t="shared" si="19"/>
        <v>257.00622820000001</v>
      </c>
      <c r="E21" s="125">
        <f t="shared" si="20"/>
        <v>37.997409301449814</v>
      </c>
      <c r="F21" s="146">
        <f t="shared" si="0"/>
        <v>2.0309192310351705</v>
      </c>
      <c r="G21" s="127">
        <v>18.32</v>
      </c>
      <c r="H21" s="126">
        <f t="shared" si="21"/>
        <v>1.646057509971611</v>
      </c>
      <c r="I21" s="230">
        <f>'[1]июль 20'!AI20</f>
        <v>0</v>
      </c>
      <c r="J21" s="247">
        <f>'[1]декабрь 20'!AA20</f>
        <v>22.876999999999999</v>
      </c>
      <c r="K21" s="464">
        <f>'[1]сентябрь 20'!AM20</f>
        <v>0</v>
      </c>
      <c r="L21" s="446">
        <f t="shared" si="22"/>
        <v>48.702999999999996</v>
      </c>
      <c r="M21" s="469">
        <f t="shared" si="23"/>
        <v>0.38486172106355943</v>
      </c>
      <c r="N21" s="542">
        <f>'[1]декабрь 20'!W20</f>
        <v>0</v>
      </c>
      <c r="O21" s="403">
        <f>'[1]декабрь 20'!AU20</f>
        <v>12.625</v>
      </c>
      <c r="P21" s="401">
        <f t="shared" si="1"/>
        <v>173.113</v>
      </c>
      <c r="Q21" s="122">
        <f>'[1]декабрь 20'!S20</f>
        <v>173.113</v>
      </c>
      <c r="R21" s="123">
        <f t="shared" si="24"/>
        <v>2.91</v>
      </c>
      <c r="S21" s="129">
        <v>9.83</v>
      </c>
      <c r="T21" s="125">
        <f t="shared" si="2"/>
        <v>168.07541169999999</v>
      </c>
      <c r="U21" s="147">
        <f t="shared" si="3"/>
        <v>1.3281685361338791</v>
      </c>
      <c r="V21" s="130">
        <v>107.35</v>
      </c>
      <c r="W21" s="130">
        <v>28.5</v>
      </c>
      <c r="X21" s="129">
        <v>1.61</v>
      </c>
      <c r="Y21" s="131">
        <v>564</v>
      </c>
      <c r="Z21" s="150">
        <v>1146</v>
      </c>
      <c r="AA21" s="168" t="s">
        <v>161</v>
      </c>
      <c r="AB21" s="149">
        <v>75.709999999999994</v>
      </c>
      <c r="AC21" s="150">
        <v>106</v>
      </c>
      <c r="AD21" s="151">
        <v>5</v>
      </c>
      <c r="AE21" s="149"/>
      <c r="AF21" s="134">
        <f t="shared" si="4"/>
        <v>0</v>
      </c>
      <c r="AG21" s="152"/>
      <c r="AH21" s="129">
        <v>93.1</v>
      </c>
      <c r="AI21" s="134">
        <f t="shared" si="5"/>
        <v>735.69649161278323</v>
      </c>
      <c r="AJ21" s="136">
        <v>12.81</v>
      </c>
      <c r="AK21" s="154"/>
      <c r="AL21" s="155">
        <v>8.34</v>
      </c>
      <c r="AM21" s="478">
        <f t="shared" si="25"/>
        <v>36.453250000000004</v>
      </c>
      <c r="AN21" s="126">
        <f t="shared" si="26"/>
        <v>0.215</v>
      </c>
      <c r="AO21" s="157" t="s">
        <v>467</v>
      </c>
      <c r="AP21" s="156">
        <v>7.74</v>
      </c>
      <c r="AQ21" s="156">
        <v>6.83</v>
      </c>
      <c r="AR21" s="149"/>
      <c r="AS21" s="149">
        <v>8.66</v>
      </c>
      <c r="AT21" s="149">
        <v>169.55</v>
      </c>
      <c r="AU21" s="149">
        <v>1.79</v>
      </c>
      <c r="AV21" s="149"/>
      <c r="AW21" s="149"/>
      <c r="AX21" s="158">
        <f t="shared" si="6"/>
        <v>0</v>
      </c>
      <c r="AY21" s="125">
        <f t="shared" si="7"/>
        <v>126.54675000000002</v>
      </c>
      <c r="AZ21" s="125">
        <f t="shared" si="27"/>
        <v>117.14887431574678</v>
      </c>
      <c r="BA21" s="159">
        <f t="shared" si="8"/>
        <v>6.2455676056338021</v>
      </c>
      <c r="BB21" s="160">
        <f t="shared" si="9"/>
        <v>5.0618700000000008</v>
      </c>
      <c r="BC21" s="161">
        <f t="shared" si="10"/>
        <v>0.98108493539688335</v>
      </c>
      <c r="BD21" s="160">
        <f t="shared" si="28"/>
        <v>11.307437605633803</v>
      </c>
      <c r="BE21" s="162">
        <v>0.84199999999999997</v>
      </c>
      <c r="BF21" s="25">
        <f t="shared" si="29"/>
        <v>1196.7275</v>
      </c>
      <c r="BG21" s="25">
        <f t="shared" si="11"/>
        <v>116.7741935483871</v>
      </c>
      <c r="BH21" s="25">
        <f t="shared" si="30"/>
        <v>1751.6129032258063</v>
      </c>
      <c r="BI21" s="26">
        <f t="shared" si="12"/>
        <v>1</v>
      </c>
      <c r="BJ21" s="37">
        <f t="shared" si="31"/>
        <v>1751.6129032258063</v>
      </c>
      <c r="BK21" s="38"/>
      <c r="BL21" s="28">
        <f t="shared" si="32"/>
        <v>216.84700000000001</v>
      </c>
      <c r="BM21" s="31"/>
      <c r="BN21" s="28">
        <f t="shared" si="33"/>
        <v>38.046999999999997</v>
      </c>
      <c r="BO21" s="42"/>
      <c r="BP21" s="40"/>
      <c r="BQ21" s="411">
        <v>10.656000000000001</v>
      </c>
      <c r="BR21" s="33"/>
      <c r="BS21" s="34">
        <v>3.94</v>
      </c>
      <c r="BT21" s="35"/>
      <c r="BU21" s="35"/>
      <c r="BV21" s="235"/>
      <c r="BW21" s="235"/>
      <c r="BX21" s="36"/>
      <c r="BY21" s="33"/>
      <c r="BZ21" s="34">
        <v>36.72</v>
      </c>
      <c r="CA21" s="35"/>
      <c r="CB21" s="405">
        <v>43.72</v>
      </c>
      <c r="CC21" s="404"/>
      <c r="CD21" s="235"/>
      <c r="CE21" s="413">
        <v>43.56</v>
      </c>
      <c r="CF21" s="30">
        <v>66.995000000000005</v>
      </c>
      <c r="CG21" s="30"/>
      <c r="CH21" s="31"/>
      <c r="CI21" s="32">
        <v>106.11799999999999</v>
      </c>
      <c r="CJ21" s="33">
        <v>2.91</v>
      </c>
      <c r="CK21" s="33"/>
      <c r="CL21" s="35"/>
      <c r="CM21" s="36">
        <v>2.91</v>
      </c>
      <c r="CN21" s="286"/>
      <c r="CO21" s="249">
        <f t="shared" si="13"/>
        <v>0</v>
      </c>
      <c r="CP21" s="12">
        <f t="shared" si="13"/>
        <v>208.30322820000001</v>
      </c>
      <c r="CQ21" s="12">
        <f t="shared" si="13"/>
        <v>0</v>
      </c>
      <c r="CR21" s="12">
        <f t="shared" si="13"/>
        <v>38.046999999999997</v>
      </c>
      <c r="CS21" s="11">
        <f t="shared" si="13"/>
        <v>0</v>
      </c>
      <c r="CT21" s="11">
        <f t="shared" si="13"/>
        <v>0</v>
      </c>
      <c r="CU21" s="272">
        <f t="shared" si="13"/>
        <v>10.656000000000001</v>
      </c>
      <c r="CV21" s="249">
        <f t="shared" si="14"/>
        <v>65.0454455</v>
      </c>
      <c r="CW21" s="12">
        <f t="shared" si="14"/>
        <v>0</v>
      </c>
      <c r="CX21" s="249">
        <f t="shared" si="14"/>
        <v>0</v>
      </c>
      <c r="CY21" s="272">
        <f t="shared" si="14"/>
        <v>103.02996619999999</v>
      </c>
      <c r="CZ21" s="13"/>
      <c r="DA21" s="240">
        <f>(D21+'[2]декабрь 20'!D21)/(AY21+'[2]декабрь 20'!BA21)</f>
        <v>2.201432871734454</v>
      </c>
      <c r="DB21" s="241">
        <f>(T21+'[2]декабрь 20'!T21)/(AY21+'[2]декабрь 20'!BA21)</f>
        <v>1.4031010016702727</v>
      </c>
      <c r="DD21" s="292">
        <f t="shared" si="15"/>
        <v>22.876999999999999</v>
      </c>
      <c r="DE21" s="291">
        <v>0.22</v>
      </c>
      <c r="DF21" s="291">
        <v>15.07</v>
      </c>
      <c r="DG21" s="145">
        <f t="shared" si="16"/>
        <v>22.8266706</v>
      </c>
      <c r="DH21" s="293">
        <f t="shared" si="34"/>
        <v>4.5436260195746936</v>
      </c>
      <c r="DJ21" s="234">
        <v>47.716999999999999</v>
      </c>
      <c r="DK21" s="460">
        <f t="shared" si="35"/>
        <v>38.046999999999997</v>
      </c>
      <c r="DM21" s="31">
        <v>206.84700000000001</v>
      </c>
      <c r="DN21" s="460">
        <f t="shared" si="36"/>
        <v>216.84700000000001</v>
      </c>
    </row>
    <row r="22" spans="1:118" s="76" customFormat="1" ht="16.5" customHeight="1" thickBot="1">
      <c r="A22" s="144">
        <v>16</v>
      </c>
      <c r="B22" s="122">
        <f t="shared" si="17"/>
        <v>261.00200000000001</v>
      </c>
      <c r="C22" s="123">
        <f t="shared" si="18"/>
        <v>1.7319311729412032</v>
      </c>
      <c r="D22" s="145">
        <f t="shared" si="19"/>
        <v>256.48162500000001</v>
      </c>
      <c r="E22" s="125">
        <f t="shared" si="20"/>
        <v>37.264566171906729</v>
      </c>
      <c r="F22" s="146">
        <f t="shared" si="0"/>
        <v>2.1314055819403417</v>
      </c>
      <c r="G22" s="127">
        <v>17.32</v>
      </c>
      <c r="H22" s="126">
        <f t="shared" si="21"/>
        <v>1.7096478981505718</v>
      </c>
      <c r="I22" s="230">
        <f>'[1]июль 20'!AI21</f>
        <v>0</v>
      </c>
      <c r="J22" s="247">
        <f>'[1]декабрь 20'!AA21</f>
        <v>25.957999999999998</v>
      </c>
      <c r="K22" s="464">
        <f>'[1]сентябрь 20'!AM21</f>
        <v>0</v>
      </c>
      <c r="L22" s="446">
        <f t="shared" si="22"/>
        <v>50.752000000000002</v>
      </c>
      <c r="M22" s="468">
        <f t="shared" si="23"/>
        <v>0.42175768378976941</v>
      </c>
      <c r="N22" s="542">
        <f>'[1]декабрь 20'!W21</f>
        <v>0</v>
      </c>
      <c r="O22" s="403">
        <f>'[1]декабрь 20'!AU21</f>
        <v>11.153</v>
      </c>
      <c r="P22" s="401">
        <f t="shared" si="1"/>
        <v>167.52500000000001</v>
      </c>
      <c r="Q22" s="122">
        <f>'[1]декабрь 20'!S21</f>
        <v>167.52500000000001</v>
      </c>
      <c r="R22" s="123">
        <f t="shared" si="24"/>
        <v>3.2499999999999996</v>
      </c>
      <c r="S22" s="129">
        <v>15.71</v>
      </c>
      <c r="T22" s="125">
        <f t="shared" si="2"/>
        <v>162.08043750000002</v>
      </c>
      <c r="U22" s="147">
        <f t="shared" si="3"/>
        <v>1.3469157847500095</v>
      </c>
      <c r="V22" s="130">
        <v>99</v>
      </c>
      <c r="W22" s="130">
        <v>72.83</v>
      </c>
      <c r="X22" s="129">
        <v>1.1000000000000001</v>
      </c>
      <c r="Y22" s="131">
        <v>548</v>
      </c>
      <c r="Z22" s="150">
        <v>1149</v>
      </c>
      <c r="AA22" s="148" t="s">
        <v>128</v>
      </c>
      <c r="AB22" s="149">
        <v>76.11</v>
      </c>
      <c r="AC22" s="150">
        <v>104</v>
      </c>
      <c r="AD22" s="151">
        <v>5</v>
      </c>
      <c r="AE22" s="149"/>
      <c r="AF22" s="134">
        <f t="shared" si="4"/>
        <v>0</v>
      </c>
      <c r="AG22" s="152"/>
      <c r="AH22" s="129">
        <v>88.6</v>
      </c>
      <c r="AI22" s="134">
        <f t="shared" si="5"/>
        <v>736.28095018469355</v>
      </c>
      <c r="AJ22" s="153">
        <v>10.56</v>
      </c>
      <c r="AK22" s="154"/>
      <c r="AL22" s="155">
        <v>8.5399999999999991</v>
      </c>
      <c r="AM22" s="478">
        <f t="shared" si="25"/>
        <v>34.765499999999996</v>
      </c>
      <c r="AN22" s="126">
        <f t="shared" si="26"/>
        <v>0.215</v>
      </c>
      <c r="AO22" s="157" t="s">
        <v>177</v>
      </c>
      <c r="AP22" s="156">
        <v>7.55</v>
      </c>
      <c r="AQ22" s="156">
        <v>6.71</v>
      </c>
      <c r="AR22" s="151"/>
      <c r="AS22" s="149">
        <v>7.27</v>
      </c>
      <c r="AT22" s="149">
        <v>161.69999999999999</v>
      </c>
      <c r="AU22" s="149">
        <v>1.94</v>
      </c>
      <c r="AV22" s="149"/>
      <c r="AW22" s="149"/>
      <c r="AX22" s="158">
        <f t="shared" si="6"/>
        <v>0</v>
      </c>
      <c r="AY22" s="125">
        <f t="shared" si="7"/>
        <v>120.33449999999999</v>
      </c>
      <c r="AZ22" s="125">
        <f t="shared" si="27"/>
        <v>114.87117647879322</v>
      </c>
      <c r="BA22" s="159">
        <f t="shared" si="8"/>
        <v>4.9896774647887314</v>
      </c>
      <c r="BB22" s="160">
        <f t="shared" si="9"/>
        <v>4.8133799999999995</v>
      </c>
      <c r="BC22" s="161">
        <f t="shared" si="10"/>
        <v>0.95825160097788298</v>
      </c>
      <c r="BD22" s="160">
        <f t="shared" si="28"/>
        <v>9.803057464788731</v>
      </c>
      <c r="BE22" s="162">
        <v>0.85099999999999998</v>
      </c>
      <c r="BF22" s="25">
        <f t="shared" si="29"/>
        <v>1317.0619999999999</v>
      </c>
      <c r="BG22" s="25">
        <f t="shared" si="11"/>
        <v>116.7741935483871</v>
      </c>
      <c r="BH22" s="25">
        <f t="shared" si="30"/>
        <v>1868.3870967741934</v>
      </c>
      <c r="BI22" s="26">
        <f t="shared" si="12"/>
        <v>1</v>
      </c>
      <c r="BJ22" s="37">
        <f t="shared" si="31"/>
        <v>1868.3870967741934</v>
      </c>
      <c r="BK22" s="38"/>
      <c r="BL22" s="28">
        <f t="shared" si="32"/>
        <v>210.25</v>
      </c>
      <c r="BM22" s="31"/>
      <c r="BN22" s="28">
        <f t="shared" si="33"/>
        <v>40.353000000000002</v>
      </c>
      <c r="BO22" s="42"/>
      <c r="BP22" s="40"/>
      <c r="BQ22" s="411">
        <v>10.398999999999999</v>
      </c>
      <c r="BR22" s="33"/>
      <c r="BS22" s="34">
        <v>2.15</v>
      </c>
      <c r="BT22" s="35"/>
      <c r="BU22" s="35"/>
      <c r="BV22" s="235"/>
      <c r="BW22" s="235"/>
      <c r="BX22" s="36"/>
      <c r="BY22" s="33"/>
      <c r="BZ22" s="34">
        <v>35.729999999999997</v>
      </c>
      <c r="CA22" s="35"/>
      <c r="CB22" s="405">
        <v>43.63</v>
      </c>
      <c r="CC22" s="404"/>
      <c r="CD22" s="235"/>
      <c r="CE22" s="413">
        <v>43.59</v>
      </c>
      <c r="CF22" s="30">
        <v>65.61</v>
      </c>
      <c r="CG22" s="30"/>
      <c r="CH22" s="31"/>
      <c r="CI22" s="32">
        <v>101.91500000000001</v>
      </c>
      <c r="CJ22" s="33">
        <v>3.25</v>
      </c>
      <c r="CK22" s="33"/>
      <c r="CL22" s="35"/>
      <c r="CM22" s="36">
        <v>3.25</v>
      </c>
      <c r="CN22" s="286"/>
      <c r="CO22" s="249">
        <f t="shared" si="13"/>
        <v>0</v>
      </c>
      <c r="CP22" s="12">
        <f t="shared" si="13"/>
        <v>205.72962499999997</v>
      </c>
      <c r="CQ22" s="12">
        <f t="shared" si="13"/>
        <v>0</v>
      </c>
      <c r="CR22" s="12">
        <f t="shared" si="13"/>
        <v>40.353000000000002</v>
      </c>
      <c r="CS22" s="11">
        <f t="shared" si="13"/>
        <v>0</v>
      </c>
      <c r="CT22" s="11">
        <f t="shared" si="13"/>
        <v>0</v>
      </c>
      <c r="CU22" s="272">
        <f t="shared" si="13"/>
        <v>10.398999999999999</v>
      </c>
      <c r="CV22" s="249">
        <f t="shared" si="14"/>
        <v>63.477674999999998</v>
      </c>
      <c r="CW22" s="12">
        <f t="shared" si="14"/>
        <v>0</v>
      </c>
      <c r="CX22" s="249">
        <f t="shared" si="14"/>
        <v>0</v>
      </c>
      <c r="CY22" s="272">
        <f t="shared" si="14"/>
        <v>98.602762500000011</v>
      </c>
      <c r="CZ22" s="13"/>
      <c r="DA22" s="240">
        <f>(D22+'[2]декабрь 20'!D22)/(AY22+'[2]декабрь 20'!BA22)</f>
        <v>2.1280170687459661</v>
      </c>
      <c r="DB22" s="241">
        <f>(T22+'[2]декабрь 20'!T22)/(AY22+'[2]декабрь 20'!BA22)</f>
        <v>1.3108146757490655</v>
      </c>
      <c r="DD22" s="292">
        <f t="shared" si="15"/>
        <v>25.957999999999998</v>
      </c>
      <c r="DE22" s="291">
        <v>0.19</v>
      </c>
      <c r="DF22" s="291">
        <v>15.4</v>
      </c>
      <c r="DG22" s="145">
        <f t="shared" si="16"/>
        <v>25.908679799999998</v>
      </c>
      <c r="DH22" s="293">
        <f t="shared" si="34"/>
        <v>5.2423291147024038</v>
      </c>
      <c r="DJ22" s="234">
        <v>50.023000000000003</v>
      </c>
      <c r="DK22" s="460">
        <f t="shared" si="35"/>
        <v>40.353000000000002</v>
      </c>
      <c r="DM22" s="31">
        <v>200.25</v>
      </c>
      <c r="DN22" s="460">
        <f t="shared" si="36"/>
        <v>210.25</v>
      </c>
    </row>
    <row r="23" spans="1:118" s="76" customFormat="1" ht="16.5" customHeight="1" thickBot="1">
      <c r="A23" s="144">
        <v>17</v>
      </c>
      <c r="B23" s="122">
        <f t="shared" si="17"/>
        <v>275.60299999999995</v>
      </c>
      <c r="C23" s="123">
        <f t="shared" si="18"/>
        <v>1.0945025997539941</v>
      </c>
      <c r="D23" s="145">
        <f t="shared" si="19"/>
        <v>272.58651799999996</v>
      </c>
      <c r="E23" s="125">
        <f t="shared" si="20"/>
        <v>37.31718388406513</v>
      </c>
      <c r="F23" s="146">
        <f t="shared" si="0"/>
        <v>2.0723575791902502</v>
      </c>
      <c r="G23" s="127">
        <v>20.2</v>
      </c>
      <c r="H23" s="126">
        <f t="shared" si="21"/>
        <v>1.6151391307983836</v>
      </c>
      <c r="I23" s="230">
        <f>'[1]июль 20'!AI22</f>
        <v>0</v>
      </c>
      <c r="J23" s="247">
        <f>'[1]декабрь 20'!AA22</f>
        <v>27.492999999999999</v>
      </c>
      <c r="K23" s="464">
        <f>'[1]сентябрь 20'!AM22</f>
        <v>0</v>
      </c>
      <c r="L23" s="446">
        <f t="shared" si="22"/>
        <v>60.14</v>
      </c>
      <c r="M23" s="469">
        <f t="shared" si="23"/>
        <v>0.45721844839186676</v>
      </c>
      <c r="N23" s="542">
        <f>'[1]декабрь 20'!W22</f>
        <v>0</v>
      </c>
      <c r="O23" s="403">
        <f>'[1]декабрь 20'!AU22</f>
        <v>10.993</v>
      </c>
      <c r="P23" s="401">
        <f t="shared" si="1"/>
        <v>173.649</v>
      </c>
      <c r="Q23" s="122">
        <f>'[1]декабрь 20'!S22</f>
        <v>173.649</v>
      </c>
      <c r="R23" s="123">
        <f t="shared" si="24"/>
        <v>3.21</v>
      </c>
      <c r="S23" s="129">
        <v>27.58</v>
      </c>
      <c r="T23" s="125">
        <f t="shared" si="2"/>
        <v>168.07486710000001</v>
      </c>
      <c r="U23" s="147">
        <f t="shared" si="3"/>
        <v>1.2778006310131562</v>
      </c>
      <c r="V23" s="130">
        <v>131.53</v>
      </c>
      <c r="W23" s="130">
        <v>51.57</v>
      </c>
      <c r="X23" s="129">
        <v>1.19</v>
      </c>
      <c r="Y23" s="131">
        <v>501</v>
      </c>
      <c r="Z23" s="150">
        <v>1159</v>
      </c>
      <c r="AA23" s="148" t="s">
        <v>174</v>
      </c>
      <c r="AB23" s="149">
        <v>76.650000000000006</v>
      </c>
      <c r="AC23" s="150">
        <v>110</v>
      </c>
      <c r="AD23" s="151">
        <v>5</v>
      </c>
      <c r="AE23" s="149">
        <v>3.75</v>
      </c>
      <c r="AF23" s="134">
        <f t="shared" si="4"/>
        <v>28.509630553200868</v>
      </c>
      <c r="AG23" s="152"/>
      <c r="AH23" s="129">
        <v>93.15</v>
      </c>
      <c r="AI23" s="134">
        <f t="shared" si="5"/>
        <v>708.17922294150958</v>
      </c>
      <c r="AJ23" s="136">
        <v>12.56</v>
      </c>
      <c r="AK23" s="154"/>
      <c r="AL23" s="155">
        <v>7.47</v>
      </c>
      <c r="AM23" s="478">
        <f t="shared" si="25"/>
        <v>37.345499999999994</v>
      </c>
      <c r="AN23" s="126">
        <f t="shared" si="26"/>
        <v>0.21499999999999997</v>
      </c>
      <c r="AO23" s="157" t="s">
        <v>239</v>
      </c>
      <c r="AP23" s="156">
        <v>7.43</v>
      </c>
      <c r="AQ23" s="156">
        <v>7.3</v>
      </c>
      <c r="AR23" s="151"/>
      <c r="AS23" s="149">
        <v>5.13</v>
      </c>
      <c r="AT23" s="149">
        <v>173.7</v>
      </c>
      <c r="AU23" s="149">
        <v>2.65</v>
      </c>
      <c r="AV23" s="149"/>
      <c r="AW23" s="149"/>
      <c r="AX23" s="158">
        <f t="shared" si="6"/>
        <v>0</v>
      </c>
      <c r="AY23" s="125">
        <f t="shared" si="7"/>
        <v>131.53450000000001</v>
      </c>
      <c r="AZ23" s="125">
        <f t="shared" si="27"/>
        <v>123.41612084697459</v>
      </c>
      <c r="BA23" s="159">
        <f t="shared" si="8"/>
        <v>3.7017285211267605</v>
      </c>
      <c r="BB23" s="160">
        <f t="shared" si="9"/>
        <v>5.2613800000000008</v>
      </c>
      <c r="BC23" s="161">
        <f t="shared" si="10"/>
        <v>0.99114821426770472</v>
      </c>
      <c r="BD23" s="160">
        <f t="shared" si="28"/>
        <v>8.9631085211267614</v>
      </c>
      <c r="BE23" s="162">
        <v>0.86199999999999999</v>
      </c>
      <c r="BF23" s="25">
        <f t="shared" si="29"/>
        <v>1448.5964999999999</v>
      </c>
      <c r="BG23" s="25">
        <f t="shared" si="11"/>
        <v>116.7741935483871</v>
      </c>
      <c r="BH23" s="25">
        <f t="shared" si="30"/>
        <v>1985.1612903225805</v>
      </c>
      <c r="BI23" s="26">
        <f t="shared" si="12"/>
        <v>1</v>
      </c>
      <c r="BJ23" s="37">
        <f t="shared" si="31"/>
        <v>1985.1612903225805</v>
      </c>
      <c r="BK23" s="38"/>
      <c r="BL23" s="28">
        <f t="shared" si="32"/>
        <v>215.46299999999999</v>
      </c>
      <c r="BM23" s="31"/>
      <c r="BN23" s="28">
        <f t="shared" si="33"/>
        <v>49.173000000000002</v>
      </c>
      <c r="BO23" s="42"/>
      <c r="BP23" s="40"/>
      <c r="BQ23" s="411">
        <v>10.967000000000001</v>
      </c>
      <c r="BR23" s="33"/>
      <c r="BS23" s="34">
        <v>1.4</v>
      </c>
      <c r="BT23" s="35"/>
      <c r="BU23" s="35"/>
      <c r="BV23" s="235"/>
      <c r="BW23" s="235"/>
      <c r="BX23" s="36"/>
      <c r="BY23" s="33"/>
      <c r="BZ23" s="34">
        <v>35.51</v>
      </c>
      <c r="CA23" s="35"/>
      <c r="CB23" s="405">
        <v>43.81</v>
      </c>
      <c r="CC23" s="404"/>
      <c r="CD23" s="235"/>
      <c r="CE23" s="413">
        <v>43.71</v>
      </c>
      <c r="CF23" s="30">
        <v>69.290000000000006</v>
      </c>
      <c r="CG23" s="30"/>
      <c r="CH23" s="31"/>
      <c r="CI23" s="32">
        <v>104.35899999999999</v>
      </c>
      <c r="CJ23" s="33">
        <v>3.21</v>
      </c>
      <c r="CK23" s="33"/>
      <c r="CL23" s="35"/>
      <c r="CM23" s="36">
        <v>3.21</v>
      </c>
      <c r="CN23" s="286"/>
      <c r="CO23" s="249">
        <f t="shared" ref="CO23:CU37" si="37">BK23*((100-BR23)/100)</f>
        <v>0</v>
      </c>
      <c r="CP23" s="12">
        <f t="shared" si="37"/>
        <v>212.446518</v>
      </c>
      <c r="CQ23" s="12">
        <f t="shared" si="37"/>
        <v>0</v>
      </c>
      <c r="CR23" s="12">
        <f t="shared" si="37"/>
        <v>49.173000000000002</v>
      </c>
      <c r="CS23" s="11">
        <f t="shared" si="37"/>
        <v>0</v>
      </c>
      <c r="CT23" s="11">
        <f t="shared" si="37"/>
        <v>0</v>
      </c>
      <c r="CU23" s="272">
        <f t="shared" si="37"/>
        <v>10.967000000000001</v>
      </c>
      <c r="CV23" s="249">
        <f t="shared" si="14"/>
        <v>67.065791000000019</v>
      </c>
      <c r="CW23" s="11">
        <f t="shared" si="14"/>
        <v>0</v>
      </c>
      <c r="CX23" s="249">
        <f t="shared" si="14"/>
        <v>0</v>
      </c>
      <c r="CY23" s="272">
        <f t="shared" si="14"/>
        <v>101.0090761</v>
      </c>
      <c r="CZ23" s="13"/>
      <c r="DA23" s="240">
        <f>(D23+'[2]декабрь 20'!D23)/(AY23+'[2]декабрь 20'!BA23)</f>
        <v>2.1307143687410584</v>
      </c>
      <c r="DB23" s="241">
        <f>(T23+'[2]декабрь 20'!T23)/(AY23+'[2]декабрь 20'!BA23)</f>
        <v>1.2899981756862482</v>
      </c>
      <c r="DD23" s="292">
        <f t="shared" si="15"/>
        <v>27.492999999999999</v>
      </c>
      <c r="DE23" s="291">
        <v>0.19</v>
      </c>
      <c r="DF23" s="291">
        <v>21.12</v>
      </c>
      <c r="DG23" s="145">
        <f t="shared" si="16"/>
        <v>27.440763299999997</v>
      </c>
      <c r="DH23" s="293">
        <f t="shared" si="34"/>
        <v>7.560977441565556</v>
      </c>
      <c r="DJ23" s="234">
        <v>58.843000000000004</v>
      </c>
      <c r="DK23" s="460">
        <f t="shared" si="35"/>
        <v>49.173000000000002</v>
      </c>
      <c r="DM23" s="31">
        <v>205.46299999999999</v>
      </c>
      <c r="DN23" s="460">
        <f t="shared" si="36"/>
        <v>215.46299999999999</v>
      </c>
    </row>
    <row r="24" spans="1:118" s="76" customFormat="1" ht="16.5" customHeight="1" thickBot="1">
      <c r="A24" s="144">
        <v>18</v>
      </c>
      <c r="B24" s="122">
        <f t="shared" si="17"/>
        <v>277.96199999999999</v>
      </c>
      <c r="C24" s="123">
        <f t="shared" si="18"/>
        <v>0.69763420899259609</v>
      </c>
      <c r="D24" s="145">
        <f t="shared" si="19"/>
        <v>276.02284200000003</v>
      </c>
      <c r="E24" s="125">
        <f t="shared" si="20"/>
        <v>38.436493333621137</v>
      </c>
      <c r="F24" s="146">
        <f t="shared" si="0"/>
        <v>2.1887206321390202</v>
      </c>
      <c r="G24" s="127">
        <v>18.09</v>
      </c>
      <c r="H24" s="126">
        <f t="shared" si="21"/>
        <v>1.6931274467435564</v>
      </c>
      <c r="I24" s="230">
        <f>'[1]июль 20'!AI23</f>
        <v>0</v>
      </c>
      <c r="J24" s="247">
        <f>'[1]декабрь 20'!AA23</f>
        <v>27.940999999999999</v>
      </c>
      <c r="K24" s="464">
        <f>'[1]сентябрь 20'!AM23</f>
        <v>0</v>
      </c>
      <c r="L24" s="446">
        <f t="shared" si="22"/>
        <v>62.5</v>
      </c>
      <c r="M24" s="468">
        <f t="shared" si="23"/>
        <v>0.49559318539546354</v>
      </c>
      <c r="N24" s="542">
        <f>'[1]декабрь 20'!W23</f>
        <v>0</v>
      </c>
      <c r="O24" s="403">
        <f>'[1]декабрь 20'!AU23</f>
        <v>10.054</v>
      </c>
      <c r="P24" s="401">
        <f t="shared" si="1"/>
        <v>173.904</v>
      </c>
      <c r="Q24" s="122">
        <f>'[1]декабрь 20'!S23</f>
        <v>173.904</v>
      </c>
      <c r="R24" s="123">
        <f t="shared" si="24"/>
        <v>3.0400000000000005</v>
      </c>
      <c r="S24" s="129">
        <v>9.1199999999999992</v>
      </c>
      <c r="T24" s="125">
        <f>Q24*((100-R24)/100)</f>
        <v>168.61731839999999</v>
      </c>
      <c r="U24" s="147">
        <f t="shared" si="3"/>
        <v>1.3370495030191536</v>
      </c>
      <c r="V24" s="130">
        <v>126.11</v>
      </c>
      <c r="W24" s="130">
        <v>101.41</v>
      </c>
      <c r="X24" s="129">
        <v>0.73</v>
      </c>
      <c r="Y24" s="150">
        <v>501</v>
      </c>
      <c r="Z24" s="150">
        <v>1158</v>
      </c>
      <c r="AA24" s="148" t="s">
        <v>112</v>
      </c>
      <c r="AB24" s="149">
        <v>75.69</v>
      </c>
      <c r="AC24" s="150">
        <v>111</v>
      </c>
      <c r="AD24" s="151">
        <v>5</v>
      </c>
      <c r="AE24" s="149">
        <v>1.75</v>
      </c>
      <c r="AF24" s="134">
        <f t="shared" si="4"/>
        <v>13.87660919107298</v>
      </c>
      <c r="AG24" s="152"/>
      <c r="AH24" s="129">
        <v>93.85</v>
      </c>
      <c r="AI24" s="134">
        <f t="shared" si="5"/>
        <v>744.18272718982803</v>
      </c>
      <c r="AJ24" s="153">
        <v>11.75</v>
      </c>
      <c r="AK24" s="154"/>
      <c r="AL24" s="155">
        <v>7.02</v>
      </c>
      <c r="AM24" s="478">
        <f t="shared" si="25"/>
        <v>36.098500000000001</v>
      </c>
      <c r="AN24" s="126">
        <f t="shared" si="26"/>
        <v>0.215</v>
      </c>
      <c r="AO24" s="157" t="s">
        <v>239</v>
      </c>
      <c r="AP24" s="156">
        <v>7.58</v>
      </c>
      <c r="AQ24" s="156">
        <v>7.16</v>
      </c>
      <c r="AR24" s="151"/>
      <c r="AS24" s="149">
        <v>7.25</v>
      </c>
      <c r="AT24" s="149">
        <v>167.9</v>
      </c>
      <c r="AU24" s="149">
        <v>1.33</v>
      </c>
      <c r="AV24" s="164"/>
      <c r="AW24" s="149"/>
      <c r="AX24" s="158">
        <f t="shared" si="6"/>
        <v>0</v>
      </c>
      <c r="AY24" s="125">
        <f t="shared" si="7"/>
        <v>126.11149999999999</v>
      </c>
      <c r="AZ24" s="125">
        <f t="shared" si="27"/>
        <v>130.63651661408008</v>
      </c>
      <c r="BA24" s="159">
        <f t="shared" si="8"/>
        <v>5.2708010563380272</v>
      </c>
      <c r="BB24" s="160">
        <f t="shared" si="9"/>
        <v>5.0444599999999999</v>
      </c>
      <c r="BC24" s="161">
        <f t="shared" si="10"/>
        <v>0.89971386759999794</v>
      </c>
      <c r="BD24" s="160">
        <f t="shared" si="28"/>
        <v>10.315261056338027</v>
      </c>
      <c r="BE24" s="162">
        <v>0.86399999999999999</v>
      </c>
      <c r="BF24" s="25">
        <f t="shared" si="29"/>
        <v>1574.7079999999999</v>
      </c>
      <c r="BG24" s="25">
        <f t="shared" si="11"/>
        <v>116.7741935483871</v>
      </c>
      <c r="BH24" s="25">
        <f t="shared" si="30"/>
        <v>2101.9354838709678</v>
      </c>
      <c r="BI24" s="26">
        <f t="shared" si="12"/>
        <v>1</v>
      </c>
      <c r="BJ24" s="37">
        <f t="shared" si="31"/>
        <v>2101.9354838709678</v>
      </c>
      <c r="BK24" s="38"/>
      <c r="BL24" s="28">
        <f t="shared" si="32"/>
        <v>215.46199999999999</v>
      </c>
      <c r="BM24" s="31"/>
      <c r="BN24" s="28">
        <f t="shared" si="33"/>
        <v>51.341999999999999</v>
      </c>
      <c r="BO24" s="42"/>
      <c r="BP24" s="40"/>
      <c r="BQ24" s="411">
        <v>11.157999999999999</v>
      </c>
      <c r="BR24" s="33"/>
      <c r="BS24" s="34">
        <v>0.9</v>
      </c>
      <c r="BT24" s="35"/>
      <c r="BU24" s="35"/>
      <c r="BV24" s="235"/>
      <c r="BW24" s="235"/>
      <c r="BX24" s="36"/>
      <c r="BY24" s="33"/>
      <c r="BZ24" s="34">
        <v>36.909999999999997</v>
      </c>
      <c r="CA24" s="35"/>
      <c r="CB24" s="405">
        <v>43.64</v>
      </c>
      <c r="CC24" s="404"/>
      <c r="CD24" s="235"/>
      <c r="CE24" s="413">
        <v>43.97</v>
      </c>
      <c r="CF24" s="30">
        <v>70.007000000000005</v>
      </c>
      <c r="CG24" s="30"/>
      <c r="CH24" s="31"/>
      <c r="CI24" s="32">
        <v>103.89700000000001</v>
      </c>
      <c r="CJ24" s="33">
        <v>3.04</v>
      </c>
      <c r="CK24" s="33"/>
      <c r="CL24" s="35"/>
      <c r="CM24" s="36">
        <v>3.04</v>
      </c>
      <c r="CN24" s="286"/>
      <c r="CO24" s="249">
        <f t="shared" si="37"/>
        <v>0</v>
      </c>
      <c r="CP24" s="12">
        <f t="shared" si="37"/>
        <v>213.522842</v>
      </c>
      <c r="CQ24" s="12">
        <f t="shared" si="37"/>
        <v>0</v>
      </c>
      <c r="CR24" s="12">
        <f t="shared" si="37"/>
        <v>51.341999999999999</v>
      </c>
      <c r="CS24" s="11">
        <f t="shared" si="37"/>
        <v>0</v>
      </c>
      <c r="CT24" s="11">
        <f t="shared" si="37"/>
        <v>0</v>
      </c>
      <c r="CU24" s="272">
        <f t="shared" si="37"/>
        <v>11.157999999999999</v>
      </c>
      <c r="CV24" s="249">
        <f t="shared" si="14"/>
        <v>67.878787200000005</v>
      </c>
      <c r="CW24" s="12">
        <f t="shared" si="14"/>
        <v>0</v>
      </c>
      <c r="CX24" s="249">
        <f t="shared" si="14"/>
        <v>0</v>
      </c>
      <c r="CY24" s="272">
        <f t="shared" si="14"/>
        <v>100.7385312</v>
      </c>
      <c r="CZ24" s="13"/>
      <c r="DA24" s="240">
        <f>(D24+'[2]декабрь 20'!D24)/(AY24+'[2]декабрь 20'!BA24)</f>
        <v>2.2245047301739413</v>
      </c>
      <c r="DB24" s="241">
        <f>(T24+'[2]декабрь 20'!T24)/(AY24+'[2]декабрь 20'!BA24)</f>
        <v>1.3410163422216774</v>
      </c>
      <c r="DD24" s="292">
        <f t="shared" si="15"/>
        <v>27.940999999999999</v>
      </c>
      <c r="DE24" s="291">
        <v>0.35</v>
      </c>
      <c r="DF24" s="291">
        <v>22.48</v>
      </c>
      <c r="DG24" s="145">
        <f t="shared" si="16"/>
        <v>27.843206500000001</v>
      </c>
      <c r="DH24" s="293">
        <f t="shared" si="34"/>
        <v>8.2694580805918871</v>
      </c>
      <c r="DJ24" s="234">
        <v>61.012</v>
      </c>
      <c r="DK24" s="460">
        <f t="shared" si="35"/>
        <v>51.341999999999999</v>
      </c>
      <c r="DM24" s="31">
        <v>205.46199999999999</v>
      </c>
      <c r="DN24" s="460">
        <f t="shared" si="36"/>
        <v>215.46199999999999</v>
      </c>
    </row>
    <row r="25" spans="1:118" s="76" customFormat="1" ht="16.5" customHeight="1" thickBot="1">
      <c r="A25" s="144">
        <v>19</v>
      </c>
      <c r="B25" s="122">
        <f t="shared" si="17"/>
        <v>282.72300000000001</v>
      </c>
      <c r="C25" s="123">
        <f t="shared" si="18"/>
        <v>1.6348147126339205</v>
      </c>
      <c r="D25" s="145">
        <f t="shared" si="19"/>
        <v>278.1010028</v>
      </c>
      <c r="E25" s="125">
        <f t="shared" si="20"/>
        <v>38.865163676106995</v>
      </c>
      <c r="F25" s="146">
        <f t="shared" si="0"/>
        <v>1.9945957680439079</v>
      </c>
      <c r="G25" s="127">
        <v>19.79</v>
      </c>
      <c r="H25" s="126">
        <f t="shared" si="21"/>
        <v>1.5379346777620584</v>
      </c>
      <c r="I25" s="230">
        <f>'[1]июль 20'!AI24</f>
        <v>0</v>
      </c>
      <c r="J25" s="247">
        <f>'[1]декабрь 20'!AA24</f>
        <v>28.256</v>
      </c>
      <c r="K25" s="465">
        <f>'[1]сентябрь 20'!AM24</f>
        <v>0</v>
      </c>
      <c r="L25" s="446">
        <f t="shared" si="22"/>
        <v>63.670999999999999</v>
      </c>
      <c r="M25" s="469">
        <f t="shared" si="23"/>
        <v>0.45666109028184942</v>
      </c>
      <c r="N25" s="542">
        <f>'[1]декабрь 20'!W24</f>
        <v>0</v>
      </c>
      <c r="O25" s="403">
        <f>'[1]декабрь 20'!AU24</f>
        <v>8.99</v>
      </c>
      <c r="P25" s="401">
        <f t="shared" si="1"/>
        <v>177.012</v>
      </c>
      <c r="Q25" s="122">
        <f>'[1]декабрь 20'!S24</f>
        <v>177.012</v>
      </c>
      <c r="R25" s="123">
        <f>IF(Q25=0,0,(CI25*CM25+CG25*CK25+CH25*CL25+CF25*CJ25)/Q25)</f>
        <v>3.49</v>
      </c>
      <c r="S25" s="129"/>
      <c r="T25" s="125">
        <f t="shared" si="2"/>
        <v>170.83428120000002</v>
      </c>
      <c r="U25" s="147">
        <f t="shared" si="3"/>
        <v>1.2252574815898614</v>
      </c>
      <c r="V25" s="130">
        <v>139.43</v>
      </c>
      <c r="W25" s="130">
        <v>139.43</v>
      </c>
      <c r="X25" s="129">
        <v>0.39</v>
      </c>
      <c r="Y25" s="150">
        <v>504</v>
      </c>
      <c r="Z25" s="150">
        <v>1161</v>
      </c>
      <c r="AA25" s="148" t="s">
        <v>130</v>
      </c>
      <c r="AB25" s="149">
        <v>76.44</v>
      </c>
      <c r="AC25" s="150">
        <v>113</v>
      </c>
      <c r="AD25" s="151">
        <v>5</v>
      </c>
      <c r="AE25" s="149"/>
      <c r="AF25" s="134">
        <f t="shared" si="4"/>
        <v>0</v>
      </c>
      <c r="AG25" s="152"/>
      <c r="AH25" s="129">
        <v>100.5</v>
      </c>
      <c r="AI25" s="134">
        <f t="shared" si="5"/>
        <v>720.80601173730372</v>
      </c>
      <c r="AJ25" s="136">
        <v>13.95</v>
      </c>
      <c r="AK25" s="154"/>
      <c r="AL25" s="155">
        <v>5.51</v>
      </c>
      <c r="AM25" s="478">
        <f t="shared" si="25"/>
        <v>39.312750000000001</v>
      </c>
      <c r="AN25" s="126">
        <f t="shared" si="26"/>
        <v>0.21500000000000002</v>
      </c>
      <c r="AO25" s="157" t="s">
        <v>291</v>
      </c>
      <c r="AP25" s="156">
        <v>7.17</v>
      </c>
      <c r="AQ25" s="156">
        <v>7.16</v>
      </c>
      <c r="AR25" s="152"/>
      <c r="AS25" s="149">
        <v>10.16</v>
      </c>
      <c r="AT25" s="149">
        <v>182.85</v>
      </c>
      <c r="AU25" s="149">
        <v>1.4</v>
      </c>
      <c r="AV25" s="164"/>
      <c r="AW25" s="149"/>
      <c r="AX25" s="158">
        <f t="shared" si="6"/>
        <v>0</v>
      </c>
      <c r="AY25" s="125">
        <f t="shared" si="7"/>
        <v>139.42725000000002</v>
      </c>
      <c r="AZ25" s="125">
        <f t="shared" si="27"/>
        <v>130.16237909429526</v>
      </c>
      <c r="BA25" s="159">
        <f t="shared" si="8"/>
        <v>7.9097746478873239</v>
      </c>
      <c r="BB25" s="160">
        <f t="shared" si="9"/>
        <v>5.577090000000001</v>
      </c>
      <c r="BC25" s="161">
        <f t="shared" si="10"/>
        <v>0.98606440999042955</v>
      </c>
      <c r="BD25" s="160">
        <f t="shared" si="28"/>
        <v>13.486864647887325</v>
      </c>
      <c r="BE25" s="162">
        <v>0.873</v>
      </c>
      <c r="BF25" s="25">
        <f t="shared" si="29"/>
        <v>1714.1352499999998</v>
      </c>
      <c r="BG25" s="25">
        <f t="shared" si="11"/>
        <v>116.7741935483871</v>
      </c>
      <c r="BH25" s="25">
        <f t="shared" si="30"/>
        <v>2218.7096774193551</v>
      </c>
      <c r="BI25" s="26">
        <f t="shared" si="12"/>
        <v>1</v>
      </c>
      <c r="BJ25" s="37">
        <f t="shared" si="31"/>
        <v>2218.7096774193551</v>
      </c>
      <c r="BK25" s="38"/>
      <c r="BL25" s="28">
        <f t="shared" si="32"/>
        <v>219.05199999999999</v>
      </c>
      <c r="BM25" s="31"/>
      <c r="BN25" s="28">
        <f t="shared" si="33"/>
        <v>52.466999999999999</v>
      </c>
      <c r="BO25" s="42"/>
      <c r="BP25" s="40"/>
      <c r="BQ25" s="411">
        <v>11.204000000000001</v>
      </c>
      <c r="BR25" s="33"/>
      <c r="BS25" s="34">
        <v>2.11</v>
      </c>
      <c r="BT25" s="35"/>
      <c r="BU25" s="35"/>
      <c r="BV25" s="235"/>
      <c r="BW25" s="235"/>
      <c r="BX25" s="36"/>
      <c r="BY25" s="33"/>
      <c r="BZ25" s="34">
        <v>37.479999999999997</v>
      </c>
      <c r="CA25" s="35"/>
      <c r="CB25" s="405">
        <v>43.65</v>
      </c>
      <c r="CC25" s="404"/>
      <c r="CD25" s="235"/>
      <c r="CE25" s="413">
        <v>43.54</v>
      </c>
      <c r="CF25" s="30">
        <v>71.135999999999996</v>
      </c>
      <c r="CG25" s="30"/>
      <c r="CH25" s="31"/>
      <c r="CI25" s="32">
        <v>105.876</v>
      </c>
      <c r="CJ25" s="33">
        <v>3.49</v>
      </c>
      <c r="CK25" s="33"/>
      <c r="CL25" s="35"/>
      <c r="CM25" s="36">
        <v>3.49</v>
      </c>
      <c r="CN25" s="286"/>
      <c r="CO25" s="249">
        <f t="shared" si="37"/>
        <v>0</v>
      </c>
      <c r="CP25" s="12">
        <f t="shared" si="37"/>
        <v>214.43000279999998</v>
      </c>
      <c r="CQ25" s="12">
        <f t="shared" si="37"/>
        <v>0</v>
      </c>
      <c r="CR25" s="12">
        <f t="shared" si="37"/>
        <v>52.466999999999999</v>
      </c>
      <c r="CS25" s="11">
        <f t="shared" si="37"/>
        <v>0</v>
      </c>
      <c r="CT25" s="11">
        <f t="shared" si="37"/>
        <v>0</v>
      </c>
      <c r="CU25" s="272">
        <f t="shared" si="37"/>
        <v>11.204000000000001</v>
      </c>
      <c r="CV25" s="249">
        <f t="shared" si="14"/>
        <v>68.653353600000003</v>
      </c>
      <c r="CW25" s="251">
        <f t="shared" si="14"/>
        <v>0</v>
      </c>
      <c r="CX25" s="249">
        <f t="shared" si="14"/>
        <v>0</v>
      </c>
      <c r="CY25" s="272">
        <f t="shared" si="14"/>
        <v>102.18092760000002</v>
      </c>
      <c r="CZ25" s="13"/>
      <c r="DA25" s="240">
        <f>(D25+'[2]декабрь 20'!D25)/(AY25+'[2]декабрь 20'!BA25)</f>
        <v>2.0876519467908361</v>
      </c>
      <c r="DB25" s="241">
        <f>(T25+'[2]декабрь 20'!T25)/(AY25+'[2]декабрь 20'!BA25)</f>
        <v>1.2622009371607601</v>
      </c>
      <c r="DD25" s="292">
        <f t="shared" si="15"/>
        <v>28.256</v>
      </c>
      <c r="DE25" s="291">
        <v>0.3</v>
      </c>
      <c r="DF25" s="291">
        <v>18.239999999999998</v>
      </c>
      <c r="DG25" s="145">
        <f t="shared" si="16"/>
        <v>28.171232</v>
      </c>
      <c r="DH25" s="293">
        <f t="shared" si="34"/>
        <v>6.7221778084772366</v>
      </c>
      <c r="DJ25" s="234">
        <v>62.137</v>
      </c>
      <c r="DK25" s="460">
        <f t="shared" si="35"/>
        <v>52.466999999999999</v>
      </c>
      <c r="DM25" s="31">
        <v>209.05199999999999</v>
      </c>
      <c r="DN25" s="460">
        <f t="shared" si="36"/>
        <v>219.05199999999999</v>
      </c>
    </row>
    <row r="26" spans="1:118" s="76" customFormat="1" ht="16.5" customHeight="1" thickBot="1">
      <c r="A26" s="144">
        <v>20</v>
      </c>
      <c r="B26" s="122">
        <f t="shared" si="17"/>
        <v>305.505</v>
      </c>
      <c r="C26" s="123">
        <f t="shared" si="18"/>
        <v>0.81847662067723936</v>
      </c>
      <c r="D26" s="145">
        <f t="shared" si="19"/>
        <v>303.00451299999997</v>
      </c>
      <c r="E26" s="125">
        <f t="shared" si="20"/>
        <v>38.255024533150035</v>
      </c>
      <c r="F26" s="146">
        <f t="shared" si="0"/>
        <v>1.9793866801672324</v>
      </c>
      <c r="G26" s="127">
        <v>30.88</v>
      </c>
      <c r="H26" s="126">
        <f t="shared" si="21"/>
        <v>1.5246571269924221</v>
      </c>
      <c r="I26" s="230">
        <f>'[1]июль 20'!AI25</f>
        <v>0</v>
      </c>
      <c r="J26" s="247">
        <f>'[1]декабрь 20'!AA25</f>
        <v>30.542000000000002</v>
      </c>
      <c r="K26" s="464">
        <f>'[1]сентябрь 20'!AM25</f>
        <v>0</v>
      </c>
      <c r="L26" s="446">
        <f t="shared" si="22"/>
        <v>69.609999999999985</v>
      </c>
      <c r="M26" s="468">
        <f t="shared" si="23"/>
        <v>0.4547295531748104</v>
      </c>
      <c r="N26" s="542">
        <f>'[1]декабрь 20'!W25</f>
        <v>0</v>
      </c>
      <c r="O26" s="403">
        <f>'[1]декабрь 20'!AU25</f>
        <v>9.7840000000000007</v>
      </c>
      <c r="P26" s="401">
        <f t="shared" si="1"/>
        <v>192.97</v>
      </c>
      <c r="Q26" s="122">
        <f>'[1]декабрь 20'!S25</f>
        <v>192.97</v>
      </c>
      <c r="R26" s="123">
        <f t="shared" si="24"/>
        <v>3.39</v>
      </c>
      <c r="S26" s="129">
        <v>11.85</v>
      </c>
      <c r="T26" s="125">
        <f t="shared" si="2"/>
        <v>186.42831699999999</v>
      </c>
      <c r="U26" s="147">
        <f t="shared" si="3"/>
        <v>1.2178489482623462</v>
      </c>
      <c r="V26" s="169">
        <v>124.27</v>
      </c>
      <c r="W26" s="169">
        <v>122.62</v>
      </c>
      <c r="X26" s="170">
        <v>0.6</v>
      </c>
      <c r="Y26" s="166">
        <v>481</v>
      </c>
      <c r="Z26" s="166">
        <v>1172</v>
      </c>
      <c r="AA26" s="148" t="s">
        <v>120</v>
      </c>
      <c r="AB26" s="164">
        <v>75.94</v>
      </c>
      <c r="AC26" s="166">
        <v>122</v>
      </c>
      <c r="AD26" s="171">
        <v>5</v>
      </c>
      <c r="AE26" s="164"/>
      <c r="AF26" s="172">
        <f t="shared" si="4"/>
        <v>0</v>
      </c>
      <c r="AG26" s="173"/>
      <c r="AH26" s="170">
        <v>94.6</v>
      </c>
      <c r="AI26" s="134">
        <f t="shared" si="5"/>
        <v>617.97752808988764</v>
      </c>
      <c r="AJ26" s="174">
        <v>16.71</v>
      </c>
      <c r="AK26" s="175"/>
      <c r="AL26" s="176">
        <v>7.19</v>
      </c>
      <c r="AM26" s="478">
        <v>21.85</v>
      </c>
      <c r="AN26" s="126">
        <f t="shared" si="26"/>
        <v>0.12088520055325036</v>
      </c>
      <c r="AO26" s="178" t="s">
        <v>199</v>
      </c>
      <c r="AP26" s="177">
        <v>7.36</v>
      </c>
      <c r="AQ26" s="177">
        <v>6.91</v>
      </c>
      <c r="AR26" s="171"/>
      <c r="AS26" s="164">
        <v>7.98</v>
      </c>
      <c r="AT26" s="149">
        <v>180.75</v>
      </c>
      <c r="AU26" s="164">
        <v>1.37</v>
      </c>
      <c r="AV26" s="164"/>
      <c r="AW26" s="164"/>
      <c r="AX26" s="179">
        <f t="shared" si="6"/>
        <v>0</v>
      </c>
      <c r="AY26" s="125">
        <f t="shared" si="7"/>
        <v>153.08000000000001</v>
      </c>
      <c r="AZ26" s="125">
        <f t="shared" si="27"/>
        <v>141.39531248101744</v>
      </c>
      <c r="BA26" s="159">
        <f t="shared" si="8"/>
        <v>5.847878873239436</v>
      </c>
      <c r="BB26" s="159">
        <f t="shared" si="9"/>
        <v>6.1232000000000006</v>
      </c>
      <c r="BC26" s="180">
        <f t="shared" si="10"/>
        <v>1.0028857593943961</v>
      </c>
      <c r="BD26" s="159">
        <f t="shared" si="28"/>
        <v>11.971078873239437</v>
      </c>
      <c r="BE26" s="167">
        <v>0.88200000000000001</v>
      </c>
      <c r="BF26" s="25">
        <f t="shared" si="29"/>
        <v>1867.2152499999997</v>
      </c>
      <c r="BG26" s="25">
        <f t="shared" si="11"/>
        <v>116.7741935483871</v>
      </c>
      <c r="BH26" s="25">
        <f t="shared" si="30"/>
        <v>2335.4838709677424</v>
      </c>
      <c r="BI26" s="26">
        <f t="shared" si="12"/>
        <v>1</v>
      </c>
      <c r="BJ26" s="37">
        <f t="shared" si="31"/>
        <v>2335.4838709677424</v>
      </c>
      <c r="BK26" s="38"/>
      <c r="BL26" s="28">
        <f t="shared" si="32"/>
        <v>235.89500000000001</v>
      </c>
      <c r="BM26" s="31"/>
      <c r="BN26" s="28">
        <f t="shared" si="33"/>
        <v>57.411999999999992</v>
      </c>
      <c r="BO26" s="42"/>
      <c r="BP26" s="40"/>
      <c r="BQ26" s="412">
        <v>12.198</v>
      </c>
      <c r="BR26" s="33"/>
      <c r="BS26" s="34">
        <v>1.06</v>
      </c>
      <c r="BT26" s="35"/>
      <c r="BU26" s="35"/>
      <c r="BV26" s="235"/>
      <c r="BW26" s="235"/>
      <c r="BX26" s="36"/>
      <c r="BY26" s="33"/>
      <c r="BZ26" s="34">
        <v>36.71</v>
      </c>
      <c r="CA26" s="35"/>
      <c r="CB26" s="405">
        <v>43.44</v>
      </c>
      <c r="CC26" s="404"/>
      <c r="CD26" s="235"/>
      <c r="CE26" s="413">
        <v>43.73</v>
      </c>
      <c r="CF26" s="30">
        <v>77.53</v>
      </c>
      <c r="CG26" s="30"/>
      <c r="CH26" s="43"/>
      <c r="CI26" s="32">
        <v>115.44</v>
      </c>
      <c r="CJ26" s="33">
        <v>3.39</v>
      </c>
      <c r="CK26" s="33"/>
      <c r="CL26" s="35"/>
      <c r="CM26" s="36">
        <v>3.39</v>
      </c>
      <c r="CN26" s="286"/>
      <c r="CO26" s="249">
        <f t="shared" si="37"/>
        <v>0</v>
      </c>
      <c r="CP26" s="12">
        <f t="shared" si="37"/>
        <v>233.39451299999999</v>
      </c>
      <c r="CQ26" s="12">
        <f t="shared" si="37"/>
        <v>0</v>
      </c>
      <c r="CR26" s="12">
        <f t="shared" si="37"/>
        <v>57.411999999999992</v>
      </c>
      <c r="CS26" s="11">
        <f t="shared" si="37"/>
        <v>0</v>
      </c>
      <c r="CT26" s="11">
        <f t="shared" si="37"/>
        <v>0</v>
      </c>
      <c r="CU26" s="272">
        <f t="shared" si="37"/>
        <v>12.198</v>
      </c>
      <c r="CV26" s="249">
        <f t="shared" si="14"/>
        <v>74.901732999999993</v>
      </c>
      <c r="CW26" s="12">
        <f t="shared" si="14"/>
        <v>0</v>
      </c>
      <c r="CX26" s="249">
        <f t="shared" si="14"/>
        <v>0</v>
      </c>
      <c r="CY26" s="274">
        <f t="shared" si="14"/>
        <v>111.526584</v>
      </c>
      <c r="CZ26" s="13"/>
      <c r="DA26" s="240">
        <f>(D26+'[2]декабрь 20'!D26)/(AY26+'[2]декабрь 20'!BA26)</f>
        <v>2.0600653891217617</v>
      </c>
      <c r="DB26" s="241">
        <f>(T26+'[2]декабрь 20'!T26)/(AY26+'[2]декабрь 20'!BA26)</f>
        <v>1.2312971996363822</v>
      </c>
      <c r="DD26" s="292">
        <f t="shared" si="15"/>
        <v>30.542000000000002</v>
      </c>
      <c r="DE26" s="291">
        <v>0.57999999999999996</v>
      </c>
      <c r="DF26" s="291">
        <v>20.36</v>
      </c>
      <c r="DG26" s="145">
        <f t="shared" si="16"/>
        <v>30.364856400000001</v>
      </c>
      <c r="DH26" s="293">
        <f t="shared" si="34"/>
        <v>8.1410123295233081</v>
      </c>
      <c r="DJ26" s="406">
        <v>67.081999999999994</v>
      </c>
      <c r="DK26" s="460">
        <f t="shared" si="35"/>
        <v>57.411999999999992</v>
      </c>
      <c r="DM26" s="43">
        <v>225.89500000000001</v>
      </c>
      <c r="DN26" s="460">
        <f t="shared" si="36"/>
        <v>235.89500000000001</v>
      </c>
    </row>
    <row r="27" spans="1:118" s="76" customFormat="1" ht="16.5" customHeight="1" thickBot="1">
      <c r="A27" s="144">
        <v>21</v>
      </c>
      <c r="B27" s="122">
        <f t="shared" si="17"/>
        <v>293.06000000000006</v>
      </c>
      <c r="C27" s="123">
        <f t="shared" si="18"/>
        <v>3.4635233740530946</v>
      </c>
      <c r="D27" s="145">
        <f t="shared" si="19"/>
        <v>282.90979840000006</v>
      </c>
      <c r="E27" s="125">
        <f t="shared" si="20"/>
        <v>38.471786255374312</v>
      </c>
      <c r="F27" s="146">
        <f t="shared" si="0"/>
        <v>2.1260024114900857</v>
      </c>
      <c r="G27" s="127">
        <v>12.17</v>
      </c>
      <c r="H27" s="126">
        <f t="shared" si="21"/>
        <v>1.626322728613431</v>
      </c>
      <c r="I27" s="230">
        <f>'[1]июль 20'!AI26</f>
        <v>0</v>
      </c>
      <c r="J27" s="247">
        <f>'[1]декабрь 20'!AA26</f>
        <v>18.077999999999999</v>
      </c>
      <c r="K27" s="464">
        <f>'[1]сентябрь 20'!AM26</f>
        <v>0</v>
      </c>
      <c r="L27" s="446">
        <f t="shared" si="22"/>
        <v>66.492999999999995</v>
      </c>
      <c r="M27" s="469">
        <f t="shared" si="23"/>
        <v>0.49967968287665443</v>
      </c>
      <c r="N27" s="542">
        <f>'[1]декабрь 20'!W26</f>
        <v>0</v>
      </c>
      <c r="O27" s="403">
        <f>'[1]декабрь 20'!AU26</f>
        <v>9.4770000000000003</v>
      </c>
      <c r="P27" s="401">
        <f t="shared" si="1"/>
        <v>183.46600000000001</v>
      </c>
      <c r="Q27" s="122">
        <f>'[1]декабрь 20'!S26</f>
        <v>183.46600000000001</v>
      </c>
      <c r="R27" s="123">
        <f t="shared" si="24"/>
        <v>3.120596186759399</v>
      </c>
      <c r="S27" s="129">
        <v>14.2</v>
      </c>
      <c r="T27" s="125">
        <f t="shared" si="2"/>
        <v>177.74076700000001</v>
      </c>
      <c r="U27" s="147">
        <f t="shared" si="3"/>
        <v>1.3356812008604415</v>
      </c>
      <c r="V27" s="130">
        <v>133.07</v>
      </c>
      <c r="W27" s="130">
        <v>109.36</v>
      </c>
      <c r="X27" s="129">
        <v>0.75</v>
      </c>
      <c r="Y27" s="150">
        <v>519</v>
      </c>
      <c r="Z27" s="150">
        <v>1168</v>
      </c>
      <c r="AA27" s="148" t="s">
        <v>116</v>
      </c>
      <c r="AB27" s="149">
        <v>76.45</v>
      </c>
      <c r="AC27" s="150">
        <v>117</v>
      </c>
      <c r="AD27" s="151">
        <v>5</v>
      </c>
      <c r="AE27" s="149"/>
      <c r="AF27" s="134">
        <f t="shared" si="4"/>
        <v>0</v>
      </c>
      <c r="AG27" s="152"/>
      <c r="AH27" s="129">
        <v>85.25</v>
      </c>
      <c r="AI27" s="134">
        <f t="shared" si="5"/>
        <v>640.63424669115227</v>
      </c>
      <c r="AJ27" s="136">
        <v>16.399999999999999</v>
      </c>
      <c r="AK27" s="154"/>
      <c r="AL27" s="155">
        <v>9.58</v>
      </c>
      <c r="AM27" s="478">
        <f t="shared" si="25"/>
        <v>38.53875</v>
      </c>
      <c r="AN27" s="126">
        <f t="shared" si="26"/>
        <v>0.215</v>
      </c>
      <c r="AO27" s="157" t="s">
        <v>468</v>
      </c>
      <c r="AP27" s="156">
        <v>7.33</v>
      </c>
      <c r="AQ27" s="156">
        <v>6.97</v>
      </c>
      <c r="AR27" s="151"/>
      <c r="AS27" s="149">
        <v>8.83</v>
      </c>
      <c r="AT27" s="149">
        <v>179.25</v>
      </c>
      <c r="AU27" s="149">
        <v>1.94</v>
      </c>
      <c r="AV27" s="164"/>
      <c r="AW27" s="149"/>
      <c r="AX27" s="158">
        <f t="shared" si="6"/>
        <v>0</v>
      </c>
      <c r="AY27" s="125">
        <f t="shared" si="7"/>
        <v>133.07124999999999</v>
      </c>
      <c r="AZ27" s="125">
        <f t="shared" si="27"/>
        <v>127.45030265675823</v>
      </c>
      <c r="BA27" s="159">
        <f t="shared" si="8"/>
        <v>5.8312200704225354</v>
      </c>
      <c r="BB27" s="160">
        <f t="shared" si="9"/>
        <v>5.3228499999999999</v>
      </c>
      <c r="BC27" s="161">
        <f t="shared" si="10"/>
        <v>0.93469815570190218</v>
      </c>
      <c r="BD27" s="160">
        <f t="shared" si="28"/>
        <v>11.154070070422534</v>
      </c>
      <c r="BE27" s="162">
        <v>0.88500000000000001</v>
      </c>
      <c r="BF27" s="25">
        <f t="shared" si="29"/>
        <v>2000.2864999999997</v>
      </c>
      <c r="BG27" s="25">
        <f t="shared" si="11"/>
        <v>116.7741935483871</v>
      </c>
      <c r="BH27" s="25">
        <f t="shared" si="30"/>
        <v>2452.2580645161297</v>
      </c>
      <c r="BI27" s="26">
        <f t="shared" si="12"/>
        <v>1</v>
      </c>
      <c r="BJ27" s="37">
        <f t="shared" si="31"/>
        <v>2452.2580645161297</v>
      </c>
      <c r="BK27" s="38"/>
      <c r="BL27" s="28">
        <f t="shared" si="32"/>
        <v>226.56700000000001</v>
      </c>
      <c r="BM27" s="31"/>
      <c r="BN27" s="28">
        <f t="shared" si="33"/>
        <v>54.695999999999998</v>
      </c>
      <c r="BO27" s="42"/>
      <c r="BP27" s="40"/>
      <c r="BQ27" s="411">
        <v>11.797000000000001</v>
      </c>
      <c r="BR27" s="33"/>
      <c r="BS27" s="34">
        <v>4.4800000000000004</v>
      </c>
      <c r="BT27" s="35"/>
      <c r="BU27" s="35"/>
      <c r="BV27" s="235"/>
      <c r="BW27" s="235"/>
      <c r="BX27" s="36"/>
      <c r="BY27" s="33"/>
      <c r="BZ27" s="34">
        <v>36.909999999999997</v>
      </c>
      <c r="CA27" s="35"/>
      <c r="CB27" s="405">
        <v>43.82</v>
      </c>
      <c r="CC27" s="404"/>
      <c r="CD27" s="235"/>
      <c r="CE27" s="413">
        <v>43.67</v>
      </c>
      <c r="CF27" s="30">
        <v>73.751000000000005</v>
      </c>
      <c r="CG27" s="30"/>
      <c r="CH27" s="31"/>
      <c r="CI27" s="32">
        <v>109.715</v>
      </c>
      <c r="CJ27" s="33">
        <v>3.3</v>
      </c>
      <c r="CK27" s="33"/>
      <c r="CL27" s="35"/>
      <c r="CM27" s="36">
        <v>3</v>
      </c>
      <c r="CN27" s="286"/>
      <c r="CO27" s="249">
        <f t="shared" si="37"/>
        <v>0</v>
      </c>
      <c r="CP27" s="12">
        <f t="shared" si="37"/>
        <v>216.4167984</v>
      </c>
      <c r="CQ27" s="12">
        <f t="shared" si="37"/>
        <v>0</v>
      </c>
      <c r="CR27" s="12">
        <f t="shared" si="37"/>
        <v>54.695999999999998</v>
      </c>
      <c r="CS27" s="11">
        <f t="shared" si="37"/>
        <v>0</v>
      </c>
      <c r="CT27" s="11">
        <f t="shared" si="37"/>
        <v>0</v>
      </c>
      <c r="CU27" s="272">
        <f t="shared" si="37"/>
        <v>11.797000000000001</v>
      </c>
      <c r="CV27" s="249">
        <f t="shared" si="14"/>
        <v>71.317217000000014</v>
      </c>
      <c r="CW27" s="11">
        <f t="shared" si="14"/>
        <v>0</v>
      </c>
      <c r="CX27" s="249">
        <f t="shared" si="14"/>
        <v>0</v>
      </c>
      <c r="CY27" s="272">
        <f t="shared" si="14"/>
        <v>106.42355000000001</v>
      </c>
      <c r="CZ27" s="13"/>
      <c r="DA27" s="240">
        <f>(D27+'[2]декабрь 20'!D27)/(AY27+'[2]декабрь 20'!BA27)</f>
        <v>2.1913906546039934</v>
      </c>
      <c r="DB27" s="241">
        <f>(T27+'[2]декабрь 20'!T27)/(AY27+'[2]декабрь 20'!BA27)</f>
        <v>1.3517950869942335</v>
      </c>
      <c r="DD27" s="292">
        <f t="shared" si="15"/>
        <v>18.077999999999999</v>
      </c>
      <c r="DE27" s="291">
        <v>1.65</v>
      </c>
      <c r="DF27" s="291">
        <v>13.6</v>
      </c>
      <c r="DG27" s="145">
        <f t="shared" si="16"/>
        <v>17.779712999999997</v>
      </c>
      <c r="DH27" s="293">
        <f t="shared" si="34"/>
        <v>3.1629051249182467</v>
      </c>
      <c r="DJ27" s="234">
        <v>64.366</v>
      </c>
      <c r="DK27" s="460">
        <f t="shared" si="35"/>
        <v>54.695999999999998</v>
      </c>
      <c r="DM27" s="31">
        <v>216.56700000000001</v>
      </c>
      <c r="DN27" s="460">
        <f t="shared" si="36"/>
        <v>226.56700000000001</v>
      </c>
    </row>
    <row r="28" spans="1:118" s="76" customFormat="1" ht="16.5" customHeight="1" thickBot="1">
      <c r="A28" s="144">
        <v>22</v>
      </c>
      <c r="B28" s="122">
        <f t="shared" si="17"/>
        <v>300.40699999999998</v>
      </c>
      <c r="C28" s="123">
        <f t="shared" si="18"/>
        <v>1.2061433322126316</v>
      </c>
      <c r="D28" s="145">
        <f t="shared" si="19"/>
        <v>296.783661</v>
      </c>
      <c r="E28" s="125">
        <f t="shared" si="20"/>
        <v>38.584956242697402</v>
      </c>
      <c r="F28" s="146">
        <f t="shared" si="0"/>
        <v>2.258912929639513</v>
      </c>
      <c r="G28" s="127">
        <v>29.15</v>
      </c>
      <c r="H28" s="126">
        <f t="shared" si="21"/>
        <v>1.7386645573185047</v>
      </c>
      <c r="I28" s="230">
        <f>'[1]июль 20'!AI27</f>
        <v>0</v>
      </c>
      <c r="J28" s="247">
        <f>'[1]декабрь 20'!AA27</f>
        <v>12.002000000000001</v>
      </c>
      <c r="K28" s="464">
        <f>'[1]сентябрь 20'!AM27</f>
        <v>0</v>
      </c>
      <c r="L28" s="446">
        <f t="shared" si="22"/>
        <v>68.352000000000004</v>
      </c>
      <c r="M28" s="468">
        <f t="shared" si="23"/>
        <v>0.52024837232100862</v>
      </c>
      <c r="N28" s="542">
        <f>'[1]декабрь 20'!W27</f>
        <v>0</v>
      </c>
      <c r="O28" s="403">
        <f>'[1]декабрь 20'!AU27</f>
        <v>10.173999999999999</v>
      </c>
      <c r="P28" s="401">
        <f t="shared" si="1"/>
        <v>189.53800000000001</v>
      </c>
      <c r="Q28" s="122">
        <f>'[1]декабрь 20'!S27</f>
        <v>189.53800000000001</v>
      </c>
      <c r="R28" s="123">
        <f t="shared" si="24"/>
        <v>3.34</v>
      </c>
      <c r="S28" s="129">
        <v>11.36</v>
      </c>
      <c r="T28" s="125">
        <f t="shared" si="2"/>
        <v>183.20743080000003</v>
      </c>
      <c r="U28" s="147">
        <f t="shared" si="3"/>
        <v>1.3944488481802118</v>
      </c>
      <c r="V28" s="130">
        <v>131.38</v>
      </c>
      <c r="W28" s="130">
        <v>104.71</v>
      </c>
      <c r="X28" s="129">
        <v>0.56999999999999995</v>
      </c>
      <c r="Y28" s="150">
        <v>509</v>
      </c>
      <c r="Z28" s="150">
        <v>1152</v>
      </c>
      <c r="AA28" s="148" t="s">
        <v>114</v>
      </c>
      <c r="AB28" s="149">
        <v>76.180000000000007</v>
      </c>
      <c r="AC28" s="150">
        <v>120</v>
      </c>
      <c r="AD28" s="151">
        <v>5</v>
      </c>
      <c r="AE28" s="149"/>
      <c r="AF28" s="134">
        <f t="shared" si="4"/>
        <v>0</v>
      </c>
      <c r="AG28" s="152"/>
      <c r="AH28" s="129">
        <v>91.15</v>
      </c>
      <c r="AI28" s="134">
        <f t="shared" si="5"/>
        <v>693.77105479078796</v>
      </c>
      <c r="AJ28" s="153">
        <v>19.079999999999998</v>
      </c>
      <c r="AK28" s="154"/>
      <c r="AL28" s="155">
        <v>10.57</v>
      </c>
      <c r="AM28" s="478">
        <f t="shared" si="25"/>
        <v>38.1066</v>
      </c>
      <c r="AN28" s="126">
        <f t="shared" si="26"/>
        <v>0.215</v>
      </c>
      <c r="AO28" s="157" t="s">
        <v>197</v>
      </c>
      <c r="AP28" s="156">
        <v>7.19</v>
      </c>
      <c r="AQ28" s="156">
        <v>6.92</v>
      </c>
      <c r="AR28" s="151"/>
      <c r="AS28" s="149">
        <v>8.5299999999999994</v>
      </c>
      <c r="AT28" s="149">
        <v>177.24</v>
      </c>
      <c r="AU28" s="149">
        <v>2.82</v>
      </c>
      <c r="AV28" s="164"/>
      <c r="AW28" s="149"/>
      <c r="AX28" s="158">
        <f t="shared" si="6"/>
        <v>0</v>
      </c>
      <c r="AY28" s="125">
        <f t="shared" si="7"/>
        <v>131.38339999999999</v>
      </c>
      <c r="AZ28" s="125">
        <f t="shared" si="27"/>
        <v>133.72759650049886</v>
      </c>
      <c r="BA28" s="159">
        <f t="shared" si="8"/>
        <v>6.0229609154929573</v>
      </c>
      <c r="BB28" s="160">
        <f t="shared" si="9"/>
        <v>5.2553359999999998</v>
      </c>
      <c r="BC28" s="161">
        <f t="shared" si="10"/>
        <v>0.87402421497531479</v>
      </c>
      <c r="BD28" s="160">
        <f t="shared" si="28"/>
        <v>11.278296915492957</v>
      </c>
      <c r="BE28" s="162">
        <v>0.88400000000000001</v>
      </c>
      <c r="BF28" s="25">
        <f t="shared" si="29"/>
        <v>2131.6698999999999</v>
      </c>
      <c r="BG28" s="25">
        <f t="shared" si="11"/>
        <v>116.7741935483871</v>
      </c>
      <c r="BH28" s="25">
        <f t="shared" si="30"/>
        <v>2569.032258064517</v>
      </c>
      <c r="BI28" s="26">
        <f t="shared" si="12"/>
        <v>1</v>
      </c>
      <c r="BJ28" s="37">
        <f t="shared" si="31"/>
        <v>2569.032258064517</v>
      </c>
      <c r="BK28" s="38">
        <v>137.65</v>
      </c>
      <c r="BL28" s="28">
        <f t="shared" si="32"/>
        <v>94.405000000000001</v>
      </c>
      <c r="BM28" s="31"/>
      <c r="BN28" s="28">
        <f t="shared" si="33"/>
        <v>56.363</v>
      </c>
      <c r="BO28" s="42"/>
      <c r="BP28" s="40"/>
      <c r="BQ28" s="411">
        <v>11.989000000000001</v>
      </c>
      <c r="BR28" s="33">
        <v>1</v>
      </c>
      <c r="BS28" s="34">
        <v>2.38</v>
      </c>
      <c r="BT28" s="35"/>
      <c r="BU28" s="35"/>
      <c r="BV28" s="235"/>
      <c r="BW28" s="235"/>
      <c r="BX28" s="36"/>
      <c r="BY28" s="33">
        <v>37.33</v>
      </c>
      <c r="BZ28" s="34">
        <v>37.049999999999997</v>
      </c>
      <c r="CA28" s="35"/>
      <c r="CB28" s="405">
        <v>43.12</v>
      </c>
      <c r="CC28" s="404"/>
      <c r="CD28" s="235"/>
      <c r="CE28" s="36">
        <v>43.76</v>
      </c>
      <c r="CF28" s="30">
        <v>75.646000000000001</v>
      </c>
      <c r="CG28" s="30"/>
      <c r="CH28" s="31"/>
      <c r="CI28" s="32">
        <v>113.892</v>
      </c>
      <c r="CJ28" s="33">
        <v>3.34</v>
      </c>
      <c r="CK28" s="33"/>
      <c r="CL28" s="35"/>
      <c r="CM28" s="36">
        <v>3.34</v>
      </c>
      <c r="CN28" s="286"/>
      <c r="CO28" s="249">
        <f t="shared" si="37"/>
        <v>136.27350000000001</v>
      </c>
      <c r="CP28" s="12">
        <f t="shared" si="37"/>
        <v>92.158161000000007</v>
      </c>
      <c r="CQ28" s="12">
        <f t="shared" si="37"/>
        <v>0</v>
      </c>
      <c r="CR28" s="12">
        <f t="shared" si="37"/>
        <v>56.363</v>
      </c>
      <c r="CS28" s="11">
        <f t="shared" si="37"/>
        <v>0</v>
      </c>
      <c r="CT28" s="11">
        <f t="shared" si="37"/>
        <v>0</v>
      </c>
      <c r="CU28" s="272">
        <f t="shared" si="37"/>
        <v>11.989000000000001</v>
      </c>
      <c r="CV28" s="249">
        <f t="shared" si="14"/>
        <v>73.119423600000005</v>
      </c>
      <c r="CW28" s="12">
        <f t="shared" si="14"/>
        <v>0</v>
      </c>
      <c r="CX28" s="249">
        <f t="shared" si="14"/>
        <v>0</v>
      </c>
      <c r="CY28" s="272">
        <f t="shared" si="14"/>
        <v>110.08800719999999</v>
      </c>
      <c r="CZ28" s="13"/>
      <c r="DA28" s="240">
        <f>(D28+'[2]декабрь 20'!D28)/(AY28+'[2]декабрь 20'!BA28)</f>
        <v>2.3049465749461664</v>
      </c>
      <c r="DB28" s="241">
        <f>(T28+'[2]декабрь 20'!T28)/(AY28+'[2]декабрь 20'!BA28)</f>
        <v>1.4006813459261378</v>
      </c>
      <c r="DD28" s="292">
        <f t="shared" si="15"/>
        <v>12.002000000000001</v>
      </c>
      <c r="DE28" s="305">
        <v>1.39</v>
      </c>
      <c r="DF28" s="291">
        <v>16.079999999999998</v>
      </c>
      <c r="DG28" s="145">
        <f t="shared" si="16"/>
        <v>11.835172200000001</v>
      </c>
      <c r="DH28" s="293">
        <f t="shared" si="34"/>
        <v>2.498156589341034</v>
      </c>
      <c r="DJ28" s="234">
        <v>66.033000000000001</v>
      </c>
      <c r="DK28" s="460">
        <f t="shared" si="35"/>
        <v>56.363</v>
      </c>
      <c r="DM28" s="31">
        <v>84.405000000000001</v>
      </c>
      <c r="DN28" s="460">
        <f t="shared" si="36"/>
        <v>94.405000000000001</v>
      </c>
    </row>
    <row r="29" spans="1:118" s="76" customFormat="1" ht="16.5" customHeight="1" thickBot="1">
      <c r="A29" s="144">
        <v>23</v>
      </c>
      <c r="B29" s="122">
        <f t="shared" si="17"/>
        <v>277.97500000000002</v>
      </c>
      <c r="C29" s="123">
        <f t="shared" si="18"/>
        <v>1.7373245795485206</v>
      </c>
      <c r="D29" s="145">
        <f t="shared" si="19"/>
        <v>273.14567199999999</v>
      </c>
      <c r="E29" s="125">
        <f t="shared" si="20"/>
        <v>38.533041460562998</v>
      </c>
      <c r="F29" s="146">
        <f t="shared" si="0"/>
        <v>2.1156247891796642</v>
      </c>
      <c r="G29" s="127">
        <v>15.72</v>
      </c>
      <c r="H29" s="126">
        <f t="shared" si="21"/>
        <v>1.6324662116239215</v>
      </c>
      <c r="I29" s="230">
        <f>'[1]июль 20'!AI28</f>
        <v>0</v>
      </c>
      <c r="J29" s="247">
        <f>'[1]декабрь 20'!AA28</f>
        <v>11.016999999999999</v>
      </c>
      <c r="K29" s="464">
        <f>'[1]сентябрь 20'!AM28</f>
        <v>0</v>
      </c>
      <c r="L29" s="446">
        <f t="shared" si="22"/>
        <v>62.379999999999995</v>
      </c>
      <c r="M29" s="469">
        <f t="shared" si="23"/>
        <v>0.48315857755574265</v>
      </c>
      <c r="N29" s="542">
        <f>'[1]декабрь 20'!W28</f>
        <v>0</v>
      </c>
      <c r="O29" s="403">
        <f>'[1]декабрь 20'!AU28</f>
        <v>9.7899999999999991</v>
      </c>
      <c r="P29" s="401">
        <f t="shared" si="1"/>
        <v>176.50200000000001</v>
      </c>
      <c r="Q29" s="122">
        <f>'[1]декабрь 20'!S28</f>
        <v>176.50200000000001</v>
      </c>
      <c r="R29" s="123">
        <f t="shared" si="24"/>
        <v>3.3399999999999994</v>
      </c>
      <c r="S29" s="129">
        <v>16.920000000000002</v>
      </c>
      <c r="T29" s="125">
        <f t="shared" si="2"/>
        <v>170.60683320000001</v>
      </c>
      <c r="U29" s="147">
        <f t="shared" si="3"/>
        <v>1.3214196032414534</v>
      </c>
      <c r="V29" s="130">
        <v>129.11000000000001</v>
      </c>
      <c r="W29" s="130">
        <v>103.07</v>
      </c>
      <c r="X29" s="129">
        <v>0.66</v>
      </c>
      <c r="Y29" s="150">
        <v>557</v>
      </c>
      <c r="Z29" s="150">
        <v>1160</v>
      </c>
      <c r="AA29" s="148" t="s">
        <v>134</v>
      </c>
      <c r="AB29" s="149">
        <v>76.84</v>
      </c>
      <c r="AC29" s="150">
        <v>111</v>
      </c>
      <c r="AD29" s="151">
        <v>5</v>
      </c>
      <c r="AE29" s="149"/>
      <c r="AF29" s="134">
        <f t="shared" si="4"/>
        <v>0</v>
      </c>
      <c r="AG29" s="152"/>
      <c r="AH29" s="129">
        <v>92.85</v>
      </c>
      <c r="AI29" s="134">
        <f t="shared" si="5"/>
        <v>719.16117226756501</v>
      </c>
      <c r="AJ29" s="136">
        <v>12.12</v>
      </c>
      <c r="AK29" s="154"/>
      <c r="AL29" s="155">
        <v>10.56</v>
      </c>
      <c r="AM29" s="478">
        <f t="shared" si="25"/>
        <v>37.571249999999999</v>
      </c>
      <c r="AN29" s="126">
        <f t="shared" si="26"/>
        <v>0.215</v>
      </c>
      <c r="AO29" s="157" t="s">
        <v>201</v>
      </c>
      <c r="AP29" s="156">
        <v>7.08</v>
      </c>
      <c r="AQ29" s="156">
        <v>6.96</v>
      </c>
      <c r="AR29" s="149"/>
      <c r="AS29" s="149">
        <v>7.76</v>
      </c>
      <c r="AT29" s="149">
        <v>174.75</v>
      </c>
      <c r="AU29" s="149">
        <v>2.4900000000000002</v>
      </c>
      <c r="AV29" s="164"/>
      <c r="AW29" s="149"/>
      <c r="AX29" s="158">
        <f t="shared" si="6"/>
        <v>0</v>
      </c>
      <c r="AY29" s="125">
        <f t="shared" si="7"/>
        <v>129.10875000000001</v>
      </c>
      <c r="AZ29" s="125">
        <f t="shared" si="27"/>
        <v>121.64920530606162</v>
      </c>
      <c r="BA29" s="159">
        <f t="shared" si="8"/>
        <v>5.5814619718309855</v>
      </c>
      <c r="BB29" s="160">
        <f t="shared" si="9"/>
        <v>5.1643500000000007</v>
      </c>
      <c r="BC29" s="161">
        <f t="shared" si="10"/>
        <v>0.94257392044266775</v>
      </c>
      <c r="BD29" s="160">
        <f t="shared" si="28"/>
        <v>10.745811971830985</v>
      </c>
      <c r="BE29" s="162">
        <v>0.88700000000000001</v>
      </c>
      <c r="BF29" s="25">
        <f t="shared" si="29"/>
        <v>2260.7786499999997</v>
      </c>
      <c r="BG29" s="25">
        <f t="shared" si="11"/>
        <v>116.7741935483871</v>
      </c>
      <c r="BH29" s="25">
        <f t="shared" si="30"/>
        <v>2685.8064516129043</v>
      </c>
      <c r="BI29" s="26">
        <f t="shared" si="12"/>
        <v>1</v>
      </c>
      <c r="BJ29" s="37">
        <f t="shared" si="31"/>
        <v>2685.8064516129043</v>
      </c>
      <c r="BK29" s="328"/>
      <c r="BL29" s="28">
        <f t="shared" si="32"/>
        <v>215.595</v>
      </c>
      <c r="BM29" s="31"/>
      <c r="BN29" s="28">
        <f t="shared" si="33"/>
        <v>51.394999999999996</v>
      </c>
      <c r="BO29" s="40"/>
      <c r="BP29" s="40"/>
      <c r="BQ29" s="32">
        <v>10.984999999999999</v>
      </c>
      <c r="BR29" s="33"/>
      <c r="BS29" s="34">
        <v>2.2400000000000002</v>
      </c>
      <c r="BT29" s="35"/>
      <c r="BU29" s="35"/>
      <c r="BV29" s="235"/>
      <c r="BW29" s="235"/>
      <c r="BX29" s="36"/>
      <c r="BY29" s="33"/>
      <c r="BZ29" s="34">
        <v>37.14</v>
      </c>
      <c r="CA29" s="35"/>
      <c r="CB29" s="35">
        <v>43.33</v>
      </c>
      <c r="CC29" s="235"/>
      <c r="CD29" s="235"/>
      <c r="CE29" s="36">
        <v>43.43</v>
      </c>
      <c r="CF29" s="30">
        <v>69.975999999999999</v>
      </c>
      <c r="CG29" s="30"/>
      <c r="CH29" s="31"/>
      <c r="CI29" s="32">
        <v>106.526</v>
      </c>
      <c r="CJ29" s="33">
        <v>3.34</v>
      </c>
      <c r="CK29" s="33"/>
      <c r="CL29" s="35"/>
      <c r="CM29" s="36">
        <v>3.34</v>
      </c>
      <c r="CN29" s="286"/>
      <c r="CO29" s="249">
        <f t="shared" si="37"/>
        <v>0</v>
      </c>
      <c r="CP29" s="12">
        <f t="shared" si="37"/>
        <v>210.765672</v>
      </c>
      <c r="CQ29" s="12">
        <f t="shared" si="37"/>
        <v>0</v>
      </c>
      <c r="CR29" s="12">
        <f t="shared" si="37"/>
        <v>51.394999999999996</v>
      </c>
      <c r="CS29" s="11">
        <f t="shared" si="37"/>
        <v>0</v>
      </c>
      <c r="CT29" s="11">
        <f t="shared" si="37"/>
        <v>0</v>
      </c>
      <c r="CU29" s="272">
        <f t="shared" si="37"/>
        <v>10.984999999999999</v>
      </c>
      <c r="CV29" s="249">
        <f t="shared" si="14"/>
        <v>67.638801599999994</v>
      </c>
      <c r="CW29" s="12">
        <f t="shared" si="14"/>
        <v>0</v>
      </c>
      <c r="CX29" s="249">
        <f t="shared" si="14"/>
        <v>0</v>
      </c>
      <c r="CY29" s="272">
        <f t="shared" si="14"/>
        <v>102.9680316</v>
      </c>
      <c r="CZ29" s="13"/>
      <c r="DA29" s="240">
        <f>(D29+'[2]декабрь 20'!D29)/(AY29+'[2]декабрь 20'!BA29)</f>
        <v>2.1052240481549873</v>
      </c>
      <c r="DB29" s="241">
        <f>(T29+'[2]декабрь 20'!T29)/(AY29+'[2]декабрь 20'!BA29)</f>
        <v>1.2870388234984149</v>
      </c>
      <c r="DD29" s="292">
        <f t="shared" si="15"/>
        <v>11.016999999999999</v>
      </c>
      <c r="DE29" s="291">
        <v>1.3</v>
      </c>
      <c r="DF29" s="291">
        <v>14.63</v>
      </c>
      <c r="DG29" s="145">
        <f t="shared" si="16"/>
        <v>10.873778999999999</v>
      </c>
      <c r="DH29" s="293">
        <f t="shared" si="34"/>
        <v>2.0703199735814679</v>
      </c>
      <c r="DJ29" s="31">
        <v>61.064999999999998</v>
      </c>
      <c r="DK29" s="460">
        <f t="shared" si="35"/>
        <v>51.394999999999996</v>
      </c>
      <c r="DM29" s="31">
        <v>205.595</v>
      </c>
      <c r="DN29" s="460">
        <f t="shared" si="36"/>
        <v>215.595</v>
      </c>
    </row>
    <row r="30" spans="1:118" s="76" customFormat="1" ht="16.5" customHeight="1" thickBot="1">
      <c r="A30" s="144">
        <v>24</v>
      </c>
      <c r="B30" s="122">
        <f t="shared" si="17"/>
        <v>307.92700000000002</v>
      </c>
      <c r="C30" s="123">
        <f t="shared" si="18"/>
        <v>1.4659383555193275</v>
      </c>
      <c r="D30" s="145">
        <f t="shared" si="19"/>
        <v>303.41298</v>
      </c>
      <c r="E30" s="125">
        <f t="shared" si="20"/>
        <v>37.915350586340267</v>
      </c>
      <c r="F30" s="146">
        <f t="shared" si="0"/>
        <v>2.2594829996816452</v>
      </c>
      <c r="G30" s="127">
        <v>26.59</v>
      </c>
      <c r="H30" s="126">
        <f t="shared" si="21"/>
        <v>1.7356166490113321</v>
      </c>
      <c r="I30" s="230">
        <f>'[1]июль 20'!AI29</f>
        <v>0</v>
      </c>
      <c r="J30" s="247">
        <f>'[1]декабрь 20'!AA29</f>
        <v>12.311</v>
      </c>
      <c r="K30" s="464">
        <f>'[1]сентябрь 20'!AM29</f>
        <v>0</v>
      </c>
      <c r="L30" s="446">
        <f t="shared" si="22"/>
        <v>70.346999999999994</v>
      </c>
      <c r="M30" s="468">
        <f t="shared" si="23"/>
        <v>0.52386635067031306</v>
      </c>
      <c r="N30" s="542">
        <f>'[1]декабрь 20'!W29</f>
        <v>0</v>
      </c>
      <c r="O30" s="403">
        <f>'[1]декабрь 20'!AU29</f>
        <v>11.757999999999999</v>
      </c>
      <c r="P30" s="401">
        <f t="shared" si="1"/>
        <v>196.166</v>
      </c>
      <c r="Q30" s="122">
        <f>'[1]декабрь 20'!S29</f>
        <v>196.166</v>
      </c>
      <c r="R30" s="123">
        <f t="shared" si="24"/>
        <v>3.27</v>
      </c>
      <c r="S30" s="129">
        <v>10.33</v>
      </c>
      <c r="T30" s="125">
        <f t="shared" si="2"/>
        <v>189.75137180000002</v>
      </c>
      <c r="U30" s="147">
        <f t="shared" si="3"/>
        <v>1.4130575387657152</v>
      </c>
      <c r="V30" s="169">
        <v>134.28</v>
      </c>
      <c r="W30" s="169">
        <v>103.98</v>
      </c>
      <c r="X30" s="170">
        <v>0.61</v>
      </c>
      <c r="Y30" s="166">
        <v>536</v>
      </c>
      <c r="Z30" s="166">
        <v>1166</v>
      </c>
      <c r="AA30" s="148" t="s">
        <v>174</v>
      </c>
      <c r="AB30" s="164">
        <v>76.16</v>
      </c>
      <c r="AC30" s="166">
        <v>123</v>
      </c>
      <c r="AD30" s="171">
        <v>5</v>
      </c>
      <c r="AE30" s="164"/>
      <c r="AF30" s="172">
        <f t="shared" si="4"/>
        <v>0</v>
      </c>
      <c r="AG30" s="173"/>
      <c r="AH30" s="170">
        <v>85.6</v>
      </c>
      <c r="AI30" s="134">
        <f t="shared" si="5"/>
        <v>637.45375946918557</v>
      </c>
      <c r="AJ30" s="174">
        <v>13.57</v>
      </c>
      <c r="AK30" s="175"/>
      <c r="AL30" s="176">
        <v>7.39</v>
      </c>
      <c r="AM30" s="478">
        <f t="shared" si="25"/>
        <v>38.065750000000001</v>
      </c>
      <c r="AN30" s="126">
        <f t="shared" si="26"/>
        <v>0.215</v>
      </c>
      <c r="AO30" s="178" t="s">
        <v>200</v>
      </c>
      <c r="AP30" s="177">
        <v>6.82</v>
      </c>
      <c r="AQ30" s="177">
        <v>6.75</v>
      </c>
      <c r="AR30" s="171"/>
      <c r="AS30" s="164">
        <v>8.1199999999999992</v>
      </c>
      <c r="AT30" s="149">
        <v>177.05</v>
      </c>
      <c r="AU30" s="164">
        <v>2.69</v>
      </c>
      <c r="AV30" s="164"/>
      <c r="AW30" s="164"/>
      <c r="AX30" s="179">
        <f t="shared" si="6"/>
        <v>0</v>
      </c>
      <c r="AY30" s="125">
        <f t="shared" si="7"/>
        <v>134.28425000000001</v>
      </c>
      <c r="AZ30" s="125">
        <f t="shared" si="27"/>
        <v>134.05100927159503</v>
      </c>
      <c r="BA30" s="159">
        <f t="shared" si="8"/>
        <v>5.3843605633802802</v>
      </c>
      <c r="BB30" s="159">
        <f t="shared" si="9"/>
        <v>5.3713700000000006</v>
      </c>
      <c r="BC30" s="180">
        <f t="shared" si="10"/>
        <v>0.88900208852130791</v>
      </c>
      <c r="BD30" s="159">
        <f t="shared" si="28"/>
        <v>10.755730563380281</v>
      </c>
      <c r="BE30" s="167">
        <v>0.88700000000000001</v>
      </c>
      <c r="BF30" s="25">
        <f t="shared" si="29"/>
        <v>2395.0628999999999</v>
      </c>
      <c r="BG30" s="25">
        <f t="shared" si="11"/>
        <v>116.7741935483871</v>
      </c>
      <c r="BH30" s="25">
        <f t="shared" si="30"/>
        <v>2802.5806451612916</v>
      </c>
      <c r="BI30" s="26">
        <f t="shared" si="12"/>
        <v>1</v>
      </c>
      <c r="BJ30" s="37">
        <f t="shared" si="31"/>
        <v>2802.5806451612916</v>
      </c>
      <c r="BK30" s="38"/>
      <c r="BL30" s="28">
        <f t="shared" si="32"/>
        <v>237.58</v>
      </c>
      <c r="BM30" s="31"/>
      <c r="BN30" s="28">
        <f t="shared" si="33"/>
        <v>57.932999999999993</v>
      </c>
      <c r="BO30" s="40"/>
      <c r="BP30" s="40"/>
      <c r="BQ30" s="44">
        <v>12.414</v>
      </c>
      <c r="BR30" s="45"/>
      <c r="BS30" s="46">
        <v>1.9</v>
      </c>
      <c r="BT30" s="47"/>
      <c r="BU30" s="47"/>
      <c r="BV30" s="283"/>
      <c r="BW30" s="283"/>
      <c r="BX30" s="48"/>
      <c r="BY30" s="45"/>
      <c r="BZ30" s="46">
        <v>36.43</v>
      </c>
      <c r="CA30" s="47"/>
      <c r="CB30" s="47">
        <v>42.84</v>
      </c>
      <c r="CC30" s="283"/>
      <c r="CD30" s="283"/>
      <c r="CE30" s="48">
        <v>43.36</v>
      </c>
      <c r="CF30" s="49">
        <v>77.558999999999997</v>
      </c>
      <c r="CG30" s="49"/>
      <c r="CH30" s="43"/>
      <c r="CI30" s="32">
        <v>118.607</v>
      </c>
      <c r="CJ30" s="33">
        <v>3.27</v>
      </c>
      <c r="CK30" s="33"/>
      <c r="CL30" s="35"/>
      <c r="CM30" s="36">
        <v>3.27</v>
      </c>
      <c r="CN30" s="286"/>
      <c r="CO30" s="249">
        <f t="shared" si="37"/>
        <v>0</v>
      </c>
      <c r="CP30" s="12">
        <f t="shared" si="37"/>
        <v>233.06598</v>
      </c>
      <c r="CQ30" s="12">
        <f t="shared" si="37"/>
        <v>0</v>
      </c>
      <c r="CR30" s="12">
        <f t="shared" si="37"/>
        <v>57.932999999999993</v>
      </c>
      <c r="CS30" s="11">
        <f t="shared" si="37"/>
        <v>0</v>
      </c>
      <c r="CT30" s="11">
        <f t="shared" si="37"/>
        <v>0</v>
      </c>
      <c r="CU30" s="272">
        <f t="shared" si="37"/>
        <v>12.414</v>
      </c>
      <c r="CV30" s="249">
        <f t="shared" si="14"/>
        <v>75.022820699999997</v>
      </c>
      <c r="CW30" s="11">
        <f t="shared" si="14"/>
        <v>0</v>
      </c>
      <c r="CX30" s="252">
        <f t="shared" si="14"/>
        <v>0</v>
      </c>
      <c r="CY30" s="272">
        <f t="shared" si="14"/>
        <v>114.7285511</v>
      </c>
      <c r="CZ30" s="13"/>
      <c r="DA30" s="240">
        <f>(D30+'[2]декабрь 20'!D30)/(AY30+'[2]декабрь 20'!BA30)</f>
        <v>2.2522542166290873</v>
      </c>
      <c r="DB30" s="241">
        <f>(T30+'[2]декабрь 20'!T30)/(AY30+'[2]декабрь 20'!BA30)</f>
        <v>1.3793615528242655</v>
      </c>
      <c r="DD30" s="292">
        <f t="shared" si="15"/>
        <v>12.311</v>
      </c>
      <c r="DE30" s="291">
        <v>0.66</v>
      </c>
      <c r="DF30" s="291">
        <v>13.6</v>
      </c>
      <c r="DG30" s="145">
        <f t="shared" si="16"/>
        <v>12.229747400000001</v>
      </c>
      <c r="DH30" s="293">
        <f t="shared" si="34"/>
        <v>2.183883464285715</v>
      </c>
      <c r="DJ30" s="31">
        <v>67.602999999999994</v>
      </c>
      <c r="DK30" s="460">
        <f t="shared" si="35"/>
        <v>57.932999999999993</v>
      </c>
      <c r="DM30" s="31">
        <v>227.58</v>
      </c>
      <c r="DN30" s="460">
        <f t="shared" si="36"/>
        <v>237.58</v>
      </c>
    </row>
    <row r="31" spans="1:118" s="76" customFormat="1" ht="16.5" customHeight="1" thickBot="1">
      <c r="A31" s="144">
        <v>25</v>
      </c>
      <c r="B31" s="122">
        <f t="shared" si="17"/>
        <v>295.30399999999997</v>
      </c>
      <c r="C31" s="123">
        <f t="shared" si="18"/>
        <v>1.1593781323652916</v>
      </c>
      <c r="D31" s="145">
        <f t="shared" si="19"/>
        <v>291.88031000000001</v>
      </c>
      <c r="E31" s="125">
        <f t="shared" si="20"/>
        <v>37.964824655270498</v>
      </c>
      <c r="F31" s="146">
        <f t="shared" si="0"/>
        <v>2.1548774833703703</v>
      </c>
      <c r="G31" s="127">
        <v>17.88</v>
      </c>
      <c r="H31" s="126">
        <f t="shared" si="21"/>
        <v>1.6598054647067946</v>
      </c>
      <c r="I31" s="230">
        <f>'[1]июль 20'!AI30</f>
        <v>0</v>
      </c>
      <c r="J31" s="247">
        <f>'[1]декабрь 20'!AA30</f>
        <v>11.798</v>
      </c>
      <c r="K31" s="464">
        <f>'[1]сентябрь 20'!AM30</f>
        <v>0</v>
      </c>
      <c r="L31" s="446">
        <f t="shared" si="22"/>
        <v>67.058000000000007</v>
      </c>
      <c r="M31" s="469">
        <f t="shared" si="23"/>
        <v>0.49507201866357581</v>
      </c>
      <c r="N31" s="542">
        <f>'[1]декабрь 20'!W30</f>
        <v>0</v>
      </c>
      <c r="O31" s="403">
        <f>'[1]декабрь 20'!AU30</f>
        <v>11.781000000000001</v>
      </c>
      <c r="P31" s="401">
        <f t="shared" si="1"/>
        <v>187.35599999999999</v>
      </c>
      <c r="Q31" s="122">
        <f>'[1]декабрь 20'!S30</f>
        <v>187.35599999999999</v>
      </c>
      <c r="R31" s="123">
        <f>IF(Q31=0,0,(CI31*CM31+CG31*CK31+CH31*CL31+CF31*CJ31)/Q31)</f>
        <v>3.3</v>
      </c>
      <c r="S31" s="129">
        <v>40.98</v>
      </c>
      <c r="T31" s="125">
        <f t="shared" si="2"/>
        <v>181.17325200000002</v>
      </c>
      <c r="U31" s="147">
        <f t="shared" si="3"/>
        <v>1.3375556621951852</v>
      </c>
      <c r="V31" s="130">
        <v>135.44999999999999</v>
      </c>
      <c r="W31" s="130">
        <v>107.11</v>
      </c>
      <c r="X31" s="129">
        <v>0.8</v>
      </c>
      <c r="Y31" s="150">
        <v>548</v>
      </c>
      <c r="Z31" s="150">
        <v>1170</v>
      </c>
      <c r="AA31" s="148" t="s">
        <v>391</v>
      </c>
      <c r="AB31" s="149">
        <v>76.459999999999994</v>
      </c>
      <c r="AC31" s="150">
        <v>118</v>
      </c>
      <c r="AD31" s="151">
        <v>5</v>
      </c>
      <c r="AE31" s="149"/>
      <c r="AF31" s="134">
        <f t="shared" si="4"/>
        <v>0</v>
      </c>
      <c r="AG31" s="152"/>
      <c r="AH31" s="129">
        <v>86.85</v>
      </c>
      <c r="AI31" s="134">
        <f t="shared" si="5"/>
        <v>641.19127950328902</v>
      </c>
      <c r="AJ31" s="136">
        <v>17.03</v>
      </c>
      <c r="AK31" s="154"/>
      <c r="AL31" s="155">
        <v>10.79</v>
      </c>
      <c r="AM31" s="478">
        <f t="shared" si="25"/>
        <v>39.259</v>
      </c>
      <c r="AN31" s="126">
        <f t="shared" si="26"/>
        <v>0.215</v>
      </c>
      <c r="AO31" s="157" t="s">
        <v>184</v>
      </c>
      <c r="AP31" s="156">
        <v>7.16</v>
      </c>
      <c r="AQ31" s="156">
        <v>7.01</v>
      </c>
      <c r="AR31" s="151"/>
      <c r="AS31" s="149">
        <v>8.2799999999999994</v>
      </c>
      <c r="AT31" s="149">
        <v>182.6</v>
      </c>
      <c r="AU31" s="149">
        <v>2.9</v>
      </c>
      <c r="AV31" s="164"/>
      <c r="AW31" s="149"/>
      <c r="AX31" s="158">
        <f t="shared" si="6"/>
        <v>0</v>
      </c>
      <c r="AY31" s="125">
        <f t="shared" si="7"/>
        <v>135.45099999999999</v>
      </c>
      <c r="AZ31" s="125">
        <f t="shared" si="27"/>
        <v>129.91473147570682</v>
      </c>
      <c r="BA31" s="159">
        <f t="shared" si="8"/>
        <v>5.5706323943661964</v>
      </c>
      <c r="BB31" s="160">
        <f t="shared" si="9"/>
        <v>5.4180399999999995</v>
      </c>
      <c r="BC31" s="161">
        <f t="shared" si="10"/>
        <v>0.93460976030612131</v>
      </c>
      <c r="BD31" s="160">
        <f t="shared" si="28"/>
        <v>10.988672394366196</v>
      </c>
      <c r="BE31" s="162">
        <v>0.88900000000000001</v>
      </c>
      <c r="BF31" s="25">
        <f t="shared" si="29"/>
        <v>2530.5138999999999</v>
      </c>
      <c r="BG31" s="25">
        <f t="shared" si="11"/>
        <v>116.7741935483871</v>
      </c>
      <c r="BH31" s="25">
        <f t="shared" si="30"/>
        <v>2919.3548387096789</v>
      </c>
      <c r="BI31" s="26">
        <f t="shared" si="12"/>
        <v>1</v>
      </c>
      <c r="BJ31" s="37">
        <f t="shared" si="31"/>
        <v>2919.3548387096789</v>
      </c>
      <c r="BK31" s="38"/>
      <c r="BL31" s="28">
        <f t="shared" si="32"/>
        <v>228.24600000000001</v>
      </c>
      <c r="BM31" s="31"/>
      <c r="BN31" s="28">
        <f t="shared" si="33"/>
        <v>55.295000000000002</v>
      </c>
      <c r="BO31" s="40"/>
      <c r="BP31" s="40"/>
      <c r="BQ31" s="32">
        <v>11.763</v>
      </c>
      <c r="BR31" s="33"/>
      <c r="BS31" s="34">
        <v>1.5</v>
      </c>
      <c r="BT31" s="35"/>
      <c r="BU31" s="35"/>
      <c r="BV31" s="235"/>
      <c r="BW31" s="235"/>
      <c r="BX31" s="36"/>
      <c r="BY31" s="33"/>
      <c r="BZ31" s="34">
        <v>36.36</v>
      </c>
      <c r="CA31" s="35"/>
      <c r="CB31" s="35">
        <v>43.35</v>
      </c>
      <c r="CC31" s="235"/>
      <c r="CD31" s="235"/>
      <c r="CE31" s="36">
        <v>43.79</v>
      </c>
      <c r="CF31" s="30">
        <v>74.396000000000001</v>
      </c>
      <c r="CG31" s="30"/>
      <c r="CH31" s="31"/>
      <c r="CI31" s="32">
        <v>112.96</v>
      </c>
      <c r="CJ31" s="33">
        <v>3.3</v>
      </c>
      <c r="CK31" s="33"/>
      <c r="CL31" s="35"/>
      <c r="CM31" s="36">
        <v>3.3</v>
      </c>
      <c r="CN31" s="286"/>
      <c r="CO31" s="249">
        <f t="shared" si="37"/>
        <v>0</v>
      </c>
      <c r="CP31" s="12">
        <f t="shared" si="37"/>
        <v>224.82231000000002</v>
      </c>
      <c r="CQ31" s="12">
        <f t="shared" si="37"/>
        <v>0</v>
      </c>
      <c r="CR31" s="12">
        <f t="shared" si="37"/>
        <v>55.295000000000002</v>
      </c>
      <c r="CS31" s="11">
        <f t="shared" si="37"/>
        <v>0</v>
      </c>
      <c r="CT31" s="11">
        <f t="shared" si="37"/>
        <v>0</v>
      </c>
      <c r="CU31" s="272">
        <f t="shared" si="37"/>
        <v>11.763</v>
      </c>
      <c r="CV31" s="249">
        <f t="shared" si="14"/>
        <v>71.940932000000004</v>
      </c>
      <c r="CW31" s="12">
        <f t="shared" si="14"/>
        <v>0</v>
      </c>
      <c r="CX31" s="249">
        <f t="shared" si="14"/>
        <v>0</v>
      </c>
      <c r="CY31" s="272">
        <f t="shared" si="14"/>
        <v>109.23232</v>
      </c>
      <c r="CZ31" s="13"/>
      <c r="DA31" s="240">
        <f>(D31+'[2]декабрь 20'!D31)/(AY31+'[2]декабрь 20'!BA31)</f>
        <v>1.9763754753216822</v>
      </c>
      <c r="DB31" s="241">
        <f>(T31+'[2]декабрь 20'!T31)/(AY31+'[2]декабрь 20'!BA31)</f>
        <v>1.2259391280967928</v>
      </c>
      <c r="DD31" s="292">
        <f t="shared" si="15"/>
        <v>11.798</v>
      </c>
      <c r="DE31" s="291">
        <v>0.51</v>
      </c>
      <c r="DF31" s="291">
        <v>22.1</v>
      </c>
      <c r="DG31" s="145">
        <f t="shared" si="16"/>
        <v>11.737830199999999</v>
      </c>
      <c r="DH31" s="293">
        <f t="shared" si="34"/>
        <v>3.3927026866335339</v>
      </c>
      <c r="DJ31" s="31">
        <v>64.965000000000003</v>
      </c>
      <c r="DK31" s="460">
        <f t="shared" si="35"/>
        <v>55.295000000000002</v>
      </c>
      <c r="DM31" s="31">
        <v>218.24600000000001</v>
      </c>
      <c r="DN31" s="460">
        <f t="shared" si="36"/>
        <v>228.24600000000001</v>
      </c>
    </row>
    <row r="32" spans="1:118" s="76" customFormat="1" ht="16.5" customHeight="1" thickBot="1">
      <c r="A32" s="144">
        <v>26</v>
      </c>
      <c r="B32" s="122">
        <f t="shared" si="17"/>
        <v>293.22399999999999</v>
      </c>
      <c r="C32" s="123">
        <f t="shared" si="18"/>
        <v>0.97522119608217606</v>
      </c>
      <c r="D32" s="145">
        <f t="shared" si="19"/>
        <v>290.36441739999998</v>
      </c>
      <c r="E32" s="125">
        <f t="shared" si="20"/>
        <v>38.508619655962676</v>
      </c>
      <c r="F32" s="146">
        <f t="shared" si="0"/>
        <v>2.2119421990725314</v>
      </c>
      <c r="G32" s="127">
        <v>23.48</v>
      </c>
      <c r="H32" s="126">
        <f t="shared" si="21"/>
        <v>1.7070867947094281</v>
      </c>
      <c r="I32" s="230">
        <f>'[1]июль 20'!AI31</f>
        <v>0</v>
      </c>
      <c r="J32" s="247">
        <f>'[1]декабрь 20'!AA31</f>
        <v>11.627000000000001</v>
      </c>
      <c r="K32" s="464">
        <f>'[1]сентябрь 20'!AM31</f>
        <v>0</v>
      </c>
      <c r="L32" s="446">
        <f t="shared" si="22"/>
        <v>66.272999999999996</v>
      </c>
      <c r="M32" s="468">
        <f t="shared" si="23"/>
        <v>0.50485540436310317</v>
      </c>
      <c r="N32" s="542">
        <f>'[1]декабрь 20'!W31</f>
        <v>0</v>
      </c>
      <c r="O32" s="403">
        <f>'[1]декабрь 20'!AU31</f>
        <v>11.553000000000001</v>
      </c>
      <c r="P32" s="401">
        <f t="shared" si="1"/>
        <v>184.51900000000001</v>
      </c>
      <c r="Q32" s="122">
        <f>'[1]декабрь 20'!S31</f>
        <v>184.51900000000001</v>
      </c>
      <c r="R32" s="123">
        <f t="shared" si="24"/>
        <v>3.1500000000000004</v>
      </c>
      <c r="S32" s="129">
        <v>8.5500000000000007</v>
      </c>
      <c r="T32" s="125">
        <f t="shared" si="2"/>
        <v>178.70665149999999</v>
      </c>
      <c r="U32" s="147">
        <f t="shared" si="3"/>
        <v>1.3613540779111954</v>
      </c>
      <c r="V32" s="130">
        <v>131.27000000000001</v>
      </c>
      <c r="W32" s="130">
        <v>51.74</v>
      </c>
      <c r="X32" s="129">
        <v>1.04</v>
      </c>
      <c r="Y32" s="150">
        <v>546</v>
      </c>
      <c r="Z32" s="150">
        <v>1166</v>
      </c>
      <c r="AA32" s="148" t="s">
        <v>159</v>
      </c>
      <c r="AB32" s="149">
        <v>75.8</v>
      </c>
      <c r="AC32" s="150">
        <v>117</v>
      </c>
      <c r="AD32" s="151">
        <v>5</v>
      </c>
      <c r="AE32" s="149"/>
      <c r="AF32" s="134">
        <f t="shared" si="4"/>
        <v>0</v>
      </c>
      <c r="AG32" s="152"/>
      <c r="AH32" s="129">
        <v>85.85</v>
      </c>
      <c r="AI32" s="134">
        <f t="shared" si="5"/>
        <v>653.98935410457364</v>
      </c>
      <c r="AJ32" s="153">
        <v>16.29</v>
      </c>
      <c r="AK32" s="154"/>
      <c r="AL32" s="155">
        <v>8.2100000000000009</v>
      </c>
      <c r="AM32" s="478">
        <f t="shared" si="25"/>
        <v>37.678750000000001</v>
      </c>
      <c r="AN32" s="126">
        <f t="shared" si="26"/>
        <v>0.215</v>
      </c>
      <c r="AO32" s="157" t="s">
        <v>184</v>
      </c>
      <c r="AP32" s="156">
        <v>7.52</v>
      </c>
      <c r="AQ32" s="156">
        <v>6.76</v>
      </c>
      <c r="AR32" s="151"/>
      <c r="AS32" s="149">
        <v>7.6</v>
      </c>
      <c r="AT32" s="149">
        <v>175.25</v>
      </c>
      <c r="AU32" s="149">
        <v>1.91</v>
      </c>
      <c r="AV32" s="149"/>
      <c r="AW32" s="149"/>
      <c r="AX32" s="158">
        <f t="shared" si="6"/>
        <v>0</v>
      </c>
      <c r="AY32" s="125">
        <f t="shared" si="7"/>
        <v>131.27124999999998</v>
      </c>
      <c r="AZ32" s="125">
        <f t="shared" si="27"/>
        <v>131.82729613389188</v>
      </c>
      <c r="BA32" s="159">
        <f t="shared" si="8"/>
        <v>5.0542676056338021</v>
      </c>
      <c r="BB32" s="160">
        <f t="shared" si="9"/>
        <v>5.2508499999999989</v>
      </c>
      <c r="BC32" s="161">
        <f t="shared" si="10"/>
        <v>0.88989236350236189</v>
      </c>
      <c r="BD32" s="160">
        <f t="shared" si="28"/>
        <v>10.3051176056338</v>
      </c>
      <c r="BE32" s="162">
        <v>0.88900000000000001</v>
      </c>
      <c r="BF32" s="25">
        <f t="shared" si="29"/>
        <v>2661.7851499999997</v>
      </c>
      <c r="BG32" s="25">
        <f t="shared" si="11"/>
        <v>116.7741935483871</v>
      </c>
      <c r="BH32" s="25">
        <f t="shared" si="30"/>
        <v>3036.1290322580662</v>
      </c>
      <c r="BI32" s="26">
        <f t="shared" si="12"/>
        <v>1</v>
      </c>
      <c r="BJ32" s="37">
        <f t="shared" si="31"/>
        <v>3036.1290322580662</v>
      </c>
      <c r="BK32" s="38"/>
      <c r="BL32" s="28">
        <f t="shared" si="32"/>
        <v>226.95099999999999</v>
      </c>
      <c r="BM32" s="31"/>
      <c r="BN32" s="28">
        <f t="shared" si="33"/>
        <v>54.658999999999992</v>
      </c>
      <c r="BO32" s="40"/>
      <c r="BP32" s="40"/>
      <c r="BQ32" s="32">
        <v>11.614000000000001</v>
      </c>
      <c r="BR32" s="33"/>
      <c r="BS32" s="34">
        <v>1.26</v>
      </c>
      <c r="BT32" s="35"/>
      <c r="BU32" s="35"/>
      <c r="BV32" s="235"/>
      <c r="BW32" s="235"/>
      <c r="BX32" s="36"/>
      <c r="BY32" s="33"/>
      <c r="BZ32" s="34">
        <v>36.9</v>
      </c>
      <c r="CA32" s="35"/>
      <c r="CB32" s="35">
        <v>43.97</v>
      </c>
      <c r="CC32" s="235"/>
      <c r="CD32" s="235"/>
      <c r="CE32" s="36">
        <v>44.24</v>
      </c>
      <c r="CF32" s="30">
        <v>73.745000000000005</v>
      </c>
      <c r="CG32" s="30"/>
      <c r="CH32" s="31"/>
      <c r="CI32" s="50">
        <v>110.774</v>
      </c>
      <c r="CJ32" s="33">
        <v>3.15</v>
      </c>
      <c r="CK32" s="33"/>
      <c r="CL32" s="35"/>
      <c r="CM32" s="36">
        <v>3.15</v>
      </c>
      <c r="CN32" s="286"/>
      <c r="CO32" s="249">
        <f t="shared" si="37"/>
        <v>0</v>
      </c>
      <c r="CP32" s="12">
        <f t="shared" si="37"/>
        <v>224.09141739999998</v>
      </c>
      <c r="CQ32" s="12">
        <f t="shared" si="37"/>
        <v>0</v>
      </c>
      <c r="CR32" s="12">
        <f t="shared" si="37"/>
        <v>54.658999999999992</v>
      </c>
      <c r="CS32" s="11">
        <f t="shared" si="37"/>
        <v>0</v>
      </c>
      <c r="CT32" s="11">
        <f t="shared" si="37"/>
        <v>0</v>
      </c>
      <c r="CU32" s="272">
        <f t="shared" si="37"/>
        <v>11.614000000000001</v>
      </c>
      <c r="CV32" s="249">
        <f t="shared" si="14"/>
        <v>71.4220325</v>
      </c>
      <c r="CW32" s="11">
        <f t="shared" si="14"/>
        <v>0</v>
      </c>
      <c r="CX32" s="249">
        <f t="shared" si="14"/>
        <v>0</v>
      </c>
      <c r="CY32" s="272">
        <f t="shared" si="14"/>
        <v>107.28461899999999</v>
      </c>
      <c r="CZ32" s="13"/>
      <c r="DA32" s="240">
        <f>(D32+'[2]декабрь 20'!D32)/(AY32+'[2]декабрь 20'!BA32)</f>
        <v>2.3792336855132059</v>
      </c>
      <c r="DB32" s="241">
        <f>(T32+'[2]декабрь 20'!T32)/(AY32+'[2]декабрь 20'!BA32)</f>
        <v>1.4587470348567837</v>
      </c>
      <c r="DD32" s="292">
        <f t="shared" si="15"/>
        <v>11.627000000000001</v>
      </c>
      <c r="DE32" s="291">
        <v>0.25</v>
      </c>
      <c r="DF32" s="291">
        <v>19.920000000000002</v>
      </c>
      <c r="DG32" s="145">
        <f t="shared" si="16"/>
        <v>11.597932500000001</v>
      </c>
      <c r="DH32" s="293">
        <f t="shared" si="34"/>
        <v>3.0478999393139845</v>
      </c>
      <c r="DJ32" s="31">
        <v>64.328999999999994</v>
      </c>
      <c r="DK32" s="460">
        <f t="shared" si="35"/>
        <v>54.658999999999992</v>
      </c>
      <c r="DM32" s="31">
        <v>216.95099999999999</v>
      </c>
      <c r="DN32" s="460">
        <f t="shared" si="36"/>
        <v>226.95099999999999</v>
      </c>
    </row>
    <row r="33" spans="1:118" s="76" customFormat="1" ht="16.5" customHeight="1" thickBot="1">
      <c r="A33" s="144">
        <v>27</v>
      </c>
      <c r="B33" s="122">
        <f t="shared" si="17"/>
        <v>265.39399999999995</v>
      </c>
      <c r="C33" s="123">
        <f t="shared" si="18"/>
        <v>0.77679977693542446</v>
      </c>
      <c r="D33" s="145">
        <f t="shared" si="19"/>
        <v>263.33241999999996</v>
      </c>
      <c r="E33" s="125">
        <f t="shared" si="20"/>
        <v>38.624438156099991</v>
      </c>
      <c r="F33" s="146">
        <f t="shared" si="0"/>
        <v>2.1377725009792519</v>
      </c>
      <c r="G33" s="127">
        <v>25.72</v>
      </c>
      <c r="H33" s="126">
        <f t="shared" si="21"/>
        <v>1.6568856741008642</v>
      </c>
      <c r="I33" s="230">
        <f>'[1]июль 20'!AI32</f>
        <v>0</v>
      </c>
      <c r="J33" s="247">
        <f>'[1]декабрь 20'!AA32</f>
        <v>10.63</v>
      </c>
      <c r="K33" s="464">
        <f>'[1]сентябрь 20'!AM32</f>
        <v>0</v>
      </c>
      <c r="L33" s="446">
        <f t="shared" si="22"/>
        <v>59.236000000000004</v>
      </c>
      <c r="M33" s="469">
        <f t="shared" si="23"/>
        <v>0.48088682687838813</v>
      </c>
      <c r="N33" s="542">
        <f>'[1]декабрь 20'!W32</f>
        <v>0</v>
      </c>
      <c r="O33" s="403">
        <f>'[1]декабрь 20'!AU32</f>
        <v>10.581</v>
      </c>
      <c r="P33" s="401">
        <f t="shared" si="1"/>
        <v>167.149</v>
      </c>
      <c r="Q33" s="122">
        <f>'[1]декабрь 20'!S32</f>
        <v>167.149</v>
      </c>
      <c r="R33" s="123">
        <f t="shared" si="24"/>
        <v>3.3</v>
      </c>
      <c r="S33" s="129"/>
      <c r="T33" s="125">
        <f t="shared" si="2"/>
        <v>161.63308300000003</v>
      </c>
      <c r="U33" s="147">
        <f t="shared" si="3"/>
        <v>1.3121618678243154</v>
      </c>
      <c r="V33" s="130">
        <v>123.18</v>
      </c>
      <c r="W33" s="130">
        <v>123.18</v>
      </c>
      <c r="X33" s="129">
        <v>0.65</v>
      </c>
      <c r="Y33" s="150">
        <v>550</v>
      </c>
      <c r="Z33" s="150">
        <v>1169</v>
      </c>
      <c r="AA33" s="148" t="s">
        <v>249</v>
      </c>
      <c r="AB33" s="149">
        <v>76.09</v>
      </c>
      <c r="AC33" s="150">
        <v>106</v>
      </c>
      <c r="AD33" s="151">
        <v>5</v>
      </c>
      <c r="AE33" s="149">
        <v>3.25</v>
      </c>
      <c r="AF33" s="134">
        <f t="shared" si="4"/>
        <v>26.383992628718371</v>
      </c>
      <c r="AG33" s="152"/>
      <c r="AH33" s="129">
        <v>88.7</v>
      </c>
      <c r="AI33" s="134">
        <f t="shared" si="5"/>
        <v>720.08004497455977</v>
      </c>
      <c r="AJ33" s="136">
        <v>13.61</v>
      </c>
      <c r="AK33" s="154"/>
      <c r="AL33" s="155">
        <v>9.0299999999999994</v>
      </c>
      <c r="AM33" s="478">
        <f t="shared" si="25"/>
        <v>35.679249999999996</v>
      </c>
      <c r="AN33" s="126">
        <f t="shared" si="26"/>
        <v>0.215</v>
      </c>
      <c r="AO33" s="157" t="s">
        <v>117</v>
      </c>
      <c r="AP33" s="156">
        <v>6.95</v>
      </c>
      <c r="AQ33" s="156">
        <v>6.71</v>
      </c>
      <c r="AR33" s="151"/>
      <c r="AS33" s="149">
        <v>8.4</v>
      </c>
      <c r="AT33" s="149">
        <v>165.95</v>
      </c>
      <c r="AU33" s="149">
        <v>1.94</v>
      </c>
      <c r="AV33" s="149"/>
      <c r="AW33" s="149"/>
      <c r="AX33" s="158">
        <f t="shared" si="6"/>
        <v>0</v>
      </c>
      <c r="AY33" s="125">
        <f t="shared" si="7"/>
        <v>123.18074999999999</v>
      </c>
      <c r="AZ33" s="125">
        <f t="shared" si="27"/>
        <v>119.08742323138792</v>
      </c>
      <c r="BA33" s="159">
        <f t="shared" si="8"/>
        <v>5.7717464788732391</v>
      </c>
      <c r="BB33" s="160">
        <f t="shared" si="9"/>
        <v>4.9272299999999998</v>
      </c>
      <c r="BC33" s="161">
        <f t="shared" si="10"/>
        <v>0.92151821227062414</v>
      </c>
      <c r="BD33" s="160">
        <f t="shared" si="28"/>
        <v>10.698976478873238</v>
      </c>
      <c r="BE33" s="162">
        <v>0.89</v>
      </c>
      <c r="BF33" s="25">
        <f t="shared" si="29"/>
        <v>2784.9658999999997</v>
      </c>
      <c r="BG33" s="25">
        <f t="shared" si="11"/>
        <v>116.7741935483871</v>
      </c>
      <c r="BH33" s="25">
        <f t="shared" si="30"/>
        <v>3152.9032258064535</v>
      </c>
      <c r="BI33" s="26">
        <f t="shared" si="12"/>
        <v>1</v>
      </c>
      <c r="BJ33" s="37">
        <f t="shared" si="31"/>
        <v>3152.9032258064535</v>
      </c>
      <c r="BK33" s="38"/>
      <c r="BL33" s="28">
        <f t="shared" si="32"/>
        <v>206.15799999999999</v>
      </c>
      <c r="BM33" s="31"/>
      <c r="BN33" s="28">
        <f t="shared" si="33"/>
        <v>48.658000000000001</v>
      </c>
      <c r="BO33" s="40"/>
      <c r="BP33" s="40"/>
      <c r="BQ33" s="32">
        <v>10.577999999999999</v>
      </c>
      <c r="BR33" s="33"/>
      <c r="BS33" s="34">
        <v>1</v>
      </c>
      <c r="BT33" s="35"/>
      <c r="BU33" s="35"/>
      <c r="BV33" s="235"/>
      <c r="BW33" s="235"/>
      <c r="BX33" s="36"/>
      <c r="BY33" s="33"/>
      <c r="BZ33" s="34">
        <v>37.340000000000003</v>
      </c>
      <c r="CA33" s="35"/>
      <c r="CB33" s="35">
        <v>42.9</v>
      </c>
      <c r="CC33" s="235"/>
      <c r="CD33" s="235"/>
      <c r="CE33" s="36">
        <v>43.99</v>
      </c>
      <c r="CF33" s="30">
        <v>67.132000000000005</v>
      </c>
      <c r="CG33" s="30"/>
      <c r="CH33" s="31"/>
      <c r="CI33" s="32">
        <v>100.017</v>
      </c>
      <c r="CJ33" s="33">
        <v>3.3</v>
      </c>
      <c r="CK33" s="33"/>
      <c r="CL33" s="35"/>
      <c r="CM33" s="36">
        <v>3.3</v>
      </c>
      <c r="CN33" s="270"/>
      <c r="CO33" s="249">
        <f t="shared" si="37"/>
        <v>0</v>
      </c>
      <c r="CP33" s="12">
        <f t="shared" si="37"/>
        <v>204.09641999999999</v>
      </c>
      <c r="CQ33" s="12">
        <f t="shared" si="37"/>
        <v>0</v>
      </c>
      <c r="CR33" s="12">
        <f t="shared" si="37"/>
        <v>48.658000000000001</v>
      </c>
      <c r="CS33" s="11">
        <f t="shared" si="37"/>
        <v>0</v>
      </c>
      <c r="CT33" s="11">
        <f t="shared" si="37"/>
        <v>0</v>
      </c>
      <c r="CU33" s="272">
        <f t="shared" si="37"/>
        <v>10.577999999999999</v>
      </c>
      <c r="CV33" s="249">
        <f t="shared" si="14"/>
        <v>64.916644000000005</v>
      </c>
      <c r="CW33" s="12">
        <f t="shared" si="14"/>
        <v>0</v>
      </c>
      <c r="CX33" s="254">
        <f t="shared" si="14"/>
        <v>0</v>
      </c>
      <c r="CY33" s="275">
        <f t="shared" si="14"/>
        <v>96.716439000000008</v>
      </c>
      <c r="CZ33" s="13"/>
      <c r="DA33" s="240">
        <f>(D33+'[2]декабрь 20'!D33)/(AY33+'[2]декабрь 20'!BA33)</f>
        <v>2.1340764581272085</v>
      </c>
      <c r="DB33" s="241">
        <f>(T33+'[2]декабрь 20'!T33)/(AY33+'[2]декабрь 20'!BA33)</f>
        <v>1.3039536336552724</v>
      </c>
      <c r="DD33" s="292">
        <f t="shared" si="15"/>
        <v>10.63</v>
      </c>
      <c r="DE33" s="291">
        <v>0.33</v>
      </c>
      <c r="DF33" s="291">
        <v>17.18</v>
      </c>
      <c r="DG33" s="145">
        <f t="shared" si="16"/>
        <v>10.594921000000001</v>
      </c>
      <c r="DH33" s="293">
        <f t="shared" si="34"/>
        <v>2.3921769323169935</v>
      </c>
      <c r="DJ33" s="31">
        <v>58.328000000000003</v>
      </c>
      <c r="DK33" s="460">
        <f t="shared" si="35"/>
        <v>48.658000000000001</v>
      </c>
      <c r="DM33" s="31">
        <v>196.15799999999999</v>
      </c>
      <c r="DN33" s="460">
        <f t="shared" si="36"/>
        <v>206.15799999999999</v>
      </c>
    </row>
    <row r="34" spans="1:118" s="76" customFormat="1" ht="16.5" customHeight="1" thickBot="1">
      <c r="A34" s="144">
        <v>28</v>
      </c>
      <c r="B34" s="122">
        <f t="shared" si="17"/>
        <v>285.37799999999999</v>
      </c>
      <c r="C34" s="123">
        <f t="shared" si="18"/>
        <v>1.2542287071883609</v>
      </c>
      <c r="D34" s="145">
        <f t="shared" si="19"/>
        <v>281.79870719999997</v>
      </c>
      <c r="E34" s="125">
        <f t="shared" si="20"/>
        <v>37.996816643189035</v>
      </c>
      <c r="F34" s="146">
        <f t="shared" si="0"/>
        <v>2.2372034606155511</v>
      </c>
      <c r="G34" s="127">
        <v>26.22</v>
      </c>
      <c r="H34" s="126">
        <f t="shared" si="21"/>
        <v>1.7256611288084931</v>
      </c>
      <c r="I34" s="230">
        <f>'[1]июль 20'!AI33</f>
        <v>0</v>
      </c>
      <c r="J34" s="247">
        <f>'[1]декабрь 20'!AA33</f>
        <v>11.365</v>
      </c>
      <c r="K34" s="464">
        <f>'[1]сентябрь 20'!AM33</f>
        <v>0</v>
      </c>
      <c r="L34" s="446">
        <f t="shared" si="22"/>
        <v>64.433999999999997</v>
      </c>
      <c r="M34" s="468">
        <f t="shared" si="23"/>
        <v>0.5115423318070581</v>
      </c>
      <c r="N34" s="542">
        <f>'[1]декабрь 20'!W33</f>
        <v>0</v>
      </c>
      <c r="O34" s="403">
        <f>'[1]декабрь 20'!AU33</f>
        <v>11.717000000000001</v>
      </c>
      <c r="P34" s="401">
        <f t="shared" si="1"/>
        <v>180.64</v>
      </c>
      <c r="Q34" s="122">
        <f>'[1]декабрь 20'!S33</f>
        <v>180.64</v>
      </c>
      <c r="R34" s="123">
        <f t="shared" si="24"/>
        <v>3.25</v>
      </c>
      <c r="S34" s="129"/>
      <c r="T34" s="125">
        <f t="shared" si="2"/>
        <v>174.76919999999998</v>
      </c>
      <c r="U34" s="147">
        <f t="shared" si="3"/>
        <v>1.387494864451285</v>
      </c>
      <c r="V34" s="169">
        <v>125.96</v>
      </c>
      <c r="W34" s="169">
        <v>98</v>
      </c>
      <c r="X34" s="170">
        <v>0.89</v>
      </c>
      <c r="Y34" s="166">
        <v>541</v>
      </c>
      <c r="Z34" s="166">
        <v>1172</v>
      </c>
      <c r="AA34" s="148" t="s">
        <v>116</v>
      </c>
      <c r="AB34" s="164">
        <v>75.760000000000005</v>
      </c>
      <c r="AC34" s="166">
        <v>114</v>
      </c>
      <c r="AD34" s="171">
        <v>5</v>
      </c>
      <c r="AE34" s="164"/>
      <c r="AF34" s="172">
        <f t="shared" si="4"/>
        <v>0</v>
      </c>
      <c r="AG34" s="173"/>
      <c r="AH34" s="170">
        <v>78.8</v>
      </c>
      <c r="AI34" s="134">
        <f t="shared" si="5"/>
        <v>625.59418546724066</v>
      </c>
      <c r="AJ34" s="174">
        <v>12.15</v>
      </c>
      <c r="AK34" s="175"/>
      <c r="AL34" s="176">
        <v>7.63</v>
      </c>
      <c r="AM34" s="478">
        <f t="shared" si="25"/>
        <v>35.829750000000004</v>
      </c>
      <c r="AN34" s="126">
        <f t="shared" si="26"/>
        <v>0.21500000000000002</v>
      </c>
      <c r="AO34" s="178" t="s">
        <v>469</v>
      </c>
      <c r="AP34" s="177">
        <v>7.28</v>
      </c>
      <c r="AQ34" s="177">
        <v>6.58</v>
      </c>
      <c r="AR34" s="171"/>
      <c r="AS34" s="164">
        <v>7.38</v>
      </c>
      <c r="AT34" s="149">
        <v>166.65</v>
      </c>
      <c r="AU34" s="164">
        <v>2.77</v>
      </c>
      <c r="AV34" s="164"/>
      <c r="AW34" s="164"/>
      <c r="AX34" s="179">
        <f t="shared" si="6"/>
        <v>0</v>
      </c>
      <c r="AY34" s="125">
        <f t="shared" si="7"/>
        <v>125.96025</v>
      </c>
      <c r="AZ34" s="125">
        <f t="shared" si="27"/>
        <v>124.90369297214649</v>
      </c>
      <c r="BA34" s="159">
        <f t="shared" si="8"/>
        <v>4.5049183098591543</v>
      </c>
      <c r="BB34" s="159">
        <f t="shared" si="9"/>
        <v>5.0384099999999998</v>
      </c>
      <c r="BC34" s="180">
        <f t="shared" si="10"/>
        <v>0.89122481509830542</v>
      </c>
      <c r="BD34" s="159">
        <f t="shared" si="28"/>
        <v>9.5433283098591541</v>
      </c>
      <c r="BE34" s="167">
        <v>0.89</v>
      </c>
      <c r="BF34" s="25">
        <f t="shared" si="29"/>
        <v>2910.9261499999998</v>
      </c>
      <c r="BG34" s="25">
        <f t="shared" si="11"/>
        <v>116.7741935483871</v>
      </c>
      <c r="BH34" s="25">
        <f t="shared" si="30"/>
        <v>3269.6774193548408</v>
      </c>
      <c r="BI34" s="26">
        <f t="shared" si="12"/>
        <v>1</v>
      </c>
      <c r="BJ34" s="37">
        <f t="shared" si="31"/>
        <v>3269.6774193548408</v>
      </c>
      <c r="BK34" s="38"/>
      <c r="BL34" s="28">
        <f t="shared" si="32"/>
        <v>220.94399999999999</v>
      </c>
      <c r="BM34" s="43"/>
      <c r="BN34" s="28">
        <f t="shared" si="33"/>
        <v>53.04</v>
      </c>
      <c r="BO34" s="281"/>
      <c r="BP34" s="281"/>
      <c r="BQ34" s="44">
        <v>11.394</v>
      </c>
      <c r="BR34" s="45"/>
      <c r="BS34" s="46">
        <v>1.62</v>
      </c>
      <c r="BT34" s="47"/>
      <c r="BU34" s="47"/>
      <c r="BV34" s="283"/>
      <c r="BW34" s="283"/>
      <c r="BX34" s="48"/>
      <c r="BY34" s="45"/>
      <c r="BZ34" s="46">
        <v>36.39</v>
      </c>
      <c r="CA34" s="47"/>
      <c r="CB34" s="47">
        <v>43.45</v>
      </c>
      <c r="CC34" s="283"/>
      <c r="CD34" s="283"/>
      <c r="CE34" s="48">
        <v>43.77</v>
      </c>
      <c r="CF34" s="49">
        <v>71.855000000000004</v>
      </c>
      <c r="CG34" s="49"/>
      <c r="CH34" s="43"/>
      <c r="CI34" s="32">
        <v>108.785</v>
      </c>
      <c r="CJ34" s="33">
        <v>3.25</v>
      </c>
      <c r="CK34" s="33"/>
      <c r="CL34" s="35"/>
      <c r="CM34" s="36">
        <v>3.25</v>
      </c>
      <c r="CN34" s="270"/>
      <c r="CO34" s="249">
        <f t="shared" si="37"/>
        <v>0</v>
      </c>
      <c r="CP34" s="12">
        <f t="shared" si="37"/>
        <v>217.3647072</v>
      </c>
      <c r="CQ34" s="12">
        <f t="shared" si="37"/>
        <v>0</v>
      </c>
      <c r="CR34" s="12">
        <f t="shared" si="37"/>
        <v>53.04</v>
      </c>
      <c r="CS34" s="11">
        <f t="shared" si="37"/>
        <v>0</v>
      </c>
      <c r="CT34" s="11">
        <f t="shared" si="37"/>
        <v>0</v>
      </c>
      <c r="CU34" s="272">
        <f t="shared" si="37"/>
        <v>11.394</v>
      </c>
      <c r="CV34" s="249">
        <f t="shared" si="14"/>
        <v>69.519712500000011</v>
      </c>
      <c r="CW34" s="12">
        <f t="shared" si="14"/>
        <v>0</v>
      </c>
      <c r="CX34" s="249">
        <f t="shared" si="14"/>
        <v>0</v>
      </c>
      <c r="CY34" s="272">
        <f t="shared" si="14"/>
        <v>105.2494875</v>
      </c>
      <c r="CZ34" s="13"/>
      <c r="DA34" s="240">
        <f>(D34+'[2]декабрь 20'!D34)/(AY34+'[2]декабрь 20'!BA34)</f>
        <v>2.1228666581865121</v>
      </c>
      <c r="DB34" s="241">
        <f>(T34+'[2]декабрь 20'!T34)/(AY34+'[2]декабрь 20'!BA34)</f>
        <v>1.3033836512348704</v>
      </c>
      <c r="DD34" s="292">
        <f t="shared" si="15"/>
        <v>11.365</v>
      </c>
      <c r="DE34" s="291">
        <v>0.42</v>
      </c>
      <c r="DF34" s="291">
        <v>10.17</v>
      </c>
      <c r="DG34" s="145">
        <f t="shared" si="16"/>
        <v>11.317267000000001</v>
      </c>
      <c r="DH34" s="293">
        <f t="shared" si="34"/>
        <v>1.5192265758975714</v>
      </c>
      <c r="DJ34" s="43">
        <v>62.71</v>
      </c>
      <c r="DK34" s="460">
        <f t="shared" si="35"/>
        <v>53.04</v>
      </c>
      <c r="DM34" s="30">
        <v>210.94399999999999</v>
      </c>
      <c r="DN34" s="460">
        <f t="shared" si="36"/>
        <v>220.94399999999999</v>
      </c>
    </row>
    <row r="35" spans="1:118" s="76" customFormat="1" ht="16.5" customHeight="1" thickBot="1">
      <c r="A35" s="144">
        <v>29</v>
      </c>
      <c r="B35" s="122">
        <f t="shared" si="17"/>
        <v>175.39899999999997</v>
      </c>
      <c r="C35" s="123">
        <f t="shared" si="18"/>
        <v>1.1376473069971893</v>
      </c>
      <c r="D35" s="145">
        <f t="shared" si="19"/>
        <v>173.40357799999998</v>
      </c>
      <c r="E35" s="125">
        <f t="shared" si="20"/>
        <v>38.703305549062428</v>
      </c>
      <c r="F35" s="146">
        <f t="shared" si="0"/>
        <v>2.2976414944961752</v>
      </c>
      <c r="G35" s="127">
        <v>8.35</v>
      </c>
      <c r="H35" s="126">
        <f t="shared" si="21"/>
        <v>1.822500627730794</v>
      </c>
      <c r="I35" s="230">
        <f>'[1]июль 20'!AI34</f>
        <v>0</v>
      </c>
      <c r="J35" s="247">
        <f>'[1]декабрь 20'!AA34</f>
        <v>6.97</v>
      </c>
      <c r="K35" s="464">
        <f>'[1]сентябрь 20'!AM34</f>
        <v>0</v>
      </c>
      <c r="L35" s="446">
        <f t="shared" si="22"/>
        <v>35.859000000000002</v>
      </c>
      <c r="M35" s="469">
        <f t="shared" si="23"/>
        <v>0.47514086676538103</v>
      </c>
      <c r="N35" s="542">
        <f>'[1]декабрь 20'!W34</f>
        <v>0</v>
      </c>
      <c r="O35" s="403">
        <f>'[1]декабрь 20'!AU34</f>
        <v>7.7169999999999996</v>
      </c>
      <c r="P35" s="401">
        <f t="shared" si="1"/>
        <v>114.12299999999999</v>
      </c>
      <c r="Q35" s="122">
        <f>'[1]декабрь 20'!S34</f>
        <v>114.123</v>
      </c>
      <c r="R35" s="123">
        <f t="shared" si="24"/>
        <v>3.18</v>
      </c>
      <c r="S35" s="129">
        <v>9.9499999999999993</v>
      </c>
      <c r="T35" s="125">
        <f t="shared" si="2"/>
        <v>110.49388860000001</v>
      </c>
      <c r="U35" s="147">
        <f t="shared" si="3"/>
        <v>1.4640721158337224</v>
      </c>
      <c r="V35" s="130">
        <v>75.47</v>
      </c>
      <c r="W35" s="130">
        <v>29.74</v>
      </c>
      <c r="X35" s="129">
        <v>1.0900000000000001</v>
      </c>
      <c r="Y35" s="150">
        <v>540</v>
      </c>
      <c r="Z35" s="150">
        <v>1136</v>
      </c>
      <c r="AA35" s="148" t="s">
        <v>433</v>
      </c>
      <c r="AB35" s="149">
        <v>76.739999999999995</v>
      </c>
      <c r="AC35" s="150">
        <v>70</v>
      </c>
      <c r="AD35" s="151">
        <v>3</v>
      </c>
      <c r="AE35" s="181">
        <v>4.3499999999999996</v>
      </c>
      <c r="AF35" s="134">
        <f t="shared" si="4"/>
        <v>57.638605940751482</v>
      </c>
      <c r="AG35" s="182"/>
      <c r="AH35" s="129">
        <v>51.3</v>
      </c>
      <c r="AI35" s="134">
        <f t="shared" si="5"/>
        <v>679.7380424736898</v>
      </c>
      <c r="AJ35" s="136">
        <v>9.52</v>
      </c>
      <c r="AK35" s="154"/>
      <c r="AL35" s="526">
        <v>5.28</v>
      </c>
      <c r="AM35" s="478">
        <f t="shared" si="25"/>
        <v>21.639749999999999</v>
      </c>
      <c r="AN35" s="527">
        <f t="shared" si="26"/>
        <v>0.21499999999999997</v>
      </c>
      <c r="AO35" s="184" t="s">
        <v>219</v>
      </c>
      <c r="AP35" s="183">
        <v>7.27</v>
      </c>
      <c r="AQ35" s="183">
        <v>6.88</v>
      </c>
      <c r="AR35" s="185"/>
      <c r="AS35" s="181">
        <v>8.14</v>
      </c>
      <c r="AT35" s="149">
        <v>100.65</v>
      </c>
      <c r="AU35" s="181">
        <v>1.74</v>
      </c>
      <c r="AV35" s="149"/>
      <c r="AW35" s="149"/>
      <c r="AX35" s="158">
        <f t="shared" si="6"/>
        <v>0</v>
      </c>
      <c r="AY35" s="125">
        <f t="shared" si="7"/>
        <v>75.470250000000007</v>
      </c>
      <c r="AZ35" s="125">
        <f t="shared" si="27"/>
        <v>78.322300567371315</v>
      </c>
      <c r="BA35" s="159">
        <f t="shared" si="8"/>
        <v>3.2347901408450701</v>
      </c>
      <c r="BB35" s="160">
        <f t="shared" si="9"/>
        <v>3.0188100000000002</v>
      </c>
      <c r="BC35" s="161">
        <f t="shared" si="10"/>
        <v>0.86296159906815517</v>
      </c>
      <c r="BD35" s="160">
        <f t="shared" si="28"/>
        <v>6.2536001408450703</v>
      </c>
      <c r="BE35" s="162">
        <v>0.88900000000000001</v>
      </c>
      <c r="BF35" s="25">
        <f t="shared" si="29"/>
        <v>2986.3963999999996</v>
      </c>
      <c r="BG35" s="25">
        <f t="shared" si="11"/>
        <v>116.7741935483871</v>
      </c>
      <c r="BH35" s="25">
        <f t="shared" si="30"/>
        <v>3386.4516129032281</v>
      </c>
      <c r="BI35" s="26">
        <f t="shared" si="12"/>
        <v>1</v>
      </c>
      <c r="BJ35" s="37">
        <f t="shared" si="31"/>
        <v>3386.4516129032281</v>
      </c>
      <c r="BK35" s="38"/>
      <c r="BL35" s="28">
        <f t="shared" si="32"/>
        <v>139.54</v>
      </c>
      <c r="BM35" s="31"/>
      <c r="BN35" s="28">
        <f t="shared" si="33"/>
        <v>28.826000000000001</v>
      </c>
      <c r="BO35" s="40"/>
      <c r="BP35" s="40"/>
      <c r="BQ35" s="32">
        <v>7.0330000000000004</v>
      </c>
      <c r="BR35" s="33"/>
      <c r="BS35" s="34">
        <v>1.43</v>
      </c>
      <c r="BT35" s="35"/>
      <c r="BU35" s="35"/>
      <c r="BV35" s="235"/>
      <c r="BW35" s="235"/>
      <c r="BX35" s="36"/>
      <c r="BY35" s="33"/>
      <c r="BZ35" s="34">
        <v>37.36</v>
      </c>
      <c r="CA35" s="35"/>
      <c r="CB35" s="35">
        <v>43.96</v>
      </c>
      <c r="CC35" s="235"/>
      <c r="CD35" s="235"/>
      <c r="CE35" s="36">
        <v>43.81</v>
      </c>
      <c r="CF35" s="30">
        <v>44.750999999999998</v>
      </c>
      <c r="CG35" s="30"/>
      <c r="CH35" s="31"/>
      <c r="CI35" s="50">
        <v>69.372</v>
      </c>
      <c r="CJ35" s="33">
        <v>3.18</v>
      </c>
      <c r="CK35" s="33"/>
      <c r="CL35" s="35"/>
      <c r="CM35" s="36">
        <v>3.18</v>
      </c>
      <c r="CN35" s="270"/>
      <c r="CO35" s="249">
        <f t="shared" si="37"/>
        <v>0</v>
      </c>
      <c r="CP35" s="12">
        <f t="shared" si="37"/>
        <v>137.54457799999997</v>
      </c>
      <c r="CQ35" s="12">
        <f t="shared" si="37"/>
        <v>0</v>
      </c>
      <c r="CR35" s="12">
        <f t="shared" si="37"/>
        <v>28.826000000000001</v>
      </c>
      <c r="CS35" s="11">
        <f t="shared" si="37"/>
        <v>0</v>
      </c>
      <c r="CT35" s="11">
        <f t="shared" si="37"/>
        <v>0</v>
      </c>
      <c r="CU35" s="272">
        <f t="shared" si="37"/>
        <v>7.0330000000000004</v>
      </c>
      <c r="CV35" s="249">
        <f t="shared" si="14"/>
        <v>43.327918199999992</v>
      </c>
      <c r="CW35" s="12">
        <f t="shared" si="14"/>
        <v>0</v>
      </c>
      <c r="CX35" s="249">
        <f t="shared" si="14"/>
        <v>0</v>
      </c>
      <c r="CY35" s="272">
        <f t="shared" si="14"/>
        <v>67.165970399999992</v>
      </c>
      <c r="CZ35" s="13"/>
      <c r="DA35" s="240">
        <f>(D35+'[2]декабрь 20'!D35)/(AY35+'[2]декабрь 20'!BA35)</f>
        <v>2.0003986205677471</v>
      </c>
      <c r="DB35" s="241">
        <f>(T35+'[2]декабрь 20'!T35)/(AY35+'[2]декабрь 20'!BA35)</f>
        <v>1.2351120763569108</v>
      </c>
      <c r="DD35" s="292">
        <f t="shared" si="15"/>
        <v>6.97</v>
      </c>
      <c r="DE35" s="291">
        <v>0.56999999999999995</v>
      </c>
      <c r="DF35" s="291">
        <v>21.86</v>
      </c>
      <c r="DG35" s="145">
        <f t="shared" si="16"/>
        <v>6.9302710000000003</v>
      </c>
      <c r="DH35" s="293">
        <f t="shared" si="34"/>
        <v>1.9741428728173054</v>
      </c>
      <c r="DJ35" s="31">
        <v>38.496000000000002</v>
      </c>
      <c r="DK35" s="460">
        <f t="shared" si="35"/>
        <v>28.826000000000001</v>
      </c>
      <c r="DM35" s="31">
        <v>129.54</v>
      </c>
      <c r="DN35" s="460">
        <f t="shared" si="36"/>
        <v>139.54</v>
      </c>
    </row>
    <row r="36" spans="1:118" s="76" customFormat="1" ht="16.5" customHeight="1" thickBot="1">
      <c r="A36" s="144">
        <v>30</v>
      </c>
      <c r="B36" s="122">
        <f t="shared" si="17"/>
        <v>300.38200000000001</v>
      </c>
      <c r="C36" s="123">
        <f t="shared" si="18"/>
        <v>1.5525303114034792</v>
      </c>
      <c r="D36" s="145">
        <f t="shared" si="19"/>
        <v>295.71847840000004</v>
      </c>
      <c r="E36" s="125">
        <f t="shared" si="20"/>
        <v>38.418241905307241</v>
      </c>
      <c r="F36" s="146">
        <f t="shared" si="0"/>
        <v>2.3298495060113771</v>
      </c>
      <c r="G36" s="127">
        <v>14.49</v>
      </c>
      <c r="H36" s="126">
        <f t="shared" si="21"/>
        <v>1.7912206986748185</v>
      </c>
      <c r="I36" s="230">
        <f>'[1]июль 20'!AI35</f>
        <v>0</v>
      </c>
      <c r="J36" s="247">
        <f>'[1]декабрь 20'!AA35</f>
        <v>12.013</v>
      </c>
      <c r="K36" s="464">
        <f>'[1]сентябрь 20'!AM35</f>
        <v>0</v>
      </c>
      <c r="L36" s="446">
        <f t="shared" si="22"/>
        <v>68.366</v>
      </c>
      <c r="M36" s="468">
        <f t="shared" si="23"/>
        <v>0.53862880733655838</v>
      </c>
      <c r="N36" s="542">
        <f>'[1]декабрь 20'!W35</f>
        <v>0</v>
      </c>
      <c r="O36" s="403">
        <f>'[1]декабрь 20'!AU35</f>
        <v>13.243</v>
      </c>
      <c r="P36" s="401">
        <f t="shared" si="1"/>
        <v>195.63600000000002</v>
      </c>
      <c r="Q36" s="122">
        <f>'[1]декабрь 20'!S35</f>
        <v>195.636</v>
      </c>
      <c r="R36" s="123">
        <f t="shared" si="24"/>
        <v>3.37</v>
      </c>
      <c r="S36" s="129">
        <v>12.47</v>
      </c>
      <c r="T36" s="125">
        <f t="shared" si="2"/>
        <v>189.04306679999999</v>
      </c>
      <c r="U36" s="147">
        <f t="shared" si="3"/>
        <v>1.4893959220333108</v>
      </c>
      <c r="V36" s="130">
        <v>126.93</v>
      </c>
      <c r="W36" s="130">
        <v>100.28</v>
      </c>
      <c r="X36" s="129">
        <v>0.75</v>
      </c>
      <c r="Y36" s="150">
        <v>538</v>
      </c>
      <c r="Z36" s="150">
        <v>1153</v>
      </c>
      <c r="AA36" s="148" t="s">
        <v>141</v>
      </c>
      <c r="AB36" s="149">
        <v>76.06</v>
      </c>
      <c r="AC36" s="150">
        <v>120</v>
      </c>
      <c r="AD36" s="151">
        <v>5</v>
      </c>
      <c r="AE36" s="149">
        <v>2.85</v>
      </c>
      <c r="AF36" s="134">
        <f t="shared" si="4"/>
        <v>22.454028331468731</v>
      </c>
      <c r="AG36" s="152"/>
      <c r="AH36" s="129">
        <v>90.3</v>
      </c>
      <c r="AI36" s="134">
        <f t="shared" si="5"/>
        <v>711.43816081811451</v>
      </c>
      <c r="AJ36" s="153">
        <v>12.9</v>
      </c>
      <c r="AK36" s="154"/>
      <c r="AL36" s="155">
        <v>14.84</v>
      </c>
      <c r="AM36" s="478">
        <f>AT36*0.215</f>
        <v>38.183999999999997</v>
      </c>
      <c r="AN36" s="126">
        <f t="shared" si="26"/>
        <v>0.215</v>
      </c>
      <c r="AO36" s="157" t="s">
        <v>382</v>
      </c>
      <c r="AP36" s="156">
        <v>7.02</v>
      </c>
      <c r="AQ36" s="156">
        <v>6.3</v>
      </c>
      <c r="AR36" s="151"/>
      <c r="AS36" s="149">
        <v>8.23</v>
      </c>
      <c r="AT36" s="149">
        <v>177.6</v>
      </c>
      <c r="AU36" s="149">
        <v>2.35</v>
      </c>
      <c r="AV36" s="149"/>
      <c r="AW36" s="149"/>
      <c r="AX36" s="158">
        <f t="shared" si="6"/>
        <v>0</v>
      </c>
      <c r="AY36" s="125">
        <f t="shared" si="7"/>
        <v>126.92599999999999</v>
      </c>
      <c r="AZ36" s="125">
        <f t="shared" si="27"/>
        <v>133.65774094046046</v>
      </c>
      <c r="BA36" s="159">
        <f t="shared" si="8"/>
        <v>5.7569429577464781</v>
      </c>
      <c r="BB36" s="160">
        <f t="shared" si="9"/>
        <v>5.0770399999999993</v>
      </c>
      <c r="BC36" s="161">
        <f t="shared" si="10"/>
        <v>0.84974959271356121</v>
      </c>
      <c r="BD36" s="160">
        <f t="shared" si="28"/>
        <v>10.833982957746478</v>
      </c>
      <c r="BE36" s="162">
        <v>0.88700000000000001</v>
      </c>
      <c r="BF36" s="25">
        <f t="shared" si="29"/>
        <v>3113.3223999999996</v>
      </c>
      <c r="BG36" s="25">
        <f t="shared" si="11"/>
        <v>116.7741935483871</v>
      </c>
      <c r="BH36" s="25">
        <f t="shared" si="30"/>
        <v>3503.2258064516154</v>
      </c>
      <c r="BI36" s="26">
        <f t="shared" si="12"/>
        <v>1</v>
      </c>
      <c r="BJ36" s="37">
        <f t="shared" si="31"/>
        <v>3503.2258064516154</v>
      </c>
      <c r="BK36" s="38"/>
      <c r="BL36" s="28">
        <f t="shared" si="32"/>
        <v>232.01599999999999</v>
      </c>
      <c r="BM36" s="31"/>
      <c r="BN36" s="28">
        <f t="shared" si="33"/>
        <v>56.363</v>
      </c>
      <c r="BO36" s="40"/>
      <c r="BP36" s="40"/>
      <c r="BQ36" s="32">
        <v>12.003</v>
      </c>
      <c r="BR36" s="33"/>
      <c r="BS36" s="34">
        <v>2.0099999999999998</v>
      </c>
      <c r="BT36" s="35"/>
      <c r="BU36" s="35"/>
      <c r="BV36" s="235"/>
      <c r="BW36" s="235"/>
      <c r="BX36" s="36"/>
      <c r="BY36" s="33"/>
      <c r="BZ36" s="34">
        <v>36.880000000000003</v>
      </c>
      <c r="CA36" s="35"/>
      <c r="CB36" s="35">
        <v>43.6</v>
      </c>
      <c r="CC36" s="235"/>
      <c r="CD36" s="235"/>
      <c r="CE36" s="36">
        <v>43.82</v>
      </c>
      <c r="CF36" s="30">
        <v>77.549000000000007</v>
      </c>
      <c r="CG36" s="30"/>
      <c r="CH36" s="34"/>
      <c r="CI36" s="50">
        <v>118.087</v>
      </c>
      <c r="CJ36" s="33">
        <v>3.37</v>
      </c>
      <c r="CK36" s="33"/>
      <c r="CL36" s="35"/>
      <c r="CM36" s="36">
        <v>3.37</v>
      </c>
      <c r="CN36" s="270"/>
      <c r="CO36" s="249">
        <f t="shared" si="37"/>
        <v>0</v>
      </c>
      <c r="CP36" s="12">
        <f t="shared" si="37"/>
        <v>227.3524784</v>
      </c>
      <c r="CQ36" s="12">
        <f t="shared" si="37"/>
        <v>0</v>
      </c>
      <c r="CR36" s="12">
        <f t="shared" si="37"/>
        <v>56.363</v>
      </c>
      <c r="CS36" s="11">
        <f t="shared" si="37"/>
        <v>0</v>
      </c>
      <c r="CT36" s="11">
        <f t="shared" si="37"/>
        <v>0</v>
      </c>
      <c r="CU36" s="272">
        <f t="shared" si="37"/>
        <v>12.003</v>
      </c>
      <c r="CV36" s="249">
        <f t="shared" si="14"/>
        <v>74.9355987</v>
      </c>
      <c r="CW36" s="12">
        <f t="shared" si="14"/>
        <v>0</v>
      </c>
      <c r="CX36" s="249">
        <f t="shared" si="14"/>
        <v>0</v>
      </c>
      <c r="CY36" s="274">
        <f t="shared" si="14"/>
        <v>114.10746809999999</v>
      </c>
      <c r="CZ36" s="13"/>
      <c r="DA36" s="240">
        <f>(D36+'[2]декабрь 20'!D36)/(AY36+'[2]декабрь 20'!BA36)</f>
        <v>2.401133610798813</v>
      </c>
      <c r="DB36" s="241">
        <f>(T36+'[2]декабрь 20'!T36)/(AY36+'[2]декабрь 20'!BA36)</f>
        <v>1.5218191170111566</v>
      </c>
      <c r="DD36" s="292">
        <f t="shared" si="15"/>
        <v>12.013</v>
      </c>
      <c r="DE36" s="291">
        <v>0.37</v>
      </c>
      <c r="DF36" s="291">
        <v>20.71</v>
      </c>
      <c r="DG36" s="145">
        <f t="shared" si="16"/>
        <v>11.9685519</v>
      </c>
      <c r="DH36" s="293">
        <f t="shared" si="34"/>
        <v>3.2588576104259794</v>
      </c>
      <c r="DJ36" s="31">
        <v>66.033000000000001</v>
      </c>
      <c r="DK36" s="460">
        <f t="shared" si="35"/>
        <v>56.363</v>
      </c>
      <c r="DM36" s="31">
        <v>222.01599999999999</v>
      </c>
      <c r="DN36" s="460">
        <f t="shared" si="36"/>
        <v>232.01599999999999</v>
      </c>
    </row>
    <row r="37" spans="1:118" s="76" customFormat="1" ht="16.5" customHeight="1" thickBot="1">
      <c r="A37" s="186">
        <v>31</v>
      </c>
      <c r="B37" s="122">
        <f t="shared" si="17"/>
        <v>288.73400000000004</v>
      </c>
      <c r="C37" s="123">
        <f t="shared" si="18"/>
        <v>0.4853570760630892</v>
      </c>
      <c r="D37" s="187">
        <f t="shared" si="19"/>
        <v>287.33260910000001</v>
      </c>
      <c r="E37" s="285">
        <f t="shared" si="20"/>
        <v>38.43806583221928</v>
      </c>
      <c r="F37" s="189">
        <f t="shared" si="0"/>
        <v>1.8660385056500846</v>
      </c>
      <c r="G37" s="127">
        <v>37.07</v>
      </c>
      <c r="H37" s="126">
        <f t="shared" si="21"/>
        <v>1.435521555396805</v>
      </c>
      <c r="I37" s="230">
        <f>'[1]июль 20'!AI36</f>
        <v>0</v>
      </c>
      <c r="J37" s="277">
        <f>'[1]декабрь 20'!AA36</f>
        <v>11.653</v>
      </c>
      <c r="K37" s="276">
        <f>'[1]сентябрь 20'!AM36</f>
        <v>0</v>
      </c>
      <c r="L37" s="446">
        <f t="shared" si="22"/>
        <v>66.290999999999997</v>
      </c>
      <c r="M37" s="128">
        <f t="shared" si="23"/>
        <v>0.43051695025327963</v>
      </c>
      <c r="N37" s="399">
        <f>'[1]декабрь 20'!W36</f>
        <v>0</v>
      </c>
      <c r="O37" s="453">
        <f>'[1]декабрь 20'!AU36</f>
        <v>13.068</v>
      </c>
      <c r="P37" s="125">
        <f t="shared" si="1"/>
        <v>187.81100000000001</v>
      </c>
      <c r="Q37" s="122">
        <f>'[1]декабрь 20'!S36</f>
        <v>187.81100000000001</v>
      </c>
      <c r="R37" s="123">
        <f t="shared" si="24"/>
        <v>3.3100000000000005</v>
      </c>
      <c r="S37" s="129">
        <v>10.27</v>
      </c>
      <c r="T37" s="125">
        <f t="shared" si="2"/>
        <v>181.59445590000001</v>
      </c>
      <c r="U37" s="191">
        <f t="shared" si="3"/>
        <v>1.1793379393427719</v>
      </c>
      <c r="V37" s="192">
        <v>153.97999999999999</v>
      </c>
      <c r="W37" s="192">
        <v>64.349999999999994</v>
      </c>
      <c r="X37" s="190">
        <v>1.03</v>
      </c>
      <c r="Y37" s="193">
        <v>533</v>
      </c>
      <c r="Z37" s="194">
        <v>1155</v>
      </c>
      <c r="AA37" s="551" t="s">
        <v>471</v>
      </c>
      <c r="AB37" s="196">
        <v>76.150000000000006</v>
      </c>
      <c r="AC37" s="194">
        <v>117</v>
      </c>
      <c r="AD37" s="193">
        <v>5</v>
      </c>
      <c r="AE37" s="196"/>
      <c r="AF37" s="134">
        <f t="shared" si="4"/>
        <v>0</v>
      </c>
      <c r="AG37" s="197"/>
      <c r="AH37" s="190">
        <v>92.65</v>
      </c>
      <c r="AI37" s="134">
        <f t="shared" si="5"/>
        <v>601.70151967788036</v>
      </c>
      <c r="AJ37" s="196">
        <v>14.84</v>
      </c>
      <c r="AK37" s="198"/>
      <c r="AL37" s="199">
        <v>9.93</v>
      </c>
      <c r="AM37" s="478">
        <v>25.68</v>
      </c>
      <c r="AN37" s="126">
        <f t="shared" si="26"/>
        <v>0.13877330451229397</v>
      </c>
      <c r="AO37" s="201" t="s">
        <v>382</v>
      </c>
      <c r="AP37" s="200">
        <v>7.16</v>
      </c>
      <c r="AQ37" s="201">
        <v>6.48</v>
      </c>
      <c r="AR37" s="193"/>
      <c r="AS37" s="196">
        <v>7.21</v>
      </c>
      <c r="AT37" s="242">
        <v>185.05</v>
      </c>
      <c r="AU37" s="196">
        <v>4.54</v>
      </c>
      <c r="AV37" s="196"/>
      <c r="AW37" s="196"/>
      <c r="AX37" s="202">
        <f t="shared" si="6"/>
        <v>0</v>
      </c>
      <c r="AY37" s="188">
        <f t="shared" si="7"/>
        <v>153.97999999999999</v>
      </c>
      <c r="AZ37" s="125">
        <f t="shared" si="27"/>
        <v>128.78745417305751</v>
      </c>
      <c r="BA37" s="203">
        <f t="shared" si="8"/>
        <v>5.1746982394366201</v>
      </c>
      <c r="BB37" s="204">
        <f t="shared" si="9"/>
        <v>6.1591999999999993</v>
      </c>
      <c r="BC37" s="205">
        <f t="shared" si="10"/>
        <v>1.0616656847100496</v>
      </c>
      <c r="BD37" s="206">
        <f t="shared" si="28"/>
        <v>11.333898239436619</v>
      </c>
      <c r="BE37" s="207">
        <v>0.89300000000000002</v>
      </c>
      <c r="BF37" s="25">
        <f t="shared" si="29"/>
        <v>3267.3023999999996</v>
      </c>
      <c r="BG37" s="25">
        <f t="shared" si="11"/>
        <v>116.7741935483871</v>
      </c>
      <c r="BH37" s="25">
        <f t="shared" si="30"/>
        <v>3620.0000000000027</v>
      </c>
      <c r="BI37" s="26">
        <f t="shared" si="12"/>
        <v>1</v>
      </c>
      <c r="BJ37" s="37">
        <f t="shared" si="31"/>
        <v>3620.0000000000027</v>
      </c>
      <c r="BK37" s="51"/>
      <c r="BL37" s="28">
        <v>222.44300000000001</v>
      </c>
      <c r="BM37" s="53"/>
      <c r="BN37" s="28">
        <f t="shared" si="33"/>
        <v>54.505000000000003</v>
      </c>
      <c r="BO37" s="282"/>
      <c r="BP37" s="282"/>
      <c r="BQ37" s="54">
        <v>11.786</v>
      </c>
      <c r="BR37" s="55"/>
      <c r="BS37" s="52">
        <v>0.63</v>
      </c>
      <c r="BT37" s="56"/>
      <c r="BU37" s="56"/>
      <c r="BV37" s="284"/>
      <c r="BW37" s="284"/>
      <c r="BX37" s="57"/>
      <c r="BY37" s="55"/>
      <c r="BZ37" s="52">
        <v>37.07</v>
      </c>
      <c r="CA37" s="56"/>
      <c r="CB37" s="56">
        <v>42.81</v>
      </c>
      <c r="CC37" s="284"/>
      <c r="CD37" s="284"/>
      <c r="CE37" s="57">
        <v>44.04</v>
      </c>
      <c r="CF37" s="58">
        <v>85.956000000000003</v>
      </c>
      <c r="CG37" s="58"/>
      <c r="CH37" s="52"/>
      <c r="CI37" s="54">
        <v>101.855</v>
      </c>
      <c r="CJ37" s="33">
        <v>3.31</v>
      </c>
      <c r="CK37" s="265"/>
      <c r="CL37" s="59"/>
      <c r="CM37" s="60">
        <v>3.31</v>
      </c>
      <c r="CN37" s="270"/>
      <c r="CO37" s="269">
        <f t="shared" si="37"/>
        <v>0</v>
      </c>
      <c r="CP37" s="18">
        <f t="shared" si="37"/>
        <v>221.04160910000002</v>
      </c>
      <c r="CQ37" s="18">
        <f t="shared" si="37"/>
        <v>0</v>
      </c>
      <c r="CR37" s="18">
        <f t="shared" si="37"/>
        <v>54.505000000000003</v>
      </c>
      <c r="CS37" s="251">
        <f t="shared" si="37"/>
        <v>0</v>
      </c>
      <c r="CT37" s="11">
        <f t="shared" si="37"/>
        <v>0</v>
      </c>
      <c r="CU37" s="273">
        <f t="shared" si="37"/>
        <v>11.786</v>
      </c>
      <c r="CV37" s="269">
        <f t="shared" si="14"/>
        <v>83.110856400000003</v>
      </c>
      <c r="CW37" s="18">
        <f t="shared" si="14"/>
        <v>0</v>
      </c>
      <c r="CX37" s="261">
        <f t="shared" si="14"/>
        <v>0</v>
      </c>
      <c r="CY37" s="273">
        <f t="shared" si="14"/>
        <v>98.483599499999997</v>
      </c>
      <c r="CZ37" s="13"/>
      <c r="DA37" s="240">
        <f>(D37+'[2]декабрь 20'!D37)/(AY37+'[2]декабрь 20'!BA37)</f>
        <v>2.1323242897840733</v>
      </c>
      <c r="DB37" s="241">
        <f>(T37+'[2]декабрь 20'!T37)/(AY37+'[2]декабрь 20'!BA37)</f>
        <v>1.3205475542479832</v>
      </c>
      <c r="DD37" s="292">
        <f t="shared" si="15"/>
        <v>11.653</v>
      </c>
      <c r="DE37" s="294">
        <v>0.17</v>
      </c>
      <c r="DF37" s="294">
        <v>14.21</v>
      </c>
      <c r="DG37" s="323">
        <f t="shared" si="16"/>
        <v>11.6331899</v>
      </c>
      <c r="DH37" s="293">
        <f t="shared" si="34"/>
        <v>2.1708158697176625</v>
      </c>
      <c r="DJ37" s="53">
        <v>64.405000000000001</v>
      </c>
      <c r="DK37" s="460">
        <f>DJ37-9.9</f>
        <v>54.505000000000003</v>
      </c>
      <c r="DM37" s="53">
        <v>216.79499999999999</v>
      </c>
      <c r="DN37" s="460">
        <f t="shared" si="36"/>
        <v>226.79499999999999</v>
      </c>
    </row>
    <row r="38" spans="1:118" s="214" customFormat="1" ht="16.5" customHeight="1" thickBot="1">
      <c r="A38" s="91" t="s">
        <v>56</v>
      </c>
      <c r="B38" s="329">
        <f>SUM(B7:B37)</f>
        <v>7329.5190030000012</v>
      </c>
      <c r="C38" s="330"/>
      <c r="D38" s="331">
        <f>SUM(D7:D37)</f>
        <v>7226.6825914843193</v>
      </c>
      <c r="E38" s="332"/>
      <c r="F38" s="331"/>
      <c r="G38" s="333">
        <f>SUM(G7:G37)</f>
        <v>555.42000000000007</v>
      </c>
      <c r="H38" s="329"/>
      <c r="I38" s="334">
        <f>SUM(I7:I37)</f>
        <v>0</v>
      </c>
      <c r="J38" s="329">
        <f>SUM(J7:J37)</f>
        <v>397.53799999999995</v>
      </c>
      <c r="K38" s="329">
        <f>SUM(K7:K37)</f>
        <v>0</v>
      </c>
      <c r="L38" s="329">
        <f>SUM(L7:L37)</f>
        <v>1619.8259999999998</v>
      </c>
      <c r="M38" s="335"/>
      <c r="N38" s="329">
        <f>SUM(N7:N37)</f>
        <v>0</v>
      </c>
      <c r="O38" s="329">
        <f>SUM(O7:O37)</f>
        <v>283.11799999999999</v>
      </c>
      <c r="P38" s="330">
        <f>SUM(P7:P37)</f>
        <v>4732.5070020000003</v>
      </c>
      <c r="Q38" s="396">
        <f>SUM(Q7:Q37)</f>
        <v>4732.5069999999996</v>
      </c>
      <c r="R38" s="336">
        <f>IF(Q38=0,0,(CA38*CH38+CE38*CI38+CF38*CJ38)/Q38)</f>
        <v>0</v>
      </c>
      <c r="S38" s="396">
        <f>SUM(S7:S37)</f>
        <v>363.56</v>
      </c>
      <c r="T38" s="331">
        <f>SUM(T7:T37)</f>
        <v>4581.8931043000002</v>
      </c>
      <c r="U38" s="337"/>
      <c r="V38" s="90">
        <f>SUM(V7:V37)</f>
        <v>3183.6399999999994</v>
      </c>
      <c r="W38" s="332">
        <f>SUM(W7:W37)</f>
        <v>2192.4500000000003</v>
      </c>
      <c r="X38" s="338"/>
      <c r="Y38" s="337"/>
      <c r="Z38" s="339"/>
      <c r="AA38" s="340"/>
      <c r="AB38" s="338"/>
      <c r="AC38" s="339"/>
      <c r="AD38" s="339">
        <f>SUM(AD7:AD37)</f>
        <v>132</v>
      </c>
      <c r="AE38" s="332">
        <f>SUM(AE7:AE37)</f>
        <v>51.9</v>
      </c>
      <c r="AF38" s="341"/>
      <c r="AG38" s="342">
        <f>SUM(AG7:AG37)</f>
        <v>0</v>
      </c>
      <c r="AH38" s="332">
        <f>SUM(AH7:AH37)</f>
        <v>2385.2000000000003</v>
      </c>
      <c r="AI38" s="341"/>
      <c r="AJ38" s="332">
        <f>SUM(AJ7:AJ37)</f>
        <v>403.33999999999992</v>
      </c>
      <c r="AK38" s="343"/>
      <c r="AL38" s="522">
        <f>SUM(AL7:AL37)</f>
        <v>229.42000000000002</v>
      </c>
      <c r="AM38" s="345">
        <f>SUM(AM7:AM37)</f>
        <v>900.35760000000005</v>
      </c>
      <c r="AN38" s="345"/>
      <c r="AO38" s="342"/>
      <c r="AP38" s="332"/>
      <c r="AQ38" s="342"/>
      <c r="AR38" s="342"/>
      <c r="AS38" s="346"/>
      <c r="AT38" s="332">
        <f>SUM(AT7:AT37)</f>
        <v>4332.4400000000005</v>
      </c>
      <c r="AU38" s="332">
        <f>SUM(AU7:AU37)</f>
        <v>64.64</v>
      </c>
      <c r="AV38" s="347">
        <f>SUM(AV7:AV37)</f>
        <v>0</v>
      </c>
      <c r="AW38" s="332">
        <f>SUM(AW7:AW37)</f>
        <v>0</v>
      </c>
      <c r="AX38" s="331"/>
      <c r="AY38" s="332">
        <f>SUM(AY7:AY37)</f>
        <v>3267.3023999999996</v>
      </c>
      <c r="AZ38" s="330">
        <f>SUM(AZ7:AZ37)</f>
        <v>3175.6518891419691</v>
      </c>
      <c r="BA38" s="342">
        <f>SUM(BA7:BA37)</f>
        <v>170.85411866197182</v>
      </c>
      <c r="BB38" s="342">
        <f>SUM(BB7:BB37)</f>
        <v>130.69209599999999</v>
      </c>
      <c r="BC38" s="332"/>
      <c r="BD38" s="342">
        <f>SUM(BD7:BD37)</f>
        <v>301.54621466197176</v>
      </c>
      <c r="BE38" s="348"/>
      <c r="BF38" s="19"/>
      <c r="BG38" s="19">
        <f t="shared" si="11"/>
        <v>0</v>
      </c>
      <c r="BH38" s="19"/>
      <c r="BI38" s="208">
        <f>SUM(BI7:BI37)</f>
        <v>31</v>
      </c>
      <c r="BJ38" s="209"/>
      <c r="BK38" s="278">
        <f t="shared" ref="BK38:BQ38" si="38">SUM(BK7:BK37)</f>
        <v>300.589</v>
      </c>
      <c r="BL38" s="61">
        <f>SUM(BL7:BL37)</f>
        <v>5409.1040000000012</v>
      </c>
      <c r="BM38" s="61">
        <f t="shared" si="38"/>
        <v>9.9999999999999995E-7</v>
      </c>
      <c r="BN38" s="61">
        <f t="shared" si="38"/>
        <v>1229.8530000000001</v>
      </c>
      <c r="BO38" s="61">
        <f t="shared" si="38"/>
        <v>9.9999999999999995E-7</v>
      </c>
      <c r="BP38" s="61">
        <f t="shared" si="38"/>
        <v>9.9999999999999995E-7</v>
      </c>
      <c r="BQ38" s="64">
        <f t="shared" si="38"/>
        <v>389.97299999999996</v>
      </c>
      <c r="BR38" s="63"/>
      <c r="BS38" s="24"/>
      <c r="BT38" s="24"/>
      <c r="BU38" s="24"/>
      <c r="BV38" s="62"/>
      <c r="BW38" s="62"/>
      <c r="BX38" s="65"/>
      <c r="BY38" s="63"/>
      <c r="BZ38" s="24"/>
      <c r="CA38" s="24"/>
      <c r="CB38" s="24"/>
      <c r="CC38" s="62"/>
      <c r="CD38" s="62"/>
      <c r="CE38" s="62"/>
      <c r="CF38" s="66">
        <f>SUM(CF7:CF37)</f>
        <v>1898.4099999999999</v>
      </c>
      <c r="CG38" s="66">
        <f>SUM(CG7:CG37)</f>
        <v>9.9999999999999995E-7</v>
      </c>
      <c r="CH38" s="61">
        <f>SUM(CH7:CH37)</f>
        <v>9.9999999999999995E-7</v>
      </c>
      <c r="CI38" s="67">
        <f>SUM(CI7:CI37)</f>
        <v>2834.0969999999993</v>
      </c>
      <c r="CJ38" s="210"/>
      <c r="CK38" s="266"/>
      <c r="CL38" s="211"/>
      <c r="CM38" s="212"/>
      <c r="CN38" s="213"/>
      <c r="CO38" s="68">
        <f t="shared" ref="CO38:CY38" si="39">SUM(CO7:CO37)</f>
        <v>297.58311000000003</v>
      </c>
      <c r="CP38" s="69">
        <f t="shared" si="39"/>
        <v>5309.2734792000001</v>
      </c>
      <c r="CQ38" s="70">
        <f t="shared" si="39"/>
        <v>9.9999998999999992E-7</v>
      </c>
      <c r="CR38" s="69">
        <f t="shared" si="39"/>
        <v>1229.85299951206</v>
      </c>
      <c r="CS38" s="72">
        <f t="shared" si="39"/>
        <v>9.9999998999999992E-7</v>
      </c>
      <c r="CT38" s="72">
        <f t="shared" si="39"/>
        <v>9.9999998999999992E-7</v>
      </c>
      <c r="CU38" s="71">
        <f t="shared" si="39"/>
        <v>389.97299977225993</v>
      </c>
      <c r="CV38" s="72">
        <f t="shared" si="39"/>
        <v>1837.8334818000001</v>
      </c>
      <c r="CW38" s="72">
        <f t="shared" si="39"/>
        <v>9.9999998999999992E-7</v>
      </c>
      <c r="CX38" s="72">
        <f t="shared" si="39"/>
        <v>9.9999998999999992E-7</v>
      </c>
      <c r="CY38" s="72">
        <f t="shared" si="39"/>
        <v>2744.0596224999995</v>
      </c>
      <c r="CZ38" s="70"/>
      <c r="DA38" s="240">
        <f>(D38+'[2]декабрь 20'!D38)/(AY38+'[2]декабрь 20'!BA38)</f>
        <v>2.193938980717137</v>
      </c>
      <c r="DB38" s="241">
        <f>(T38+'[2]декабрь 20'!T38)/(AY38+'[2]декабрь 20'!BA38)</f>
        <v>1.3633305572661312</v>
      </c>
      <c r="DD38" s="295">
        <f>SUM(DD7:DD37)</f>
        <v>397.53799999999995</v>
      </c>
      <c r="DE38" s="296">
        <f>(SUMPRODUCT(DD7:DD37,DE7:DE37))/DD38</f>
        <v>0.46343305545633379</v>
      </c>
      <c r="DF38" s="296">
        <f>(SUMPRODUCT(DD7:DD37,DF7:DF37))/DD38</f>
        <v>17.742238377211745</v>
      </c>
      <c r="DG38" s="296">
        <f>(SUMPRODUCT(DE7:DE37,DG7:DG37))/DE38</f>
        <v>394.44289276474325</v>
      </c>
      <c r="DH38" s="324">
        <f>IF(J38=0,0,(DG38*DF38%)/(AB39/100))</f>
        <v>91.94032382609744</v>
      </c>
    </row>
    <row r="39" spans="1:118" s="214" customFormat="1" ht="16.5" customHeight="1" thickBot="1">
      <c r="A39" s="93" t="s">
        <v>57</v>
      </c>
      <c r="B39" s="349">
        <f>B38/AU2</f>
        <v>236.43609687096779</v>
      </c>
      <c r="C39" s="349">
        <f>(BK38*BR39+BM38*BT39+BQ38*BX39+BL38*BS39+BN38*BU39+BO38*BV39+BP38*BW39)/B38</f>
        <v>1.4030444763645291</v>
      </c>
      <c r="D39" s="350">
        <f>D38/AU2</f>
        <v>233.11879327368771</v>
      </c>
      <c r="E39" s="349">
        <f>(BK38*BY39+BM38*CA39+BQ38*CE39+BL38*BZ39+BN38*CB39+BO38*CC39+BP38*CD39)/B38</f>
        <v>38.240880511432906</v>
      </c>
      <c r="F39" s="351">
        <f>IF($AY$38=0,0,$D$38/$AY$38)</f>
        <v>2.2118193257790648</v>
      </c>
      <c r="G39" s="352">
        <f>G38/AU2</f>
        <v>17.916774193548388</v>
      </c>
      <c r="H39" s="353">
        <f>IF($AY$38=0,0,(CP38+CO38+CS38+CQ38+CT38)/AY38)</f>
        <v>1.7160507066012629</v>
      </c>
      <c r="I39" s="349">
        <f>I38/AU2</f>
        <v>0</v>
      </c>
      <c r="J39" s="349">
        <f>J38/AU2</f>
        <v>12.823806451612901</v>
      </c>
      <c r="K39" s="349">
        <f>K38/AU2</f>
        <v>0</v>
      </c>
      <c r="L39" s="349">
        <f>L38/AU2</f>
        <v>52.252451612903222</v>
      </c>
      <c r="M39" s="354">
        <f>IF($AY$38=0,0,(CR38+CU38)/$AY$38)</f>
        <v>0.49576861917780252</v>
      </c>
      <c r="N39" s="349">
        <f>N38/AU2</f>
        <v>0</v>
      </c>
      <c r="O39" s="349">
        <f>O38/AU2</f>
        <v>9.1328387096774186</v>
      </c>
      <c r="P39" s="349">
        <f>P38/AU2</f>
        <v>152.66151619354841</v>
      </c>
      <c r="Q39" s="349">
        <f>Q38/AU2</f>
        <v>152.66151612903224</v>
      </c>
      <c r="R39" s="349">
        <f>(SUMPRODUCT(R7:R37,Q7:Q37))/Q38</f>
        <v>3.1825393116164453</v>
      </c>
      <c r="S39" s="355">
        <f>S38/AU2</f>
        <v>11.727741935483872</v>
      </c>
      <c r="T39" s="356"/>
      <c r="U39" s="354">
        <f>IF($AY$38=0,0,$T$38/$AY$38)</f>
        <v>1.4023474240706955</v>
      </c>
      <c r="V39" s="349">
        <f>V38/AU2</f>
        <v>102.69806451612901</v>
      </c>
      <c r="W39" s="349">
        <f>W38/AU2</f>
        <v>70.724193548387106</v>
      </c>
      <c r="X39" s="349">
        <f>(SUMPRODUCT(X7:X37,AY7:AY37))/AY38</f>
        <v>0.9008555874717934</v>
      </c>
      <c r="Y39" s="357">
        <f>AVERAGE(Y7:Y37)</f>
        <v>541.09677419354841</v>
      </c>
      <c r="Z39" s="357">
        <f>AVERAGE(Z7:Z37)</f>
        <v>1128.258064516129</v>
      </c>
      <c r="AA39" s="357"/>
      <c r="AB39" s="349">
        <f>(SUMPRODUCT(AB7:AB37,AY7:AY37))/AY38</f>
        <v>76.117850562133469</v>
      </c>
      <c r="AC39" s="358">
        <f>AVERAGE(AC7:AC37)</f>
        <v>94.709677419354833</v>
      </c>
      <c r="AD39" s="358">
        <f>AVERAGE(AD7:AD37)</f>
        <v>4.7142857142857144</v>
      </c>
      <c r="AE39" s="349">
        <f>AE38/AU2</f>
        <v>1.6741935483870967</v>
      </c>
      <c r="AF39" s="355">
        <f>IF(AY38=0,0,AE38/AY38*1000)</f>
        <v>15.884663751968599</v>
      </c>
      <c r="AG39" s="356" t="e">
        <f>AG38/$AW$2</f>
        <v>#DIV/0!</v>
      </c>
      <c r="AH39" s="349">
        <f>AH38/AU2</f>
        <v>76.941935483870978</v>
      </c>
      <c r="AI39" s="355">
        <f>IF(AY38=0,0,AH38/AY38*1000)</f>
        <v>730.02119424268801</v>
      </c>
      <c r="AJ39" s="349">
        <f>AJ38/AU2</f>
        <v>13.010967741935481</v>
      </c>
      <c r="AK39" s="359"/>
      <c r="AL39" s="349">
        <f>AL38/AU2</f>
        <v>7.4006451612903232</v>
      </c>
      <c r="AM39" s="349">
        <f>AM38/AU2</f>
        <v>29.043793548387097</v>
      </c>
      <c r="AN39" s="360">
        <f>IF(AM39=0,0,AM39/AT39)</f>
        <v>0.20781767318185593</v>
      </c>
      <c r="AO39" s="356"/>
      <c r="AP39" s="349">
        <f>AVERAGE(AP7:AP37)</f>
        <v>7.7683333333333344</v>
      </c>
      <c r="AQ39" s="349">
        <f>AVERAGE(AQ7:AQ37)</f>
        <v>6.9243333333333332</v>
      </c>
      <c r="AR39" s="356"/>
      <c r="AS39" s="349">
        <f>AVERAGE(AS7:AS37)</f>
        <v>9.0966666666666658</v>
      </c>
      <c r="AT39" s="349">
        <f>AT38/AU2</f>
        <v>139.75612903225809</v>
      </c>
      <c r="AU39" s="349">
        <f>AU38/AU2</f>
        <v>2.0851612903225805</v>
      </c>
      <c r="AV39" s="349" t="e">
        <f>AV38/$AW$2</f>
        <v>#DIV/0!</v>
      </c>
      <c r="AW39" s="349" t="e">
        <f>AW38/$AW$2</f>
        <v>#DIV/0!</v>
      </c>
      <c r="AX39" s="349" t="e">
        <f>IF(AY39=0,0,AW39/AY39*100)</f>
        <v>#DIV/0!</v>
      </c>
      <c r="AY39" s="349">
        <f>AY38/AU2</f>
        <v>105.39685161290321</v>
      </c>
      <c r="AZ39" s="349">
        <f>AZ38/AU2</f>
        <v>102.44038352070868</v>
      </c>
      <c r="BA39" s="356"/>
      <c r="BB39" s="356"/>
      <c r="BC39" s="351">
        <f>(AY38*AB39)/(D38*E39)</f>
        <v>0.89993052731644008</v>
      </c>
      <c r="BD39" s="349">
        <f>BD38/AU2</f>
        <v>9.7272972471603794</v>
      </c>
      <c r="BE39" s="361"/>
      <c r="BF39" s="19"/>
      <c r="BG39" s="19"/>
      <c r="BH39" s="19"/>
      <c r="BI39" s="19"/>
      <c r="BJ39" s="215"/>
      <c r="BK39" s="73"/>
      <c r="BL39" s="216"/>
      <c r="BM39" s="216"/>
      <c r="BN39" s="216"/>
      <c r="BO39" s="219"/>
      <c r="BP39" s="219"/>
      <c r="BQ39" s="217"/>
      <c r="BR39" s="73">
        <f>(SUMPRODUCT(BK7:BK37,BR7:BR37))/BK38</f>
        <v>1</v>
      </c>
      <c r="BS39" s="29">
        <f>(SUMPRODUCT(BL7:BL37,BS7:BS37))/BL38</f>
        <v>1.8456018002242141</v>
      </c>
      <c r="BT39" s="29">
        <f t="shared" ref="BT39:BX39" si="40">(SUMPRODUCT(BM7:BM37,BT7:BT37))/BM38</f>
        <v>9.9999999999999995E-7</v>
      </c>
      <c r="BU39" s="29">
        <f t="shared" si="40"/>
        <v>3.9674660304930743E-8</v>
      </c>
      <c r="BV39" s="29">
        <f t="shared" si="40"/>
        <v>9.9999999999999995E-7</v>
      </c>
      <c r="BW39" s="29">
        <f t="shared" si="40"/>
        <v>9.9999999999999995E-7</v>
      </c>
      <c r="BX39" s="74">
        <f t="shared" si="40"/>
        <v>5.8398914796665415E-8</v>
      </c>
      <c r="BY39" s="73">
        <f t="shared" ref="BY39:CE39" si="41">(SUMPRODUCT(BK7:BK37,BY7:BY37))/BK38</f>
        <v>37.33</v>
      </c>
      <c r="BZ39" s="29">
        <f t="shared" si="41"/>
        <v>36.685262991800471</v>
      </c>
      <c r="CA39" s="29">
        <f t="shared" si="41"/>
        <v>9.9999999999999995E-7</v>
      </c>
      <c r="CB39" s="29">
        <f t="shared" si="41"/>
        <v>43.526690303637906</v>
      </c>
      <c r="CC39" s="29">
        <f t="shared" si="41"/>
        <v>9.9999999999999995E-7</v>
      </c>
      <c r="CD39" s="29">
        <f t="shared" si="41"/>
        <v>9.9999999999999995E-7</v>
      </c>
      <c r="CE39" s="74">
        <f t="shared" si="41"/>
        <v>43.850316791162463</v>
      </c>
      <c r="CF39" s="218"/>
      <c r="CG39" s="218"/>
      <c r="CH39" s="216"/>
      <c r="CI39" s="219"/>
      <c r="CJ39" s="75">
        <f>(SUMPRODUCT(CF7:CF37,CJ7:CJ37))/CF38</f>
        <v>3.1909080862405919</v>
      </c>
      <c r="CK39" s="75">
        <f>(SUMPRODUCT(CG7:CG37,CK7:CK37))/CG38</f>
        <v>9.9999999999999995E-7</v>
      </c>
      <c r="CL39" s="29">
        <f>(SUMPRODUCT(CH7:CH37,CL7:CL37))/CH38</f>
        <v>9.9999999999999995E-7</v>
      </c>
      <c r="CM39" s="74">
        <f>(SUMPRODUCT(CI7:CI37,CM7:CM37))/CI38</f>
        <v>3.1769335170955695</v>
      </c>
      <c r="CN39" s="19"/>
      <c r="CO39" s="596">
        <f>CO38+CP38</f>
        <v>5606.8565892000006</v>
      </c>
      <c r="CP39" s="596"/>
      <c r="CQ39" s="597">
        <f>CQ38+CR38+CU38+CS38+CT38</f>
        <v>1619.8260022843197</v>
      </c>
      <c r="CR39" s="597"/>
      <c r="CS39" s="597"/>
      <c r="CT39" s="597"/>
      <c r="CU39" s="597"/>
      <c r="CV39" s="597">
        <f>CV38+CX38+CY38+CW38</f>
        <v>4581.8931063</v>
      </c>
      <c r="CW39" s="597"/>
      <c r="CX39" s="597"/>
      <c r="CY39" s="597"/>
      <c r="DA39" s="236"/>
      <c r="DB39" s="238"/>
      <c r="DD39" s="297"/>
      <c r="DE39" s="298"/>
      <c r="DF39" s="298"/>
      <c r="DG39" s="299"/>
      <c r="DH39" s="300"/>
    </row>
    <row r="40" spans="1:118" s="214" customFormat="1" ht="16.5" customHeight="1" thickBot="1">
      <c r="A40" s="94" t="s">
        <v>58</v>
      </c>
      <c r="B40" s="362"/>
      <c r="C40" s="362"/>
      <c r="D40" s="363"/>
      <c r="E40" s="364">
        <v>39.299999999999997</v>
      </c>
      <c r="F40" s="363">
        <v>2.15</v>
      </c>
      <c r="G40" s="543">
        <v>10.53</v>
      </c>
      <c r="H40" s="363">
        <v>1.5049999999999999</v>
      </c>
      <c r="I40" s="363"/>
      <c r="J40" s="363">
        <v>9.34</v>
      </c>
      <c r="K40" s="363"/>
      <c r="L40" s="363"/>
      <c r="M40" s="363">
        <v>0.64500000000000002</v>
      </c>
      <c r="N40" s="363"/>
      <c r="O40" s="364">
        <v>10.5</v>
      </c>
      <c r="P40" s="366"/>
      <c r="Q40" s="362"/>
      <c r="R40" s="367"/>
      <c r="S40" s="368">
        <v>10.63</v>
      </c>
      <c r="T40" s="362"/>
      <c r="U40" s="369">
        <v>1.3</v>
      </c>
      <c r="V40" s="370">
        <v>3620</v>
      </c>
      <c r="W40" s="370">
        <v>3620</v>
      </c>
      <c r="X40" s="371"/>
      <c r="Y40" s="371"/>
      <c r="Z40" s="372">
        <v>1190</v>
      </c>
      <c r="AA40" s="372"/>
      <c r="AB40" s="362">
        <v>76</v>
      </c>
      <c r="AC40" s="362"/>
      <c r="AD40" s="362"/>
      <c r="AE40" s="362"/>
      <c r="AF40" s="362"/>
      <c r="AG40" s="362"/>
      <c r="AH40" s="362"/>
      <c r="AI40" s="362">
        <v>645</v>
      </c>
      <c r="AJ40" s="373"/>
      <c r="AK40" s="374"/>
      <c r="AL40" s="375"/>
      <c r="AM40" s="362"/>
      <c r="AN40" s="362"/>
      <c r="AO40" s="362"/>
      <c r="AP40" s="362"/>
      <c r="AQ40" s="362"/>
      <c r="AR40" s="362"/>
      <c r="AS40" s="362"/>
      <c r="AT40" s="376">
        <v>3620</v>
      </c>
      <c r="AU40" s="377">
        <v>43.4</v>
      </c>
      <c r="AV40" s="377"/>
      <c r="AW40" s="378"/>
      <c r="AX40" s="362"/>
      <c r="AY40" s="379">
        <v>116.77</v>
      </c>
      <c r="AZ40" s="362"/>
      <c r="BA40" s="362"/>
      <c r="BB40" s="362"/>
      <c r="BC40" s="363">
        <v>0.9</v>
      </c>
      <c r="BD40" s="362"/>
      <c r="BE40" s="380"/>
      <c r="BF40" s="19"/>
      <c r="BG40" s="19"/>
      <c r="BH40" s="19"/>
      <c r="BI40" s="19"/>
      <c r="BJ40" s="215"/>
      <c r="BK40" s="220"/>
      <c r="BL40" s="221"/>
      <c r="BM40" s="216"/>
      <c r="BN40" s="216"/>
      <c r="BO40" s="219"/>
      <c r="BP40" s="219"/>
      <c r="BQ40" s="217"/>
      <c r="BR40" s="218"/>
      <c r="BS40" s="216"/>
      <c r="BT40" s="216"/>
      <c r="BU40" s="216"/>
      <c r="BV40" s="219"/>
      <c r="BW40" s="219"/>
      <c r="BX40" s="217"/>
      <c r="BY40" s="218"/>
      <c r="BZ40" s="216"/>
      <c r="CA40" s="216"/>
      <c r="CB40" s="216"/>
      <c r="CC40" s="219"/>
      <c r="CD40" s="219"/>
      <c r="CE40" s="217"/>
      <c r="CF40" s="218"/>
      <c r="CG40" s="218"/>
      <c r="CH40" s="216"/>
      <c r="CI40" s="219"/>
      <c r="CJ40" s="220"/>
      <c r="CK40" s="218"/>
      <c r="CL40" s="216"/>
      <c r="CM40" s="217"/>
      <c r="CN40" s="213"/>
      <c r="CO40" s="604">
        <f>CO39+CQ39</f>
        <v>7226.6825914843203</v>
      </c>
      <c r="CP40" s="604"/>
      <c r="CQ40" s="604"/>
      <c r="CR40" s="604"/>
      <c r="CS40" s="604"/>
      <c r="CT40" s="604"/>
      <c r="CU40" s="604"/>
      <c r="DA40" s="237"/>
      <c r="DB40" s="239"/>
      <c r="DD40" s="301"/>
      <c r="DE40" s="302"/>
      <c r="DF40" s="302"/>
      <c r="DG40" s="303"/>
      <c r="DH40" s="304"/>
    </row>
    <row r="41" spans="1:118" s="214" customFormat="1" ht="16.5" customHeight="1" thickBot="1">
      <c r="A41" s="95" t="s">
        <v>59</v>
      </c>
      <c r="B41" s="381"/>
      <c r="C41" s="381"/>
      <c r="D41" s="382"/>
      <c r="E41" s="381"/>
      <c r="F41" s="383">
        <f>F39-F40</f>
        <v>6.1819325779064904E-2</v>
      </c>
      <c r="G41" s="384">
        <f>G39-G40</f>
        <v>7.3867741935483888</v>
      </c>
      <c r="H41" s="383"/>
      <c r="I41" s="385">
        <f>I39-I40</f>
        <v>0</v>
      </c>
      <c r="J41" s="385"/>
      <c r="K41" s="385"/>
      <c r="L41" s="385"/>
      <c r="M41" s="385"/>
      <c r="N41" s="385"/>
      <c r="O41" s="385"/>
      <c r="P41" s="383"/>
      <c r="Q41" s="386"/>
      <c r="R41" s="385">
        <f>R39-R40</f>
        <v>3.1825393116164453</v>
      </c>
      <c r="S41" s="386"/>
      <c r="T41" s="386"/>
      <c r="U41" s="383">
        <f>U39-U40</f>
        <v>0.10234742407069541</v>
      </c>
      <c r="V41" s="383"/>
      <c r="W41" s="383"/>
      <c r="X41" s="383"/>
      <c r="Y41" s="383"/>
      <c r="Z41" s="387">
        <f>Z39-Z40</f>
        <v>-61.741935483870975</v>
      </c>
      <c r="AA41" s="388"/>
      <c r="AB41" s="381"/>
      <c r="AC41" s="381"/>
      <c r="AD41" s="381"/>
      <c r="AE41" s="381"/>
      <c r="AF41" s="381"/>
      <c r="AG41" s="381"/>
      <c r="AH41" s="381"/>
      <c r="AI41" s="381"/>
      <c r="AJ41" s="381"/>
      <c r="AK41" s="389"/>
      <c r="AL41" s="390"/>
      <c r="AM41" s="381"/>
      <c r="AN41" s="381"/>
      <c r="AO41" s="381"/>
      <c r="AP41" s="381"/>
      <c r="AQ41" s="381"/>
      <c r="AR41" s="381"/>
      <c r="AS41" s="381"/>
      <c r="AT41" s="391">
        <f>AT38+AV38-AT40</f>
        <v>712.44000000000051</v>
      </c>
      <c r="AU41" s="392"/>
      <c r="AV41" s="393"/>
      <c r="AW41" s="390"/>
      <c r="AX41" s="381"/>
      <c r="AY41" s="385"/>
      <c r="AZ41" s="381"/>
      <c r="BA41" s="381"/>
      <c r="BB41" s="381"/>
      <c r="BC41" s="394"/>
      <c r="BD41" s="381"/>
      <c r="BE41" s="395"/>
      <c r="BF41" s="222"/>
      <c r="BG41" s="222"/>
      <c r="BH41" s="222"/>
      <c r="BI41" s="222"/>
      <c r="BJ41" s="222"/>
      <c r="BK41" s="223"/>
      <c r="BL41" s="224"/>
      <c r="BM41" s="225"/>
      <c r="BN41" s="225"/>
      <c r="BO41" s="224"/>
      <c r="BP41" s="224"/>
      <c r="BQ41" s="226"/>
      <c r="BR41" s="227"/>
      <c r="BS41" s="225"/>
      <c r="BT41" s="225"/>
      <c r="BU41" s="225"/>
      <c r="BV41" s="224"/>
      <c r="BW41" s="224"/>
      <c r="BX41" s="224"/>
      <c r="BY41" s="228"/>
      <c r="BZ41" s="225"/>
      <c r="CA41" s="225"/>
      <c r="CB41" s="225"/>
      <c r="CC41" s="224"/>
      <c r="CD41" s="224"/>
      <c r="CE41" s="226"/>
      <c r="CF41" s="227"/>
      <c r="CG41" s="227"/>
      <c r="CH41" s="225"/>
      <c r="CI41" s="224"/>
      <c r="CJ41" s="228"/>
      <c r="CK41" s="227"/>
      <c r="CL41" s="225"/>
      <c r="CM41" s="226"/>
      <c r="CN41" s="213"/>
      <c r="CO41" s="213"/>
      <c r="CP41" s="213"/>
      <c r="CQ41" s="213"/>
      <c r="DA41" s="21"/>
      <c r="DH41" s="309"/>
    </row>
    <row r="42" spans="1:118" ht="15" hidden="1" customHeight="1">
      <c r="A42" s="96"/>
      <c r="B42" s="96"/>
      <c r="C42" s="96"/>
      <c r="D42" s="97"/>
      <c r="E42" s="96"/>
      <c r="F42" s="98"/>
      <c r="G42" s="99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1"/>
      <c r="AF42" s="101"/>
      <c r="AG42" s="100"/>
      <c r="AH42" s="100"/>
      <c r="AI42" s="100"/>
      <c r="AJ42" s="100"/>
      <c r="AK42" s="100"/>
      <c r="AL42" s="100"/>
      <c r="AM42" s="100"/>
      <c r="AN42" s="100"/>
      <c r="AO42" s="100"/>
      <c r="AP42" s="100"/>
      <c r="AQ42" s="100"/>
      <c r="AR42" s="100"/>
      <c r="AS42" s="96"/>
      <c r="AT42" s="612"/>
      <c r="AU42" s="612"/>
      <c r="AV42" s="612"/>
      <c r="AW42" s="96"/>
      <c r="AX42" s="96"/>
      <c r="AY42" s="100"/>
      <c r="AZ42" s="100"/>
      <c r="BA42" s="100"/>
      <c r="BB42" s="100"/>
      <c r="BC42" s="100"/>
      <c r="BD42" s="100"/>
      <c r="BE42" s="100"/>
      <c r="BK42" s="20"/>
      <c r="BL42" s="20"/>
      <c r="BM42" s="20"/>
    </row>
    <row r="43" spans="1:118" ht="13.5" thickBot="1">
      <c r="A43" s="100"/>
      <c r="B43" s="100"/>
      <c r="C43" s="100"/>
      <c r="D43" s="102"/>
      <c r="E43" s="100"/>
      <c r="F43" s="100"/>
      <c r="G43" s="96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1"/>
      <c r="AF43" s="101"/>
      <c r="AG43" s="100"/>
      <c r="AH43" s="100"/>
      <c r="AI43" s="100"/>
      <c r="AJ43" s="100"/>
      <c r="AK43" s="100"/>
      <c r="AL43" s="100"/>
      <c r="AM43" s="100"/>
      <c r="AN43" s="100"/>
      <c r="AO43" s="100"/>
      <c r="AP43" s="100"/>
      <c r="AQ43" s="100"/>
      <c r="AR43" s="100"/>
      <c r="AS43" s="96" t="s">
        <v>60</v>
      </c>
      <c r="AT43" s="103">
        <f>AT40/BE43</f>
        <v>116.7741935483871</v>
      </c>
      <c r="AU43" s="104"/>
      <c r="AV43" s="96"/>
      <c r="AW43" s="96" t="s">
        <v>61</v>
      </c>
      <c r="AX43" s="96"/>
      <c r="AY43" s="100"/>
      <c r="AZ43" s="100"/>
      <c r="BA43" s="100"/>
      <c r="BB43" s="100"/>
      <c r="BC43" s="100"/>
      <c r="BD43" s="105" t="s">
        <v>62</v>
      </c>
      <c r="BE43" s="100">
        <v>31</v>
      </c>
    </row>
    <row r="44" spans="1:118" ht="16.5" customHeight="1" thickBot="1">
      <c r="A44" s="100"/>
      <c r="B44" s="100"/>
      <c r="C44" s="100"/>
      <c r="D44" s="102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489" t="s">
        <v>343</v>
      </c>
      <c r="AG44" s="488"/>
      <c r="AH44" s="488"/>
      <c r="AI44" s="488"/>
      <c r="AJ44" s="488"/>
      <c r="AK44" s="488"/>
      <c r="AL44" s="488"/>
      <c r="AM44" s="490">
        <f>AM38/AT38</f>
        <v>0.20781767318185593</v>
      </c>
      <c r="AN44" s="479"/>
      <c r="AO44" s="480" t="s">
        <v>88</v>
      </c>
      <c r="AP44" s="100"/>
      <c r="AQ44" s="100"/>
      <c r="AR44" s="100"/>
      <c r="AS44" s="100"/>
      <c r="AT44" s="100"/>
      <c r="AU44" s="100"/>
      <c r="AV44" s="100"/>
      <c r="AW44" s="100"/>
      <c r="AX44" s="100"/>
      <c r="AY44" s="100"/>
      <c r="AZ44" s="100"/>
      <c r="BA44" s="100"/>
      <c r="BB44" s="100"/>
      <c r="BC44" s="100"/>
      <c r="BD44" s="96"/>
      <c r="BE44" s="96"/>
      <c r="CR44" s="1"/>
    </row>
    <row r="45" spans="1:118" ht="13.5" thickBot="1">
      <c r="A45" s="100"/>
      <c r="B45" s="100"/>
      <c r="C45" s="100"/>
      <c r="D45" s="102"/>
      <c r="E45" s="100"/>
      <c r="F45" s="100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101"/>
      <c r="AE45" s="101"/>
      <c r="AF45" s="101"/>
      <c r="AG45" s="100"/>
      <c r="AH45" s="100"/>
      <c r="AI45" s="100"/>
      <c r="AJ45" s="100"/>
      <c r="AK45" s="100"/>
      <c r="AL45" s="100"/>
      <c r="AM45" s="106" t="s">
        <v>63</v>
      </c>
      <c r="AN45" s="106"/>
      <c r="AO45" s="106"/>
      <c r="AP45" s="106"/>
      <c r="AQ45" s="106"/>
      <c r="AR45" s="106"/>
      <c r="AS45" s="107" t="s">
        <v>64</v>
      </c>
      <c r="AT45" s="108">
        <v>29.5</v>
      </c>
      <c r="AU45" s="108"/>
      <c r="AV45" s="100"/>
      <c r="AW45" s="100"/>
      <c r="AX45" s="100"/>
      <c r="AY45" s="100"/>
      <c r="AZ45" s="100"/>
      <c r="BA45" s="100"/>
      <c r="BB45" s="100"/>
      <c r="BC45" s="100"/>
      <c r="BD45" s="96"/>
      <c r="BE45" s="96"/>
      <c r="BM45" s="1"/>
      <c r="BS45" s="1"/>
    </row>
    <row r="46" spans="1:118" ht="12.75" customHeight="1" thickBot="1">
      <c r="A46" s="100"/>
      <c r="B46" s="100"/>
      <c r="C46" s="109" t="s">
        <v>65</v>
      </c>
      <c r="D46" s="102"/>
      <c r="E46" s="100"/>
      <c r="F46" s="100"/>
      <c r="G46" s="100"/>
      <c r="H46" s="100"/>
      <c r="I46" s="100"/>
      <c r="J46" s="100"/>
      <c r="K46" s="100"/>
      <c r="L46" s="110">
        <f>AT38/AD38</f>
        <v>32.821515151515158</v>
      </c>
      <c r="M46" s="109" t="s">
        <v>88</v>
      </c>
      <c r="N46" s="606"/>
      <c r="O46" s="606"/>
      <c r="P46" s="111"/>
      <c r="Q46" s="100"/>
      <c r="R46" s="100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101"/>
      <c r="AE46" s="101"/>
      <c r="AF46" s="101"/>
      <c r="AG46" s="100"/>
      <c r="AH46" s="100"/>
      <c r="AI46" s="100"/>
      <c r="AJ46" s="100"/>
      <c r="AK46" s="100"/>
      <c r="AL46" s="100"/>
      <c r="AM46" s="100"/>
      <c r="AN46" s="100"/>
      <c r="AO46" s="106"/>
      <c r="AP46" s="106"/>
      <c r="AQ46" s="106"/>
      <c r="AR46" s="106"/>
      <c r="AS46" s="107" t="s">
        <v>66</v>
      </c>
      <c r="AT46" s="112">
        <f>AT40/AT45</f>
        <v>122.71186440677967</v>
      </c>
      <c r="AU46" s="112"/>
      <c r="AV46" s="100"/>
      <c r="AW46" s="100"/>
      <c r="AX46" s="100">
        <v>0</v>
      </c>
      <c r="AY46" s="100"/>
      <c r="AZ46" s="607" t="s">
        <v>67</v>
      </c>
      <c r="BA46" s="607"/>
      <c r="BB46" s="607"/>
      <c r="BC46" s="607"/>
      <c r="BD46" s="607"/>
      <c r="BE46" s="607"/>
    </row>
    <row r="47" spans="1:118">
      <c r="A47" s="100"/>
      <c r="B47" s="100"/>
      <c r="C47" s="100"/>
      <c r="D47" s="102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100"/>
      <c r="AI47" s="100"/>
      <c r="AJ47" s="100"/>
      <c r="AK47" s="100"/>
      <c r="AL47" s="100"/>
      <c r="AM47" s="100"/>
      <c r="AN47" s="100"/>
      <c r="AO47" s="100"/>
      <c r="AP47" s="100"/>
      <c r="AQ47" s="100"/>
      <c r="AR47" s="100"/>
      <c r="AS47" s="100"/>
      <c r="AT47" s="100"/>
      <c r="AU47" s="100"/>
      <c r="AV47" s="100"/>
      <c r="AW47" s="100"/>
      <c r="AX47" s="100"/>
      <c r="AY47" s="100"/>
      <c r="AZ47" s="607"/>
      <c r="BA47" s="607"/>
      <c r="BB47" s="607"/>
      <c r="BC47" s="607"/>
      <c r="BD47" s="607"/>
      <c r="BE47" s="607"/>
    </row>
    <row r="48" spans="1:118">
      <c r="A48" s="100"/>
      <c r="B48" s="100"/>
      <c r="C48" s="100"/>
      <c r="D48" s="102"/>
      <c r="E48" s="100"/>
      <c r="F48" s="100"/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13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  <c r="AE48" s="100"/>
      <c r="AF48" s="100"/>
      <c r="AG48" s="100"/>
      <c r="AH48" s="100"/>
      <c r="AI48" s="100"/>
      <c r="AJ48" s="100"/>
      <c r="AK48" s="100"/>
      <c r="AL48" s="100"/>
      <c r="AM48" s="100"/>
      <c r="AN48" s="100"/>
      <c r="AO48" s="100"/>
      <c r="AP48" s="100"/>
      <c r="AQ48" s="100"/>
      <c r="AR48" s="100"/>
      <c r="AS48" s="100"/>
      <c r="AT48" s="100"/>
      <c r="AU48" s="100"/>
      <c r="AV48" s="100"/>
      <c r="AW48" s="100"/>
      <c r="AX48" s="100"/>
      <c r="AY48" s="100"/>
      <c r="AZ48" s="608">
        <f>BF37-BJ37</f>
        <v>-352.69760000000315</v>
      </c>
      <c r="BA48" s="608"/>
      <c r="BB48" s="608"/>
      <c r="BC48" s="608"/>
      <c r="BD48" s="609" t="s">
        <v>68</v>
      </c>
      <c r="BE48" s="114"/>
    </row>
    <row r="49" spans="1:57" ht="12" customHeight="1">
      <c r="A49" s="100"/>
      <c r="B49" s="100"/>
      <c r="C49" s="100"/>
      <c r="D49" s="102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15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100"/>
      <c r="AI49" s="100"/>
      <c r="AJ49" s="100"/>
      <c r="AK49" s="100"/>
      <c r="AL49" s="100"/>
      <c r="AM49" s="100"/>
      <c r="AN49" s="100"/>
      <c r="AO49" s="100"/>
      <c r="AP49" s="100"/>
      <c r="AQ49" s="100"/>
      <c r="AR49" s="100"/>
      <c r="AS49" s="100"/>
      <c r="AT49" s="100"/>
      <c r="AU49" s="100"/>
      <c r="AV49" s="100"/>
      <c r="AW49" s="100"/>
      <c r="AX49" s="100"/>
      <c r="AY49" s="100"/>
      <c r="AZ49" s="608"/>
      <c r="BA49" s="608"/>
      <c r="BB49" s="608"/>
      <c r="BC49" s="608"/>
      <c r="BD49" s="609"/>
      <c r="BE49" s="114"/>
    </row>
    <row r="50" spans="1:57" ht="13.5" customHeight="1">
      <c r="A50" s="100"/>
      <c r="B50" s="100"/>
      <c r="C50" s="100"/>
      <c r="D50" s="102"/>
      <c r="E50" s="100"/>
      <c r="F50" s="100"/>
      <c r="G50" s="100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100"/>
      <c r="AC50" s="100"/>
      <c r="AD50" s="100"/>
      <c r="AE50" s="100"/>
      <c r="AF50" s="100"/>
      <c r="AG50" s="100"/>
      <c r="AH50" s="100"/>
      <c r="AI50" s="100"/>
      <c r="AJ50" s="100"/>
      <c r="AK50" s="100"/>
      <c r="AL50" s="100"/>
      <c r="AM50" s="100"/>
      <c r="AN50" s="100"/>
      <c r="AO50" s="100"/>
      <c r="AP50" s="100"/>
      <c r="AQ50" s="100"/>
      <c r="AR50" s="100"/>
      <c r="AS50" s="100"/>
      <c r="AT50" s="100"/>
      <c r="AU50" s="100"/>
      <c r="AV50" s="100"/>
      <c r="AW50" s="100"/>
      <c r="AX50" s="100"/>
      <c r="AY50" s="100"/>
      <c r="AZ50" s="116"/>
      <c r="BA50" s="96"/>
      <c r="BB50" s="96"/>
      <c r="BC50" s="96"/>
      <c r="BD50" s="96"/>
      <c r="BE50" s="114"/>
    </row>
    <row r="51" spans="1:57" ht="13.5" customHeight="1" thickBot="1">
      <c r="A51" s="100"/>
      <c r="B51" s="100"/>
      <c r="C51" s="100"/>
      <c r="D51" s="102"/>
      <c r="E51" s="100"/>
      <c r="F51" s="100"/>
      <c r="G51" s="100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0"/>
      <c r="AC51" s="100"/>
      <c r="AD51" s="100"/>
      <c r="AE51" s="100"/>
      <c r="AF51" s="100"/>
      <c r="AG51" s="100"/>
      <c r="AH51" s="100"/>
      <c r="AI51" s="100"/>
      <c r="AJ51" s="100"/>
      <c r="AK51" s="100"/>
      <c r="AL51" s="100"/>
      <c r="AM51" s="100"/>
      <c r="AN51" s="100"/>
      <c r="AO51" s="100"/>
      <c r="AP51" s="100"/>
      <c r="AQ51" s="100"/>
      <c r="AR51" s="100"/>
      <c r="AS51" s="100"/>
      <c r="AT51" s="100"/>
      <c r="AU51" s="100"/>
      <c r="AV51" s="100"/>
      <c r="AW51" s="100"/>
      <c r="AX51" s="100"/>
      <c r="AY51" s="100"/>
      <c r="AZ51" s="610">
        <f>AZ48/AT40*100</f>
        <v>-9.7430276243094784</v>
      </c>
      <c r="BA51" s="610"/>
      <c r="BB51" s="610"/>
      <c r="BC51" s="610"/>
      <c r="BD51" s="611" t="s">
        <v>69</v>
      </c>
      <c r="BE51" s="114"/>
    </row>
    <row r="52" spans="1:57" ht="13.5" thickBot="1">
      <c r="A52" s="100"/>
      <c r="B52" s="100"/>
      <c r="C52" s="100"/>
      <c r="D52" s="102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  <c r="AF52" s="100"/>
      <c r="AG52" s="100"/>
      <c r="AH52" s="100"/>
      <c r="AI52" s="100"/>
      <c r="AJ52" s="100"/>
      <c r="AK52" s="100"/>
      <c r="AL52" s="100"/>
      <c r="AM52" s="100"/>
      <c r="AN52" s="100"/>
      <c r="AO52" s="100"/>
      <c r="AP52" s="100"/>
      <c r="AQ52" s="100"/>
      <c r="AR52" s="100"/>
      <c r="AS52" s="100"/>
      <c r="AT52" s="100"/>
      <c r="AU52" s="100"/>
      <c r="AV52" s="100"/>
      <c r="AW52" s="100"/>
      <c r="AX52" s="100"/>
      <c r="AY52" s="100"/>
      <c r="AZ52" s="610"/>
      <c r="BA52" s="610"/>
      <c r="BB52" s="610"/>
      <c r="BC52" s="610"/>
      <c r="BD52" s="611"/>
      <c r="BE52" s="117"/>
    </row>
    <row r="53" spans="1:57">
      <c r="A53" s="100"/>
      <c r="B53" s="100"/>
      <c r="C53" s="100"/>
      <c r="D53" s="102"/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100"/>
      <c r="AI53" s="100"/>
      <c r="AJ53" s="100"/>
      <c r="AK53" s="100"/>
      <c r="AL53" s="100"/>
      <c r="AM53" s="100"/>
      <c r="AN53" s="100"/>
      <c r="AO53" s="100"/>
      <c r="AP53" s="100"/>
      <c r="AQ53" s="100"/>
      <c r="AR53" s="100"/>
      <c r="AS53" s="100"/>
      <c r="AT53" s="100"/>
      <c r="AU53" s="100"/>
      <c r="AV53" s="100"/>
      <c r="AW53" s="100"/>
      <c r="AX53" s="100"/>
      <c r="AY53" s="100"/>
      <c r="AZ53" s="100"/>
      <c r="BA53" s="100"/>
      <c r="BB53" s="100"/>
      <c r="BC53" s="100"/>
      <c r="BD53" s="100"/>
      <c r="BE53" s="100"/>
    </row>
    <row r="54" spans="1:57">
      <c r="A54" s="100"/>
      <c r="B54" s="100"/>
      <c r="C54" s="100"/>
      <c r="D54" s="102"/>
      <c r="E54" s="100"/>
      <c r="F54" s="100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100"/>
      <c r="AI54" s="100"/>
      <c r="AJ54" s="100"/>
      <c r="AK54" s="100"/>
      <c r="AL54" s="100"/>
      <c r="AM54" s="100"/>
      <c r="AN54" s="100"/>
      <c r="AO54" s="100"/>
      <c r="AP54" s="100"/>
      <c r="AQ54" s="100"/>
      <c r="AR54" s="100"/>
      <c r="AS54" s="100"/>
      <c r="AT54" s="100"/>
      <c r="AU54" s="100"/>
      <c r="AV54" s="100"/>
      <c r="AW54" s="100"/>
      <c r="AX54" s="100"/>
      <c r="AY54" s="100"/>
      <c r="AZ54" s="100"/>
      <c r="BA54" s="100"/>
      <c r="BB54" s="100"/>
      <c r="BC54" s="100"/>
      <c r="BD54" s="100"/>
      <c r="BE54" s="100"/>
    </row>
    <row r="55" spans="1:57">
      <c r="A55" s="100"/>
      <c r="B55" s="100"/>
      <c r="C55" s="100"/>
      <c r="D55" s="102"/>
      <c r="E55" s="100"/>
      <c r="F55" s="100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  <c r="AH55" s="100"/>
      <c r="AI55" s="100"/>
      <c r="AJ55" s="100"/>
      <c r="AK55" s="100"/>
      <c r="AL55" s="100"/>
      <c r="AM55" s="100"/>
      <c r="AN55" s="100"/>
      <c r="AO55" s="100"/>
      <c r="AP55" s="100"/>
      <c r="AQ55" s="100"/>
      <c r="AR55" s="100"/>
      <c r="AS55" s="100"/>
      <c r="AT55" s="100"/>
      <c r="AU55" s="100"/>
      <c r="AV55" s="100"/>
      <c r="AW55" s="100"/>
      <c r="AX55" s="100"/>
      <c r="AY55" s="100"/>
      <c r="AZ55" s="100"/>
      <c r="BA55" s="100"/>
      <c r="BB55" s="100"/>
      <c r="BC55" s="100"/>
      <c r="BD55" s="100"/>
      <c r="BE55" s="100"/>
    </row>
    <row r="56" spans="1:57" ht="13.5" thickBot="1">
      <c r="A56" s="100"/>
      <c r="B56" s="100"/>
      <c r="C56" s="100"/>
      <c r="D56" s="102"/>
      <c r="E56" s="100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/>
      <c r="AE56" s="100"/>
      <c r="AF56" s="100"/>
      <c r="AG56" s="100"/>
      <c r="AH56" s="100"/>
      <c r="AI56" s="100"/>
      <c r="AJ56" s="100"/>
      <c r="AK56" s="100"/>
      <c r="AL56" s="100"/>
      <c r="AM56" s="100"/>
      <c r="AN56" s="100"/>
      <c r="AO56" s="100"/>
      <c r="AP56" s="100"/>
      <c r="AQ56" s="100"/>
      <c r="AR56" s="100"/>
      <c r="AS56" s="100"/>
      <c r="AT56" s="100"/>
      <c r="AU56" s="100"/>
      <c r="AV56" s="100"/>
      <c r="AW56" s="100"/>
      <c r="AX56" s="100"/>
      <c r="AY56" s="100"/>
      <c r="AZ56" s="100"/>
      <c r="BA56" s="100"/>
      <c r="BB56" s="100"/>
      <c r="BC56" s="100"/>
      <c r="BD56" s="100"/>
      <c r="BE56" s="100"/>
    </row>
    <row r="57" spans="1:57" ht="15.75">
      <c r="A57" s="100"/>
      <c r="B57" s="100"/>
      <c r="C57" s="100"/>
      <c r="D57" s="102"/>
      <c r="E57" s="100"/>
      <c r="F57" s="100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100"/>
      <c r="AI57" s="100"/>
      <c r="AJ57" s="100"/>
      <c r="AK57" s="100"/>
      <c r="AL57" s="100"/>
      <c r="AM57" s="100"/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X57" s="100"/>
      <c r="AY57" s="100"/>
      <c r="AZ57" s="481" t="s">
        <v>344</v>
      </c>
      <c r="BA57" s="482"/>
      <c r="BB57" s="482"/>
      <c r="BC57" s="482"/>
      <c r="BD57" s="482"/>
      <c r="BE57" s="483"/>
    </row>
    <row r="58" spans="1:57" ht="15.75">
      <c r="A58" s="100"/>
      <c r="B58" s="100"/>
      <c r="C58" s="100"/>
      <c r="D58" s="102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  <c r="AA58" s="100"/>
      <c r="AB58" s="100"/>
      <c r="AC58" s="100"/>
      <c r="AD58" s="100"/>
      <c r="AE58" s="100"/>
      <c r="AF58" s="100"/>
      <c r="AG58" s="100"/>
      <c r="AH58" s="100"/>
      <c r="AI58" s="100"/>
      <c r="AJ58" s="100"/>
      <c r="AK58" s="100"/>
      <c r="AL58" s="100"/>
      <c r="AM58" s="100"/>
      <c r="AN58" s="100"/>
      <c r="AO58" s="100"/>
      <c r="AP58" s="100"/>
      <c r="AQ58" s="100"/>
      <c r="AR58" s="100"/>
      <c r="AS58" s="100"/>
      <c r="AT58" s="100"/>
      <c r="AU58" s="100"/>
      <c r="AV58" s="100"/>
      <c r="AW58" s="100"/>
      <c r="AX58" s="100"/>
      <c r="AY58" s="100"/>
      <c r="AZ58" s="484" t="s">
        <v>340</v>
      </c>
      <c r="BA58" s="485"/>
      <c r="BB58" s="485"/>
      <c r="BC58" s="485"/>
      <c r="BD58" s="617">
        <f>'[5]декабрь 20'!$F$38</f>
        <v>900.35760000000005</v>
      </c>
      <c r="BE58" s="618"/>
    </row>
    <row r="59" spans="1:57" ht="16.5" thickBot="1">
      <c r="A59" s="100"/>
      <c r="B59" s="100"/>
      <c r="C59" s="100"/>
      <c r="D59" s="102"/>
      <c r="E59" s="100"/>
      <c r="F59" s="100"/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  <c r="AE59" s="100"/>
      <c r="AF59" s="100"/>
      <c r="AG59" s="100"/>
      <c r="AH59" s="100"/>
      <c r="AI59" s="100"/>
      <c r="AJ59" s="100"/>
      <c r="AK59" s="100"/>
      <c r="AL59" s="100"/>
      <c r="AM59" s="100"/>
      <c r="AN59" s="100"/>
      <c r="AO59" s="100"/>
      <c r="AP59" s="100"/>
      <c r="AQ59" s="100"/>
      <c r="AR59" s="100"/>
      <c r="AS59" s="100"/>
      <c r="AT59" s="100"/>
      <c r="AU59" s="100"/>
      <c r="AV59" s="100"/>
      <c r="AW59" s="100"/>
      <c r="AX59" s="100"/>
      <c r="AY59" s="100"/>
      <c r="AZ59" s="484" t="s">
        <v>341</v>
      </c>
      <c r="BA59" s="485"/>
      <c r="BB59" s="485"/>
      <c r="BC59" s="485"/>
      <c r="BD59" s="619">
        <f>'[5]декабрь 20'!$B$38</f>
        <v>900.36</v>
      </c>
      <c r="BE59" s="620"/>
    </row>
    <row r="60" spans="1:57" ht="16.5" thickBot="1">
      <c r="A60" s="100"/>
      <c r="B60" s="100"/>
      <c r="C60" s="100"/>
      <c r="D60" s="102"/>
      <c r="E60" s="100"/>
      <c r="F60" s="100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  <c r="AE60" s="100"/>
      <c r="AF60" s="100"/>
      <c r="AG60" s="100"/>
      <c r="AH60" s="100"/>
      <c r="AI60" s="100"/>
      <c r="AJ60" s="100"/>
      <c r="AK60" s="100"/>
      <c r="AL60" s="100"/>
      <c r="AM60" s="100"/>
      <c r="AN60" s="100"/>
      <c r="AO60" s="100"/>
      <c r="AP60" s="100"/>
      <c r="AQ60" s="100"/>
      <c r="AR60" s="100"/>
      <c r="AS60" s="100"/>
      <c r="AT60" s="100"/>
      <c r="AU60" s="100"/>
      <c r="AV60" s="100"/>
      <c r="AW60" s="100"/>
      <c r="AX60" s="100"/>
      <c r="AY60" s="100"/>
      <c r="AZ60" s="486" t="s">
        <v>342</v>
      </c>
      <c r="BA60" s="487"/>
      <c r="BB60" s="487"/>
      <c r="BC60" s="487"/>
      <c r="BD60" s="621">
        <f>BD59-BD58</f>
        <v>2.3999999999659849E-3</v>
      </c>
      <c r="BE60" s="622"/>
    </row>
    <row r="61" spans="1:57">
      <c r="A61" s="100"/>
      <c r="B61" s="100"/>
      <c r="C61" s="100"/>
      <c r="D61" s="102"/>
      <c r="E61" s="100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/>
      <c r="AE61" s="100"/>
      <c r="AF61" s="100"/>
      <c r="AG61" s="100"/>
      <c r="AH61" s="100"/>
      <c r="AI61" s="100"/>
      <c r="AJ61" s="100"/>
      <c r="AK61" s="100"/>
      <c r="AL61" s="100"/>
      <c r="AM61" s="100"/>
      <c r="AN61" s="100"/>
      <c r="AO61" s="100"/>
      <c r="AP61" s="100"/>
      <c r="AQ61" s="100"/>
      <c r="AR61" s="100"/>
      <c r="AS61" s="100"/>
      <c r="AT61" s="100"/>
      <c r="AU61" s="100"/>
      <c r="AV61" s="100"/>
      <c r="AW61" s="100"/>
      <c r="AX61" s="100"/>
      <c r="AY61" s="100"/>
      <c r="AZ61" s="100"/>
      <c r="BA61" s="100"/>
      <c r="BB61" s="100"/>
      <c r="BC61" s="100"/>
      <c r="BD61" s="100"/>
      <c r="BE61" s="100"/>
    </row>
    <row r="62" spans="1:57">
      <c r="A62" s="100"/>
      <c r="B62" s="100"/>
      <c r="C62" s="100"/>
      <c r="D62" s="102"/>
      <c r="E62" s="100"/>
      <c r="F62" s="100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100"/>
      <c r="AC62" s="100"/>
      <c r="AD62" s="100"/>
      <c r="AE62" s="100"/>
      <c r="AF62" s="100"/>
      <c r="AG62" s="100"/>
      <c r="AH62" s="100"/>
      <c r="AI62" s="100"/>
      <c r="AJ62" s="100"/>
      <c r="AK62" s="100"/>
      <c r="AL62" s="100"/>
      <c r="AM62" s="100"/>
      <c r="AN62" s="100"/>
      <c r="AO62" s="100"/>
      <c r="AP62" s="100"/>
      <c r="AQ62" s="100"/>
      <c r="AR62" s="100"/>
      <c r="AS62" s="100"/>
      <c r="AT62" s="100"/>
      <c r="AU62" s="100"/>
      <c r="AV62" s="100"/>
      <c r="AW62" s="100"/>
      <c r="AX62" s="100"/>
      <c r="AY62" s="100"/>
      <c r="AZ62" s="100"/>
      <c r="BA62" s="100"/>
      <c r="BB62" s="100"/>
      <c r="BC62" s="100"/>
      <c r="BD62" s="100"/>
      <c r="BE62" s="100"/>
    </row>
    <row r="63" spans="1:57">
      <c r="A63" s="100"/>
      <c r="B63" s="100"/>
      <c r="C63" s="100"/>
      <c r="D63" s="102"/>
      <c r="E63" s="100"/>
      <c r="F63" s="100"/>
      <c r="G63" s="100"/>
      <c r="H63" s="100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  <c r="AA63" s="100"/>
      <c r="AB63" s="100"/>
      <c r="AC63" s="100"/>
      <c r="AD63" s="100"/>
      <c r="AE63" s="100"/>
      <c r="AF63" s="100"/>
      <c r="AG63" s="100"/>
      <c r="AH63" s="100"/>
      <c r="AI63" s="100"/>
      <c r="AJ63" s="100"/>
      <c r="AK63" s="100"/>
      <c r="AL63" s="100"/>
      <c r="AM63" s="100"/>
      <c r="AN63" s="100"/>
      <c r="AO63" s="100"/>
      <c r="AP63" s="100"/>
      <c r="AQ63" s="100"/>
      <c r="AR63" s="100"/>
      <c r="AS63" s="100"/>
      <c r="AT63" s="100"/>
      <c r="AU63" s="100"/>
      <c r="AV63" s="100"/>
      <c r="AW63" s="100"/>
      <c r="AX63" s="100"/>
      <c r="AY63" s="100"/>
      <c r="AZ63" s="100"/>
      <c r="BA63" s="100"/>
      <c r="BB63" s="100"/>
      <c r="BC63" s="100"/>
      <c r="BD63" s="100"/>
      <c r="BE63" s="100"/>
    </row>
    <row r="64" spans="1:57">
      <c r="A64" s="100"/>
      <c r="B64" s="100"/>
      <c r="C64" s="100"/>
      <c r="D64" s="102"/>
      <c r="E64" s="100"/>
      <c r="F64" s="100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  <c r="AE64" s="100"/>
      <c r="AF64" s="100"/>
      <c r="AG64" s="100"/>
      <c r="AH64" s="100"/>
      <c r="AI64" s="100"/>
      <c r="AJ64" s="100"/>
      <c r="AK64" s="100"/>
      <c r="AL64" s="100"/>
      <c r="AM64" s="100"/>
      <c r="AN64" s="100"/>
      <c r="AO64" s="100"/>
      <c r="AP64" s="100"/>
      <c r="AQ64" s="100"/>
      <c r="AR64" s="100"/>
      <c r="AS64" s="100"/>
      <c r="AT64" s="100"/>
      <c r="AU64" s="100"/>
      <c r="AV64" s="100"/>
      <c r="AW64" s="100"/>
      <c r="AX64" s="100"/>
      <c r="AY64" s="100"/>
      <c r="AZ64" s="100"/>
      <c r="BA64" s="100"/>
      <c r="BB64" s="100"/>
      <c r="BC64" s="100"/>
      <c r="BD64" s="100"/>
      <c r="BE64" s="100"/>
    </row>
    <row r="65" spans="1:57">
      <c r="A65" s="100"/>
      <c r="B65" s="100"/>
      <c r="C65" s="100"/>
      <c r="D65" s="102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/>
      <c r="AE65" s="100"/>
      <c r="AF65" s="100"/>
      <c r="AG65" s="100"/>
      <c r="AH65" s="100"/>
      <c r="AI65" s="100"/>
      <c r="AJ65" s="100"/>
      <c r="AK65" s="100"/>
      <c r="AL65" s="100"/>
      <c r="AM65" s="100"/>
      <c r="AN65" s="100"/>
      <c r="AO65" s="100"/>
      <c r="AP65" s="100"/>
      <c r="AQ65" s="100"/>
      <c r="AR65" s="100"/>
      <c r="AS65" s="100"/>
      <c r="AT65" s="100"/>
      <c r="AU65" s="100"/>
      <c r="AV65" s="100"/>
      <c r="AW65" s="100"/>
      <c r="AX65" s="100"/>
      <c r="AY65" s="100"/>
      <c r="AZ65" s="100"/>
      <c r="BA65" s="100"/>
      <c r="BB65" s="100"/>
      <c r="BC65" s="100"/>
      <c r="BD65" s="100"/>
      <c r="BE65" s="100"/>
    </row>
    <row r="66" spans="1:57">
      <c r="A66" s="100"/>
      <c r="B66" s="100"/>
      <c r="C66" s="100"/>
      <c r="D66" s="102"/>
      <c r="E66" s="100"/>
      <c r="F66" s="100"/>
      <c r="G66" s="100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/>
      <c r="AE66" s="100"/>
      <c r="AF66" s="100"/>
      <c r="AG66" s="100"/>
      <c r="AH66" s="100"/>
      <c r="AI66" s="100"/>
      <c r="AJ66" s="100"/>
      <c r="AK66" s="100"/>
      <c r="AL66" s="100"/>
      <c r="AM66" s="100"/>
      <c r="AN66" s="100"/>
      <c r="AO66" s="100"/>
      <c r="AP66" s="100"/>
      <c r="AQ66" s="100"/>
      <c r="AR66" s="100"/>
      <c r="AS66" s="100"/>
      <c r="AT66" s="100"/>
      <c r="AU66" s="100"/>
      <c r="AV66" s="100"/>
      <c r="AW66" s="100"/>
      <c r="AX66" s="100"/>
      <c r="AY66" s="100"/>
      <c r="AZ66" s="100"/>
      <c r="BA66" s="100"/>
      <c r="BB66" s="100"/>
      <c r="BC66" s="100"/>
      <c r="BD66" s="100"/>
      <c r="BE66" s="100"/>
    </row>
    <row r="67" spans="1:57">
      <c r="A67" s="100"/>
      <c r="B67" s="100"/>
      <c r="C67" s="100"/>
      <c r="D67" s="102"/>
      <c r="E67" s="100"/>
      <c r="F67" s="100"/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  <c r="AD67" s="100"/>
      <c r="AE67" s="100"/>
      <c r="AF67" s="100"/>
      <c r="AG67" s="100"/>
      <c r="AH67" s="100"/>
      <c r="AI67" s="100"/>
      <c r="AJ67" s="100"/>
      <c r="AK67" s="100"/>
      <c r="AL67" s="100"/>
      <c r="AM67" s="100"/>
      <c r="AN67" s="100"/>
      <c r="AO67" s="100"/>
      <c r="AP67" s="100"/>
      <c r="AQ67" s="100"/>
      <c r="AR67" s="100"/>
      <c r="AS67" s="100"/>
      <c r="AT67" s="100"/>
      <c r="AU67" s="100"/>
      <c r="AV67" s="100"/>
      <c r="AW67" s="100"/>
      <c r="AX67" s="100"/>
      <c r="AY67" s="100"/>
      <c r="AZ67" s="100"/>
      <c r="BA67" s="100"/>
      <c r="BB67" s="100"/>
      <c r="BC67" s="100"/>
      <c r="BD67" s="100"/>
      <c r="BE67" s="100"/>
    </row>
    <row r="68" spans="1:57">
      <c r="A68" s="100"/>
      <c r="B68" s="100"/>
      <c r="C68" s="100"/>
      <c r="D68" s="102"/>
      <c r="E68" s="100"/>
      <c r="F68" s="100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  <c r="AI68" s="100"/>
      <c r="AJ68" s="100"/>
      <c r="AK68" s="100"/>
      <c r="AL68" s="100"/>
      <c r="AM68" s="100"/>
      <c r="AN68" s="100"/>
      <c r="AO68" s="100"/>
      <c r="AP68" s="100"/>
      <c r="AQ68" s="100"/>
      <c r="AR68" s="100"/>
      <c r="AS68" s="100"/>
      <c r="AT68" s="100"/>
      <c r="AU68" s="100"/>
      <c r="AV68" s="100"/>
      <c r="AW68" s="100"/>
      <c r="AX68" s="100"/>
      <c r="AY68" s="100"/>
      <c r="AZ68" s="100"/>
      <c r="BA68" s="100"/>
      <c r="BB68" s="100"/>
      <c r="BC68" s="100"/>
      <c r="BD68" s="100"/>
      <c r="BE68" s="100"/>
    </row>
    <row r="69" spans="1:57">
      <c r="A69" s="100"/>
      <c r="B69" s="100"/>
      <c r="C69" s="100"/>
      <c r="D69" s="102"/>
      <c r="E69" s="100"/>
      <c r="F69" s="100"/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100"/>
      <c r="AC69" s="100"/>
      <c r="AD69" s="100"/>
      <c r="AE69" s="100"/>
      <c r="AF69" s="100"/>
      <c r="AG69" s="100"/>
      <c r="AH69" s="100"/>
      <c r="AI69" s="100"/>
      <c r="AJ69" s="100"/>
      <c r="AK69" s="100"/>
      <c r="AL69" s="100"/>
      <c r="AM69" s="100"/>
      <c r="AN69" s="100"/>
      <c r="AO69" s="100"/>
      <c r="AP69" s="100"/>
      <c r="AQ69" s="100"/>
      <c r="AR69" s="100"/>
      <c r="AS69" s="100"/>
      <c r="AT69" s="100"/>
      <c r="AU69" s="100"/>
      <c r="AV69" s="100"/>
      <c r="AW69" s="100"/>
      <c r="AX69" s="100"/>
      <c r="AY69" s="100"/>
      <c r="AZ69" s="100"/>
      <c r="BA69" s="100"/>
      <c r="BB69" s="100"/>
      <c r="BC69" s="100"/>
      <c r="BD69" s="100"/>
      <c r="BE69" s="100"/>
    </row>
    <row r="70" spans="1:57">
      <c r="A70" s="100"/>
      <c r="B70" s="100"/>
      <c r="C70" s="100"/>
      <c r="D70" s="102"/>
      <c r="E70" s="100"/>
      <c r="F70" s="100"/>
      <c r="G70" s="100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  <c r="AE70" s="100"/>
      <c r="AF70" s="100"/>
      <c r="AG70" s="100"/>
      <c r="AH70" s="100"/>
      <c r="AI70" s="100"/>
      <c r="AJ70" s="100"/>
      <c r="AK70" s="100"/>
      <c r="AL70" s="100"/>
      <c r="AM70" s="100"/>
      <c r="AN70" s="100"/>
      <c r="AO70" s="100"/>
      <c r="AP70" s="100"/>
      <c r="AQ70" s="100"/>
      <c r="AR70" s="100"/>
      <c r="AS70" s="100"/>
      <c r="AT70" s="100"/>
      <c r="AU70" s="100"/>
      <c r="AV70" s="100"/>
      <c r="AW70" s="100"/>
      <c r="AX70" s="100"/>
      <c r="AY70" s="100"/>
      <c r="AZ70" s="100"/>
      <c r="BA70" s="100"/>
      <c r="BB70" s="100"/>
      <c r="BC70" s="100"/>
      <c r="BD70" s="100"/>
      <c r="BE70" s="100"/>
    </row>
    <row r="71" spans="1:57" ht="18" customHeight="1">
      <c r="A71" s="318" t="s">
        <v>70</v>
      </c>
      <c r="B71" s="319"/>
      <c r="C71" s="318"/>
      <c r="D71" s="318"/>
      <c r="E71" s="318"/>
      <c r="F71" s="318"/>
      <c r="G71" s="318"/>
      <c r="H71" s="318"/>
      <c r="I71" s="318"/>
      <c r="J71" s="320"/>
      <c r="K71" s="320"/>
      <c r="L71" s="605" t="s">
        <v>470</v>
      </c>
      <c r="M71" s="605"/>
      <c r="N71" s="605"/>
      <c r="O71" s="605"/>
      <c r="P71" s="605"/>
      <c r="Q71" s="605"/>
      <c r="R71" s="109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/>
      <c r="AE71" s="100"/>
      <c r="AF71" s="100"/>
      <c r="AG71" s="100"/>
      <c r="AH71" s="100"/>
      <c r="AI71" s="100"/>
      <c r="AJ71" s="100"/>
      <c r="AK71" s="100"/>
      <c r="AL71" s="100"/>
      <c r="AM71" s="100"/>
      <c r="AN71" s="100"/>
      <c r="AO71" s="100"/>
      <c r="AP71" s="100"/>
      <c r="AQ71" s="100"/>
      <c r="AR71" s="100"/>
      <c r="AS71" s="100"/>
      <c r="AT71" s="100"/>
      <c r="AU71" s="100"/>
      <c r="AV71" s="100"/>
      <c r="AW71" s="100"/>
      <c r="AX71" s="100"/>
      <c r="AY71" s="100"/>
      <c r="AZ71" s="100"/>
      <c r="BA71" s="100"/>
      <c r="BB71" s="100"/>
      <c r="BC71" s="100"/>
      <c r="BD71" s="100"/>
      <c r="BE71" s="100"/>
    </row>
    <row r="72" spans="1:57" ht="15">
      <c r="A72" s="118"/>
      <c r="B72" s="118"/>
      <c r="C72" s="119"/>
      <c r="D72" s="120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  <c r="AE72" s="100"/>
      <c r="AF72" s="100"/>
      <c r="AG72" s="100"/>
      <c r="AH72" s="100"/>
      <c r="AI72" s="100"/>
      <c r="AJ72" s="100"/>
      <c r="AK72" s="100"/>
      <c r="AL72" s="100"/>
      <c r="AM72" s="100"/>
      <c r="AN72" s="100"/>
      <c r="AO72" s="100"/>
      <c r="AP72" s="100"/>
      <c r="AQ72" s="100"/>
      <c r="AR72" s="100"/>
      <c r="AS72" s="100"/>
      <c r="AT72" s="100"/>
      <c r="AU72" s="100"/>
      <c r="AV72" s="100"/>
      <c r="AW72" s="100"/>
      <c r="AX72" s="100"/>
      <c r="AY72" s="100"/>
      <c r="AZ72" s="100"/>
      <c r="BA72" s="100"/>
      <c r="BB72" s="100"/>
      <c r="BC72" s="100"/>
      <c r="BD72" s="100"/>
      <c r="BE72" s="100"/>
    </row>
    <row r="73" spans="1:57" ht="15.75">
      <c r="A73" s="100"/>
      <c r="B73" s="100"/>
      <c r="C73" s="100"/>
      <c r="D73" s="102"/>
      <c r="E73" s="100"/>
      <c r="F73" s="100"/>
      <c r="G73" s="100"/>
      <c r="H73" s="100"/>
      <c r="I73" s="100"/>
      <c r="J73" s="100"/>
      <c r="K73" s="100"/>
      <c r="L73" s="111"/>
      <c r="M73" s="111"/>
      <c r="N73" s="111"/>
      <c r="O73" s="111"/>
      <c r="P73" s="111"/>
      <c r="Q73" s="111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00"/>
      <c r="AK73" s="100"/>
      <c r="AL73" s="100"/>
      <c r="AM73" s="100"/>
      <c r="AN73" s="100"/>
      <c r="AO73" s="100"/>
      <c r="AP73" s="100"/>
      <c r="AQ73" s="100"/>
      <c r="AR73" s="100"/>
      <c r="AS73" s="100"/>
      <c r="AT73" s="100"/>
      <c r="AU73" s="100"/>
      <c r="AV73" s="100"/>
      <c r="AW73" s="100"/>
      <c r="AX73" s="100"/>
      <c r="AY73" s="100"/>
      <c r="AZ73" s="100"/>
      <c r="BA73" s="100"/>
      <c r="BB73" s="100"/>
      <c r="BC73" s="100"/>
      <c r="BD73" s="100"/>
      <c r="BE73" s="100"/>
    </row>
    <row r="74" spans="1:57">
      <c r="A74" s="100"/>
      <c r="B74" s="100"/>
      <c r="C74" s="100"/>
      <c r="D74" s="102"/>
      <c r="E74" s="100"/>
      <c r="F74" s="100"/>
      <c r="G74" s="100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00"/>
      <c r="AK74" s="100"/>
      <c r="AL74" s="100"/>
      <c r="AM74" s="100"/>
      <c r="AN74" s="100"/>
      <c r="AO74" s="100"/>
      <c r="AP74" s="100"/>
      <c r="AQ74" s="100"/>
      <c r="AR74" s="100"/>
      <c r="AS74" s="100"/>
      <c r="AT74" s="100"/>
      <c r="AU74" s="100"/>
      <c r="AV74" s="100"/>
      <c r="AW74" s="100"/>
      <c r="AX74" s="100"/>
      <c r="AY74" s="100"/>
      <c r="AZ74" s="100"/>
      <c r="BA74" s="100"/>
      <c r="BB74" s="100"/>
      <c r="BC74" s="100"/>
      <c r="BD74" s="100"/>
      <c r="BE74" s="100"/>
    </row>
    <row r="75" spans="1:57">
      <c r="A75" s="100"/>
      <c r="B75" s="100"/>
      <c r="C75" s="100"/>
      <c r="D75" s="102"/>
      <c r="E75" s="100"/>
      <c r="F75" s="100"/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  <c r="AD75" s="100"/>
      <c r="AE75" s="100"/>
      <c r="AF75" s="100"/>
      <c r="AG75" s="100"/>
      <c r="AH75" s="100"/>
      <c r="AI75" s="100"/>
      <c r="AJ75" s="100"/>
      <c r="AK75" s="100"/>
      <c r="AL75" s="100"/>
      <c r="AM75" s="100"/>
      <c r="AN75" s="100"/>
      <c r="AO75" s="100"/>
      <c r="AP75" s="100"/>
      <c r="AQ75" s="100"/>
      <c r="AR75" s="100"/>
      <c r="AS75" s="100"/>
      <c r="AT75" s="100"/>
      <c r="AU75" s="100"/>
      <c r="AV75" s="100"/>
      <c r="AW75" s="100"/>
      <c r="AX75" s="100"/>
      <c r="AY75" s="100"/>
      <c r="AZ75" s="100"/>
      <c r="BA75" s="100"/>
      <c r="BB75" s="100"/>
      <c r="BC75" s="100"/>
      <c r="BD75" s="100"/>
      <c r="BE75" s="100"/>
    </row>
    <row r="77" spans="1:57">
      <c r="AY77" t="s">
        <v>302</v>
      </c>
    </row>
  </sheetData>
  <sheetProtection selectLockedCells="1" selectUnlockedCells="1"/>
  <mergeCells count="81">
    <mergeCell ref="AE3:AF4"/>
    <mergeCell ref="AG3:AI4"/>
    <mergeCell ref="AI5:AI6"/>
    <mergeCell ref="AY2:BC2"/>
    <mergeCell ref="A3:A6"/>
    <mergeCell ref="B3:G3"/>
    <mergeCell ref="H3:P3"/>
    <mergeCell ref="Q3:U3"/>
    <mergeCell ref="V3:V6"/>
    <mergeCell ref="W3:W6"/>
    <mergeCell ref="X3:X6"/>
    <mergeCell ref="Y3:Y6"/>
    <mergeCell ref="Z3:Z6"/>
    <mergeCell ref="P4:P6"/>
    <mergeCell ref="L4:L6"/>
    <mergeCell ref="M4:M6"/>
    <mergeCell ref="CJ3:CM5"/>
    <mergeCell ref="B4:B6"/>
    <mergeCell ref="C4:C6"/>
    <mergeCell ref="D4:D6"/>
    <mergeCell ref="E4:E6"/>
    <mergeCell ref="F4:F6"/>
    <mergeCell ref="G4:G6"/>
    <mergeCell ref="H4:H6"/>
    <mergeCell ref="I4:I6"/>
    <mergeCell ref="J4:J6"/>
    <mergeCell ref="BD3:BD6"/>
    <mergeCell ref="BE3:BE6"/>
    <mergeCell ref="BK3:BQ5"/>
    <mergeCell ref="BR3:BX5"/>
    <mergeCell ref="BY3:CE5"/>
    <mergeCell ref="K4:K6"/>
    <mergeCell ref="AA3:AA6"/>
    <mergeCell ref="AB3:AB6"/>
    <mergeCell ref="N4:N6"/>
    <mergeCell ref="O4:O6"/>
    <mergeCell ref="DD4:DH4"/>
    <mergeCell ref="AE5:AE6"/>
    <mergeCell ref="AF5:AF6"/>
    <mergeCell ref="AG5:AG6"/>
    <mergeCell ref="AH5:AH6"/>
    <mergeCell ref="CF3:CI5"/>
    <mergeCell ref="AQ3:AQ6"/>
    <mergeCell ref="AS3:AS6"/>
    <mergeCell ref="AT3:AY4"/>
    <mergeCell ref="AZ3:AZ6"/>
    <mergeCell ref="BA3:BB4"/>
    <mergeCell ref="BC3:BC6"/>
    <mergeCell ref="Q4:Q6"/>
    <mergeCell ref="R4:R6"/>
    <mergeCell ref="S4:S6"/>
    <mergeCell ref="T4:T6"/>
    <mergeCell ref="U4:U6"/>
    <mergeCell ref="AC3:AC6"/>
    <mergeCell ref="AD3:AD6"/>
    <mergeCell ref="DA5:DB5"/>
    <mergeCell ref="CO39:CP39"/>
    <mergeCell ref="CQ39:CU39"/>
    <mergeCell ref="CV39:CY39"/>
    <mergeCell ref="AX5:AX6"/>
    <mergeCell ref="AY5:AY6"/>
    <mergeCell ref="AJ3:AK6"/>
    <mergeCell ref="AL3:AL6"/>
    <mergeCell ref="AM3:AM6"/>
    <mergeCell ref="AN3:AN6"/>
    <mergeCell ref="AO3:AO6"/>
    <mergeCell ref="AP3:AP6"/>
    <mergeCell ref="AT5:AT6"/>
    <mergeCell ref="AW5:AW6"/>
    <mergeCell ref="CO40:CU40"/>
    <mergeCell ref="BD58:BE58"/>
    <mergeCell ref="BD59:BE59"/>
    <mergeCell ref="BD60:BE60"/>
    <mergeCell ref="L71:Q71"/>
    <mergeCell ref="N46:O46"/>
    <mergeCell ref="AZ46:BE47"/>
    <mergeCell ref="AZ48:BC49"/>
    <mergeCell ref="BD48:BD49"/>
    <mergeCell ref="AZ51:BC52"/>
    <mergeCell ref="BD51:BD52"/>
    <mergeCell ref="AT42:AV42"/>
  </mergeCells>
  <printOptions horizontalCentered="1" verticalCentered="1"/>
  <pageMargins left="0" right="0" top="0" bottom="0" header="0" footer="0"/>
  <pageSetup paperSize="9" scale="46" firstPageNumber="0" orientation="landscape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Листы</vt:lpstr>
      </vt:variant>
      <vt:variant>
        <vt:i4>30</vt:i4>
      </vt:variant>
      <vt:variant>
        <vt:lpstr>Именованные диапазоны</vt:lpstr>
      </vt:variant>
      <vt:variant>
        <vt:i4>30</vt:i4>
      </vt:variant>
    </vt:vector>
  </HeadingPairs>
  <TitlesOfParts>
    <vt:vector size="60" baseType="lpstr">
      <vt:lpstr>январь 20</vt:lpstr>
      <vt:lpstr>январь 20 (+руда,-агл,-кокс)</vt:lpstr>
      <vt:lpstr>февраль 20 </vt:lpstr>
      <vt:lpstr>февраль 20  (+агл,-руда)</vt:lpstr>
      <vt:lpstr>март 20 </vt:lpstr>
      <vt:lpstr>март 20  (-руда,+агл)</vt:lpstr>
      <vt:lpstr>апрель 20 </vt:lpstr>
      <vt:lpstr>апрель 20  (+544т,+ру,кок)</vt:lpstr>
      <vt:lpstr>май 20</vt:lpstr>
      <vt:lpstr>май 20 (+руда,кокс,-агл)</vt:lpstr>
      <vt:lpstr>июнь 20</vt:lpstr>
      <vt:lpstr>июнь 20 (+руда,кокс)</vt:lpstr>
      <vt:lpstr>июль 20  (факт)</vt:lpstr>
      <vt:lpstr>июль 20 </vt:lpstr>
      <vt:lpstr>июль 20  (+руда,кокс)</vt:lpstr>
      <vt:lpstr>август 20 (факт)</vt:lpstr>
      <vt:lpstr>август 20</vt:lpstr>
      <vt:lpstr>август 20 (+агл,кокс)</vt:lpstr>
      <vt:lpstr>сентябрь 20 (факт)</vt:lpstr>
      <vt:lpstr>сентябрь 20</vt:lpstr>
      <vt:lpstr>сентябрь 20 (-руда,+кокс)</vt:lpstr>
      <vt:lpstr>октябрь 20 (факт)</vt:lpstr>
      <vt:lpstr>октябрь 20 </vt:lpstr>
      <vt:lpstr>октябрь 20  (+руда,кокс)</vt:lpstr>
      <vt:lpstr>ноябрь 20 (факт)</vt:lpstr>
      <vt:lpstr>ноябрь 20</vt:lpstr>
      <vt:lpstr>ноябрь 20 (+агл, кокс)</vt:lpstr>
      <vt:lpstr>декабрь 20 (факт)</vt:lpstr>
      <vt:lpstr>декабрь 20</vt:lpstr>
      <vt:lpstr>декабрь 20 (-агл,+руд)</vt:lpstr>
      <vt:lpstr>'август 20'!Область_печати</vt:lpstr>
      <vt:lpstr>'август 20 (+агл,кокс)'!Область_печати</vt:lpstr>
      <vt:lpstr>'август 20 (факт)'!Область_печати</vt:lpstr>
      <vt:lpstr>'апрель 20 '!Область_печати</vt:lpstr>
      <vt:lpstr>'апрель 20  (+544т,+ру,кок)'!Область_печати</vt:lpstr>
      <vt:lpstr>'декабрь 20'!Область_печати</vt:lpstr>
      <vt:lpstr>'декабрь 20 (-агл,+руд)'!Область_печати</vt:lpstr>
      <vt:lpstr>'декабрь 20 (факт)'!Область_печати</vt:lpstr>
      <vt:lpstr>'июль 20 '!Область_печати</vt:lpstr>
      <vt:lpstr>'июль 20  (+руда,кокс)'!Область_печати</vt:lpstr>
      <vt:lpstr>'июль 20  (факт)'!Область_печати</vt:lpstr>
      <vt:lpstr>'июнь 20'!Область_печати</vt:lpstr>
      <vt:lpstr>'июнь 20 (+руда,кокс)'!Область_печати</vt:lpstr>
      <vt:lpstr>'май 20'!Область_печати</vt:lpstr>
      <vt:lpstr>'май 20 (+руда,кокс,-агл)'!Область_печати</vt:lpstr>
      <vt:lpstr>'март 20 '!Область_печати</vt:lpstr>
      <vt:lpstr>'март 20  (-руда,+агл)'!Область_печати</vt:lpstr>
      <vt:lpstr>'ноябрь 20'!Область_печати</vt:lpstr>
      <vt:lpstr>'ноябрь 20 (+агл, кокс)'!Область_печати</vt:lpstr>
      <vt:lpstr>'ноябрь 20 (факт)'!Область_печати</vt:lpstr>
      <vt:lpstr>'октябрь 20 '!Область_печати</vt:lpstr>
      <vt:lpstr>'октябрь 20  (+руда,кокс)'!Область_печати</vt:lpstr>
      <vt:lpstr>'октябрь 20 (факт)'!Область_печати</vt:lpstr>
      <vt:lpstr>'сентябрь 20'!Область_печати</vt:lpstr>
      <vt:lpstr>'сентябрь 20 (-руда,+кокс)'!Область_печати</vt:lpstr>
      <vt:lpstr>'сентябрь 20 (факт)'!Область_печати</vt:lpstr>
      <vt:lpstr>'февраль 20 '!Область_печати</vt:lpstr>
      <vt:lpstr>'февраль 20  (+агл,-руда)'!Область_печати</vt:lpstr>
      <vt:lpstr>'январь 20'!Область_печати</vt:lpstr>
      <vt:lpstr>'январь 20 (+руда,-агл,-кокс)'!Область_печати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Диспетчер2</dc:creator>
  <cp:lastModifiedBy>Диспетчер1</cp:lastModifiedBy>
  <cp:lastPrinted>2021-02-02T08:31:48Z</cp:lastPrinted>
  <dcterms:created xsi:type="dcterms:W3CDTF">2019-11-08T08:10:04Z</dcterms:created>
  <dcterms:modified xsi:type="dcterms:W3CDTF">2021-02-02T08:31:54Z</dcterms:modified>
</cp:coreProperties>
</file>